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Brannon C Taylor" reservationPassword="FFB1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W:\MdSt-KY Rate Case\2018 KY Rate Case\KY Base Period Update\"/>
    </mc:Choice>
  </mc:AlternateContent>
  <bookViews>
    <workbookView xWindow="-15" yWindow="6135" windowWidth="20505" windowHeight="1620" tabRatio="769" firstSheet="2" activeTab="3"/>
  </bookViews>
  <sheets>
    <sheet name="Table of Contents" sheetId="204" r:id="rId1"/>
    <sheet name="Allocation" sheetId="212" r:id="rId2"/>
    <sheet name="Cover A" sheetId="205" r:id="rId3"/>
    <sheet name="A.1" sheetId="1" r:id="rId4"/>
    <sheet name="Cover B" sheetId="206" r:id="rId5"/>
    <sheet name="B.1 B" sheetId="3" r:id="rId6"/>
    <sheet name="B.1 F " sheetId="137" r:id="rId7"/>
    <sheet name="B.2 B" sheetId="207" r:id="rId8"/>
    <sheet name="B.2 F" sheetId="213" r:id="rId9"/>
    <sheet name="B.3 B" sheetId="236" r:id="rId10"/>
    <sheet name="B.3 F" sheetId="209" r:id="rId11"/>
    <sheet name="B.3.1 F" sheetId="237" r:id="rId12"/>
    <sheet name="B.4 B" sheetId="31" r:id="rId13"/>
    <sheet name="B.4 F" sheetId="67" r:id="rId14"/>
    <sheet name="B.4.1 B" sheetId="30" r:id="rId15"/>
    <sheet name="B.4.1 F" sheetId="215" r:id="rId16"/>
    <sheet name="B.4.2 B" sheetId="24" r:id="rId17"/>
    <sheet name="B.4.2 F" sheetId="69" r:id="rId18"/>
    <sheet name="B.5 B" sheetId="231" r:id="rId19"/>
    <sheet name="B.5 F" sheetId="232" r:id="rId20"/>
    <sheet name="B.6 B" sheetId="243" r:id="rId21"/>
    <sheet name="B.6 F" sheetId="244" r:id="rId22"/>
    <sheet name="WP B.4.1B" sheetId="214" r:id="rId23"/>
    <sheet name="WP B.4.1F" sheetId="216" r:id="rId24"/>
    <sheet name="WP B.5 B" sheetId="230" r:id="rId25"/>
    <sheet name="WP B.5 F" sheetId="233" r:id="rId26"/>
    <sheet name="WP B.5 F1" sheetId="251" r:id="rId27"/>
    <sheet name="WP B.6 B" sheetId="241" r:id="rId28"/>
    <sheet name="WP B.6 F" sheetId="242" r:id="rId29"/>
    <sheet name="Cover C" sheetId="211" r:id="rId30"/>
    <sheet name="C.1" sheetId="47" r:id="rId31"/>
    <sheet name="C.2" sheetId="46" r:id="rId32"/>
    <sheet name="C.2.1 B" sheetId="45" r:id="rId33"/>
    <sheet name="C.2.1 F" sheetId="79" r:id="rId34"/>
    <sheet name="C.2.2 B 09" sheetId="44" r:id="rId35"/>
    <sheet name="C.2.2 B 02" sheetId="190" r:id="rId36"/>
    <sheet name="C.2.2 B 12" sheetId="193" r:id="rId37"/>
    <sheet name="C.2.2 B 91" sheetId="192" r:id="rId38"/>
    <sheet name="C.2.2-F 09" sheetId="222" r:id="rId39"/>
    <sheet name="C.2.2-F 02" sheetId="226" r:id="rId40"/>
    <sheet name="C.2.2-F 12" sheetId="227" r:id="rId41"/>
    <sheet name="C.2.2-F 91" sheetId="228" r:id="rId42"/>
    <sheet name="C.2.3 B" sheetId="171" r:id="rId43"/>
    <sheet name="C.2.3 F" sheetId="238" r:id="rId44"/>
    <sheet name="Cover D" sheetId="221" r:id="rId45"/>
    <sheet name="D.1" sheetId="51" r:id="rId46"/>
    <sheet name="D.2.1" sheetId="50" r:id="rId47"/>
    <sheet name="D.2.2" sheetId="49" r:id="rId48"/>
    <sheet name="D.2.3" sheetId="48" r:id="rId49"/>
    <sheet name="Cover E" sheetId="235" r:id="rId50"/>
    <sheet name="E" sheetId="84" r:id="rId51"/>
    <sheet name="Cover F" sheetId="245" r:id="rId52"/>
    <sheet name="F.1" sheetId="248" r:id="rId53"/>
    <sheet name="F.2.1" sheetId="107" r:id="rId54"/>
    <sheet name="F.2.2" sheetId="104" r:id="rId55"/>
    <sheet name="F.2.3" sheetId="105" r:id="rId56"/>
    <sheet name="F.3" sheetId="100" r:id="rId57"/>
    <sheet name="F.4" sheetId="247" r:id="rId58"/>
    <sheet name="F.5" sheetId="102" r:id="rId59"/>
    <sheet name="F.6" sheetId="106" r:id="rId60"/>
    <sheet name="F.7" sheetId="103" r:id="rId61"/>
    <sheet name="F.8" sheetId="239" r:id="rId62"/>
    <sheet name="F.9" sheetId="249" r:id="rId63"/>
    <sheet name="F.10" sheetId="250" r:id="rId64"/>
    <sheet name="F.11" sheetId="252" r:id="rId65"/>
    <sheet name="G.1" sheetId="36" r:id="rId66"/>
    <sheet name="G.2" sheetId="35" r:id="rId67"/>
    <sheet name="G.3" sheetId="34" r:id="rId68"/>
    <sheet name="H.1" sheetId="37" r:id="rId69"/>
    <sheet name="I.1" sheetId="42" r:id="rId70"/>
    <sheet name="I.2" sheetId="41" r:id="rId71"/>
    <sheet name="I.3" sheetId="39" r:id="rId72"/>
    <sheet name="J-1 Base" sheetId="4" r:id="rId73"/>
    <sheet name="J.1" sheetId="202" r:id="rId74"/>
    <sheet name="J-2 B" sheetId="5" r:id="rId75"/>
    <sheet name="J-3 B" sheetId="8" r:id="rId76"/>
    <sheet name="J-4" sheetId="9" r:id="rId77"/>
    <sheet name="J-1 F" sheetId="95" r:id="rId78"/>
    <sheet name="J-2 F" sheetId="98" r:id="rId79"/>
    <sheet name="J-3 F" sheetId="99" r:id="rId80"/>
    <sheet name="K" sheetId="10" r:id="rId81"/>
  </sheets>
  <definedNames>
    <definedName name="\p">A.1!$B$42:$B$43</definedName>
    <definedName name="_Div012" localSheetId="63">#REF!</definedName>
    <definedName name="_Div012" localSheetId="62">#REF!</definedName>
    <definedName name="_Div012">#REF!</definedName>
    <definedName name="_Div02" localSheetId="63">#REF!</definedName>
    <definedName name="_Div02" localSheetId="62">#REF!</definedName>
    <definedName name="_Div02">#REF!</definedName>
    <definedName name="_Div091" localSheetId="63">#REF!</definedName>
    <definedName name="_Div091" localSheetId="62">#REF!</definedName>
    <definedName name="_Div091">#REF!</definedName>
    <definedName name="_Regression_Int" localSheetId="3" hidden="1">1</definedName>
    <definedName name="Case_No._2006_00464" localSheetId="63">#REF!</definedName>
    <definedName name="Case_No._2006_00464" localSheetId="62">#REF!</definedName>
    <definedName name="Case_No._2006_00464">#REF!</definedName>
    <definedName name="csDesignMode">1</definedName>
    <definedName name="Div012Cap" localSheetId="63">#REF!</definedName>
    <definedName name="Div012Cap" localSheetId="62">#REF!</definedName>
    <definedName name="Div012Cap">#REF!</definedName>
    <definedName name="Div02Cap" localSheetId="63">#REF!</definedName>
    <definedName name="Div02Cap" localSheetId="62">#REF!</definedName>
    <definedName name="Div02Cap">#REF!</definedName>
    <definedName name="Div091Cap" localSheetId="63">#REF!</definedName>
    <definedName name="Div091Cap" localSheetId="62">#REF!</definedName>
    <definedName name="Div091Cap">#REF!</definedName>
    <definedName name="Div09cap" localSheetId="63">#REF!</definedName>
    <definedName name="Div09cap" localSheetId="62">#REF!</definedName>
    <definedName name="Div09cap">#REF!</definedName>
    <definedName name="EssOptions" localSheetId="53">"A1100000000030000000001100020_0000"</definedName>
    <definedName name="EssOptions" localSheetId="56">"A1100000000030000000001100020_0000"</definedName>
    <definedName name="kytax" localSheetId="63">#REF!</definedName>
    <definedName name="kytax" localSheetId="62">#REF!</definedName>
    <definedName name="kytax">#REF!</definedName>
    <definedName name="ltdrate" localSheetId="63">#REF!</definedName>
    <definedName name="ltdrate" localSheetId="62">#REF!</definedName>
    <definedName name="ltdrate">#REF!</definedName>
    <definedName name="_xlnm.Print_Area" localSheetId="3">A.1!$A$1:$G$39</definedName>
    <definedName name="_xlnm.Print_Area" localSheetId="1">Allocation!$A$1:$I$31</definedName>
    <definedName name="_xlnm.Print_Area" localSheetId="5">'B.1 B'!$A$1:$F$31</definedName>
    <definedName name="_xlnm.Print_Area" localSheetId="6">'B.1 F '!$A$1:$F$31</definedName>
    <definedName name="_xlnm.Print_Area" localSheetId="7">'B.2 B'!$A$1:$N$269</definedName>
    <definedName name="_xlnm.Print_Area" localSheetId="8">'B.2 F'!$A$1:$N$269</definedName>
    <definedName name="_xlnm.Print_Area" localSheetId="9">'B.3 B'!$A$1:$N$264</definedName>
    <definedName name="_xlnm.Print_Area" localSheetId="10">'B.3 F'!$A$1:$N$266</definedName>
    <definedName name="_xlnm.Print_Area" localSheetId="11">'B.3.1 F'!$A$1:$H$264</definedName>
    <definedName name="_xlnm.Print_Area" localSheetId="12">'B.4 B'!$A$1:$E$24</definedName>
    <definedName name="_xlnm.Print_Area" localSheetId="13">'B.4 F'!$A$1:$E$24</definedName>
    <definedName name="_xlnm.Print_Area" localSheetId="14">'B.4.1 B'!$A$1:$K$37</definedName>
    <definedName name="_xlnm.Print_Area" localSheetId="15">'B.4.1 F'!$A$1:$K$37</definedName>
    <definedName name="_xlnm.Print_Area" localSheetId="16">'B.4.2 B'!$A$1:$H$34</definedName>
    <definedName name="_xlnm.Print_Area" localSheetId="17">'B.4.2 F'!$A$1:$H$33</definedName>
    <definedName name="_xlnm.Print_Area" localSheetId="18">'B.5 B'!$A$1:$L$51</definedName>
    <definedName name="_xlnm.Print_Area" localSheetId="19">'B.5 F'!$A$1:$L$88</definedName>
    <definedName name="_xlnm.Print_Area" localSheetId="20">'B.6 B'!$A$1:$L$25</definedName>
    <definedName name="_xlnm.Print_Area" localSheetId="21">'B.6 F'!$A$1:$L$25</definedName>
    <definedName name="_xlnm.Print_Area" localSheetId="30">'C.1'!$A$1:$J$31</definedName>
    <definedName name="_xlnm.Print_Area" localSheetId="31">'C.2'!$A$1:$O$34</definedName>
    <definedName name="_xlnm.Print_Area" localSheetId="32">'C.2.1 B'!$A$1:$D$183</definedName>
    <definedName name="_xlnm.Print_Area" localSheetId="33">'C.2.1 F'!$A$1:$D$178</definedName>
    <definedName name="_xlnm.Print_Area" localSheetId="35">'C.2.2 B 02'!$A$14:$P$49</definedName>
    <definedName name="_xlnm.Print_Area" localSheetId="34">'C.2.2 B 09'!$A$12:$P$117</definedName>
    <definedName name="_xlnm.Print_Area" localSheetId="36">'C.2.2 B 12'!$A$12:$P$38</definedName>
    <definedName name="_xlnm.Print_Area" localSheetId="37">'C.2.2 B 91'!$A$14:$P$61</definedName>
    <definedName name="_xlnm.Print_Area" localSheetId="39">'C.2.2-F 02'!$A$12:$P$45</definedName>
    <definedName name="_xlnm.Print_Area" localSheetId="38">'C.2.2-F 09'!$A$12:$P$115</definedName>
    <definedName name="_xlnm.Print_Area" localSheetId="40">'C.2.2-F 12'!$A$12:$P$37</definedName>
    <definedName name="_xlnm.Print_Area" localSheetId="41">'C.2.2-F 91'!$A$12:$P$58</definedName>
    <definedName name="_xlnm.Print_Area" localSheetId="42">'C.2.3 B'!$A$1:$O$67</definedName>
    <definedName name="_xlnm.Print_Area" localSheetId="43">'C.2.3 F'!$A$1:$O$68</definedName>
    <definedName name="_xlnm.Print_Area" localSheetId="4">'Cover B'!$A$1:$C$24</definedName>
    <definedName name="_xlnm.Print_Area" localSheetId="29">'Cover C'!$A$1:$C$20</definedName>
    <definedName name="_xlnm.Print_Area" localSheetId="44">'Cover D'!$A$1:$C$23</definedName>
    <definedName name="_xlnm.Print_Area" localSheetId="49">'Cover E'!$A$1:$C$22</definedName>
    <definedName name="_xlnm.Print_Area" localSheetId="51">'Cover F'!$A$1:$C$30</definedName>
    <definedName name="_xlnm.Print_Area" localSheetId="45">D.1!$A$1:$P$172</definedName>
    <definedName name="_xlnm.Print_Area" localSheetId="46">'D.2.1'!$A$1:$D$72</definedName>
    <definedName name="_xlnm.Print_Area" localSheetId="47">'D.2.2'!$A$1:$D$45</definedName>
    <definedName name="_xlnm.Print_Area" localSheetId="48">'D.2.3'!$A$1:$D$23</definedName>
    <definedName name="_xlnm.Print_Area" localSheetId="50">E!$A$1:$H$37</definedName>
    <definedName name="_xlnm.Print_Area" localSheetId="52">F.1!$A$1:$G$181</definedName>
    <definedName name="_xlnm.Print_Area" localSheetId="63">F.10!$A$1:$F$43</definedName>
    <definedName name="_xlnm.Print_Area" localSheetId="64">F.11!$A$1:$F$20</definedName>
    <definedName name="_xlnm.Print_Area" localSheetId="53">'F.2.1'!$A$1:$F$40</definedName>
    <definedName name="_xlnm.Print_Area" localSheetId="54">'F.2.2'!$A$1:$J$28</definedName>
    <definedName name="_xlnm.Print_Area" localSheetId="55">'F.2.3'!$A$1:$J$37</definedName>
    <definedName name="_xlnm.Print_Area" localSheetId="56">F.3!$A$1:$J$78</definedName>
    <definedName name="_xlnm.Print_Area" localSheetId="57">F.4!$A$1:$K$32</definedName>
    <definedName name="_xlnm.Print_Area" localSheetId="58">F.5!$A$1:$I$39</definedName>
    <definedName name="_xlnm.Print_Area" localSheetId="59">F.6!$A$1:$T$64</definedName>
    <definedName name="_xlnm.Print_Area" localSheetId="60">F.7!$A$1:$I$51</definedName>
    <definedName name="_xlnm.Print_Area" localSheetId="61">F.8!$A$1:$I$28</definedName>
    <definedName name="_xlnm.Print_Area" localSheetId="62">F.9!$A$1:$G$24</definedName>
    <definedName name="_xlnm.Print_Area" localSheetId="65">G.1!$A$1:$L$32</definedName>
    <definedName name="_xlnm.Print_Area" localSheetId="66">G.2!$A$1:$P$51</definedName>
    <definedName name="_xlnm.Print_Area" localSheetId="67">G.3!$A$1:$L$46</definedName>
    <definedName name="_xlnm.Print_Area" localSheetId="68">H.1!$A$1:$E$36</definedName>
    <definedName name="_xlnm.Print_Area" localSheetId="69">I.1!$A$1:$P$48</definedName>
    <definedName name="_xlnm.Print_Area" localSheetId="70">I.2!$A$1:$S$39</definedName>
    <definedName name="_xlnm.Print_Area" localSheetId="71">I.3!$A$1:$S$44</definedName>
    <definedName name="_xlnm.Print_Area" localSheetId="73">J.1!$A$1:$V$54</definedName>
    <definedName name="_xlnm.Print_Area" localSheetId="72">'J-1 Base'!$A$1:$M$27</definedName>
    <definedName name="_xlnm.Print_Area" localSheetId="77">'J-1 F'!$A$1:$M$28</definedName>
    <definedName name="_xlnm.Print_Area" localSheetId="74">'J-2 B'!$A$1:$L$29</definedName>
    <definedName name="_xlnm.Print_Area" localSheetId="78">'J-2 F'!$A$1:$L$28</definedName>
    <definedName name="_xlnm.Print_Area" localSheetId="75">'J-3 B'!$A$1:$K$34</definedName>
    <definedName name="_xlnm.Print_Area" localSheetId="79">'J-3 F'!$A$1:$K$33</definedName>
    <definedName name="_xlnm.Print_Area" localSheetId="76">'J-4'!$A$1:$S$16</definedName>
    <definedName name="_xlnm.Print_Area" localSheetId="80">K!$A$1:$R$135</definedName>
    <definedName name="_xlnm.Print_Area" localSheetId="22">'WP B.4.1B'!$A$1:$P$53</definedName>
    <definedName name="_xlnm.Print_Area" localSheetId="23">'WP B.4.1F'!$A$1:$P$53</definedName>
    <definedName name="_xlnm.Print_Area" localSheetId="24">'WP B.5 B'!$A$1:$Q$49</definedName>
    <definedName name="_xlnm.Print_Area" localSheetId="25">'WP B.5 F'!$A$1:$Q$49</definedName>
    <definedName name="_xlnm.Print_Area" localSheetId="26">'WP B.5 F1'!$A$1:$E$34</definedName>
    <definedName name="_xlnm.Print_Area" localSheetId="27">'WP B.6 B'!$A$1:$Q$23</definedName>
    <definedName name="_xlnm.Print_Area" localSheetId="28">'WP B.6 F'!$A$1:$Q$23</definedName>
    <definedName name="Print_Area_MI">A.1!$A$1:$K$38</definedName>
    <definedName name="_xlnm.Print_Titles" localSheetId="5">'B.1 B'!$1:$8</definedName>
    <definedName name="_xlnm.Print_Titles" localSheetId="7">'B.2 B'!$1:$13</definedName>
    <definedName name="_xlnm.Print_Titles" localSheetId="8">'B.2 F'!$1:$13</definedName>
    <definedName name="_xlnm.Print_Titles" localSheetId="9">'B.3 B'!$1:$12</definedName>
    <definedName name="_xlnm.Print_Titles" localSheetId="10">'B.3 F'!$1:$12</definedName>
    <definedName name="_xlnm.Print_Titles" localSheetId="11">'B.3.1 F'!$1:$12</definedName>
    <definedName name="_xlnm.Print_Titles" localSheetId="18">'B.5 B'!$1:$11</definedName>
    <definedName name="_xlnm.Print_Titles" localSheetId="19">'B.5 F'!$1:$11</definedName>
    <definedName name="_xlnm.Print_Titles" localSheetId="20">'B.6 B'!$1:$11</definedName>
    <definedName name="_xlnm.Print_Titles" localSheetId="21">'B.6 F'!$1:$11</definedName>
    <definedName name="_xlnm.Print_Titles" localSheetId="32">'C.2.1 B'!$1:$12</definedName>
    <definedName name="_xlnm.Print_Titles" localSheetId="33">'C.2.1 F'!$1:$12</definedName>
    <definedName name="_xlnm.Print_Titles" localSheetId="35">'C.2.2 B 02'!$1:$11</definedName>
    <definedName name="_xlnm.Print_Titles" localSheetId="34">'C.2.2 B 09'!$1:$11</definedName>
    <definedName name="_xlnm.Print_Titles" localSheetId="36">'C.2.2 B 12'!$1:$11</definedName>
    <definedName name="_xlnm.Print_Titles" localSheetId="37">'C.2.2 B 91'!$1:$11</definedName>
    <definedName name="_xlnm.Print_Titles" localSheetId="39">'C.2.2-F 02'!$1:$11</definedName>
    <definedName name="_xlnm.Print_Titles" localSheetId="38">'C.2.2-F 09'!$1:$11</definedName>
    <definedName name="_xlnm.Print_Titles" localSheetId="40">'C.2.2-F 12'!$1:$11</definedName>
    <definedName name="_xlnm.Print_Titles" localSheetId="41">'C.2.2-F 91'!$1:$11</definedName>
    <definedName name="_xlnm.Print_Titles" localSheetId="42">'C.2.3 B'!$1:$10</definedName>
    <definedName name="_xlnm.Print_Titles" localSheetId="43">'C.2.3 F'!$1:$10</definedName>
    <definedName name="_xlnm.Print_Titles" localSheetId="45">D.1!$1:$9</definedName>
    <definedName name="_xlnm.Print_Titles" localSheetId="52">F.1!$1:$11</definedName>
    <definedName name="_xlnm.Print_Titles" localSheetId="80">K!$1:$13</definedName>
    <definedName name="_xlnm.Print_Titles" localSheetId="24">'WP B.5 B'!$1:$11</definedName>
    <definedName name="_xlnm.Print_Titles" localSheetId="25">'WP B.5 F'!$1:$11</definedName>
    <definedName name="_xlnm.Print_Titles" localSheetId="27">'WP B.6 B'!$1:$11</definedName>
    <definedName name="_xlnm.Print_Titles" localSheetId="28">'WP B.6 F'!$1:$11</definedName>
    <definedName name="ROR" localSheetId="63">#REF!</definedName>
    <definedName name="ROR" localSheetId="62">#REF!</definedName>
    <definedName name="ROR">#REF!</definedName>
    <definedName name="SCHEDA">A.1!$A$1:$K$38</definedName>
    <definedName name="stdrate" localSheetId="63">#REF!</definedName>
    <definedName name="stdrate" localSheetId="62">#REF!</definedName>
    <definedName name="stdrate">#REF!</definedName>
  </definedNames>
  <calcPr calcId="152511"/>
</workbook>
</file>

<file path=xl/calcChain.xml><?xml version="1.0" encoding="utf-8"?>
<calcChain xmlns="http://schemas.openxmlformats.org/spreadsheetml/2006/main">
  <c r="F177" i="236" l="1"/>
  <c r="G206" i="236"/>
  <c r="J67" i="171" l="1"/>
  <c r="K52" i="171"/>
  <c r="M52" i="171"/>
  <c r="I52" i="171"/>
  <c r="I47" i="171"/>
  <c r="J52" i="171"/>
  <c r="L52" i="171"/>
  <c r="N52" i="171"/>
  <c r="J39" i="171"/>
  <c r="K39" i="171"/>
  <c r="L39" i="171"/>
  <c r="M39" i="171"/>
  <c r="N39" i="171"/>
  <c r="K67" i="171"/>
  <c r="L67" i="171"/>
  <c r="M67" i="171"/>
  <c r="N67" i="171"/>
  <c r="I67" i="171"/>
  <c r="I39" i="171"/>
  <c r="K14" i="46" l="1"/>
  <c r="I19" i="8"/>
  <c r="Q13" i="230" l="1"/>
  <c r="Q15" i="230"/>
  <c r="Q17" i="230"/>
  <c r="A170" i="248" l="1"/>
  <c r="A171" i="248"/>
  <c r="A172" i="248" s="1"/>
  <c r="A173" i="248" s="1"/>
  <c r="A174" i="248" s="1"/>
  <c r="A175" i="248" s="1"/>
  <c r="A176" i="248" s="1"/>
  <c r="A177" i="248" s="1"/>
  <c r="A178" i="248" s="1"/>
  <c r="A179" i="248" s="1"/>
  <c r="K23" i="192" l="1"/>
  <c r="L23" i="192"/>
  <c r="M23" i="192"/>
  <c r="N23" i="192"/>
  <c r="O23" i="192"/>
  <c r="K36" i="192"/>
  <c r="L36" i="192"/>
  <c r="M36" i="192"/>
  <c r="N36" i="192"/>
  <c r="O36" i="192"/>
  <c r="K56" i="192"/>
  <c r="K57" i="192" s="1"/>
  <c r="L56" i="192"/>
  <c r="L57" i="192" s="1"/>
  <c r="M56" i="192"/>
  <c r="M57" i="192" s="1"/>
  <c r="N56" i="192"/>
  <c r="N57" i="192" s="1"/>
  <c r="O56" i="192"/>
  <c r="O57" i="192" s="1"/>
  <c r="J56" i="192"/>
  <c r="J57" i="192" s="1"/>
  <c r="P38" i="192"/>
  <c r="J36" i="192"/>
  <c r="J23" i="192"/>
  <c r="K16" i="193"/>
  <c r="L16" i="193"/>
  <c r="M16" i="193"/>
  <c r="N16" i="193"/>
  <c r="O16" i="193"/>
  <c r="K33" i="193"/>
  <c r="K34" i="193" s="1"/>
  <c r="L33" i="193"/>
  <c r="L34" i="193" s="1"/>
  <c r="M33" i="193"/>
  <c r="M34" i="193" s="1"/>
  <c r="N33" i="193"/>
  <c r="N34" i="193" s="1"/>
  <c r="O33" i="193"/>
  <c r="O34" i="193" s="1"/>
  <c r="J33" i="193"/>
  <c r="J34" i="193" s="1"/>
  <c r="J16" i="193"/>
  <c r="K21" i="190"/>
  <c r="L21" i="190"/>
  <c r="M21" i="190"/>
  <c r="N21" i="190"/>
  <c r="O21" i="190"/>
  <c r="K25" i="190"/>
  <c r="L25" i="190"/>
  <c r="M25" i="190"/>
  <c r="N25" i="190"/>
  <c r="O25" i="190"/>
  <c r="K28" i="190"/>
  <c r="M28" i="190"/>
  <c r="N28" i="190"/>
  <c r="O28" i="190"/>
  <c r="K44" i="190"/>
  <c r="K45" i="190" s="1"/>
  <c r="L44" i="190"/>
  <c r="L45" i="190" s="1"/>
  <c r="M44" i="190"/>
  <c r="M45" i="190" s="1"/>
  <c r="N44" i="190"/>
  <c r="N45" i="190" s="1"/>
  <c r="O44" i="190"/>
  <c r="O45" i="190" s="1"/>
  <c r="J44" i="190"/>
  <c r="J45" i="190" s="1"/>
  <c r="J28" i="190"/>
  <c r="J25" i="190"/>
  <c r="J21" i="190"/>
  <c r="P22" i="190" l="1"/>
  <c r="P27" i="193"/>
  <c r="K28" i="44"/>
  <c r="M28" i="44"/>
  <c r="N28" i="44"/>
  <c r="O28" i="44"/>
  <c r="K29" i="44"/>
  <c r="M29" i="44"/>
  <c r="N29" i="44"/>
  <c r="O29" i="44"/>
  <c r="K30" i="44"/>
  <c r="L30" i="44"/>
  <c r="M30" i="44"/>
  <c r="N30" i="44"/>
  <c r="O30" i="44"/>
  <c r="K31" i="44"/>
  <c r="L31" i="44"/>
  <c r="M31" i="44"/>
  <c r="N31" i="44"/>
  <c r="O31" i="44"/>
  <c r="K32" i="44"/>
  <c r="L32" i="44"/>
  <c r="M32" i="44"/>
  <c r="N32" i="44"/>
  <c r="O32" i="44"/>
  <c r="K47" i="44"/>
  <c r="L47" i="44"/>
  <c r="M47" i="44"/>
  <c r="N47" i="44"/>
  <c r="O47" i="44"/>
  <c r="K54" i="44"/>
  <c r="L54" i="44"/>
  <c r="M54" i="44"/>
  <c r="N54" i="44"/>
  <c r="O54" i="44"/>
  <c r="K59" i="44"/>
  <c r="L59" i="44"/>
  <c r="M59" i="44"/>
  <c r="N59" i="44"/>
  <c r="O59" i="44"/>
  <c r="K60" i="44"/>
  <c r="L60" i="44"/>
  <c r="M60" i="44"/>
  <c r="N60" i="44"/>
  <c r="O60" i="44"/>
  <c r="K62" i="44"/>
  <c r="L62" i="44"/>
  <c r="M62" i="44"/>
  <c r="N62" i="44"/>
  <c r="O62" i="44"/>
  <c r="K63" i="44"/>
  <c r="L63" i="44"/>
  <c r="M63" i="44"/>
  <c r="N63" i="44"/>
  <c r="O63" i="44"/>
  <c r="K68" i="44"/>
  <c r="L68" i="44"/>
  <c r="M68" i="44"/>
  <c r="N68" i="44"/>
  <c r="O68" i="44"/>
  <c r="K73" i="44"/>
  <c r="L73" i="44"/>
  <c r="M73" i="44"/>
  <c r="N73" i="44"/>
  <c r="O73" i="44"/>
  <c r="K91" i="44"/>
  <c r="L91" i="44"/>
  <c r="M91" i="44"/>
  <c r="N91" i="44"/>
  <c r="O91" i="44"/>
  <c r="J91" i="44"/>
  <c r="J73" i="44"/>
  <c r="J68" i="44"/>
  <c r="J63" i="44"/>
  <c r="J62" i="44"/>
  <c r="J60" i="44"/>
  <c r="J59" i="44"/>
  <c r="J54" i="44"/>
  <c r="J47" i="44"/>
  <c r="J29" i="44"/>
  <c r="J30" i="44"/>
  <c r="J31" i="44"/>
  <c r="J32" i="44"/>
  <c r="J28" i="44"/>
  <c r="H12" i="44" l="1"/>
  <c r="K226" i="236" l="1"/>
  <c r="K118" i="236"/>
  <c r="K86" i="236"/>
  <c r="K60" i="236"/>
  <c r="K47" i="236"/>
  <c r="K179" i="236"/>
  <c r="K153" i="236"/>
  <c r="K128" i="236"/>
  <c r="K26" i="236"/>
  <c r="K19" i="236"/>
  <c r="K181" i="236" l="1"/>
  <c r="K120" i="236"/>
  <c r="L19" i="202" l="1"/>
  <c r="E25" i="212" l="1"/>
  <c r="E21" i="84"/>
  <c r="K38" i="42" l="1"/>
  <c r="A4" i="233" l="1"/>
  <c r="A30" i="222" l="1"/>
  <c r="A31" i="222" s="1"/>
  <c r="A32" i="222" s="1"/>
  <c r="A33" i="222" s="1"/>
  <c r="A34" i="222" s="1"/>
  <c r="A35" i="222" s="1"/>
  <c r="A36" i="222" s="1"/>
  <c r="A37" i="222" s="1"/>
  <c r="A38" i="222" s="1"/>
  <c r="A39" i="222" s="1"/>
  <c r="A40" i="222" s="1"/>
  <c r="A41" i="222" s="1"/>
  <c r="A42" i="222" s="1"/>
  <c r="A43" i="222" s="1"/>
  <c r="A44" i="222" s="1"/>
  <c r="A45" i="222" s="1"/>
  <c r="A46" i="222" s="1"/>
  <c r="A47" i="222" s="1"/>
  <c r="A48" i="222" s="1"/>
  <c r="A49" i="222" s="1"/>
  <c r="A50" i="222" s="1"/>
  <c r="A51" i="222" s="1"/>
  <c r="A52" i="222" s="1"/>
  <c r="A53" i="222" s="1"/>
  <c r="A54" i="222" s="1"/>
  <c r="A55" i="222" s="1"/>
  <c r="A56" i="222" s="1"/>
  <c r="A57" i="222" s="1"/>
  <c r="A58" i="222" s="1"/>
  <c r="A59" i="222" s="1"/>
  <c r="A60" i="222" s="1"/>
  <c r="A61" i="222" s="1"/>
  <c r="A62" i="222" s="1"/>
  <c r="A63" i="222" s="1"/>
  <c r="A64" i="222" s="1"/>
  <c r="A65" i="222" s="1"/>
  <c r="A66" i="222" s="1"/>
  <c r="A67" i="222" s="1"/>
  <c r="A68" i="222" s="1"/>
  <c r="A69" i="222" s="1"/>
  <c r="A70" i="222" s="1"/>
  <c r="A71" i="222" s="1"/>
  <c r="A72" i="222" s="1"/>
  <c r="A73" i="222" s="1"/>
  <c r="A74" i="222" s="1"/>
  <c r="A75" i="222" s="1"/>
  <c r="A76" i="222" s="1"/>
  <c r="A77" i="222" s="1"/>
  <c r="A78" i="222" s="1"/>
  <c r="A79" i="222" s="1"/>
  <c r="A80" i="222" s="1"/>
  <c r="A81" i="222" s="1"/>
  <c r="A82" i="222" s="1"/>
  <c r="A83" i="222" s="1"/>
  <c r="A84" i="222" s="1"/>
  <c r="A85" i="222" s="1"/>
  <c r="A86" i="222" s="1"/>
  <c r="A87" i="222" s="1"/>
  <c r="A88" i="222" s="1"/>
  <c r="A89" i="222" s="1"/>
  <c r="A90" i="222" s="1"/>
  <c r="A91" i="222" s="1"/>
  <c r="A92" i="222" s="1"/>
  <c r="A93" i="222" s="1"/>
  <c r="A94" i="222" s="1"/>
  <c r="A95" i="222" s="1"/>
  <c r="A96" i="222" s="1"/>
  <c r="A97" i="222" s="1"/>
  <c r="A98" i="222" s="1"/>
  <c r="A99" i="222" s="1"/>
  <c r="A100" i="222" s="1"/>
  <c r="A101" i="222" s="1"/>
  <c r="A102" i="222" s="1"/>
  <c r="A103" i="222" s="1"/>
  <c r="A104" i="222" s="1"/>
  <c r="A105" i="222" s="1"/>
  <c r="A106" i="222" s="1"/>
  <c r="A107" i="222" s="1"/>
  <c r="A108" i="222" s="1"/>
  <c r="A109" i="222" s="1"/>
  <c r="A110" i="222" s="1"/>
  <c r="A111" i="222" s="1"/>
  <c r="A29" i="222"/>
  <c r="H223" i="209" l="1"/>
  <c r="H224" i="209"/>
  <c r="H225" i="209"/>
  <c r="E193" i="209"/>
  <c r="E194" i="209"/>
  <c r="E195" i="209"/>
  <c r="E196" i="209"/>
  <c r="E197" i="209"/>
  <c r="E198" i="209"/>
  <c r="E199" i="209"/>
  <c r="E200" i="209"/>
  <c r="E201" i="209"/>
  <c r="E202" i="209"/>
  <c r="E203" i="209"/>
  <c r="E204" i="209"/>
  <c r="E205" i="209"/>
  <c r="E206" i="209"/>
  <c r="E192" i="209"/>
  <c r="H9" i="69" l="1"/>
  <c r="H9" i="24"/>
  <c r="K9" i="215"/>
  <c r="K9" i="30"/>
  <c r="E8" i="67"/>
  <c r="H8" i="237"/>
  <c r="N8" i="209"/>
  <c r="N8" i="236"/>
  <c r="N8" i="213"/>
  <c r="E23" i="251" l="1"/>
  <c r="G32" i="1" s="1"/>
  <c r="Q17" i="106" l="1"/>
  <c r="Q18" i="106"/>
  <c r="Q19" i="106"/>
  <c r="Q20" i="106"/>
  <c r="Q21" i="106"/>
  <c r="Q22" i="106"/>
  <c r="Q23" i="106"/>
  <c r="Q24" i="106"/>
  <c r="Q25" i="106"/>
  <c r="Q16" i="106"/>
  <c r="M14" i="106"/>
  <c r="J38" i="106"/>
  <c r="I37" i="106"/>
  <c r="I38" i="106" s="1"/>
  <c r="I39" i="106" s="1"/>
  <c r="I40" i="106" s="1"/>
  <c r="I41" i="106" s="1"/>
  <c r="I42" i="106" s="1"/>
  <c r="I43" i="106" s="1"/>
  <c r="I44" i="106" s="1"/>
  <c r="I45" i="106" s="1"/>
  <c r="I46" i="106" s="1"/>
  <c r="I47" i="106" s="1"/>
  <c r="I48" i="106" s="1"/>
  <c r="I49" i="106" s="1"/>
  <c r="I50" i="106" s="1"/>
  <c r="I51" i="106" s="1"/>
  <c r="I52" i="106" s="1"/>
  <c r="I53" i="106" s="1"/>
  <c r="I54" i="106" s="1"/>
  <c r="J37" i="106"/>
  <c r="J39" i="106"/>
  <c r="J40" i="106"/>
  <c r="J41" i="106"/>
  <c r="J42" i="106"/>
  <c r="J43" i="106"/>
  <c r="J44" i="106"/>
  <c r="J45" i="106"/>
  <c r="J46" i="106"/>
  <c r="J47" i="106"/>
  <c r="J48" i="106"/>
  <c r="J49" i="106"/>
  <c r="J50" i="106"/>
  <c r="J51" i="106"/>
  <c r="J52" i="106"/>
  <c r="J53" i="106"/>
  <c r="J54" i="106"/>
  <c r="I16" i="106"/>
  <c r="I14" i="106"/>
  <c r="A178" i="45" l="1"/>
  <c r="A179" i="45"/>
  <c r="A180" i="45" s="1"/>
  <c r="A181" i="45" s="1"/>
  <c r="A182" i="45" s="1"/>
  <c r="A183" i="45" s="1"/>
  <c r="A177" i="45"/>
  <c r="F8" i="252" l="1"/>
  <c r="A2" i="252"/>
  <c r="A1" i="252"/>
  <c r="R26" i="106" l="1"/>
  <c r="Q15" i="106"/>
  <c r="R15" i="106"/>
  <c r="R16" i="106"/>
  <c r="R17" i="106"/>
  <c r="R18" i="106"/>
  <c r="R19" i="106"/>
  <c r="R20" i="106"/>
  <c r="R21" i="106"/>
  <c r="R22" i="106"/>
  <c r="R23" i="106"/>
  <c r="R24" i="106"/>
  <c r="R25" i="106"/>
  <c r="R14" i="106"/>
  <c r="Q14" i="106"/>
  <c r="J32" i="106"/>
  <c r="J33" i="106"/>
  <c r="J34" i="106"/>
  <c r="J35" i="106"/>
  <c r="J36" i="106"/>
  <c r="J31" i="106"/>
  <c r="J16" i="106"/>
  <c r="J17" i="106"/>
  <c r="J18" i="106"/>
  <c r="J19" i="106"/>
  <c r="J20" i="106"/>
  <c r="J21" i="106"/>
  <c r="J22" i="106"/>
  <c r="J23" i="106"/>
  <c r="J24" i="106"/>
  <c r="J25" i="106"/>
  <c r="J26" i="106"/>
  <c r="N14" i="106" l="1"/>
  <c r="D50" i="214" l="1"/>
  <c r="E50" i="214"/>
  <c r="F50" i="214"/>
  <c r="G50" i="214"/>
  <c r="H50" i="214"/>
  <c r="I50" i="214"/>
  <c r="J50" i="214"/>
  <c r="K50" i="214"/>
  <c r="L50" i="214"/>
  <c r="M50" i="214"/>
  <c r="N50" i="214"/>
  <c r="O50" i="214"/>
  <c r="C50" i="214"/>
  <c r="D48" i="214"/>
  <c r="E48" i="214"/>
  <c r="F48" i="214"/>
  <c r="G48" i="214"/>
  <c r="H48" i="214"/>
  <c r="I48" i="214"/>
  <c r="J48" i="214"/>
  <c r="K48" i="214"/>
  <c r="L48" i="214"/>
  <c r="M48" i="214"/>
  <c r="N48" i="214"/>
  <c r="O48" i="214"/>
  <c r="C48" i="214"/>
  <c r="D46" i="214"/>
  <c r="E46" i="214"/>
  <c r="F46" i="214"/>
  <c r="G46" i="214"/>
  <c r="H46" i="214"/>
  <c r="I46" i="214"/>
  <c r="J46" i="214"/>
  <c r="K46" i="214"/>
  <c r="L46" i="214"/>
  <c r="M46" i="214"/>
  <c r="N46" i="214"/>
  <c r="O46" i="214"/>
  <c r="C46" i="214"/>
  <c r="D44" i="214"/>
  <c r="E44" i="214"/>
  <c r="F44" i="214"/>
  <c r="G44" i="214"/>
  <c r="H44" i="214"/>
  <c r="I44" i="214"/>
  <c r="J44" i="214"/>
  <c r="K44" i="214"/>
  <c r="L44" i="214"/>
  <c r="M44" i="214"/>
  <c r="N44" i="214"/>
  <c r="O44" i="214"/>
  <c r="C44" i="214"/>
  <c r="A47" i="228" l="1"/>
  <c r="A48" i="228" s="1"/>
  <c r="A49" i="228" s="1"/>
  <c r="A50" i="228" s="1"/>
  <c r="A51" i="228" s="1"/>
  <c r="A52" i="228" s="1"/>
  <c r="A53" i="228" s="1"/>
  <c r="A54" i="228" s="1"/>
  <c r="A55" i="228" s="1"/>
  <c r="A27" i="226" l="1"/>
  <c r="A28" i="226" s="1"/>
  <c r="A29" i="226" s="1"/>
  <c r="A30" i="226" s="1"/>
  <c r="A31" i="226" s="1"/>
  <c r="A32" i="226" s="1"/>
  <c r="A33" i="226" s="1"/>
  <c r="A34" i="226" s="1"/>
  <c r="A35" i="226" s="1"/>
  <c r="A36" i="226" s="1"/>
  <c r="A37" i="226" s="1"/>
  <c r="A38" i="226" s="1"/>
  <c r="A39" i="226" s="1"/>
  <c r="A40" i="226" s="1"/>
  <c r="A41" i="226" s="1"/>
  <c r="A42" i="226" s="1"/>
  <c r="A26" i="226"/>
  <c r="P19" i="190" l="1"/>
  <c r="L56" i="209" l="1"/>
  <c r="M56" i="209"/>
  <c r="N56" i="209"/>
  <c r="G56" i="209"/>
  <c r="H56" i="209"/>
  <c r="F56" i="209"/>
  <c r="I56" i="209" s="1"/>
  <c r="F74" i="237"/>
  <c r="G74" i="237"/>
  <c r="F75" i="237"/>
  <c r="G75" i="237"/>
  <c r="A76" i="237"/>
  <c r="A77" i="237" s="1"/>
  <c r="A78" i="237" s="1"/>
  <c r="A79" i="237" s="1"/>
  <c r="A80" i="237" s="1"/>
  <c r="A81" i="237" s="1"/>
  <c r="A82" i="237" s="1"/>
  <c r="A83" i="237" s="1"/>
  <c r="A84" i="237" s="1"/>
  <c r="A85" i="237" s="1"/>
  <c r="A86" i="237" s="1"/>
  <c r="A87" i="237" s="1"/>
  <c r="A88" i="237" s="1"/>
  <c r="A89" i="237" s="1"/>
  <c r="A90" i="237" s="1"/>
  <c r="A91" i="237" s="1"/>
  <c r="A92" i="237" s="1"/>
  <c r="A93" i="237" s="1"/>
  <c r="A94" i="237" s="1"/>
  <c r="A95" i="237" s="1"/>
  <c r="A96" i="237" s="1"/>
  <c r="A97" i="237" s="1"/>
  <c r="A98" i="237" s="1"/>
  <c r="A99" i="237" s="1"/>
  <c r="A100" i="237" s="1"/>
  <c r="A101" i="237" s="1"/>
  <c r="A102" i="237" s="1"/>
  <c r="A103" i="237" s="1"/>
  <c r="A104" i="237" s="1"/>
  <c r="A105" i="237" s="1"/>
  <c r="A106" i="237" s="1"/>
  <c r="A107" i="237" s="1"/>
  <c r="A108" i="237" s="1"/>
  <c r="A109" i="237" s="1"/>
  <c r="A110" i="237" s="1"/>
  <c r="A111" i="237" s="1"/>
  <c r="A112" i="237" s="1"/>
  <c r="A113" i="237" s="1"/>
  <c r="A114" i="237" s="1"/>
  <c r="A115" i="237" s="1"/>
  <c r="A116" i="237" s="1"/>
  <c r="A117" i="237" s="1"/>
  <c r="A118" i="237" s="1"/>
  <c r="A119" i="237" s="1"/>
  <c r="A120" i="237" s="1"/>
  <c r="A121" i="237" s="1"/>
  <c r="A122" i="237" s="1"/>
  <c r="A123" i="237" s="1"/>
  <c r="A124" i="237" s="1"/>
  <c r="A125" i="237" s="1"/>
  <c r="A126" i="237" s="1"/>
  <c r="A127" i="237" s="1"/>
  <c r="A128" i="237" s="1"/>
  <c r="A129" i="237" s="1"/>
  <c r="A130" i="237" s="1"/>
  <c r="A131" i="237" s="1"/>
  <c r="A132" i="237" s="1"/>
  <c r="A133" i="237" s="1"/>
  <c r="A134" i="237" s="1"/>
  <c r="A135" i="237" s="1"/>
  <c r="A136" i="237" s="1"/>
  <c r="A137" i="237" s="1"/>
  <c r="A138" i="237" s="1"/>
  <c r="A139" i="237" s="1"/>
  <c r="A140" i="237" s="1"/>
  <c r="A141" i="237" s="1"/>
  <c r="A142" i="237" s="1"/>
  <c r="A143" i="237" s="1"/>
  <c r="A144" i="237" s="1"/>
  <c r="A145" i="237" s="1"/>
  <c r="A146" i="237" s="1"/>
  <c r="A147" i="237" s="1"/>
  <c r="A148" i="237" s="1"/>
  <c r="A149" i="237" s="1"/>
  <c r="A150" i="237" s="1"/>
  <c r="A151" i="237" s="1"/>
  <c r="A152" i="237" s="1"/>
  <c r="A153" i="237" s="1"/>
  <c r="A154" i="237" s="1"/>
  <c r="A155" i="237" s="1"/>
  <c r="A156" i="237" s="1"/>
  <c r="A157" i="237" s="1"/>
  <c r="A158" i="237" s="1"/>
  <c r="A159" i="237" s="1"/>
  <c r="A160" i="237" s="1"/>
  <c r="A161" i="237" s="1"/>
  <c r="A162" i="237" s="1"/>
  <c r="A163" i="237" s="1"/>
  <c r="A164" i="237" s="1"/>
  <c r="A165" i="237" s="1"/>
  <c r="A166" i="237" s="1"/>
  <c r="A167" i="237" s="1"/>
  <c r="A168" i="237" s="1"/>
  <c r="A169" i="237" s="1"/>
  <c r="A170" i="237" s="1"/>
  <c r="A171" i="237" s="1"/>
  <c r="A172" i="237" s="1"/>
  <c r="A173" i="237" s="1"/>
  <c r="A174" i="237" s="1"/>
  <c r="A175" i="237" s="1"/>
  <c r="A176" i="237" s="1"/>
  <c r="A177" i="237" s="1"/>
  <c r="A178" i="237" s="1"/>
  <c r="A179" i="237" s="1"/>
  <c r="A180" i="237" s="1"/>
  <c r="A181" i="237" s="1"/>
  <c r="A182" i="237" s="1"/>
  <c r="A183" i="237" s="1"/>
  <c r="A184" i="237" s="1"/>
  <c r="A185" i="237" s="1"/>
  <c r="A186" i="237" s="1"/>
  <c r="A187" i="237" s="1"/>
  <c r="A188" i="237" s="1"/>
  <c r="A189" i="237" s="1"/>
  <c r="A190" i="237" s="1"/>
  <c r="A191" i="237" s="1"/>
  <c r="A192" i="237" s="1"/>
  <c r="A193" i="237" s="1"/>
  <c r="A194" i="237" s="1"/>
  <c r="A195" i="237" s="1"/>
  <c r="A196" i="237" s="1"/>
  <c r="A197" i="237" s="1"/>
  <c r="A198" i="237" s="1"/>
  <c r="A199" i="237" s="1"/>
  <c r="A200" i="237" s="1"/>
  <c r="A201" i="237" s="1"/>
  <c r="A202" i="237" s="1"/>
  <c r="A203" i="237" s="1"/>
  <c r="A204" i="237" s="1"/>
  <c r="A205" i="237" s="1"/>
  <c r="A206" i="237" s="1"/>
  <c r="A207" i="237" s="1"/>
  <c r="A208" i="237" s="1"/>
  <c r="A209" i="237" s="1"/>
  <c r="A210" i="237" s="1"/>
  <c r="A211" i="237" s="1"/>
  <c r="A212" i="237" s="1"/>
  <c r="A213" i="237" s="1"/>
  <c r="A214" i="237" s="1"/>
  <c r="A215" i="237" s="1"/>
  <c r="A216" i="237" s="1"/>
  <c r="A217" i="237" s="1"/>
  <c r="A218" i="237" s="1"/>
  <c r="A219" i="237" s="1"/>
  <c r="A220" i="237" s="1"/>
  <c r="A221" i="237" s="1"/>
  <c r="A222" i="237" s="1"/>
  <c r="A223" i="237" s="1"/>
  <c r="A224" i="237" s="1"/>
  <c r="A225" i="237" s="1"/>
  <c r="A226" i="237" s="1"/>
  <c r="A227" i="237" s="1"/>
  <c r="A228" i="237" s="1"/>
  <c r="A229" i="237" s="1"/>
  <c r="A230" i="237" s="1"/>
  <c r="A231" i="237" s="1"/>
  <c r="A232" i="237" s="1"/>
  <c r="A233" i="237" s="1"/>
  <c r="A234" i="237" s="1"/>
  <c r="A235" i="237" s="1"/>
  <c r="A236" i="237" s="1"/>
  <c r="A237" i="237" s="1"/>
  <c r="A238" i="237" s="1"/>
  <c r="A239" i="237" s="1"/>
  <c r="A240" i="237" s="1"/>
  <c r="A241" i="237" s="1"/>
  <c r="A242" i="237" s="1"/>
  <c r="A243" i="237" s="1"/>
  <c r="A244" i="237" s="1"/>
  <c r="A245" i="237" s="1"/>
  <c r="A246" i="237" s="1"/>
  <c r="A247" i="237" s="1"/>
  <c r="A248" i="237" s="1"/>
  <c r="A249" i="237" s="1"/>
  <c r="A250" i="237" s="1"/>
  <c r="A251" i="237" s="1"/>
  <c r="A252" i="237" s="1"/>
  <c r="A253" i="237" s="1"/>
  <c r="A254" i="237" s="1"/>
  <c r="A255" i="237" s="1"/>
  <c r="A256" i="237" s="1"/>
  <c r="A257" i="237" s="1"/>
  <c r="A258" i="237" s="1"/>
  <c r="A259" i="237" s="1"/>
  <c r="A260" i="237" s="1"/>
  <c r="A261" i="237" s="1"/>
  <c r="A262" i="237" s="1"/>
  <c r="A263" i="237" s="1"/>
  <c r="A264" i="237" s="1"/>
  <c r="A74" i="237"/>
  <c r="A75" i="237" s="1"/>
  <c r="N74" i="209" l="1"/>
  <c r="L74" i="209"/>
  <c r="M74" i="209"/>
  <c r="N75" i="209"/>
  <c r="L75" i="209"/>
  <c r="M75" i="209"/>
  <c r="G74" i="209"/>
  <c r="H74" i="209"/>
  <c r="G75" i="209"/>
  <c r="H75" i="209"/>
  <c r="F74" i="209"/>
  <c r="I74" i="209" s="1"/>
  <c r="F75" i="209"/>
  <c r="I75" i="209" s="1"/>
  <c r="A76" i="209"/>
  <c r="A77" i="209" s="1"/>
  <c r="A78" i="209" s="1"/>
  <c r="A79" i="209" s="1"/>
  <c r="A80" i="209" s="1"/>
  <c r="A81" i="209" s="1"/>
  <c r="A82" i="209" s="1"/>
  <c r="A83" i="209" s="1"/>
  <c r="A84" i="209" s="1"/>
  <c r="A85" i="209" s="1"/>
  <c r="A86" i="209" s="1"/>
  <c r="A87" i="209" s="1"/>
  <c r="A88" i="209" s="1"/>
  <c r="A89" i="209" s="1"/>
  <c r="A90" i="209" s="1"/>
  <c r="A91" i="209" s="1"/>
  <c r="A92" i="209" s="1"/>
  <c r="A93" i="209" s="1"/>
  <c r="A94" i="209" s="1"/>
  <c r="A95" i="209" s="1"/>
  <c r="A96" i="209" s="1"/>
  <c r="A97" i="209" s="1"/>
  <c r="A98" i="209" s="1"/>
  <c r="A99" i="209" s="1"/>
  <c r="A100" i="209" s="1"/>
  <c r="A101" i="209" s="1"/>
  <c r="A102" i="209" s="1"/>
  <c r="A103" i="209" s="1"/>
  <c r="A104" i="209" s="1"/>
  <c r="A105" i="209" s="1"/>
  <c r="A106" i="209" s="1"/>
  <c r="A107" i="209" s="1"/>
  <c r="A108" i="209" s="1"/>
  <c r="A109" i="209" s="1"/>
  <c r="A110" i="209" s="1"/>
  <c r="A111" i="209" s="1"/>
  <c r="A112" i="209" s="1"/>
  <c r="A113" i="209" s="1"/>
  <c r="A114" i="209" s="1"/>
  <c r="A74" i="209"/>
  <c r="A75" i="209" s="1"/>
  <c r="A57" i="209"/>
  <c r="A58" i="209" s="1"/>
  <c r="A59" i="209" s="1"/>
  <c r="A60" i="209" s="1"/>
  <c r="A61" i="209" s="1"/>
  <c r="A62" i="209" s="1"/>
  <c r="A63" i="209" s="1"/>
  <c r="A64" i="209" s="1"/>
  <c r="A65" i="209" s="1"/>
  <c r="A66" i="209" s="1"/>
  <c r="A67" i="209" s="1"/>
  <c r="A68" i="209" s="1"/>
  <c r="A69" i="209" s="1"/>
  <c r="A70" i="209" s="1"/>
  <c r="A71" i="209" s="1"/>
  <c r="A72" i="209" s="1"/>
  <c r="A73" i="209" s="1"/>
  <c r="A56" i="209"/>
  <c r="N74" i="213"/>
  <c r="L74" i="213"/>
  <c r="M74" i="213"/>
  <c r="N75" i="213"/>
  <c r="L75" i="213"/>
  <c r="M75" i="213"/>
  <c r="G74" i="213"/>
  <c r="H74" i="213"/>
  <c r="G75" i="213"/>
  <c r="H75" i="213"/>
  <c r="F74" i="213"/>
  <c r="I74" i="213" s="1"/>
  <c r="F75" i="213"/>
  <c r="I75" i="213" s="1"/>
  <c r="N56" i="213"/>
  <c r="L56" i="213"/>
  <c r="M56" i="213"/>
  <c r="G56" i="213"/>
  <c r="H56" i="213"/>
  <c r="F56" i="213"/>
  <c r="I56" i="213" s="1"/>
  <c r="A76" i="213"/>
  <c r="A77" i="213" s="1"/>
  <c r="A78" i="213" s="1"/>
  <c r="A79" i="213" s="1"/>
  <c r="A80" i="213" s="1"/>
  <c r="A81" i="213" s="1"/>
  <c r="A82" i="213" s="1"/>
  <c r="A83" i="213" s="1"/>
  <c r="A84" i="213" s="1"/>
  <c r="A85" i="213" s="1"/>
  <c r="A86" i="213" s="1"/>
  <c r="A87" i="213" s="1"/>
  <c r="A88" i="213" s="1"/>
  <c r="A89" i="213" s="1"/>
  <c r="A90" i="213" s="1"/>
  <c r="A91" i="213" s="1"/>
  <c r="A92" i="213" s="1"/>
  <c r="A93" i="213" s="1"/>
  <c r="A94" i="213" s="1"/>
  <c r="A95" i="213" s="1"/>
  <c r="A96" i="213" s="1"/>
  <c r="A97" i="213" s="1"/>
  <c r="A98" i="213" s="1"/>
  <c r="A99" i="213" s="1"/>
  <c r="A100" i="213" s="1"/>
  <c r="A101" i="213" s="1"/>
  <c r="A102" i="213" s="1"/>
  <c r="A103" i="213" s="1"/>
  <c r="A104" i="213" s="1"/>
  <c r="A105" i="213" s="1"/>
  <c r="A106" i="213" s="1"/>
  <c r="A107" i="213" s="1"/>
  <c r="A108" i="213" s="1"/>
  <c r="A109" i="213" s="1"/>
  <c r="A110" i="213" s="1"/>
  <c r="A111" i="213" s="1"/>
  <c r="A112" i="213" s="1"/>
  <c r="A113" i="213" s="1"/>
  <c r="A114" i="213" s="1"/>
  <c r="A115" i="213" s="1"/>
  <c r="A116" i="213" s="1"/>
  <c r="A117" i="213" s="1"/>
  <c r="A118" i="213" s="1"/>
  <c r="A119" i="213" s="1"/>
  <c r="A120" i="213" s="1"/>
  <c r="A121" i="213" s="1"/>
  <c r="A122" i="213" s="1"/>
  <c r="A123" i="213" s="1"/>
  <c r="A124" i="213" s="1"/>
  <c r="A125" i="213" s="1"/>
  <c r="A126" i="213" s="1"/>
  <c r="A127" i="213" s="1"/>
  <c r="A128" i="213" s="1"/>
  <c r="A129" i="213" s="1"/>
  <c r="A130" i="213" s="1"/>
  <c r="A131" i="213" s="1"/>
  <c r="A132" i="213" s="1"/>
  <c r="A133" i="213" s="1"/>
  <c r="A134" i="213" s="1"/>
  <c r="A135" i="213" s="1"/>
  <c r="A136" i="213" s="1"/>
  <c r="A137" i="213" s="1"/>
  <c r="A138" i="213" s="1"/>
  <c r="A139" i="213" s="1"/>
  <c r="A140" i="213" s="1"/>
  <c r="A141" i="213" s="1"/>
  <c r="A142" i="213" s="1"/>
  <c r="A143" i="213" s="1"/>
  <c r="A144" i="213" s="1"/>
  <c r="A145" i="213" s="1"/>
  <c r="A146" i="213" s="1"/>
  <c r="A147" i="213" s="1"/>
  <c r="A148" i="213" s="1"/>
  <c r="A149" i="213" s="1"/>
  <c r="A150" i="213" s="1"/>
  <c r="A151" i="213" s="1"/>
  <c r="A152" i="213" s="1"/>
  <c r="A153" i="213" s="1"/>
  <c r="A154" i="213" s="1"/>
  <c r="A155" i="213" s="1"/>
  <c r="A156" i="213" s="1"/>
  <c r="A157" i="213" s="1"/>
  <c r="A158" i="213" s="1"/>
  <c r="A159" i="213" s="1"/>
  <c r="A160" i="213" s="1"/>
  <c r="A161" i="213" s="1"/>
  <c r="A162" i="213" s="1"/>
  <c r="A163" i="213" s="1"/>
  <c r="A164" i="213" s="1"/>
  <c r="A165" i="213" s="1"/>
  <c r="A166" i="213" s="1"/>
  <c r="A167" i="213" s="1"/>
  <c r="A168" i="213" s="1"/>
  <c r="A169" i="213" s="1"/>
  <c r="A170" i="213" s="1"/>
  <c r="A171" i="213" s="1"/>
  <c r="A172" i="213" s="1"/>
  <c r="A173" i="213" s="1"/>
  <c r="A174" i="213" s="1"/>
  <c r="A175" i="213" s="1"/>
  <c r="A176" i="213" s="1"/>
  <c r="A177" i="213" s="1"/>
  <c r="A178" i="213" s="1"/>
  <c r="A179" i="213" s="1"/>
  <c r="A180" i="213" s="1"/>
  <c r="A181" i="213" s="1"/>
  <c r="A182" i="213" s="1"/>
  <c r="A183" i="213" s="1"/>
  <c r="A184" i="213" s="1"/>
  <c r="A185" i="213" s="1"/>
  <c r="A186" i="213" s="1"/>
  <c r="A187" i="213" s="1"/>
  <c r="A188" i="213" s="1"/>
  <c r="A189" i="213" s="1"/>
  <c r="A190" i="213" s="1"/>
  <c r="A191" i="213" s="1"/>
  <c r="A192" i="213" s="1"/>
  <c r="A193" i="213" s="1"/>
  <c r="A194" i="213" s="1"/>
  <c r="A195" i="213" s="1"/>
  <c r="A196" i="213" s="1"/>
  <c r="A197" i="213" s="1"/>
  <c r="A198" i="213" s="1"/>
  <c r="A199" i="213" s="1"/>
  <c r="A200" i="213" s="1"/>
  <c r="A201" i="213" s="1"/>
  <c r="A202" i="213" s="1"/>
  <c r="A203" i="213" s="1"/>
  <c r="A204" i="213" s="1"/>
  <c r="A205" i="213" s="1"/>
  <c r="A206" i="213" s="1"/>
  <c r="A207" i="213" s="1"/>
  <c r="A208" i="213" s="1"/>
  <c r="A209" i="213" s="1"/>
  <c r="A210" i="213" s="1"/>
  <c r="A211" i="213" s="1"/>
  <c r="A212" i="213" s="1"/>
  <c r="A213" i="213" s="1"/>
  <c r="A214" i="213" s="1"/>
  <c r="A215" i="213" s="1"/>
  <c r="A216" i="213" s="1"/>
  <c r="A217" i="213" s="1"/>
  <c r="A218" i="213" s="1"/>
  <c r="A219" i="213" s="1"/>
  <c r="A220" i="213" s="1"/>
  <c r="A221" i="213" s="1"/>
  <c r="A222" i="213" s="1"/>
  <c r="A223" i="213" s="1"/>
  <c r="A224" i="213" s="1"/>
  <c r="A225" i="213" s="1"/>
  <c r="A226" i="213" s="1"/>
  <c r="A227" i="213" s="1"/>
  <c r="A228" i="213" s="1"/>
  <c r="A229" i="213" s="1"/>
  <c r="A230" i="213" s="1"/>
  <c r="A231" i="213" s="1"/>
  <c r="A232" i="213" s="1"/>
  <c r="A233" i="213" s="1"/>
  <c r="A234" i="213" s="1"/>
  <c r="A235" i="213" s="1"/>
  <c r="A236" i="213" s="1"/>
  <c r="A237" i="213" s="1"/>
  <c r="A238" i="213" s="1"/>
  <c r="A239" i="213" s="1"/>
  <c r="A240" i="213" s="1"/>
  <c r="A241" i="213" s="1"/>
  <c r="A242" i="213" s="1"/>
  <c r="A243" i="213" s="1"/>
  <c r="A244" i="213" s="1"/>
  <c r="A245" i="213" s="1"/>
  <c r="A246" i="213" s="1"/>
  <c r="A247" i="213" s="1"/>
  <c r="A248" i="213" s="1"/>
  <c r="A249" i="213" s="1"/>
  <c r="A250" i="213" s="1"/>
  <c r="A251" i="213" s="1"/>
  <c r="A252" i="213" s="1"/>
  <c r="A253" i="213" s="1"/>
  <c r="A254" i="213" s="1"/>
  <c r="A255" i="213" s="1"/>
  <c r="A256" i="213" s="1"/>
  <c r="A257" i="213" s="1"/>
  <c r="A258" i="213" s="1"/>
  <c r="A259" i="213" s="1"/>
  <c r="A260" i="213" s="1"/>
  <c r="A261" i="213" s="1"/>
  <c r="A262" i="213" s="1"/>
  <c r="A263" i="213" s="1"/>
  <c r="A264" i="213" s="1"/>
  <c r="A265" i="213" s="1"/>
  <c r="A266" i="213" s="1"/>
  <c r="A267" i="213" s="1"/>
  <c r="A268" i="213" s="1"/>
  <c r="A269" i="213" s="1"/>
  <c r="A270" i="213" s="1"/>
  <c r="A271" i="213" s="1"/>
  <c r="A272" i="213" s="1"/>
  <c r="A273" i="213" s="1"/>
  <c r="A74" i="213"/>
  <c r="A75" i="213" s="1"/>
  <c r="A57" i="213"/>
  <c r="A58" i="213"/>
  <c r="A59" i="213"/>
  <c r="A60" i="213"/>
  <c r="A61" i="213" s="1"/>
  <c r="A62" i="213" s="1"/>
  <c r="A63" i="213" s="1"/>
  <c r="A64" i="213" s="1"/>
  <c r="A65" i="213" s="1"/>
  <c r="A66" i="213" s="1"/>
  <c r="A67" i="213" s="1"/>
  <c r="A68" i="213" s="1"/>
  <c r="A69" i="213" s="1"/>
  <c r="A70" i="213" s="1"/>
  <c r="A71" i="213" s="1"/>
  <c r="A72" i="213" s="1"/>
  <c r="A73" i="213" s="1"/>
  <c r="A56" i="213"/>
  <c r="L74" i="236"/>
  <c r="M74" i="236"/>
  <c r="L75" i="236"/>
  <c r="M75" i="236"/>
  <c r="G74" i="236"/>
  <c r="H74" i="236"/>
  <c r="G75" i="236"/>
  <c r="H75" i="236"/>
  <c r="F74" i="236"/>
  <c r="I74" i="236" s="1"/>
  <c r="F75" i="236"/>
  <c r="L56" i="236"/>
  <c r="M56" i="236"/>
  <c r="G56" i="236"/>
  <c r="H56" i="236"/>
  <c r="F56" i="236"/>
  <c r="I56" i="236" s="1"/>
  <c r="A76" i="207"/>
  <c r="A77" i="207" s="1"/>
  <c r="A78" i="207" s="1"/>
  <c r="A79" i="207" s="1"/>
  <c r="A80" i="207" s="1"/>
  <c r="A81" i="207" s="1"/>
  <c r="A82" i="207" s="1"/>
  <c r="A83" i="207" s="1"/>
  <c r="A84" i="207" s="1"/>
  <c r="A85" i="207" s="1"/>
  <c r="A86" i="207" s="1"/>
  <c r="A87" i="207" s="1"/>
  <c r="A88" i="207" s="1"/>
  <c r="A89" i="207" s="1"/>
  <c r="A90" i="207" s="1"/>
  <c r="A91" i="207" s="1"/>
  <c r="A92" i="207" s="1"/>
  <c r="A93" i="207" s="1"/>
  <c r="A94" i="207" s="1"/>
  <c r="A95" i="207" s="1"/>
  <c r="A96" i="207" s="1"/>
  <c r="A97" i="207" s="1"/>
  <c r="A98" i="207" s="1"/>
  <c r="A99" i="207" s="1"/>
  <c r="A100" i="207" s="1"/>
  <c r="A101" i="207" s="1"/>
  <c r="A102" i="207" s="1"/>
  <c r="A103" i="207" s="1"/>
  <c r="A104" i="207" s="1"/>
  <c r="A105" i="207" s="1"/>
  <c r="A106" i="207" s="1"/>
  <c r="A107" i="207" s="1"/>
  <c r="A108" i="207" s="1"/>
  <c r="A109" i="207" s="1"/>
  <c r="A110" i="207" s="1"/>
  <c r="A111" i="207" s="1"/>
  <c r="A112" i="207" s="1"/>
  <c r="A113" i="207" s="1"/>
  <c r="A114" i="207" s="1"/>
  <c r="A115" i="207" s="1"/>
  <c r="A116" i="207" s="1"/>
  <c r="A117" i="207" s="1"/>
  <c r="A118" i="207" s="1"/>
  <c r="A119" i="207" s="1"/>
  <c r="A120" i="207" s="1"/>
  <c r="A121" i="207" s="1"/>
  <c r="A122" i="207" s="1"/>
  <c r="A123" i="207" s="1"/>
  <c r="A124" i="207" s="1"/>
  <c r="A125" i="207" s="1"/>
  <c r="A126" i="207" s="1"/>
  <c r="A127" i="207" s="1"/>
  <c r="A128" i="207" s="1"/>
  <c r="A129" i="207" s="1"/>
  <c r="A130" i="207" s="1"/>
  <c r="A131" i="207" s="1"/>
  <c r="A132" i="207" s="1"/>
  <c r="A133" i="207" s="1"/>
  <c r="A134" i="207" s="1"/>
  <c r="A135" i="207" s="1"/>
  <c r="A136" i="207" s="1"/>
  <c r="A137" i="207" s="1"/>
  <c r="A138" i="207" s="1"/>
  <c r="A139" i="207" s="1"/>
  <c r="A140" i="207" s="1"/>
  <c r="A141" i="207" s="1"/>
  <c r="A142" i="207" s="1"/>
  <c r="A143" i="207" s="1"/>
  <c r="A144" i="207" s="1"/>
  <c r="A145" i="207" s="1"/>
  <c r="A146" i="207" s="1"/>
  <c r="A147" i="207" s="1"/>
  <c r="A148" i="207" s="1"/>
  <c r="A149" i="207" s="1"/>
  <c r="A150" i="207" s="1"/>
  <c r="A151" i="207" s="1"/>
  <c r="A152" i="207" s="1"/>
  <c r="A153" i="207" s="1"/>
  <c r="A154" i="207" s="1"/>
  <c r="A155" i="207" s="1"/>
  <c r="A156" i="207" s="1"/>
  <c r="A157" i="207" s="1"/>
  <c r="A158" i="207" s="1"/>
  <c r="A159" i="207" s="1"/>
  <c r="A160" i="207" s="1"/>
  <c r="A161" i="207" s="1"/>
  <c r="A162" i="207" s="1"/>
  <c r="A163" i="207" s="1"/>
  <c r="A164" i="207" s="1"/>
  <c r="A165" i="207" s="1"/>
  <c r="A166" i="207" s="1"/>
  <c r="A167" i="207" s="1"/>
  <c r="A168" i="207" s="1"/>
  <c r="A169" i="207" s="1"/>
  <c r="A170" i="207" s="1"/>
  <c r="A171" i="207" s="1"/>
  <c r="A172" i="207" s="1"/>
  <c r="A173" i="207" s="1"/>
  <c r="A174" i="207" s="1"/>
  <c r="A175" i="207" s="1"/>
  <c r="A176" i="207" s="1"/>
  <c r="A177" i="207" s="1"/>
  <c r="A178" i="207" s="1"/>
  <c r="A179" i="207" s="1"/>
  <c r="A180" i="207" s="1"/>
  <c r="A181" i="207" s="1"/>
  <c r="A182" i="207" s="1"/>
  <c r="A183" i="207" s="1"/>
  <c r="A184" i="207" s="1"/>
  <c r="A185" i="207" s="1"/>
  <c r="A186" i="207" s="1"/>
  <c r="A187" i="207" s="1"/>
  <c r="A188" i="207" s="1"/>
  <c r="A189" i="207" s="1"/>
  <c r="A190" i="207" s="1"/>
  <c r="A191" i="207" s="1"/>
  <c r="A192" i="207" s="1"/>
  <c r="A193" i="207" s="1"/>
  <c r="A194" i="207" s="1"/>
  <c r="A195" i="207" s="1"/>
  <c r="A196" i="207" s="1"/>
  <c r="A197" i="207" s="1"/>
  <c r="A198" i="207" s="1"/>
  <c r="A199" i="207" s="1"/>
  <c r="A200" i="207" s="1"/>
  <c r="A201" i="207" s="1"/>
  <c r="A202" i="207" s="1"/>
  <c r="A203" i="207" s="1"/>
  <c r="A204" i="207" s="1"/>
  <c r="A205" i="207" s="1"/>
  <c r="A206" i="207" s="1"/>
  <c r="A207" i="207" s="1"/>
  <c r="A208" i="207" s="1"/>
  <c r="A209" i="207" s="1"/>
  <c r="A210" i="207" s="1"/>
  <c r="A211" i="207" s="1"/>
  <c r="A212" i="207" s="1"/>
  <c r="A213" i="207" s="1"/>
  <c r="A214" i="207" s="1"/>
  <c r="A215" i="207" s="1"/>
  <c r="A216" i="207" s="1"/>
  <c r="A217" i="207" s="1"/>
  <c r="A218" i="207" s="1"/>
  <c r="A219" i="207" s="1"/>
  <c r="A220" i="207" s="1"/>
  <c r="A221" i="207" s="1"/>
  <c r="A222" i="207" s="1"/>
  <c r="A223" i="207" s="1"/>
  <c r="A224" i="207" s="1"/>
  <c r="A225" i="207" s="1"/>
  <c r="A226" i="207" s="1"/>
  <c r="A227" i="207" s="1"/>
  <c r="A228" i="207" s="1"/>
  <c r="A229" i="207" s="1"/>
  <c r="A230" i="207" s="1"/>
  <c r="A231" i="207" s="1"/>
  <c r="A232" i="207" s="1"/>
  <c r="A233" i="207" s="1"/>
  <c r="A234" i="207" s="1"/>
  <c r="A235" i="207" s="1"/>
  <c r="A236" i="207" s="1"/>
  <c r="A237" i="207" s="1"/>
  <c r="A238" i="207" s="1"/>
  <c r="A239" i="207" s="1"/>
  <c r="A240" i="207" s="1"/>
  <c r="A241" i="207" s="1"/>
  <c r="A242" i="207" s="1"/>
  <c r="A243" i="207" s="1"/>
  <c r="A244" i="207" s="1"/>
  <c r="A245" i="207" s="1"/>
  <c r="A246" i="207" s="1"/>
  <c r="A247" i="207" s="1"/>
  <c r="A248" i="207" s="1"/>
  <c r="A249" i="207" s="1"/>
  <c r="A250" i="207" s="1"/>
  <c r="A251" i="207" s="1"/>
  <c r="A252" i="207" s="1"/>
  <c r="A253" i="207" s="1"/>
  <c r="A254" i="207" s="1"/>
  <c r="A255" i="207" s="1"/>
  <c r="A256" i="207" s="1"/>
  <c r="A257" i="207" s="1"/>
  <c r="A258" i="207" s="1"/>
  <c r="A259" i="207" s="1"/>
  <c r="A260" i="207" s="1"/>
  <c r="A261" i="207" s="1"/>
  <c r="A262" i="207" s="1"/>
  <c r="A263" i="207" s="1"/>
  <c r="A264" i="207" s="1"/>
  <c r="A265" i="207" s="1"/>
  <c r="A266" i="207" s="1"/>
  <c r="A267" i="207" s="1"/>
  <c r="A268" i="207" s="1"/>
  <c r="A74" i="207"/>
  <c r="A75" i="207" s="1"/>
  <c r="N74" i="207"/>
  <c r="L74" i="207"/>
  <c r="M74" i="207"/>
  <c r="N75" i="207"/>
  <c r="L75" i="207"/>
  <c r="M75" i="207"/>
  <c r="G74" i="207"/>
  <c r="H74" i="207"/>
  <c r="G75" i="207"/>
  <c r="H75" i="207"/>
  <c r="F75" i="207"/>
  <c r="I75" i="207" s="1"/>
  <c r="F74" i="207"/>
  <c r="I74" i="207" s="1"/>
  <c r="N56" i="207"/>
  <c r="L56" i="207"/>
  <c r="M56" i="207"/>
  <c r="F56" i="207"/>
  <c r="I56" i="207" s="1"/>
  <c r="G56" i="207"/>
  <c r="H56" i="207"/>
  <c r="N56" i="236" l="1"/>
  <c r="N74" i="236"/>
  <c r="I75" i="236"/>
  <c r="N75" i="236"/>
  <c r="A16" i="107" l="1"/>
  <c r="F16" i="107"/>
  <c r="F16" i="248" l="1"/>
  <c r="F77" i="248"/>
  <c r="F78" i="248"/>
  <c r="F164" i="248"/>
  <c r="F80" i="248"/>
  <c r="F81" i="248"/>
  <c r="F82" i="248"/>
  <c r="F84" i="248"/>
  <c r="F79" i="248" l="1"/>
  <c r="F163" i="248"/>
  <c r="F162" i="248"/>
  <c r="F165" i="248"/>
  <c r="F83" i="248"/>
  <c r="A63" i="44" l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3" i="44" s="1"/>
  <c r="A94" i="44" s="1"/>
  <c r="A95" i="44" s="1"/>
  <c r="A96" i="44" s="1"/>
  <c r="A97" i="44" s="1"/>
  <c r="A98" i="44" s="1"/>
  <c r="A99" i="44" s="1"/>
  <c r="A100" i="44" s="1"/>
  <c r="A101" i="44" s="1"/>
  <c r="A102" i="44" s="1"/>
  <c r="A103" i="44" s="1"/>
  <c r="A104" i="44" s="1"/>
  <c r="A105" i="44" s="1"/>
  <c r="A106" i="44" s="1"/>
  <c r="A107" i="44" s="1"/>
  <c r="A108" i="44" s="1"/>
  <c r="A109" i="44" s="1"/>
  <c r="A110" i="44" s="1"/>
  <c r="A111" i="44" s="1"/>
  <c r="A112" i="44" s="1"/>
  <c r="A62" i="44"/>
  <c r="A30" i="44"/>
  <c r="A31" i="44"/>
  <c r="A32" i="44"/>
  <c r="A33" i="44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29" i="44"/>
  <c r="E16" i="193"/>
  <c r="F16" i="193"/>
  <c r="G16" i="193"/>
  <c r="H16" i="193"/>
  <c r="I16" i="193"/>
  <c r="E18" i="193"/>
  <c r="F18" i="193"/>
  <c r="G18" i="193"/>
  <c r="H18" i="193"/>
  <c r="I18" i="193"/>
  <c r="D18" i="193"/>
  <c r="E21" i="192"/>
  <c r="F21" i="192"/>
  <c r="G21" i="192"/>
  <c r="H21" i="192"/>
  <c r="I21" i="192"/>
  <c r="E23" i="192"/>
  <c r="F23" i="192"/>
  <c r="G23" i="192"/>
  <c r="H23" i="192"/>
  <c r="I23" i="192"/>
  <c r="E31" i="192"/>
  <c r="F31" i="192"/>
  <c r="G31" i="192"/>
  <c r="H31" i="192"/>
  <c r="I31" i="192"/>
  <c r="E33" i="192"/>
  <c r="F33" i="192"/>
  <c r="G33" i="192"/>
  <c r="H33" i="192"/>
  <c r="I33" i="192"/>
  <c r="E36" i="192"/>
  <c r="F36" i="192"/>
  <c r="G36" i="192"/>
  <c r="H36" i="192"/>
  <c r="I36" i="192"/>
  <c r="E41" i="192"/>
  <c r="F41" i="192"/>
  <c r="G41" i="192"/>
  <c r="H41" i="192"/>
  <c r="I41" i="192"/>
  <c r="E65" i="192"/>
  <c r="E67" i="192" s="1"/>
  <c r="F65" i="192"/>
  <c r="F67" i="192" s="1"/>
  <c r="G65" i="192"/>
  <c r="G67" i="192" s="1"/>
  <c r="H65" i="192"/>
  <c r="H67" i="192" s="1"/>
  <c r="E52" i="192"/>
  <c r="F52" i="192"/>
  <c r="G52" i="192"/>
  <c r="H52" i="192"/>
  <c r="I52" i="192"/>
  <c r="D41" i="192"/>
  <c r="D36" i="192"/>
  <c r="D33" i="192"/>
  <c r="D31" i="192"/>
  <c r="D23" i="192"/>
  <c r="E28" i="44"/>
  <c r="F28" i="44"/>
  <c r="G28" i="44"/>
  <c r="H28" i="44"/>
  <c r="I28" i="44"/>
  <c r="E30" i="44"/>
  <c r="F30" i="44"/>
  <c r="G30" i="44"/>
  <c r="H30" i="44"/>
  <c r="I30" i="44"/>
  <c r="E31" i="44"/>
  <c r="F31" i="44"/>
  <c r="G31" i="44"/>
  <c r="H31" i="44"/>
  <c r="I31" i="44"/>
  <c r="E32" i="44"/>
  <c r="F32" i="44"/>
  <c r="G32" i="44"/>
  <c r="H32" i="44"/>
  <c r="I32" i="44"/>
  <c r="E47" i="44"/>
  <c r="F47" i="44"/>
  <c r="G47" i="44"/>
  <c r="H47" i="44"/>
  <c r="I47" i="44"/>
  <c r="E54" i="44"/>
  <c r="F54" i="44"/>
  <c r="G54" i="44"/>
  <c r="H54" i="44"/>
  <c r="I54" i="44"/>
  <c r="E58" i="44"/>
  <c r="F58" i="44"/>
  <c r="G58" i="44"/>
  <c r="H58" i="44"/>
  <c r="I58" i="44"/>
  <c r="E59" i="44"/>
  <c r="F59" i="44"/>
  <c r="G59" i="44"/>
  <c r="H59" i="44"/>
  <c r="I59" i="44"/>
  <c r="E60" i="44"/>
  <c r="F60" i="44"/>
  <c r="G60" i="44"/>
  <c r="H60" i="44"/>
  <c r="I60" i="44"/>
  <c r="E63" i="44"/>
  <c r="F63" i="44"/>
  <c r="G63" i="44"/>
  <c r="H63" i="44"/>
  <c r="I63" i="44"/>
  <c r="E68" i="44"/>
  <c r="F68" i="44"/>
  <c r="G68" i="44"/>
  <c r="H68" i="44"/>
  <c r="I68" i="44"/>
  <c r="E69" i="44"/>
  <c r="F69" i="44"/>
  <c r="G69" i="44"/>
  <c r="H69" i="44"/>
  <c r="I69" i="44"/>
  <c r="E73" i="44"/>
  <c r="F73" i="44"/>
  <c r="G73" i="44"/>
  <c r="H73" i="44"/>
  <c r="I73" i="44"/>
  <c r="E89" i="44"/>
  <c r="F89" i="44"/>
  <c r="G89" i="44"/>
  <c r="H89" i="44"/>
  <c r="I89" i="44"/>
  <c r="E91" i="44"/>
  <c r="F91" i="44"/>
  <c r="G91" i="44"/>
  <c r="H91" i="44"/>
  <c r="I91" i="44"/>
  <c r="E96" i="44"/>
  <c r="F96" i="44"/>
  <c r="G96" i="44"/>
  <c r="H96" i="44"/>
  <c r="I96" i="44"/>
  <c r="D91" i="44"/>
  <c r="D89" i="44"/>
  <c r="D69" i="44"/>
  <c r="E16" i="190"/>
  <c r="F16" i="190"/>
  <c r="G16" i="190"/>
  <c r="H16" i="190"/>
  <c r="I16" i="190"/>
  <c r="E21" i="190"/>
  <c r="F21" i="190"/>
  <c r="G21" i="190"/>
  <c r="H21" i="190"/>
  <c r="I21" i="190"/>
  <c r="E23" i="190"/>
  <c r="F23" i="190"/>
  <c r="G23" i="190"/>
  <c r="H23" i="190"/>
  <c r="I23" i="190"/>
  <c r="E25" i="190"/>
  <c r="F25" i="190"/>
  <c r="G25" i="190"/>
  <c r="H25" i="190"/>
  <c r="I25" i="190"/>
  <c r="E26" i="190"/>
  <c r="F26" i="190"/>
  <c r="G26" i="190"/>
  <c r="H26" i="190"/>
  <c r="I26" i="190"/>
  <c r="E28" i="190"/>
  <c r="F28" i="190"/>
  <c r="G28" i="190"/>
  <c r="H28" i="190"/>
  <c r="I28" i="190"/>
  <c r="E38" i="190"/>
  <c r="F38" i="190"/>
  <c r="G38" i="190"/>
  <c r="H38" i="190"/>
  <c r="I38" i="190"/>
  <c r="D38" i="190"/>
  <c r="D28" i="190"/>
  <c r="D26" i="190"/>
  <c r="D25" i="190"/>
  <c r="D23" i="190"/>
  <c r="D21" i="190"/>
  <c r="D16" i="190"/>
  <c r="P50" i="192" l="1"/>
  <c r="I65" i="192"/>
  <c r="I67" i="192" s="1"/>
  <c r="I56" i="192"/>
  <c r="D56" i="192"/>
  <c r="D65" i="192"/>
  <c r="D67" i="192" s="1"/>
  <c r="D42" i="190"/>
  <c r="P30" i="190"/>
  <c r="G123" i="44"/>
  <c r="G125" i="44" s="1"/>
  <c r="P24" i="190"/>
  <c r="F123" i="44"/>
  <c r="F125" i="44" s="1"/>
  <c r="P29" i="44"/>
  <c r="D30" i="45" s="1"/>
  <c r="I123" i="44"/>
  <c r="I125" i="44" s="1"/>
  <c r="E123" i="44"/>
  <c r="E125" i="44" s="1"/>
  <c r="H123" i="44"/>
  <c r="H125" i="44" s="1"/>
  <c r="P51" i="192"/>
  <c r="J43" i="35" l="1"/>
  <c r="J42" i="35"/>
  <c r="H43" i="35"/>
  <c r="H42" i="35"/>
  <c r="F43" i="35"/>
  <c r="F42" i="35"/>
  <c r="J36" i="35"/>
  <c r="J35" i="35"/>
  <c r="H36" i="35"/>
  <c r="H35" i="35"/>
  <c r="J26" i="35"/>
  <c r="J25" i="35"/>
  <c r="J24" i="35"/>
  <c r="H26" i="35"/>
  <c r="H25" i="35"/>
  <c r="H24" i="35"/>
  <c r="J17" i="35"/>
  <c r="H17" i="35"/>
  <c r="F17" i="35"/>
  <c r="J18" i="35"/>
  <c r="H18" i="35"/>
  <c r="F18" i="35"/>
  <c r="D50" i="35" l="1"/>
  <c r="H50" i="35"/>
  <c r="F50" i="35"/>
  <c r="H49" i="35"/>
  <c r="F49" i="35"/>
  <c r="D49" i="35"/>
  <c r="I46" i="35"/>
  <c r="G46" i="35"/>
  <c r="E46" i="35"/>
  <c r="C46" i="35"/>
  <c r="D43" i="35"/>
  <c r="D42" i="35"/>
  <c r="I39" i="35"/>
  <c r="G39" i="35"/>
  <c r="E39" i="35"/>
  <c r="C39" i="35"/>
  <c r="F36" i="35"/>
  <c r="D36" i="35"/>
  <c r="F35" i="35"/>
  <c r="D35" i="35"/>
  <c r="F30" i="35"/>
  <c r="D30" i="35"/>
  <c r="I28" i="35"/>
  <c r="G28" i="35"/>
  <c r="E28" i="35"/>
  <c r="C28" i="35"/>
  <c r="I26" i="35"/>
  <c r="I32" i="35" s="1"/>
  <c r="G26" i="35"/>
  <c r="F26" i="35" s="1"/>
  <c r="E26" i="35"/>
  <c r="E32" i="35" s="1"/>
  <c r="C26" i="35"/>
  <c r="C32" i="35" s="1"/>
  <c r="F25" i="35"/>
  <c r="D25" i="35"/>
  <c r="F24" i="35"/>
  <c r="D24" i="35"/>
  <c r="I21" i="35"/>
  <c r="G21" i="35"/>
  <c r="E21" i="35"/>
  <c r="C21" i="35"/>
  <c r="I19" i="35"/>
  <c r="G19" i="35"/>
  <c r="F19" i="35"/>
  <c r="E19" i="35"/>
  <c r="D19" i="35"/>
  <c r="C19" i="35"/>
  <c r="D18" i="35"/>
  <c r="D17" i="35"/>
  <c r="D26" i="35" l="1"/>
  <c r="G32" i="35"/>
  <c r="A19" i="99" l="1"/>
  <c r="A20" i="99" s="1"/>
  <c r="A21" i="99" s="1"/>
  <c r="A22" i="99" s="1"/>
  <c r="A23" i="99" s="1"/>
  <c r="A24" i="99" s="1"/>
  <c r="A25" i="99" s="1"/>
  <c r="A26" i="99" s="1"/>
  <c r="A27" i="99" s="1"/>
  <c r="A28" i="99" s="1"/>
  <c r="A29" i="99" s="1"/>
  <c r="A30" i="99" s="1"/>
  <c r="A31" i="99" s="1"/>
  <c r="A32" i="99" s="1"/>
  <c r="A33" i="99" s="1"/>
  <c r="H197" i="209" l="1"/>
  <c r="H204" i="209"/>
  <c r="H217" i="209"/>
  <c r="H219" i="209"/>
  <c r="H201" i="209"/>
  <c r="H206" i="209"/>
  <c r="H218" i="209"/>
  <c r="H221" i="209"/>
  <c r="H222" i="209"/>
  <c r="A4" i="251"/>
  <c r="A3" i="251"/>
  <c r="A2" i="251"/>
  <c r="A1" i="251"/>
  <c r="J16" i="5" l="1"/>
  <c r="D23" i="251" l="1"/>
  <c r="A16" i="34" l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H25" i="34"/>
  <c r="H23" i="34" l="1"/>
  <c r="L36" i="35"/>
  <c r="H30" i="35" l="1"/>
  <c r="L26" i="35"/>
  <c r="D96" i="44" l="1"/>
  <c r="F151" i="248" l="1"/>
  <c r="F152" i="248"/>
  <c r="F153" i="248"/>
  <c r="F154" i="248"/>
  <c r="F155" i="248"/>
  <c r="F156" i="248"/>
  <c r="F157" i="248"/>
  <c r="F158" i="248"/>
  <c r="F159" i="248"/>
  <c r="F160" i="248"/>
  <c r="F161" i="248"/>
  <c r="F66" i="248"/>
  <c r="F67" i="248"/>
  <c r="F68" i="248"/>
  <c r="F69" i="248"/>
  <c r="F70" i="248"/>
  <c r="F76" i="248"/>
  <c r="F94" i="248"/>
  <c r="A16" i="248"/>
  <c r="A17" i="248" s="1"/>
  <c r="A18" i="248" s="1"/>
  <c r="A19" i="248" s="1"/>
  <c r="A20" i="248" s="1"/>
  <c r="A21" i="248" s="1"/>
  <c r="A22" i="248" s="1"/>
  <c r="A23" i="248" s="1"/>
  <c r="A24" i="248" s="1"/>
  <c r="A25" i="248" s="1"/>
  <c r="A26" i="248" s="1"/>
  <c r="A27" i="248" s="1"/>
  <c r="A28" i="248" s="1"/>
  <c r="A29" i="248" s="1"/>
  <c r="A30" i="248" s="1"/>
  <c r="A31" i="248" s="1"/>
  <c r="A32" i="248" s="1"/>
  <c r="A33" i="248" s="1"/>
  <c r="A34" i="248" s="1"/>
  <c r="A35" i="248" s="1"/>
  <c r="A36" i="248" s="1"/>
  <c r="A37" i="248" s="1"/>
  <c r="A38" i="248" s="1"/>
  <c r="A39" i="248" s="1"/>
  <c r="A40" i="248" s="1"/>
  <c r="A41" i="248" s="1"/>
  <c r="A42" i="248" s="1"/>
  <c r="A43" i="248" s="1"/>
  <c r="A44" i="248" s="1"/>
  <c r="A45" i="248" s="1"/>
  <c r="A46" i="248" s="1"/>
  <c r="A47" i="248" s="1"/>
  <c r="A48" i="248" s="1"/>
  <c r="A49" i="248" s="1"/>
  <c r="A50" i="248" s="1"/>
  <c r="A51" i="248" s="1"/>
  <c r="A52" i="248" s="1"/>
  <c r="A53" i="248" s="1"/>
  <c r="A54" i="248" s="1"/>
  <c r="A55" i="248" s="1"/>
  <c r="A56" i="248" s="1"/>
  <c r="A57" i="248" s="1"/>
  <c r="A58" i="248" s="1"/>
  <c r="A59" i="248" s="1"/>
  <c r="A60" i="248" s="1"/>
  <c r="A61" i="248" s="1"/>
  <c r="A62" i="248" s="1"/>
  <c r="A63" i="248" s="1"/>
  <c r="A64" i="248" s="1"/>
  <c r="A65" i="248" s="1"/>
  <c r="A66" i="248" s="1"/>
  <c r="A67" i="248" s="1"/>
  <c r="A68" i="248" s="1"/>
  <c r="A69" i="248" s="1"/>
  <c r="A70" i="248" s="1"/>
  <c r="A71" i="248" s="1"/>
  <c r="A72" i="248" s="1"/>
  <c r="A73" i="248" s="1"/>
  <c r="A74" i="248" s="1"/>
  <c r="A75" i="248" s="1"/>
  <c r="A76" i="248" s="1"/>
  <c r="A77" i="248" s="1"/>
  <c r="A78" i="248" s="1"/>
  <c r="A79" i="248" s="1"/>
  <c r="A80" i="248" s="1"/>
  <c r="A81" i="248" s="1"/>
  <c r="A82" i="248" s="1"/>
  <c r="A83" i="248" s="1"/>
  <c r="A84" i="248" s="1"/>
  <c r="A85" i="248" s="1"/>
  <c r="A86" i="248" s="1"/>
  <c r="A87" i="248" s="1"/>
  <c r="A88" i="248" s="1"/>
  <c r="A89" i="248" s="1"/>
  <c r="A90" i="248" s="1"/>
  <c r="A91" i="248" s="1"/>
  <c r="A92" i="248" s="1"/>
  <c r="A93" i="248" s="1"/>
  <c r="A94" i="248" s="1"/>
  <c r="D73" i="44" l="1"/>
  <c r="D68" i="44"/>
  <c r="D63" i="44"/>
  <c r="D60" i="44"/>
  <c r="D59" i="44"/>
  <c r="D58" i="44"/>
  <c r="D54" i="44"/>
  <c r="D47" i="44"/>
  <c r="D123" i="44" s="1"/>
  <c r="D125" i="44" s="1"/>
  <c r="D32" i="44"/>
  <c r="D31" i="44"/>
  <c r="D30" i="44"/>
  <c r="D28" i="44"/>
  <c r="E12" i="44"/>
  <c r="F12" i="44"/>
  <c r="G12" i="44"/>
  <c r="I12" i="44"/>
  <c r="D12" i="44"/>
  <c r="D52" i="192"/>
  <c r="D21" i="192"/>
  <c r="D16" i="193"/>
  <c r="P23" i="192" l="1"/>
  <c r="P36" i="192"/>
  <c r="P37" i="192"/>
  <c r="P16" i="190"/>
  <c r="P25" i="190"/>
  <c r="D113" i="44"/>
  <c r="J36" i="42"/>
  <c r="H86" i="10" l="1"/>
  <c r="H85" i="10"/>
  <c r="J35" i="42" l="1"/>
  <c r="H38" i="42"/>
  <c r="F38" i="42"/>
  <c r="E38" i="42"/>
  <c r="D38" i="42"/>
  <c r="G38" i="42" l="1"/>
  <c r="J34" i="42"/>
  <c r="I25" i="8"/>
  <c r="E26" i="8" l="1"/>
  <c r="I24" i="8"/>
  <c r="E34" i="8" l="1"/>
  <c r="H41" i="10" s="1"/>
  <c r="K46" i="35" l="1"/>
  <c r="K39" i="35"/>
  <c r="J30" i="35"/>
  <c r="K28" i="35"/>
  <c r="K26" i="35"/>
  <c r="K32" i="35" s="1"/>
  <c r="K21" i="35"/>
  <c r="K19" i="35"/>
  <c r="G222" i="237" l="1"/>
  <c r="G223" i="237"/>
  <c r="G221" i="237"/>
  <c r="H222" i="236"/>
  <c r="H223" i="236"/>
  <c r="H221" i="236"/>
  <c r="H222" i="207"/>
  <c r="H223" i="207"/>
  <c r="H221" i="207"/>
  <c r="H222" i="213"/>
  <c r="H223" i="213"/>
  <c r="H221" i="213"/>
  <c r="H189" i="207" l="1"/>
  <c r="H190" i="207" s="1"/>
  <c r="G202" i="237" l="1"/>
  <c r="H190" i="236"/>
  <c r="H192" i="209"/>
  <c r="M192" i="209" s="1"/>
  <c r="M221" i="209"/>
  <c r="G216" i="237"/>
  <c r="H195" i="207"/>
  <c r="M217" i="209"/>
  <c r="M197" i="209"/>
  <c r="M225" i="209"/>
  <c r="I22" i="212"/>
  <c r="G220" i="237"/>
  <c r="G215" i="237"/>
  <c r="G195" i="237"/>
  <c r="M204" i="209"/>
  <c r="H191" i="209"/>
  <c r="M191" i="209" s="1"/>
  <c r="H189" i="236"/>
  <c r="H189" i="213"/>
  <c r="G219" i="237"/>
  <c r="G204" i="237"/>
  <c r="G190" i="237"/>
  <c r="M223" i="209"/>
  <c r="M218" i="209"/>
  <c r="M201" i="209"/>
  <c r="G217" i="237"/>
  <c r="G189" i="237"/>
  <c r="M222" i="209"/>
  <c r="M206" i="209"/>
  <c r="G199" i="237"/>
  <c r="F163" i="237"/>
  <c r="F164" i="237"/>
  <c r="F165" i="237"/>
  <c r="F166" i="237"/>
  <c r="F167" i="237"/>
  <c r="F168" i="237"/>
  <c r="L234" i="209"/>
  <c r="L237" i="209"/>
  <c r="L242" i="209"/>
  <c r="L243" i="209"/>
  <c r="L244" i="209"/>
  <c r="L245" i="209"/>
  <c r="L247" i="209"/>
  <c r="L249" i="209"/>
  <c r="L257" i="209"/>
  <c r="L258" i="209"/>
  <c r="L259" i="209"/>
  <c r="L260" i="209"/>
  <c r="L189" i="209"/>
  <c r="L191" i="209"/>
  <c r="L192" i="209"/>
  <c r="L196" i="209"/>
  <c r="L197" i="209"/>
  <c r="L201" i="209"/>
  <c r="L204" i="209"/>
  <c r="L206" i="209"/>
  <c r="L217" i="209"/>
  <c r="L218" i="209"/>
  <c r="L219" i="209"/>
  <c r="M219" i="209"/>
  <c r="L221" i="209"/>
  <c r="L222" i="209"/>
  <c r="L223" i="209"/>
  <c r="L224" i="209"/>
  <c r="M224" i="209"/>
  <c r="L225" i="209"/>
  <c r="G163" i="209"/>
  <c r="L163" i="209" s="1"/>
  <c r="G164" i="209"/>
  <c r="L164" i="209" s="1"/>
  <c r="G165" i="209"/>
  <c r="L165" i="209" s="1"/>
  <c r="G166" i="209"/>
  <c r="L166" i="209" s="1"/>
  <c r="G167" i="209"/>
  <c r="L167" i="209" s="1"/>
  <c r="G168" i="209"/>
  <c r="L168" i="209" s="1"/>
  <c r="L235" i="236"/>
  <c r="L240" i="236"/>
  <c r="L241" i="236"/>
  <c r="L242" i="236"/>
  <c r="L243" i="236"/>
  <c r="L245" i="236"/>
  <c r="L247" i="236"/>
  <c r="L255" i="236"/>
  <c r="L256" i="236"/>
  <c r="L257" i="236"/>
  <c r="L258" i="236"/>
  <c r="G194" i="236"/>
  <c r="M189" i="213" l="1"/>
  <c r="H190" i="213"/>
  <c r="H216" i="236"/>
  <c r="M216" i="236" s="1"/>
  <c r="H215" i="236"/>
  <c r="M215" i="236" s="1"/>
  <c r="H217" i="236"/>
  <c r="H216" i="207"/>
  <c r="M216" i="207" s="1"/>
  <c r="H202" i="207"/>
  <c r="M202" i="207" s="1"/>
  <c r="H217" i="207"/>
  <c r="H199" i="207"/>
  <c r="M199" i="207" s="1"/>
  <c r="M195" i="207"/>
  <c r="H215" i="207"/>
  <c r="M215" i="207" s="1"/>
  <c r="H204" i="207"/>
  <c r="M204" i="207" s="1"/>
  <c r="H202" i="236"/>
  <c r="H204" i="236" s="1"/>
  <c r="M204" i="236" s="1"/>
  <c r="H199" i="236"/>
  <c r="M199" i="236" s="1"/>
  <c r="H195" i="236"/>
  <c r="M195" i="236" s="1"/>
  <c r="L187" i="236"/>
  <c r="L189" i="236"/>
  <c r="M189" i="236"/>
  <c r="L190" i="236"/>
  <c r="M190" i="236"/>
  <c r="L194" i="236"/>
  <c r="L195" i="236"/>
  <c r="L199" i="236"/>
  <c r="L202" i="236"/>
  <c r="L204" i="236"/>
  <c r="L206" i="236"/>
  <c r="L215" i="236"/>
  <c r="L216" i="236"/>
  <c r="L217" i="236"/>
  <c r="M217" i="236"/>
  <c r="L219" i="236"/>
  <c r="L220" i="236"/>
  <c r="L221" i="236"/>
  <c r="L222" i="236"/>
  <c r="L223" i="236"/>
  <c r="L248" i="213"/>
  <c r="L244" i="213"/>
  <c r="L243" i="213"/>
  <c r="L242" i="213"/>
  <c r="L241" i="213"/>
  <c r="L259" i="213"/>
  <c r="L244" i="207"/>
  <c r="L243" i="207"/>
  <c r="L242" i="207"/>
  <c r="L241" i="207"/>
  <c r="L248" i="207"/>
  <c r="L259" i="207"/>
  <c r="G189" i="207"/>
  <c r="L189" i="207" s="1"/>
  <c r="M202" i="236" l="1"/>
  <c r="M221" i="236"/>
  <c r="H220" i="236"/>
  <c r="M220" i="236" s="1"/>
  <c r="M222" i="236"/>
  <c r="H219" i="236"/>
  <c r="M219" i="236" s="1"/>
  <c r="M223" i="236"/>
  <c r="M190" i="213"/>
  <c r="H195" i="213"/>
  <c r="M221" i="207"/>
  <c r="M217" i="207"/>
  <c r="M222" i="207"/>
  <c r="H219" i="207"/>
  <c r="M219" i="207" s="1"/>
  <c r="H220" i="207"/>
  <c r="M220" i="207" s="1"/>
  <c r="M223" i="207"/>
  <c r="M195" i="213" l="1"/>
  <c r="H199" i="213"/>
  <c r="H196" i="209"/>
  <c r="M196" i="209" s="1"/>
  <c r="H187" i="236"/>
  <c r="G258" i="237"/>
  <c r="G242" i="237"/>
  <c r="H258" i="209"/>
  <c r="M258" i="209" s="1"/>
  <c r="H245" i="209"/>
  <c r="M245" i="209" s="1"/>
  <c r="H237" i="209"/>
  <c r="M237" i="209" s="1"/>
  <c r="G235" i="237"/>
  <c r="H247" i="209"/>
  <c r="M247" i="209" s="1"/>
  <c r="G255" i="237"/>
  <c r="G247" i="237"/>
  <c r="G241" i="237"/>
  <c r="H257" i="209"/>
  <c r="M257" i="209" s="1"/>
  <c r="H244" i="209"/>
  <c r="M244" i="209" s="1"/>
  <c r="G243" i="237"/>
  <c r="H242" i="209"/>
  <c r="M242" i="209" s="1"/>
  <c r="G256" i="237"/>
  <c r="G245" i="237"/>
  <c r="G240" i="237"/>
  <c r="H260" i="209"/>
  <c r="M260" i="209" s="1"/>
  <c r="H249" i="209"/>
  <c r="M249" i="209" s="1"/>
  <c r="H243" i="209"/>
  <c r="M243" i="209" s="1"/>
  <c r="G257" i="237"/>
  <c r="H259" i="209"/>
  <c r="M259" i="209" s="1"/>
  <c r="H259" i="213"/>
  <c r="M259" i="213" s="1"/>
  <c r="H242" i="213"/>
  <c r="M242" i="213" s="1"/>
  <c r="H248" i="213"/>
  <c r="M248" i="213" s="1"/>
  <c r="H241" i="213"/>
  <c r="M241" i="213" s="1"/>
  <c r="H243" i="213"/>
  <c r="M243" i="213" s="1"/>
  <c r="H244" i="213"/>
  <c r="M244" i="213" s="1"/>
  <c r="H202" i="213" l="1"/>
  <c r="M199" i="213"/>
  <c r="H256" i="209"/>
  <c r="M256" i="209" s="1"/>
  <c r="H254" i="209"/>
  <c r="M254" i="209" s="1"/>
  <c r="H252" i="209"/>
  <c r="M252" i="209" s="1"/>
  <c r="H250" i="209"/>
  <c r="M250" i="209" s="1"/>
  <c r="H246" i="209"/>
  <c r="M246" i="209" s="1"/>
  <c r="H240" i="209"/>
  <c r="M240" i="209" s="1"/>
  <c r="H238" i="209"/>
  <c r="M238" i="209" s="1"/>
  <c r="H235" i="209"/>
  <c r="M235" i="209" s="1"/>
  <c r="H251" i="209"/>
  <c r="M251" i="209" s="1"/>
  <c r="H239" i="209"/>
  <c r="M239" i="209" s="1"/>
  <c r="G259" i="237"/>
  <c r="G253" i="237"/>
  <c r="G251" i="237"/>
  <c r="G249" i="237"/>
  <c r="G246" i="237"/>
  <c r="G239" i="237"/>
  <c r="G237" i="237"/>
  <c r="G234" i="237"/>
  <c r="H248" i="209"/>
  <c r="M248" i="209" s="1"/>
  <c r="H255" i="209"/>
  <c r="M255" i="209" s="1"/>
  <c r="G254" i="237"/>
  <c r="G252" i="237"/>
  <c r="G250" i="237"/>
  <c r="G248" i="237"/>
  <c r="G244" i="237"/>
  <c r="G238" i="237"/>
  <c r="G236" i="237"/>
  <c r="G233" i="237"/>
  <c r="H261" i="209"/>
  <c r="M261" i="209" s="1"/>
  <c r="H253" i="209"/>
  <c r="M253" i="209" s="1"/>
  <c r="H241" i="209"/>
  <c r="M241" i="209" s="1"/>
  <c r="H236" i="209"/>
  <c r="M236" i="209" s="1"/>
  <c r="M239" i="213"/>
  <c r="H260" i="213"/>
  <c r="H238" i="213"/>
  <c r="M260" i="213"/>
  <c r="M238" i="213"/>
  <c r="H239" i="213"/>
  <c r="F254" i="237"/>
  <c r="F252" i="237"/>
  <c r="F250" i="237"/>
  <c r="F248" i="237"/>
  <c r="F244" i="237"/>
  <c r="F238" i="237"/>
  <c r="F236" i="237"/>
  <c r="F233" i="237"/>
  <c r="G256" i="209"/>
  <c r="L256" i="209" s="1"/>
  <c r="G254" i="209"/>
  <c r="L254" i="209" s="1"/>
  <c r="G252" i="209"/>
  <c r="L252" i="209" s="1"/>
  <c r="G250" i="209"/>
  <c r="L250" i="209" s="1"/>
  <c r="G246" i="209"/>
  <c r="L246" i="209" s="1"/>
  <c r="G240" i="209"/>
  <c r="L240" i="209" s="1"/>
  <c r="G238" i="209"/>
  <c r="L238" i="209" s="1"/>
  <c r="G235" i="209"/>
  <c r="L235" i="209" s="1"/>
  <c r="F259" i="237"/>
  <c r="F253" i="237"/>
  <c r="F251" i="237"/>
  <c r="F249" i="237"/>
  <c r="F246" i="237"/>
  <c r="F239" i="237"/>
  <c r="F237" i="237"/>
  <c r="F234" i="237"/>
  <c r="G261" i="209"/>
  <c r="L261" i="209" s="1"/>
  <c r="G255" i="209"/>
  <c r="L255" i="209" s="1"/>
  <c r="G253" i="209"/>
  <c r="L253" i="209" s="1"/>
  <c r="G251" i="209"/>
  <c r="L251" i="209" s="1"/>
  <c r="G248" i="209"/>
  <c r="L248" i="209" s="1"/>
  <c r="G241" i="209"/>
  <c r="L241" i="209" s="1"/>
  <c r="G239" i="209"/>
  <c r="L239" i="209" s="1"/>
  <c r="G236" i="209"/>
  <c r="L236" i="209" s="1"/>
  <c r="L260" i="213"/>
  <c r="L239" i="213"/>
  <c r="G260" i="213"/>
  <c r="G238" i="213"/>
  <c r="L238" i="213"/>
  <c r="G239" i="213"/>
  <c r="M187" i="236"/>
  <c r="H194" i="236"/>
  <c r="M194" i="236" s="1"/>
  <c r="M202" i="213" l="1"/>
  <c r="H204" i="213"/>
  <c r="F94" i="237"/>
  <c r="G94" i="237"/>
  <c r="F95" i="237"/>
  <c r="G95" i="237"/>
  <c r="F96" i="237"/>
  <c r="G96" i="237"/>
  <c r="F97" i="237"/>
  <c r="G97" i="237"/>
  <c r="F98" i="237"/>
  <c r="G98" i="237"/>
  <c r="E264" i="209"/>
  <c r="L96" i="209"/>
  <c r="M96" i="209"/>
  <c r="L97" i="209"/>
  <c r="M97" i="209"/>
  <c r="L98" i="209"/>
  <c r="M98" i="209"/>
  <c r="L99" i="209"/>
  <c r="M99" i="209"/>
  <c r="L100" i="209"/>
  <c r="M100" i="209"/>
  <c r="L101" i="209"/>
  <c r="M101" i="209"/>
  <c r="L102" i="209"/>
  <c r="M102" i="209"/>
  <c r="G96" i="209"/>
  <c r="H96" i="209"/>
  <c r="G97" i="209"/>
  <c r="H97" i="209"/>
  <c r="G98" i="209"/>
  <c r="H98" i="209"/>
  <c r="G99" i="209"/>
  <c r="H99" i="209"/>
  <c r="G100" i="209"/>
  <c r="H100" i="209"/>
  <c r="G188" i="236"/>
  <c r="H188" i="236"/>
  <c r="M188" i="236" s="1"/>
  <c r="G191" i="236"/>
  <c r="L191" i="236" s="1"/>
  <c r="H191" i="236"/>
  <c r="M191" i="236" s="1"/>
  <c r="G192" i="236"/>
  <c r="L192" i="236" s="1"/>
  <c r="H192" i="236"/>
  <c r="G193" i="236"/>
  <c r="L193" i="236" s="1"/>
  <c r="H193" i="236"/>
  <c r="M193" i="236" s="1"/>
  <c r="G196" i="236"/>
  <c r="L196" i="236" s="1"/>
  <c r="H196" i="236"/>
  <c r="M196" i="236" s="1"/>
  <c r="G197" i="236"/>
  <c r="L197" i="236" s="1"/>
  <c r="H197" i="236"/>
  <c r="M197" i="236" s="1"/>
  <c r="G198" i="236"/>
  <c r="L198" i="236" s="1"/>
  <c r="H198" i="236"/>
  <c r="M198" i="236" s="1"/>
  <c r="G200" i="236"/>
  <c r="L200" i="236" s="1"/>
  <c r="H200" i="236"/>
  <c r="M200" i="236" s="1"/>
  <c r="G201" i="236"/>
  <c r="L201" i="236" s="1"/>
  <c r="H201" i="236"/>
  <c r="M201" i="236" s="1"/>
  <c r="G159" i="236"/>
  <c r="L159" i="236" s="1"/>
  <c r="G160" i="236"/>
  <c r="L160" i="236" s="1"/>
  <c r="G161" i="236"/>
  <c r="L161" i="236" s="1"/>
  <c r="G162" i="236"/>
  <c r="L162" i="236" s="1"/>
  <c r="G163" i="236"/>
  <c r="L163" i="236" s="1"/>
  <c r="L106" i="236"/>
  <c r="M106" i="236"/>
  <c r="L107" i="236"/>
  <c r="M107" i="236"/>
  <c r="L108" i="236"/>
  <c r="M108" i="236"/>
  <c r="L109" i="236"/>
  <c r="M109" i="236"/>
  <c r="L110" i="236"/>
  <c r="M110" i="236"/>
  <c r="L111" i="236"/>
  <c r="M111" i="236"/>
  <c r="G106" i="236"/>
  <c r="H106" i="236"/>
  <c r="G107" i="236"/>
  <c r="H107" i="236"/>
  <c r="G108" i="236"/>
  <c r="H108" i="236"/>
  <c r="G109" i="236"/>
  <c r="H109" i="236"/>
  <c r="G110" i="236"/>
  <c r="H110" i="236"/>
  <c r="M221" i="213" l="1"/>
  <c r="H217" i="213"/>
  <c r="M217" i="213" s="1"/>
  <c r="H220" i="213"/>
  <c r="M220" i="213" s="1"/>
  <c r="H215" i="213"/>
  <c r="M215" i="213" s="1"/>
  <c r="H216" i="213"/>
  <c r="M216" i="213" s="1"/>
  <c r="M223" i="213"/>
  <c r="H219" i="213"/>
  <c r="M219" i="213" s="1"/>
  <c r="M222" i="213"/>
  <c r="M204" i="213"/>
  <c r="M192" i="236"/>
  <c r="L188" i="236"/>
  <c r="N96" i="209"/>
  <c r="E262" i="213"/>
  <c r="E225" i="213"/>
  <c r="E225" i="207" l="1"/>
  <c r="G159" i="213"/>
  <c r="L159" i="213" s="1"/>
  <c r="G160" i="213"/>
  <c r="L160" i="213" s="1"/>
  <c r="G161" i="213"/>
  <c r="L161" i="213" s="1"/>
  <c r="G162" i="213"/>
  <c r="L162" i="213" s="1"/>
  <c r="G163" i="213"/>
  <c r="L163" i="213" s="1"/>
  <c r="G164" i="213"/>
  <c r="L164" i="213" s="1"/>
  <c r="G165" i="213"/>
  <c r="L165" i="213" s="1"/>
  <c r="G166" i="213"/>
  <c r="L166" i="213" s="1"/>
  <c r="G167" i="213"/>
  <c r="L167" i="213" s="1"/>
  <c r="G168" i="213"/>
  <c r="L168" i="213" s="1"/>
  <c r="G169" i="213"/>
  <c r="L169" i="213" s="1"/>
  <c r="L96" i="213"/>
  <c r="M96" i="213"/>
  <c r="L97" i="213"/>
  <c r="M97" i="213"/>
  <c r="L98" i="213"/>
  <c r="M98" i="213"/>
  <c r="L99" i="213"/>
  <c r="M99" i="213"/>
  <c r="L100" i="213"/>
  <c r="M100" i="213"/>
  <c r="L101" i="213"/>
  <c r="M101" i="213"/>
  <c r="L102" i="213"/>
  <c r="M102" i="213"/>
  <c r="L103" i="213"/>
  <c r="M103" i="213"/>
  <c r="L104" i="213"/>
  <c r="M104" i="213"/>
  <c r="L105" i="213"/>
  <c r="M105" i="213"/>
  <c r="L106" i="213"/>
  <c r="M106" i="213"/>
  <c r="L107" i="213"/>
  <c r="M107" i="213"/>
  <c r="L108" i="213"/>
  <c r="M108" i="213"/>
  <c r="L109" i="213"/>
  <c r="M109" i="213"/>
  <c r="L110" i="213"/>
  <c r="M110" i="213"/>
  <c r="L111" i="213"/>
  <c r="M111" i="213"/>
  <c r="L112" i="213"/>
  <c r="M112" i="213"/>
  <c r="G96" i="213"/>
  <c r="H96" i="213"/>
  <c r="G97" i="213"/>
  <c r="H97" i="213"/>
  <c r="G98" i="213"/>
  <c r="H98" i="213"/>
  <c r="G99" i="213"/>
  <c r="H99" i="213"/>
  <c r="G100" i="213"/>
  <c r="H100" i="213"/>
  <c r="G101" i="213"/>
  <c r="H101" i="213"/>
  <c r="G102" i="213"/>
  <c r="H102" i="213"/>
  <c r="G103" i="213"/>
  <c r="H103" i="213"/>
  <c r="G104" i="213"/>
  <c r="H104" i="213"/>
  <c r="G105" i="213"/>
  <c r="H105" i="213"/>
  <c r="G106" i="213"/>
  <c r="H106" i="213"/>
  <c r="G107" i="213"/>
  <c r="H107" i="213"/>
  <c r="G108" i="213"/>
  <c r="H108" i="213"/>
  <c r="G109" i="213"/>
  <c r="H109" i="213"/>
  <c r="E262" i="207"/>
  <c r="G159" i="207"/>
  <c r="G160" i="207"/>
  <c r="L160" i="207" s="1"/>
  <c r="G161" i="207"/>
  <c r="L161" i="207" s="1"/>
  <c r="G162" i="207"/>
  <c r="L162" i="207" s="1"/>
  <c r="G163" i="207"/>
  <c r="L163" i="207" s="1"/>
  <c r="G164" i="207"/>
  <c r="L164" i="207" s="1"/>
  <c r="G165" i="207"/>
  <c r="L165" i="207" s="1"/>
  <c r="G166" i="207"/>
  <c r="L166" i="207" s="1"/>
  <c r="G167" i="207"/>
  <c r="L167" i="207" s="1"/>
  <c r="G168" i="207"/>
  <c r="G169" i="207"/>
  <c r="L169" i="207" s="1"/>
  <c r="G170" i="207"/>
  <c r="L170" i="207" s="1"/>
  <c r="G171" i="207"/>
  <c r="L171" i="207" s="1"/>
  <c r="G172" i="207"/>
  <c r="G173" i="207"/>
  <c r="G174" i="207"/>
  <c r="G175" i="207"/>
  <c r="L95" i="207"/>
  <c r="M95" i="207"/>
  <c r="L96" i="207"/>
  <c r="M96" i="207"/>
  <c r="L97" i="207"/>
  <c r="M97" i="207"/>
  <c r="L98" i="207"/>
  <c r="M98" i="207"/>
  <c r="L99" i="207"/>
  <c r="M99" i="207"/>
  <c r="L100" i="207"/>
  <c r="M100" i="207"/>
  <c r="L101" i="207"/>
  <c r="M101" i="207"/>
  <c r="L102" i="207"/>
  <c r="M102" i="207"/>
  <c r="L103" i="207"/>
  <c r="M103" i="207"/>
  <c r="L104" i="207"/>
  <c r="M104" i="207"/>
  <c r="L105" i="207"/>
  <c r="M105" i="207"/>
  <c r="L106" i="207"/>
  <c r="M106" i="207"/>
  <c r="L107" i="207"/>
  <c r="M107" i="207"/>
  <c r="L108" i="207"/>
  <c r="M108" i="207"/>
  <c r="L109" i="207"/>
  <c r="M109" i="207"/>
  <c r="L110" i="207"/>
  <c r="M110" i="207"/>
  <c r="L111" i="207"/>
  <c r="M111" i="207"/>
  <c r="L112" i="207"/>
  <c r="M112" i="207"/>
  <c r="L113" i="207"/>
  <c r="M113" i="207"/>
  <c r="H95" i="207"/>
  <c r="H96" i="207"/>
  <c r="H97" i="207"/>
  <c r="H98" i="207"/>
  <c r="H99" i="207"/>
  <c r="H100" i="207"/>
  <c r="H101" i="207"/>
  <c r="H102" i="207"/>
  <c r="H103" i="207"/>
  <c r="H104" i="207"/>
  <c r="H105" i="207"/>
  <c r="H106" i="207"/>
  <c r="H107" i="207"/>
  <c r="H108" i="207"/>
  <c r="H109" i="207"/>
  <c r="H110" i="207"/>
  <c r="H111" i="207"/>
  <c r="G96" i="207"/>
  <c r="G97" i="207"/>
  <c r="G98" i="207"/>
  <c r="G99" i="207"/>
  <c r="G100" i="207"/>
  <c r="G101" i="207"/>
  <c r="G102" i="207"/>
  <c r="G103" i="207"/>
  <c r="G104" i="207"/>
  <c r="G105" i="207"/>
  <c r="G106" i="207"/>
  <c r="G107" i="207"/>
  <c r="G108" i="207"/>
  <c r="G109" i="207"/>
  <c r="G110" i="207"/>
  <c r="G111" i="207"/>
  <c r="G112" i="207"/>
  <c r="L168" i="207" l="1"/>
  <c r="L159" i="207"/>
  <c r="J14" i="106" l="1"/>
  <c r="G23" i="4" l="1"/>
  <c r="K23" i="4" l="1"/>
  <c r="G25" i="4" l="1"/>
  <c r="H43" i="10" s="1"/>
  <c r="L115" i="209" l="1"/>
  <c r="M115" i="209"/>
  <c r="L116" i="209"/>
  <c r="M116" i="209"/>
  <c r="G115" i="209"/>
  <c r="H115" i="209"/>
  <c r="L115" i="236"/>
  <c r="M115" i="236"/>
  <c r="H115" i="236"/>
  <c r="G115" i="236"/>
  <c r="P13" i="192" l="1"/>
  <c r="P13" i="190"/>
  <c r="P12" i="192" l="1"/>
  <c r="P12" i="190"/>
  <c r="P28" i="44" l="1"/>
  <c r="A13" i="228" l="1"/>
  <c r="A14" i="228" s="1"/>
  <c r="A15" i="228" s="1"/>
  <c r="A16" i="228" s="1"/>
  <c r="A17" i="228" s="1"/>
  <c r="A18" i="228" s="1"/>
  <c r="A19" i="228" s="1"/>
  <c r="A20" i="228" s="1"/>
  <c r="A21" i="228" s="1"/>
  <c r="A22" i="228" s="1"/>
  <c r="A23" i="228" s="1"/>
  <c r="A24" i="228" s="1"/>
  <c r="A25" i="228" s="1"/>
  <c r="A26" i="228" s="1"/>
  <c r="A27" i="228" s="1"/>
  <c r="A28" i="228" s="1"/>
  <c r="A29" i="228" s="1"/>
  <c r="A30" i="228" s="1"/>
  <c r="A31" i="228" s="1"/>
  <c r="A32" i="228" s="1"/>
  <c r="A33" i="228" s="1"/>
  <c r="A34" i="228" s="1"/>
  <c r="A35" i="228" s="1"/>
  <c r="A36" i="228" s="1"/>
  <c r="A37" i="228" s="1"/>
  <c r="A38" i="228" s="1"/>
  <c r="A39" i="228" s="1"/>
  <c r="A40" i="228" s="1"/>
  <c r="A41" i="228" s="1"/>
  <c r="A42" i="228" s="1"/>
  <c r="A43" i="228" s="1"/>
  <c r="A44" i="228" s="1"/>
  <c r="A45" i="228" s="1"/>
  <c r="A46" i="228" s="1"/>
  <c r="D29" i="45" l="1"/>
  <c r="K25" i="39"/>
  <c r="K26" i="39"/>
  <c r="K27" i="39"/>
  <c r="K28" i="39"/>
  <c r="J37" i="42"/>
  <c r="O12" i="39"/>
  <c r="M12" i="39"/>
  <c r="O12" i="41"/>
  <c r="M12" i="41"/>
  <c r="J38" i="42" l="1"/>
  <c r="A15" i="192"/>
  <c r="A16" i="192" s="1"/>
  <c r="A17" i="192" s="1"/>
  <c r="A18" i="192" s="1"/>
  <c r="A19" i="192" s="1"/>
  <c r="A20" i="192" s="1"/>
  <c r="A21" i="192" s="1"/>
  <c r="A22" i="192" s="1"/>
  <c r="A24" i="192" s="1"/>
  <c r="A25" i="192" s="1"/>
  <c r="A26" i="192" s="1"/>
  <c r="A27" i="192" s="1"/>
  <c r="A28" i="192" s="1"/>
  <c r="A29" i="192" s="1"/>
  <c r="A30" i="192" s="1"/>
  <c r="A31" i="192" s="1"/>
  <c r="A32" i="192" s="1"/>
  <c r="A33" i="192" s="1"/>
  <c r="A34" i="192" s="1"/>
  <c r="A35" i="192" s="1"/>
  <c r="A36" i="192" s="1"/>
  <c r="A37" i="192" s="1"/>
  <c r="A39" i="192" s="1"/>
  <c r="A40" i="192" s="1"/>
  <c r="A41" i="192" s="1"/>
  <c r="A42" i="192" s="1"/>
  <c r="A43" i="192" s="1"/>
  <c r="A44" i="192" s="1"/>
  <c r="A45" i="192" s="1"/>
  <c r="A46" i="192" s="1"/>
  <c r="A47" i="192" s="1"/>
  <c r="A48" i="192" s="1"/>
  <c r="A49" i="192" s="1"/>
  <c r="A50" i="192" s="1"/>
  <c r="A51" i="192" s="1"/>
  <c r="A52" i="192" s="1"/>
  <c r="A53" i="192" s="1"/>
  <c r="A54" i="192" s="1"/>
  <c r="A55" i="192" s="1"/>
  <c r="A56" i="192" s="1"/>
  <c r="A57" i="192" s="1"/>
  <c r="A58" i="192" s="1"/>
  <c r="D44" i="190"/>
  <c r="D60" i="190" s="1"/>
  <c r="D61" i="190" s="1"/>
  <c r="E44" i="190"/>
  <c r="E60" i="190" s="1"/>
  <c r="E61" i="190" s="1"/>
  <c r="F44" i="190"/>
  <c r="F60" i="190" s="1"/>
  <c r="F61" i="190" s="1"/>
  <c r="G44" i="190"/>
  <c r="G60" i="190" s="1"/>
  <c r="G61" i="190" s="1"/>
  <c r="H44" i="190"/>
  <c r="H60" i="190" s="1"/>
  <c r="H61" i="190" s="1"/>
  <c r="I44" i="190"/>
  <c r="I60" i="190" s="1"/>
  <c r="I61" i="190" s="1"/>
  <c r="E33" i="193"/>
  <c r="F33" i="193"/>
  <c r="G33" i="193"/>
  <c r="H33" i="193"/>
  <c r="I33" i="193"/>
  <c r="D33" i="193"/>
  <c r="P15" i="192" l="1"/>
  <c r="D31" i="193"/>
  <c r="P14" i="192" l="1"/>
  <c r="J54" i="192" l="1"/>
  <c r="J65" i="192"/>
  <c r="J67" i="192" s="1"/>
  <c r="D25" i="79" l="1"/>
  <c r="A17" i="250" l="1"/>
  <c r="A19" i="250" s="1"/>
  <c r="A21" i="250" s="1"/>
  <c r="A23" i="250" s="1"/>
  <c r="A27" i="250" s="1"/>
  <c r="A28" i="250" s="1"/>
  <c r="A30" i="250" s="1"/>
  <c r="A31" i="250" s="1"/>
  <c r="A33" i="250" s="1"/>
  <c r="A34" i="250" s="1"/>
  <c r="A36" i="250" s="1"/>
  <c r="A37" i="250" s="1"/>
  <c r="A39" i="250" s="1"/>
  <c r="A41" i="250" s="1"/>
  <c r="F8" i="250"/>
  <c r="A2" i="250"/>
  <c r="A1" i="250"/>
  <c r="A17" i="99" l="1"/>
  <c r="A18" i="99" s="1"/>
  <c r="C16" i="99"/>
  <c r="C18" i="99"/>
  <c r="C19" i="99"/>
  <c r="C20" i="99"/>
  <c r="C21" i="99"/>
  <c r="C22" i="99"/>
  <c r="C17" i="99"/>
  <c r="A17" i="8"/>
  <c r="A18" i="8" l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16" i="10" l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I128" i="10"/>
  <c r="I124" i="10"/>
  <c r="I98" i="10"/>
  <c r="I55" i="10"/>
  <c r="I58" i="10" s="1"/>
  <c r="I60" i="10" s="1"/>
  <c r="I62" i="10" s="1"/>
  <c r="I45" i="10"/>
  <c r="I31" i="10"/>
  <c r="I25" i="10"/>
  <c r="I27" i="10" s="1"/>
  <c r="K33" i="39"/>
  <c r="K34" i="39"/>
  <c r="K35" i="39"/>
  <c r="K36" i="39"/>
  <c r="R9" i="39"/>
  <c r="K30" i="39"/>
  <c r="K22" i="39"/>
  <c r="K12" i="39"/>
  <c r="R12" i="41"/>
  <c r="S12" i="41"/>
  <c r="S12" i="39" s="1"/>
  <c r="K33" i="41"/>
  <c r="K34" i="41"/>
  <c r="K35" i="41"/>
  <c r="K36" i="41"/>
  <c r="K30" i="41"/>
  <c r="K22" i="41"/>
  <c r="G12" i="41"/>
  <c r="I12" i="41"/>
  <c r="J12" i="41"/>
  <c r="K12" i="41"/>
  <c r="H12" i="41"/>
  <c r="H29" i="42"/>
  <c r="H19" i="42"/>
  <c r="H22" i="42" s="1"/>
  <c r="I33" i="10" l="1"/>
  <c r="I66" i="10"/>
  <c r="I64" i="10"/>
  <c r="H31" i="42"/>
  <c r="H42" i="42" s="1"/>
  <c r="H45" i="42" s="1"/>
  <c r="L9" i="5" l="1"/>
  <c r="O8" i="238" l="1"/>
  <c r="P22" i="44" l="1"/>
  <c r="D20" i="45" l="1"/>
  <c r="F42" i="190" l="1"/>
  <c r="A15" i="190" l="1"/>
  <c r="A16" i="190" s="1"/>
  <c r="A18" i="190" s="1"/>
  <c r="A19" i="190" s="1"/>
  <c r="A20" i="190" s="1"/>
  <c r="A21" i="190" s="1"/>
  <c r="A23" i="190" s="1"/>
  <c r="A24" i="190" s="1"/>
  <c r="A25" i="190" s="1"/>
  <c r="A26" i="190" s="1"/>
  <c r="A27" i="190" s="1"/>
  <c r="A28" i="190" s="1"/>
  <c r="A29" i="190" s="1"/>
  <c r="A30" i="190" s="1"/>
  <c r="A31" i="190" s="1"/>
  <c r="A32" i="190" s="1"/>
  <c r="A33" i="190" s="1"/>
  <c r="A34" i="190" s="1"/>
  <c r="A35" i="190" s="1"/>
  <c r="A36" i="190" s="1"/>
  <c r="A37" i="190" s="1"/>
  <c r="A38" i="190" s="1"/>
  <c r="A39" i="190" s="1"/>
  <c r="A40" i="190" s="1"/>
  <c r="A41" i="190" s="1"/>
  <c r="A42" i="190" s="1"/>
  <c r="A43" i="190" s="1"/>
  <c r="A44" i="190" s="1"/>
  <c r="A45" i="190" s="1"/>
  <c r="A46" i="190" s="1"/>
  <c r="Q22" i="241" l="1"/>
  <c r="G116" i="236" l="1"/>
  <c r="H116" i="236"/>
  <c r="L116" i="236"/>
  <c r="M116" i="236"/>
  <c r="P24" i="44" l="1"/>
  <c r="P21" i="44"/>
  <c r="P18" i="44"/>
  <c r="D19" i="45" l="1"/>
  <c r="D16" i="45"/>
  <c r="D22" i="45"/>
  <c r="L9" i="98"/>
  <c r="V10" i="202"/>
  <c r="S8" i="9"/>
  <c r="Q12" i="41" l="1"/>
  <c r="A2" i="84" l="1"/>
  <c r="A16" i="5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8" i="51" s="1"/>
  <c r="A49" i="51" s="1"/>
  <c r="A50" i="51" s="1"/>
  <c r="A51" i="51" s="1"/>
  <c r="A13" i="50" l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A69" i="50" s="1"/>
  <c r="A70" i="50" s="1"/>
  <c r="A71" i="50" s="1"/>
  <c r="A72" i="50" s="1"/>
  <c r="M9" i="95" l="1"/>
  <c r="F19" i="243" l="1"/>
  <c r="F30" i="231"/>
  <c r="E20" i="30"/>
  <c r="F39" i="231"/>
  <c r="P39" i="231" s="1"/>
  <c r="E18" i="30"/>
  <c r="F22" i="243"/>
  <c r="E16" i="243"/>
  <c r="E22" i="231"/>
  <c r="F22" i="231"/>
  <c r="F16" i="243"/>
  <c r="E19" i="30"/>
  <c r="E19" i="243"/>
  <c r="E30" i="231"/>
  <c r="E14" i="212"/>
  <c r="E15" i="212"/>
  <c r="E17" i="212"/>
  <c r="P30" i="231" l="1"/>
  <c r="P22" i="231"/>
  <c r="G116" i="209"/>
  <c r="H116" i="209"/>
  <c r="G20" i="249" l="1"/>
  <c r="G9" i="249" l="1"/>
  <c r="A2" i="249"/>
  <c r="A1" i="249"/>
  <c r="F114" i="237" l="1"/>
  <c r="G114" i="237"/>
  <c r="A15" i="106" l="1"/>
  <c r="A16" i="106" s="1"/>
  <c r="A17" i="106" s="1"/>
  <c r="A18" i="106" s="1"/>
  <c r="A19" i="106" s="1"/>
  <c r="A20" i="106" s="1"/>
  <c r="A21" i="106" s="1"/>
  <c r="A22" i="106" s="1"/>
  <c r="A23" i="106" s="1"/>
  <c r="A24" i="106" s="1"/>
  <c r="A25" i="106" s="1"/>
  <c r="A26" i="106" s="1"/>
  <c r="A27" i="106" s="1"/>
  <c r="A28" i="106" s="1"/>
  <c r="A29" i="106" s="1"/>
  <c r="A30" i="106" s="1"/>
  <c r="A31" i="106" s="1"/>
  <c r="F35" i="107"/>
  <c r="F22" i="107"/>
  <c r="F75" i="248"/>
  <c r="D18" i="102" l="1"/>
  <c r="I9" i="171" l="1"/>
  <c r="O45" i="10" l="1"/>
  <c r="R12" i="39" l="1"/>
  <c r="Q12" i="39"/>
  <c r="G12" i="39"/>
  <c r="H12" i="39"/>
  <c r="I12" i="39"/>
  <c r="J12" i="39"/>
  <c r="G25" i="39" l="1"/>
  <c r="H25" i="39"/>
  <c r="I25" i="39"/>
  <c r="G26" i="39"/>
  <c r="H26" i="39"/>
  <c r="I26" i="39"/>
  <c r="G27" i="39"/>
  <c r="H27" i="39"/>
  <c r="I27" i="39"/>
  <c r="G28" i="39"/>
  <c r="H28" i="39"/>
  <c r="I28" i="39"/>
  <c r="J28" i="39"/>
  <c r="J27" i="39"/>
  <c r="J26" i="39"/>
  <c r="J25" i="39"/>
  <c r="A16" i="102" l="1"/>
  <c r="A17" i="102" s="1"/>
  <c r="A18" i="102" s="1"/>
  <c r="A19" i="102" s="1"/>
  <c r="A20" i="102" s="1"/>
  <c r="A21" i="102" s="1"/>
  <c r="A22" i="102" l="1"/>
  <c r="A23" i="102" l="1"/>
  <c r="A24" i="102" s="1"/>
  <c r="A25" i="102" s="1"/>
  <c r="A26" i="102" s="1"/>
  <c r="A27" i="102" s="1"/>
  <c r="A28" i="102" l="1"/>
  <c r="A29" i="102" s="1"/>
  <c r="A30" i="102" s="1"/>
  <c r="A31" i="102" s="1"/>
  <c r="A32" i="102" s="1"/>
  <c r="A33" i="102" s="1"/>
  <c r="A34" i="102" s="1"/>
  <c r="E10" i="192" l="1"/>
  <c r="D10" i="227" l="1"/>
  <c r="A52" i="51" l="1"/>
  <c r="A53" i="51" s="1"/>
  <c r="A54" i="51" s="1"/>
  <c r="A55" i="51" s="1"/>
  <c r="A56" i="51" s="1"/>
  <c r="A57" i="51" s="1"/>
  <c r="A58" i="51" s="1"/>
  <c r="A59" i="51" s="1"/>
  <c r="A60" i="51" s="1"/>
  <c r="A61" i="51" s="1"/>
  <c r="A62" i="51" s="1"/>
  <c r="A63" i="51" s="1"/>
  <c r="A64" i="51" l="1"/>
  <c r="A65" i="51" s="1"/>
  <c r="A66" i="51" s="1"/>
  <c r="A67" i="51" s="1"/>
  <c r="A68" i="51" s="1"/>
  <c r="A13" i="227"/>
  <c r="A14" i="227" s="1"/>
  <c r="A15" i="227" s="1"/>
  <c r="A16" i="227" s="1"/>
  <c r="A17" i="227" s="1"/>
  <c r="A18" i="227" s="1"/>
  <c r="A19" i="227" s="1"/>
  <c r="A20" i="227" s="1"/>
  <c r="A21" i="227" s="1"/>
  <c r="A22" i="227" s="1"/>
  <c r="A23" i="227" s="1"/>
  <c r="A24" i="227" s="1"/>
  <c r="A25" i="227" s="1"/>
  <c r="A26" i="227" s="1"/>
  <c r="A27" i="227" s="1"/>
  <c r="A28" i="227" s="1"/>
  <c r="A29" i="227" s="1"/>
  <c r="A30" i="227" s="1"/>
  <c r="A31" i="227" s="1"/>
  <c r="A32" i="227" s="1"/>
  <c r="A33" i="227" s="1"/>
  <c r="A34" i="227" s="1"/>
  <c r="A13" i="226"/>
  <c r="A14" i="226" s="1"/>
  <c r="A15" i="226" s="1"/>
  <c r="A16" i="226" s="1"/>
  <c r="A17" i="226" s="1"/>
  <c r="A18" i="226" s="1"/>
  <c r="A19" i="226" s="1"/>
  <c r="A21" i="226" l="1"/>
  <c r="A22" i="226" s="1"/>
  <c r="A23" i="226" s="1"/>
  <c r="A24" i="226" s="1"/>
  <c r="A25" i="226" s="1"/>
  <c r="A20" i="226"/>
  <c r="A69" i="51"/>
  <c r="A13" i="193"/>
  <c r="A14" i="193" s="1"/>
  <c r="A15" i="193" s="1"/>
  <c r="A16" i="193" s="1"/>
  <c r="A17" i="193" s="1"/>
  <c r="A18" i="193" s="1"/>
  <c r="A19" i="193" s="1"/>
  <c r="A20" i="193" s="1"/>
  <c r="A21" i="193" s="1"/>
  <c r="A22" i="193" s="1"/>
  <c r="A23" i="193" s="1"/>
  <c r="A24" i="193" s="1"/>
  <c r="A25" i="193" s="1"/>
  <c r="A26" i="193" s="1"/>
  <c r="A28" i="193" s="1"/>
  <c r="A29" i="193" s="1"/>
  <c r="A30" i="193" s="1"/>
  <c r="A31" i="193" s="1"/>
  <c r="A32" i="193" s="1"/>
  <c r="A33" i="193" s="1"/>
  <c r="A34" i="193" s="1"/>
  <c r="A35" i="193" s="1"/>
  <c r="A36" i="193" s="1"/>
  <c r="A70" i="51" l="1"/>
  <c r="A71" i="51" s="1"/>
  <c r="A72" i="51" s="1"/>
  <c r="A73" i="51" s="1"/>
  <c r="A74" i="51" s="1"/>
  <c r="A75" i="51" s="1"/>
  <c r="A76" i="51" s="1"/>
  <c r="A77" i="51" s="1"/>
  <c r="A78" i="51" s="1"/>
  <c r="A79" i="51" s="1"/>
  <c r="A80" i="51" s="1"/>
  <c r="A81" i="51" s="1"/>
  <c r="A82" i="51" s="1"/>
  <c r="A83" i="51" s="1"/>
  <c r="A84" i="51" s="1"/>
  <c r="A85" i="51" s="1"/>
  <c r="A86" i="51" s="1"/>
  <c r="A87" i="51" s="1"/>
  <c r="A88" i="51" s="1"/>
  <c r="A89" i="51" s="1"/>
  <c r="A90" i="51" s="1"/>
  <c r="A91" i="51" s="1"/>
  <c r="A92" i="51" s="1"/>
  <c r="A93" i="51" s="1"/>
  <c r="A99" i="51" s="1"/>
  <c r="A100" i="51" s="1"/>
  <c r="A101" i="51" s="1"/>
  <c r="A102" i="51" s="1"/>
  <c r="A103" i="51" s="1"/>
  <c r="A104" i="51" s="1"/>
  <c r="A105" i="51" s="1"/>
  <c r="A106" i="51" s="1"/>
  <c r="A107" i="51" s="1"/>
  <c r="A108" i="51" s="1"/>
  <c r="A109" i="51" s="1"/>
  <c r="A110" i="51" s="1"/>
  <c r="A111" i="51" s="1"/>
  <c r="A112" i="51" s="1"/>
  <c r="A113" i="51" s="1"/>
  <c r="A114" i="51" s="1"/>
  <c r="A115" i="51" s="1"/>
  <c r="A116" i="51" s="1"/>
  <c r="A117" i="51" s="1"/>
  <c r="A118" i="51" s="1"/>
  <c r="A119" i="51" s="1"/>
  <c r="A120" i="51" s="1"/>
  <c r="A121" i="51" s="1"/>
  <c r="A122" i="51" s="1"/>
  <c r="A123" i="51" s="1"/>
  <c r="A124" i="51" s="1"/>
  <c r="A125" i="51" s="1"/>
  <c r="A126" i="51" s="1"/>
  <c r="A127" i="51" s="1"/>
  <c r="A128" i="51" s="1"/>
  <c r="A129" i="51" s="1"/>
  <c r="A130" i="51" s="1"/>
  <c r="A131" i="51" s="1"/>
  <c r="A132" i="51" s="1"/>
  <c r="A134" i="51" s="1"/>
  <c r="J9" i="171" l="1"/>
  <c r="A13" i="171"/>
  <c r="A14" i="171" s="1"/>
  <c r="A15" i="171" s="1"/>
  <c r="A16" i="171" s="1"/>
  <c r="A14" i="238"/>
  <c r="A15" i="238" s="1"/>
  <c r="A16" i="238" s="1"/>
  <c r="A17" i="238" s="1"/>
  <c r="A18" i="238" s="1"/>
  <c r="A19" i="238" s="1"/>
  <c r="A20" i="238" s="1"/>
  <c r="A17" i="171" l="1"/>
  <c r="A18" i="171" s="1"/>
  <c r="A19" i="171" s="1"/>
  <c r="A20" i="171" s="1"/>
  <c r="A21" i="171" s="1"/>
  <c r="A22" i="171" s="1"/>
  <c r="A23" i="171" s="1"/>
  <c r="A24" i="171" s="1"/>
  <c r="A25" i="171" s="1"/>
  <c r="A26" i="171" s="1"/>
  <c r="A27" i="171" s="1"/>
  <c r="A28" i="171" s="1"/>
  <c r="A29" i="171" s="1"/>
  <c r="A30" i="171" s="1"/>
  <c r="A31" i="171" s="1"/>
  <c r="A32" i="171" s="1"/>
  <c r="A33" i="171" s="1"/>
  <c r="A34" i="171" s="1"/>
  <c r="A35" i="171" s="1"/>
  <c r="A36" i="171" s="1"/>
  <c r="A37" i="171" s="1"/>
  <c r="A38" i="171" s="1"/>
  <c r="A39" i="171" s="1"/>
  <c r="A40" i="171" s="1"/>
  <c r="A41" i="171" s="1"/>
  <c r="A42" i="171" s="1"/>
  <c r="A43" i="171" s="1"/>
  <c r="A44" i="171" s="1"/>
  <c r="A21" i="238"/>
  <c r="A22" i="238" s="1"/>
  <c r="A23" i="238" s="1"/>
  <c r="A24" i="238" s="1"/>
  <c r="A25" i="238" s="1"/>
  <c r="A26" i="238" s="1"/>
  <c r="A27" i="238" s="1"/>
  <c r="A28" i="238" s="1"/>
  <c r="A29" i="238" s="1"/>
  <c r="A30" i="238" s="1"/>
  <c r="A31" i="238" s="1"/>
  <c r="A32" i="238" s="1"/>
  <c r="A33" i="238" s="1"/>
  <c r="A34" i="238" l="1"/>
  <c r="A35" i="238" s="1"/>
  <c r="A36" i="238" s="1"/>
  <c r="A37" i="238" s="1"/>
  <c r="A38" i="238" s="1"/>
  <c r="A39" i="238" s="1"/>
  <c r="A40" i="238" s="1"/>
  <c r="A41" i="238" s="1"/>
  <c r="A42" i="238" s="1"/>
  <c r="A43" i="238" s="1"/>
  <c r="A44" i="238" s="1"/>
  <c r="A45" i="238" s="1"/>
  <c r="A46" i="238" s="1"/>
  <c r="A47" i="238" s="1"/>
  <c r="A48" i="238" s="1"/>
  <c r="A49" i="238" s="1"/>
  <c r="A50" i="238" s="1"/>
  <c r="A51" i="238" s="1"/>
  <c r="A52" i="238" s="1"/>
  <c r="A53" i="238" s="1"/>
  <c r="A54" i="238" s="1"/>
  <c r="A55" i="238" s="1"/>
  <c r="A56" i="238" s="1"/>
  <c r="A57" i="238" s="1"/>
  <c r="A58" i="238" s="1"/>
  <c r="A59" i="238" s="1"/>
  <c r="A60" i="238" s="1"/>
  <c r="A61" i="238" s="1"/>
  <c r="A62" i="238" s="1"/>
  <c r="A45" i="171"/>
  <c r="A46" i="171" s="1"/>
  <c r="A47" i="171" s="1"/>
  <c r="A48" i="171" s="1"/>
  <c r="A49" i="171" s="1"/>
  <c r="A50" i="171" s="1"/>
  <c r="A51" i="171" s="1"/>
  <c r="A52" i="171" s="1"/>
  <c r="A53" i="171" s="1"/>
  <c r="A54" i="171" s="1"/>
  <c r="A55" i="171" s="1"/>
  <c r="A56" i="171" s="1"/>
  <c r="A57" i="171" s="1"/>
  <c r="A58" i="171" s="1"/>
  <c r="A59" i="171" s="1"/>
  <c r="A60" i="171" s="1"/>
  <c r="A61" i="171" s="1"/>
  <c r="A62" i="171" s="1"/>
  <c r="A63" i="171" s="1"/>
  <c r="A64" i="171" s="1"/>
  <c r="A65" i="171" s="1"/>
  <c r="A66" i="171" s="1"/>
  <c r="A67" i="171" s="1"/>
  <c r="A63" i="238" l="1"/>
  <c r="A64" i="238" s="1"/>
  <c r="A65" i="238" s="1"/>
  <c r="A66" i="238" s="1"/>
  <c r="A67" i="238" s="1"/>
  <c r="A68" i="238" s="1"/>
  <c r="A14" i="233"/>
  <c r="A15" i="233" s="1"/>
  <c r="A16" i="233" s="1"/>
  <c r="A17" i="233" s="1"/>
  <c r="A18" i="233" s="1"/>
  <c r="A19" i="233" s="1"/>
  <c r="A20" i="233" s="1"/>
  <c r="A21" i="233" s="1"/>
  <c r="A22" i="233" s="1"/>
  <c r="A23" i="233" s="1"/>
  <c r="A24" i="233" s="1"/>
  <c r="A25" i="233" s="1"/>
  <c r="A26" i="233" s="1"/>
  <c r="A27" i="233" s="1"/>
  <c r="A28" i="233" s="1"/>
  <c r="A29" i="233" s="1"/>
  <c r="A30" i="233" s="1"/>
  <c r="A31" i="233" s="1"/>
  <c r="A32" i="233" s="1"/>
  <c r="A33" i="233" s="1"/>
  <c r="A34" i="233" s="1"/>
  <c r="A35" i="233" s="1"/>
  <c r="A36" i="233" s="1"/>
  <c r="A37" i="233" s="1"/>
  <c r="A38" i="233" s="1"/>
  <c r="A39" i="233" s="1"/>
  <c r="A40" i="233" s="1"/>
  <c r="A41" i="233" s="1"/>
  <c r="A42" i="233" s="1"/>
  <c r="A43" i="233" s="1"/>
  <c r="A44" i="233" s="1"/>
  <c r="A45" i="233" s="1"/>
  <c r="A46" i="233" s="1"/>
  <c r="A47" i="233" s="1"/>
  <c r="A48" i="233" s="1"/>
  <c r="A49" i="233" s="1"/>
  <c r="A14" i="230"/>
  <c r="A15" i="230" s="1"/>
  <c r="A16" i="230" s="1"/>
  <c r="A17" i="230" s="1"/>
  <c r="A18" i="230" s="1"/>
  <c r="A19" i="230" s="1"/>
  <c r="A20" i="230" s="1"/>
  <c r="A21" i="230" s="1"/>
  <c r="A22" i="230" s="1"/>
  <c r="A23" i="230" s="1"/>
  <c r="A24" i="230" s="1"/>
  <c r="A25" i="230" s="1"/>
  <c r="A26" i="230" s="1"/>
  <c r="A27" i="230" s="1"/>
  <c r="A28" i="230" s="1"/>
  <c r="A29" i="230" s="1"/>
  <c r="A30" i="230" s="1"/>
  <c r="A31" i="230" s="1"/>
  <c r="A32" i="230" s="1"/>
  <c r="A33" i="230" s="1"/>
  <c r="A34" i="230" s="1"/>
  <c r="A35" i="230" s="1"/>
  <c r="A36" i="230" s="1"/>
  <c r="A37" i="230" s="1"/>
  <c r="A38" i="230" s="1"/>
  <c r="A39" i="230" s="1"/>
  <c r="A40" i="230" s="1"/>
  <c r="A41" i="230" s="1"/>
  <c r="A42" i="230" s="1"/>
  <c r="A43" i="230" s="1"/>
  <c r="A44" i="230" s="1"/>
  <c r="A45" i="230" s="1"/>
  <c r="A46" i="230" s="1"/>
  <c r="A47" i="230" s="1"/>
  <c r="A48" i="230" s="1"/>
  <c r="A49" i="230" s="1"/>
  <c r="A14" i="244" l="1"/>
  <c r="A15" i="244" s="1"/>
  <c r="A16" i="244" s="1"/>
  <c r="A17" i="244" s="1"/>
  <c r="A18" i="244" s="1"/>
  <c r="A19" i="244" s="1"/>
  <c r="A20" i="244" s="1"/>
  <c r="A21" i="244" s="1"/>
  <c r="A22" i="244" s="1"/>
  <c r="A23" i="244" s="1"/>
  <c r="A24" i="244" s="1"/>
  <c r="A14" i="243"/>
  <c r="A15" i="243" s="1"/>
  <c r="A16" i="243" s="1"/>
  <c r="A17" i="243" s="1"/>
  <c r="A18" i="243" s="1"/>
  <c r="A19" i="243" s="1"/>
  <c r="A20" i="243" s="1"/>
  <c r="A21" i="243" s="1"/>
  <c r="A22" i="243" s="1"/>
  <c r="A23" i="243" s="1"/>
  <c r="A24" i="243" s="1"/>
  <c r="Q13" i="241" l="1"/>
  <c r="E10" i="228" l="1"/>
  <c r="E10" i="227"/>
  <c r="E10" i="226"/>
  <c r="E9" i="192"/>
  <c r="E10" i="193"/>
  <c r="E9" i="193"/>
  <c r="E10" i="190"/>
  <c r="E9" i="190"/>
  <c r="G47" i="230" l="1"/>
  <c r="F47" i="230"/>
  <c r="E47" i="230"/>
  <c r="D47" i="230"/>
  <c r="H47" i="230"/>
  <c r="I31" i="193" l="1"/>
  <c r="I34" i="193" l="1"/>
  <c r="E8" i="216"/>
  <c r="F8" i="216"/>
  <c r="G8" i="216"/>
  <c r="H8" i="216"/>
  <c r="I8" i="216"/>
  <c r="J8" i="216"/>
  <c r="K8" i="216"/>
  <c r="L8" i="216"/>
  <c r="M8" i="216"/>
  <c r="N8" i="216"/>
  <c r="O8" i="216"/>
  <c r="C8" i="216" s="1"/>
  <c r="D8" i="216"/>
  <c r="E8" i="214"/>
  <c r="F11" i="230" s="1"/>
  <c r="F8" i="214"/>
  <c r="G11" i="230" s="1"/>
  <c r="G8" i="214"/>
  <c r="H11" i="230" s="1"/>
  <c r="H8" i="214"/>
  <c r="I11" i="230" s="1"/>
  <c r="I8" i="214"/>
  <c r="J11" i="230" s="1"/>
  <c r="J8" i="214"/>
  <c r="K11" i="230" s="1"/>
  <c r="K8" i="214"/>
  <c r="L11" i="230" s="1"/>
  <c r="L8" i="214"/>
  <c r="M11" i="230" s="1"/>
  <c r="M8" i="214"/>
  <c r="N11" i="230" s="1"/>
  <c r="N8" i="214"/>
  <c r="O11" i="230" s="1"/>
  <c r="O8" i="214"/>
  <c r="C8" i="214" s="1"/>
  <c r="D8" i="214"/>
  <c r="E11" i="230" s="1"/>
  <c r="D11" i="230" l="1"/>
  <c r="P11" i="230"/>
  <c r="A14" i="212" l="1"/>
  <c r="A15" i="212" s="1"/>
  <c r="A16" i="212" s="1"/>
  <c r="A17" i="212" s="1"/>
  <c r="A18" i="212" s="1"/>
  <c r="A19" i="212" s="1"/>
  <c r="A20" i="212" l="1"/>
  <c r="A21" i="212" s="1"/>
  <c r="A22" i="212" s="1"/>
  <c r="A23" i="212" s="1"/>
  <c r="A24" i="212" s="1"/>
  <c r="A25" i="212" s="1"/>
  <c r="A26" i="212" s="1"/>
  <c r="A27" i="212" s="1"/>
  <c r="A28" i="212" s="1"/>
  <c r="A29" i="212" s="1"/>
  <c r="A30" i="212" s="1"/>
  <c r="A31" i="212" s="1"/>
  <c r="I20" i="212"/>
  <c r="G194" i="237" s="1"/>
  <c r="H189" i="209"/>
  <c r="M189" i="209" s="1"/>
  <c r="H187" i="213"/>
  <c r="M187" i="213" s="1"/>
  <c r="I21" i="212"/>
  <c r="H234" i="209"/>
  <c r="M234" i="209" s="1"/>
  <c r="G232" i="237"/>
  <c r="H233" i="213"/>
  <c r="H247" i="236" l="1"/>
  <c r="M247" i="236" s="1"/>
  <c r="H240" i="236"/>
  <c r="H243" i="236"/>
  <c r="H245" i="236"/>
  <c r="H235" i="236"/>
  <c r="H242" i="236"/>
  <c r="H241" i="236"/>
  <c r="H194" i="213"/>
  <c r="H124" i="207"/>
  <c r="H125" i="236"/>
  <c r="G186" i="207"/>
  <c r="G186" i="236"/>
  <c r="L186" i="236" s="1"/>
  <c r="G232" i="207"/>
  <c r="G231" i="236"/>
  <c r="H232" i="207"/>
  <c r="H231" i="236"/>
  <c r="F231" i="237"/>
  <c r="G233" i="209"/>
  <c r="G232" i="213"/>
  <c r="H232" i="213"/>
  <c r="H240" i="213" s="1"/>
  <c r="M240" i="213" s="1"/>
  <c r="G231" i="237"/>
  <c r="H233" i="209"/>
  <c r="M233" i="209" s="1"/>
  <c r="G186" i="237"/>
  <c r="G206" i="237" s="1"/>
  <c r="H186" i="213"/>
  <c r="H203" i="213" s="1"/>
  <c r="M203" i="213" s="1"/>
  <c r="H188" i="209"/>
  <c r="G188" i="209"/>
  <c r="G186" i="213"/>
  <c r="F186" i="237"/>
  <c r="F206" i="237" s="1"/>
  <c r="G125" i="237"/>
  <c r="H127" i="209"/>
  <c r="H124" i="213"/>
  <c r="H186" i="236"/>
  <c r="H203" i="236" s="1"/>
  <c r="H186" i="207"/>
  <c r="H232" i="236"/>
  <c r="H233" i="207"/>
  <c r="H246" i="213"/>
  <c r="H257" i="213"/>
  <c r="H258" i="213"/>
  <c r="H236" i="213"/>
  <c r="H256" i="213"/>
  <c r="G187" i="237"/>
  <c r="H187" i="207"/>
  <c r="I17" i="212"/>
  <c r="I14" i="212"/>
  <c r="I15" i="212"/>
  <c r="G202" i="209" l="1"/>
  <c r="G207" i="209"/>
  <c r="G209" i="209"/>
  <c r="G211" i="209"/>
  <c r="G213" i="209"/>
  <c r="G215" i="209"/>
  <c r="G203" i="209"/>
  <c r="G210" i="209"/>
  <c r="G214" i="209"/>
  <c r="G226" i="209"/>
  <c r="G198" i="209"/>
  <c r="G200" i="209"/>
  <c r="G205" i="209"/>
  <c r="G208" i="209"/>
  <c r="G212" i="209"/>
  <c r="G216" i="209"/>
  <c r="G199" i="209"/>
  <c r="L199" i="209" s="1"/>
  <c r="G220" i="209"/>
  <c r="H199" i="209"/>
  <c r="H220" i="209"/>
  <c r="H198" i="209"/>
  <c r="M198" i="209" s="1"/>
  <c r="H205" i="209"/>
  <c r="H210" i="209"/>
  <c r="H216" i="209"/>
  <c r="H226" i="209"/>
  <c r="H202" i="209"/>
  <c r="H207" i="209"/>
  <c r="H209" i="209"/>
  <c r="H211" i="209"/>
  <c r="H213" i="209"/>
  <c r="H215" i="209"/>
  <c r="H200" i="209"/>
  <c r="H203" i="209"/>
  <c r="M203" i="209" s="1"/>
  <c r="H208" i="209"/>
  <c r="H212" i="209"/>
  <c r="H214" i="209"/>
  <c r="M189" i="207"/>
  <c r="M187" i="207"/>
  <c r="M194" i="213"/>
  <c r="G163" i="237"/>
  <c r="G165" i="237"/>
  <c r="G167" i="237"/>
  <c r="G164" i="237"/>
  <c r="G166" i="237"/>
  <c r="G168" i="237"/>
  <c r="H244" i="236"/>
  <c r="M244" i="236" s="1"/>
  <c r="H236" i="236"/>
  <c r="M236" i="236" s="1"/>
  <c r="H259" i="236"/>
  <c r="M259" i="236" s="1"/>
  <c r="H239" i="236"/>
  <c r="H237" i="236"/>
  <c r="M237" i="236" s="1"/>
  <c r="H238" i="236"/>
  <c r="M238" i="236" s="1"/>
  <c r="H248" i="236"/>
  <c r="M248" i="236" s="1"/>
  <c r="H239" i="207"/>
  <c r="M239" i="207" s="1"/>
  <c r="H238" i="207"/>
  <c r="M238" i="207" s="1"/>
  <c r="H260" i="207"/>
  <c r="M260" i="207" s="1"/>
  <c r="H163" i="209"/>
  <c r="M163" i="209" s="1"/>
  <c r="H165" i="209"/>
  <c r="M165" i="209" s="1"/>
  <c r="H167" i="209"/>
  <c r="M167" i="209" s="1"/>
  <c r="H164" i="209"/>
  <c r="M164" i="209" s="1"/>
  <c r="H166" i="209"/>
  <c r="M166" i="209" s="1"/>
  <c r="H168" i="209"/>
  <c r="M168" i="209" s="1"/>
  <c r="L208" i="209"/>
  <c r="L210" i="209"/>
  <c r="L188" i="209"/>
  <c r="L200" i="209"/>
  <c r="L209" i="209"/>
  <c r="L203" i="209"/>
  <c r="L205" i="209"/>
  <c r="G195" i="209"/>
  <c r="L195" i="209" s="1"/>
  <c r="L211" i="209"/>
  <c r="L198" i="209"/>
  <c r="L202" i="209"/>
  <c r="L207" i="209"/>
  <c r="G244" i="236"/>
  <c r="G238" i="236"/>
  <c r="G236" i="236"/>
  <c r="G248" i="236"/>
  <c r="L248" i="236" s="1"/>
  <c r="G239" i="236"/>
  <c r="L239" i="236" s="1"/>
  <c r="G237" i="236"/>
  <c r="G259" i="236"/>
  <c r="L259" i="236" s="1"/>
  <c r="M199" i="209"/>
  <c r="M205" i="209"/>
  <c r="H195" i="209"/>
  <c r="M195" i="209" s="1"/>
  <c r="M208" i="209"/>
  <c r="M210" i="209"/>
  <c r="M202" i="209"/>
  <c r="M200" i="209"/>
  <c r="M207" i="209"/>
  <c r="M209" i="209"/>
  <c r="M211" i="209"/>
  <c r="G239" i="207"/>
  <c r="G260" i="207"/>
  <c r="G238" i="207"/>
  <c r="M243" i="236"/>
  <c r="H248" i="207"/>
  <c r="H241" i="207"/>
  <c r="H242" i="207"/>
  <c r="H259" i="207"/>
  <c r="H244" i="207"/>
  <c r="H243" i="207"/>
  <c r="H256" i="236"/>
  <c r="M256" i="236" s="1"/>
  <c r="H257" i="236"/>
  <c r="M257" i="236" s="1"/>
  <c r="H255" i="236"/>
  <c r="M255" i="236" s="1"/>
  <c r="M242" i="236"/>
  <c r="M240" i="236"/>
  <c r="M245" i="236"/>
  <c r="M241" i="236"/>
  <c r="M235" i="236"/>
  <c r="G191" i="237"/>
  <c r="G188" i="237"/>
  <c r="G192" i="237"/>
  <c r="G196" i="237"/>
  <c r="G198" i="237"/>
  <c r="G200" i="237"/>
  <c r="G193" i="237"/>
  <c r="G197" i="237"/>
  <c r="G201" i="237"/>
  <c r="F188" i="237"/>
  <c r="F192" i="237"/>
  <c r="F196" i="237"/>
  <c r="F198" i="237"/>
  <c r="F200" i="237"/>
  <c r="F191" i="237"/>
  <c r="F193" i="237"/>
  <c r="F197" i="237"/>
  <c r="F201" i="237"/>
  <c r="H160" i="236"/>
  <c r="H162" i="236"/>
  <c r="H159" i="236"/>
  <c r="H161" i="236"/>
  <c r="H163" i="236"/>
  <c r="H240" i="207"/>
  <c r="M240" i="207" s="1"/>
  <c r="H264" i="207"/>
  <c r="H160" i="213"/>
  <c r="H159" i="213"/>
  <c r="H161" i="213"/>
  <c r="H163" i="213"/>
  <c r="H165" i="213"/>
  <c r="H167" i="213"/>
  <c r="H169" i="213"/>
  <c r="H162" i="213"/>
  <c r="H168" i="213"/>
  <c r="H164" i="213"/>
  <c r="H166" i="213"/>
  <c r="H159" i="207"/>
  <c r="H161" i="207"/>
  <c r="H168" i="207"/>
  <c r="M168" i="207" s="1"/>
  <c r="H170" i="207"/>
  <c r="M170" i="207" s="1"/>
  <c r="H175" i="207"/>
  <c r="H166" i="207"/>
  <c r="H171" i="207"/>
  <c r="M171" i="207" s="1"/>
  <c r="H163" i="207"/>
  <c r="M163" i="207" s="1"/>
  <c r="H165" i="207"/>
  <c r="H172" i="207"/>
  <c r="H174" i="207"/>
  <c r="H160" i="207"/>
  <c r="H162" i="207"/>
  <c r="H167" i="207"/>
  <c r="H169" i="207"/>
  <c r="H164" i="207"/>
  <c r="M164" i="207" s="1"/>
  <c r="H173" i="207"/>
  <c r="H214" i="213"/>
  <c r="M214" i="213" s="1"/>
  <c r="H218" i="213"/>
  <c r="M218" i="213" s="1"/>
  <c r="G218" i="213"/>
  <c r="G214" i="213"/>
  <c r="G240" i="207"/>
  <c r="H194" i="207"/>
  <c r="G240" i="213"/>
  <c r="H246" i="236"/>
  <c r="M246" i="236" s="1"/>
  <c r="G246" i="236"/>
  <c r="D27" i="102"/>
  <c r="D28" i="102" s="1"/>
  <c r="H206" i="236"/>
  <c r="M206" i="236" s="1"/>
  <c r="F21" i="247"/>
  <c r="D23" i="103"/>
  <c r="E25" i="100"/>
  <c r="D18" i="239"/>
  <c r="E21" i="105"/>
  <c r="D22" i="102"/>
  <c r="M203" i="236"/>
  <c r="H218" i="236"/>
  <c r="M218" i="236" s="1"/>
  <c r="H211" i="236"/>
  <c r="M211" i="236" s="1"/>
  <c r="H224" i="236"/>
  <c r="H213" i="236"/>
  <c r="M213" i="236" s="1"/>
  <c r="H214" i="236"/>
  <c r="M214" i="236" s="1"/>
  <c r="H207" i="236"/>
  <c r="M207" i="236" s="1"/>
  <c r="H209" i="236"/>
  <c r="M209" i="236" s="1"/>
  <c r="H210" i="236"/>
  <c r="M210" i="236" s="1"/>
  <c r="H212" i="236"/>
  <c r="M212" i="236" s="1"/>
  <c r="H205" i="236"/>
  <c r="M205" i="236" s="1"/>
  <c r="H208" i="236"/>
  <c r="M208" i="236" s="1"/>
  <c r="H258" i="236"/>
  <c r="M258" i="236" s="1"/>
  <c r="E39" i="100"/>
  <c r="D22" i="239"/>
  <c r="D37" i="103"/>
  <c r="D32" i="102"/>
  <c r="F27" i="247"/>
  <c r="E31" i="105"/>
  <c r="E26" i="105"/>
  <c r="D20" i="239"/>
  <c r="E32" i="100"/>
  <c r="D30" i="103"/>
  <c r="F24" i="247"/>
  <c r="H257" i="207"/>
  <c r="H256" i="207"/>
  <c r="H236" i="207"/>
  <c r="H246" i="207"/>
  <c r="H258" i="207"/>
  <c r="M194" i="207" l="1"/>
  <c r="L260" i="207"/>
  <c r="L239" i="207"/>
  <c r="L244" i="236"/>
  <c r="L236" i="236"/>
  <c r="M239" i="236"/>
  <c r="L246" i="236"/>
  <c r="L238" i="207"/>
  <c r="L237" i="236"/>
  <c r="L238" i="236"/>
  <c r="M259" i="207"/>
  <c r="M242" i="207"/>
  <c r="M243" i="207"/>
  <c r="M241" i="207"/>
  <c r="M244" i="207"/>
  <c r="M248" i="207"/>
  <c r="M161" i="236"/>
  <c r="M159" i="236"/>
  <c r="M162" i="236"/>
  <c r="M163" i="236"/>
  <c r="M160" i="236"/>
  <c r="M163" i="213"/>
  <c r="M166" i="213"/>
  <c r="M169" i="213"/>
  <c r="M161" i="213"/>
  <c r="M162" i="213"/>
  <c r="M164" i="213"/>
  <c r="M167" i="213"/>
  <c r="M159" i="213"/>
  <c r="M168" i="213"/>
  <c r="M165" i="213"/>
  <c r="M160" i="213"/>
  <c r="M169" i="207"/>
  <c r="M167" i="207"/>
  <c r="M161" i="207"/>
  <c r="M160" i="207"/>
  <c r="M166" i="207"/>
  <c r="M162" i="207"/>
  <c r="M165" i="207"/>
  <c r="M159" i="207"/>
  <c r="L214" i="213"/>
  <c r="L218" i="213"/>
  <c r="L240" i="207"/>
  <c r="L240" i="213"/>
  <c r="A13" i="222" l="1"/>
  <c r="A14" i="222" s="1"/>
  <c r="A15" i="222" s="1"/>
  <c r="A16" i="222" s="1"/>
  <c r="A17" i="222" s="1"/>
  <c r="A18" i="222" s="1"/>
  <c r="A19" i="222" s="1"/>
  <c r="A20" i="222" s="1"/>
  <c r="A21" i="222" s="1"/>
  <c r="A22" i="222" s="1"/>
  <c r="A23" i="222" s="1"/>
  <c r="A24" i="222" s="1"/>
  <c r="A25" i="222" s="1"/>
  <c r="A26" i="222" s="1"/>
  <c r="A27" i="222" s="1"/>
  <c r="A28" i="222" s="1"/>
  <c r="A13" i="44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113" i="44" l="1"/>
  <c r="A112" i="222"/>
  <c r="P14" i="44"/>
  <c r="D14" i="48" l="1"/>
  <c r="D176" i="45"/>
  <c r="A14" i="79"/>
  <c r="A15" i="79" s="1"/>
  <c r="A16" i="79" s="1"/>
  <c r="A17" i="79" s="1"/>
  <c r="A18" i="79" s="1"/>
  <c r="A14" i="45"/>
  <c r="A15" i="45" s="1"/>
  <c r="A16" i="45" s="1"/>
  <c r="A17" i="45" s="1"/>
  <c r="A18" i="45" s="1"/>
  <c r="A19" i="45" s="1"/>
  <c r="A20" i="45" l="1"/>
  <c r="A21" i="45" s="1"/>
  <c r="A22" i="45" s="1"/>
  <c r="A23" i="45" s="1"/>
  <c r="A24" i="45" s="1"/>
  <c r="A25" i="45" s="1"/>
  <c r="A26" i="45" s="1"/>
  <c r="A27" i="45" s="1"/>
  <c r="A28" i="45" s="1"/>
  <c r="A29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A42" i="45" s="1"/>
  <c r="A43" i="45" s="1"/>
  <c r="A44" i="45" s="1"/>
  <c r="A45" i="45" s="1"/>
  <c r="A46" i="45" s="1"/>
  <c r="A47" i="45" s="1"/>
  <c r="A48" i="45" s="1"/>
  <c r="A49" i="45" s="1"/>
  <c r="A50" i="45" s="1"/>
  <c r="A51" i="45" s="1"/>
  <c r="A52" i="45" s="1"/>
  <c r="A53" i="45" s="1"/>
  <c r="A54" i="45" s="1"/>
  <c r="A55" i="45" s="1"/>
  <c r="A56" i="45" s="1"/>
  <c r="A57" i="45" s="1"/>
  <c r="A58" i="45" s="1"/>
  <c r="A59" i="45" s="1"/>
  <c r="A60" i="45" s="1"/>
  <c r="A61" i="45" s="1"/>
  <c r="A62" i="45" s="1"/>
  <c r="A63" i="45" s="1"/>
  <c r="A64" i="45" s="1"/>
  <c r="A65" i="45" s="1"/>
  <c r="A66" i="45" s="1"/>
  <c r="A67" i="45" s="1"/>
  <c r="A68" i="45" s="1"/>
  <c r="A69" i="45" s="1"/>
  <c r="A70" i="45" s="1"/>
  <c r="A71" i="45" s="1"/>
  <c r="A72" i="45" s="1"/>
  <c r="A73" i="45" s="1"/>
  <c r="A74" i="45" s="1"/>
  <c r="A75" i="45" s="1"/>
  <c r="A76" i="45" s="1"/>
  <c r="A77" i="45" s="1"/>
  <c r="A78" i="45" s="1"/>
  <c r="A79" i="45" s="1"/>
  <c r="A80" i="45" s="1"/>
  <c r="A81" i="45" s="1"/>
  <c r="A82" i="45" s="1"/>
  <c r="A83" i="45" s="1"/>
  <c r="A84" i="45" s="1"/>
  <c r="A85" i="45" s="1"/>
  <c r="A86" i="45" s="1"/>
  <c r="A87" i="45" s="1"/>
  <c r="A88" i="45" s="1"/>
  <c r="A89" i="45" s="1"/>
  <c r="A90" i="45" s="1"/>
  <c r="A91" i="45" s="1"/>
  <c r="A92" i="45" s="1"/>
  <c r="A93" i="45" s="1"/>
  <c r="A94" i="45" s="1"/>
  <c r="A95" i="45" s="1"/>
  <c r="A96" i="45" s="1"/>
  <c r="A97" i="45" s="1"/>
  <c r="A98" i="45" s="1"/>
  <c r="A99" i="45" s="1"/>
  <c r="A100" i="45" s="1"/>
  <c r="A101" i="45" s="1"/>
  <c r="A102" i="45" s="1"/>
  <c r="A103" i="45" s="1"/>
  <c r="A104" i="45" s="1"/>
  <c r="A105" i="45" s="1"/>
  <c r="A106" i="45" s="1"/>
  <c r="A107" i="45" s="1"/>
  <c r="A108" i="45" s="1"/>
  <c r="A109" i="45" s="1"/>
  <c r="A110" i="45" s="1"/>
  <c r="A111" i="45" s="1"/>
  <c r="A112" i="45" s="1"/>
  <c r="A113" i="45" s="1"/>
  <c r="A114" i="45" s="1"/>
  <c r="A115" i="45" s="1"/>
  <c r="A116" i="45" s="1"/>
  <c r="A117" i="45" s="1"/>
  <c r="A118" i="45" s="1"/>
  <c r="A119" i="45" s="1"/>
  <c r="A120" i="45" s="1"/>
  <c r="A121" i="45" s="1"/>
  <c r="A122" i="45" s="1"/>
  <c r="A123" i="45" s="1"/>
  <c r="A124" i="45" s="1"/>
  <c r="A125" i="45" s="1"/>
  <c r="A126" i="45" s="1"/>
  <c r="A127" i="45" s="1"/>
  <c r="A128" i="45" s="1"/>
  <c r="A129" i="45" s="1"/>
  <c r="A130" i="45" s="1"/>
  <c r="A131" i="45" s="1"/>
  <c r="A132" i="45" s="1"/>
  <c r="A133" i="45" s="1"/>
  <c r="A134" i="45" s="1"/>
  <c r="A135" i="45" s="1"/>
  <c r="A136" i="45" s="1"/>
  <c r="A137" i="45" s="1"/>
  <c r="A138" i="45" s="1"/>
  <c r="A139" i="45" s="1"/>
  <c r="A140" i="45" s="1"/>
  <c r="A141" i="45" s="1"/>
  <c r="A142" i="45" s="1"/>
  <c r="A143" i="45" s="1"/>
  <c r="A144" i="45" s="1"/>
  <c r="A145" i="45" s="1"/>
  <c r="A146" i="45" s="1"/>
  <c r="A147" i="45" s="1"/>
  <c r="A148" i="45" s="1"/>
  <c r="A149" i="45" s="1"/>
  <c r="A150" i="45" s="1"/>
  <c r="A151" i="45" s="1"/>
  <c r="A152" i="45" s="1"/>
  <c r="A153" i="45" s="1"/>
  <c r="A154" i="45" s="1"/>
  <c r="A155" i="45" s="1"/>
  <c r="A156" i="45" s="1"/>
  <c r="A157" i="45" s="1"/>
  <c r="A158" i="45" s="1"/>
  <c r="A159" i="45" s="1"/>
  <c r="A160" i="45" s="1"/>
  <c r="A161" i="45" s="1"/>
  <c r="A162" i="45" s="1"/>
  <c r="A163" i="45" s="1"/>
  <c r="A164" i="45" s="1"/>
  <c r="A165" i="45" s="1"/>
  <c r="A166" i="45" s="1"/>
  <c r="A167" i="45" s="1"/>
  <c r="A168" i="45" s="1"/>
  <c r="A169" i="45" s="1"/>
  <c r="A170" i="45" s="1"/>
  <c r="A171" i="45" s="1"/>
  <c r="A172" i="45" s="1"/>
  <c r="A173" i="45" s="1"/>
  <c r="A174" i="45" s="1"/>
  <c r="A175" i="45" s="1"/>
  <c r="A176" i="45" s="1"/>
  <c r="A19" i="79"/>
  <c r="A20" i="79" s="1"/>
  <c r="A21" i="79" s="1"/>
  <c r="A22" i="79" s="1"/>
  <c r="A23" i="79" s="1"/>
  <c r="A24" i="79" s="1"/>
  <c r="A25" i="79" s="1"/>
  <c r="A26" i="79" s="1"/>
  <c r="A27" i="79" s="1"/>
  <c r="A28" i="79" s="1"/>
  <c r="A29" i="79" s="1"/>
  <c r="A30" i="79" s="1"/>
  <c r="A31" i="79" s="1"/>
  <c r="A32" i="79" s="1"/>
  <c r="A33" i="79" s="1"/>
  <c r="A34" i="79" s="1"/>
  <c r="A35" i="79" s="1"/>
  <c r="A36" i="79" s="1"/>
  <c r="A37" i="79" s="1"/>
  <c r="A38" i="79" s="1"/>
  <c r="A39" i="79" s="1"/>
  <c r="A40" i="79" s="1"/>
  <c r="A41" i="79" s="1"/>
  <c r="A42" i="79" s="1"/>
  <c r="A43" i="79" s="1"/>
  <c r="A44" i="79" s="1"/>
  <c r="A45" i="79" s="1"/>
  <c r="A46" i="79" s="1"/>
  <c r="A47" i="79" s="1"/>
  <c r="A48" i="79" s="1"/>
  <c r="A49" i="79" s="1"/>
  <c r="A50" i="79" s="1"/>
  <c r="A51" i="79" s="1"/>
  <c r="A52" i="79" s="1"/>
  <c r="A53" i="79" s="1"/>
  <c r="A54" i="79" s="1"/>
  <c r="A55" i="79" s="1"/>
  <c r="A56" i="79" s="1"/>
  <c r="A57" i="79" s="1"/>
  <c r="A58" i="79" s="1"/>
  <c r="A59" i="79" s="1"/>
  <c r="A60" i="79" s="1"/>
  <c r="A61" i="79" s="1"/>
  <c r="A62" i="79" s="1"/>
  <c r="A63" i="79" s="1"/>
  <c r="A64" i="79" s="1"/>
  <c r="A65" i="79" s="1"/>
  <c r="A66" i="79" s="1"/>
  <c r="A67" i="79" s="1"/>
  <c r="A68" i="79" s="1"/>
  <c r="A69" i="79" s="1"/>
  <c r="A70" i="79" s="1"/>
  <c r="A71" i="79" s="1"/>
  <c r="A72" i="79" s="1"/>
  <c r="A73" i="79" s="1"/>
  <c r="A74" i="79" s="1"/>
  <c r="A75" i="79" s="1"/>
  <c r="A76" i="79" s="1"/>
  <c r="A77" i="79" s="1"/>
  <c r="A78" i="79" s="1"/>
  <c r="A79" i="79" s="1"/>
  <c r="A80" i="79" s="1"/>
  <c r="A81" i="79" s="1"/>
  <c r="A82" i="79" s="1"/>
  <c r="A83" i="79" s="1"/>
  <c r="A84" i="79" s="1"/>
  <c r="A85" i="79" s="1"/>
  <c r="A86" i="79" s="1"/>
  <c r="A87" i="79" s="1"/>
  <c r="A88" i="79" s="1"/>
  <c r="A89" i="79" s="1"/>
  <c r="A90" i="79" s="1"/>
  <c r="A91" i="79" s="1"/>
  <c r="A92" i="79" s="1"/>
  <c r="A93" i="79" s="1"/>
  <c r="A94" i="79" s="1"/>
  <c r="A95" i="79" s="1"/>
  <c r="A96" i="79" s="1"/>
  <c r="A97" i="79" s="1"/>
  <c r="A98" i="79" s="1"/>
  <c r="A99" i="79" s="1"/>
  <c r="A100" i="79" s="1"/>
  <c r="A101" i="79" s="1"/>
  <c r="A102" i="79" s="1"/>
  <c r="A103" i="79" s="1"/>
  <c r="A104" i="79" s="1"/>
  <c r="A105" i="79" s="1"/>
  <c r="A106" i="79" s="1"/>
  <c r="A107" i="79" s="1"/>
  <c r="A108" i="79" s="1"/>
  <c r="A109" i="79" s="1"/>
  <c r="A110" i="79" s="1"/>
  <c r="A111" i="79" s="1"/>
  <c r="A112" i="79" s="1"/>
  <c r="A113" i="79" s="1"/>
  <c r="A114" i="79" s="1"/>
  <c r="A115" i="79" s="1"/>
  <c r="A116" i="79" s="1"/>
  <c r="A117" i="79" s="1"/>
  <c r="A118" i="79" s="1"/>
  <c r="A119" i="79" s="1"/>
  <c r="A120" i="79" s="1"/>
  <c r="A121" i="79" s="1"/>
  <c r="A122" i="79" s="1"/>
  <c r="A123" i="79" s="1"/>
  <c r="A124" i="79" s="1"/>
  <c r="A125" i="79" s="1"/>
  <c r="A126" i="79" s="1"/>
  <c r="A127" i="79" s="1"/>
  <c r="A128" i="79" s="1"/>
  <c r="A129" i="79" s="1"/>
  <c r="A130" i="79" s="1"/>
  <c r="A131" i="79" s="1"/>
  <c r="A132" i="79" s="1"/>
  <c r="A133" i="79" s="1"/>
  <c r="A134" i="79" s="1"/>
  <c r="A135" i="79" s="1"/>
  <c r="A136" i="79" s="1"/>
  <c r="A137" i="79" s="1"/>
  <c r="A138" i="79" s="1"/>
  <c r="A139" i="79" s="1"/>
  <c r="A140" i="79" s="1"/>
  <c r="A141" i="79" s="1"/>
  <c r="A142" i="79" s="1"/>
  <c r="A143" i="79" s="1"/>
  <c r="A144" i="79" s="1"/>
  <c r="A145" i="79" s="1"/>
  <c r="A146" i="79" s="1"/>
  <c r="A147" i="79" s="1"/>
  <c r="A148" i="79" s="1"/>
  <c r="A149" i="79" s="1"/>
  <c r="A150" i="79" s="1"/>
  <c r="A151" i="79" s="1"/>
  <c r="A152" i="79" s="1"/>
  <c r="A153" i="79" s="1"/>
  <c r="A154" i="79" s="1"/>
  <c r="A155" i="79" s="1"/>
  <c r="A156" i="79" s="1"/>
  <c r="A157" i="79" s="1"/>
  <c r="A158" i="79" s="1"/>
  <c r="A159" i="79" s="1"/>
  <c r="A160" i="79" s="1"/>
  <c r="A161" i="79" s="1"/>
  <c r="A162" i="79" s="1"/>
  <c r="A163" i="79" s="1"/>
  <c r="A164" i="79" s="1"/>
  <c r="A165" i="79" s="1"/>
  <c r="A166" i="79" s="1"/>
  <c r="A167" i="79" s="1"/>
  <c r="A168" i="79" s="1"/>
  <c r="A169" i="79" s="1"/>
  <c r="A170" i="79" s="1"/>
  <c r="A171" i="79" s="1"/>
  <c r="A172" i="79" s="1"/>
  <c r="A173" i="79" s="1"/>
  <c r="A174" i="79" s="1"/>
  <c r="A175" i="79" s="1"/>
  <c r="A176" i="79" s="1"/>
  <c r="A177" i="79" s="1"/>
  <c r="G113" i="44" l="1"/>
  <c r="F113" i="44"/>
  <c r="I113" i="44"/>
  <c r="E113" i="44"/>
  <c r="H113" i="44"/>
  <c r="E11" i="242" l="1"/>
  <c r="F11" i="242"/>
  <c r="G11" i="242"/>
  <c r="H11" i="242"/>
  <c r="I11" i="242"/>
  <c r="J11" i="242"/>
  <c r="K11" i="242"/>
  <c r="L11" i="242"/>
  <c r="M11" i="242"/>
  <c r="N11" i="242"/>
  <c r="O11" i="242"/>
  <c r="P11" i="242"/>
  <c r="D11" i="242"/>
  <c r="E11" i="241"/>
  <c r="F11" i="241"/>
  <c r="G11" i="241"/>
  <c r="H11" i="241"/>
  <c r="I11" i="241"/>
  <c r="J11" i="241"/>
  <c r="K11" i="241"/>
  <c r="L11" i="241"/>
  <c r="M11" i="241"/>
  <c r="N11" i="241"/>
  <c r="O11" i="241"/>
  <c r="P11" i="241"/>
  <c r="D11" i="241"/>
  <c r="E11" i="233"/>
  <c r="F11" i="233"/>
  <c r="G11" i="233"/>
  <c r="H11" i="233"/>
  <c r="I11" i="233"/>
  <c r="J11" i="233"/>
  <c r="K11" i="233"/>
  <c r="L11" i="233"/>
  <c r="M11" i="233"/>
  <c r="N11" i="233"/>
  <c r="O11" i="233"/>
  <c r="P11" i="233"/>
  <c r="D11" i="233"/>
  <c r="K9" i="99" l="1"/>
  <c r="K8" i="8"/>
  <c r="L9" i="34"/>
  <c r="O9" i="35"/>
  <c r="L9" i="36"/>
  <c r="I9" i="239"/>
  <c r="I10" i="103"/>
  <c r="E9" i="106"/>
  <c r="I9" i="102"/>
  <c r="K10" i="247"/>
  <c r="J10" i="100"/>
  <c r="J10" i="105"/>
  <c r="J10" i="104"/>
  <c r="F9" i="107"/>
  <c r="F10" i="228"/>
  <c r="G10" i="228"/>
  <c r="H10" i="228"/>
  <c r="I10" i="228"/>
  <c r="J10" i="228"/>
  <c r="K10" i="228"/>
  <c r="L10" i="228"/>
  <c r="M10" i="228"/>
  <c r="N10" i="228"/>
  <c r="O10" i="228"/>
  <c r="D10" i="228"/>
  <c r="F10" i="227"/>
  <c r="G10" i="227"/>
  <c r="H10" i="227"/>
  <c r="I10" i="227"/>
  <c r="J10" i="227"/>
  <c r="K10" i="227"/>
  <c r="L10" i="227"/>
  <c r="M10" i="227"/>
  <c r="N10" i="227"/>
  <c r="O10" i="227"/>
  <c r="F10" i="226"/>
  <c r="G10" i="226"/>
  <c r="H10" i="226"/>
  <c r="I10" i="226"/>
  <c r="J10" i="226"/>
  <c r="K10" i="226"/>
  <c r="L10" i="226"/>
  <c r="M10" i="226"/>
  <c r="N10" i="226"/>
  <c r="O10" i="226"/>
  <c r="D10" i="226"/>
  <c r="A16" i="237" l="1"/>
  <c r="A17" i="237" s="1"/>
  <c r="A16" i="209"/>
  <c r="A17" i="209" s="1"/>
  <c r="A16" i="236"/>
  <c r="A17" i="236" s="1"/>
  <c r="A18" i="237" l="1"/>
  <c r="A19" i="237" s="1"/>
  <c r="A20" i="237" s="1"/>
  <c r="A21" i="237" s="1"/>
  <c r="A18" i="209"/>
  <c r="A19" i="209" s="1"/>
  <c r="A20" i="209" s="1"/>
  <c r="A21" i="209" s="1"/>
  <c r="A22" i="209" s="1"/>
  <c r="A23" i="209" s="1"/>
  <c r="A24" i="209" s="1"/>
  <c r="A25" i="209" s="1"/>
  <c r="A26" i="209" s="1"/>
  <c r="A27" i="209" s="1"/>
  <c r="A28" i="209" s="1"/>
  <c r="A29" i="209" s="1"/>
  <c r="A30" i="209" s="1"/>
  <c r="A31" i="209" s="1"/>
  <c r="A32" i="209" s="1"/>
  <c r="A33" i="209" s="1"/>
  <c r="A34" i="209" s="1"/>
  <c r="A35" i="209" s="1"/>
  <c r="A36" i="209" s="1"/>
  <c r="A37" i="209" s="1"/>
  <c r="A38" i="209" s="1"/>
  <c r="A39" i="209" s="1"/>
  <c r="A40" i="209" s="1"/>
  <c r="A41" i="209" s="1"/>
  <c r="A42" i="209" s="1"/>
  <c r="A43" i="209" s="1"/>
  <c r="A44" i="209" s="1"/>
  <c r="A45" i="209" s="1"/>
  <c r="A46" i="209" s="1"/>
  <c r="A47" i="209" s="1"/>
  <c r="A48" i="209" s="1"/>
  <c r="A49" i="209" s="1"/>
  <c r="A50" i="209" s="1"/>
  <c r="A51" i="209" s="1"/>
  <c r="A52" i="209" s="1"/>
  <c r="A53" i="209" s="1"/>
  <c r="A54" i="209" s="1"/>
  <c r="A55" i="209" s="1"/>
  <c r="A18" i="236"/>
  <c r="A19" i="236" s="1"/>
  <c r="A20" i="236" s="1"/>
  <c r="A21" i="236" s="1"/>
  <c r="A16" i="213"/>
  <c r="A17" i="213" s="1"/>
  <c r="A16" i="207"/>
  <c r="A17" i="207" s="1"/>
  <c r="A116" i="209" l="1"/>
  <c r="A117" i="209" s="1"/>
  <c r="A118" i="209" s="1"/>
  <c r="A119" i="209" s="1"/>
  <c r="A120" i="209" s="1"/>
  <c r="A121" i="209" s="1"/>
  <c r="A122" i="209" s="1"/>
  <c r="A123" i="209" s="1"/>
  <c r="A124" i="209" s="1"/>
  <c r="A125" i="209" s="1"/>
  <c r="A126" i="209" s="1"/>
  <c r="A127" i="209" s="1"/>
  <c r="A128" i="209" s="1"/>
  <c r="A129" i="209" s="1"/>
  <c r="A130" i="209" s="1"/>
  <c r="A131" i="209" s="1"/>
  <c r="A132" i="209" s="1"/>
  <c r="A133" i="209" s="1"/>
  <c r="A134" i="209" s="1"/>
  <c r="A135" i="209" s="1"/>
  <c r="A136" i="209" s="1"/>
  <c r="A137" i="209" s="1"/>
  <c r="A138" i="209" s="1"/>
  <c r="A139" i="209" s="1"/>
  <c r="A140" i="209" s="1"/>
  <c r="A141" i="209" s="1"/>
  <c r="A142" i="209" s="1"/>
  <c r="A143" i="209" s="1"/>
  <c r="A144" i="209" s="1"/>
  <c r="A145" i="209" s="1"/>
  <c r="A146" i="209" s="1"/>
  <c r="A147" i="209" s="1"/>
  <c r="A148" i="209" s="1"/>
  <c r="A149" i="209" s="1"/>
  <c r="A150" i="209" s="1"/>
  <c r="A151" i="209" s="1"/>
  <c r="A152" i="209" s="1"/>
  <c r="A153" i="209" s="1"/>
  <c r="A154" i="209" s="1"/>
  <c r="A155" i="209" s="1"/>
  <c r="A156" i="209" s="1"/>
  <c r="A157" i="209" s="1"/>
  <c r="A158" i="209" s="1"/>
  <c r="A159" i="209" s="1"/>
  <c r="A22" i="237"/>
  <c r="A23" i="237" s="1"/>
  <c r="A24" i="237" s="1"/>
  <c r="A25" i="237" s="1"/>
  <c r="A26" i="237" s="1"/>
  <c r="A27" i="237" s="1"/>
  <c r="A28" i="237" s="1"/>
  <c r="A29" i="237" s="1"/>
  <c r="A30" i="237" s="1"/>
  <c r="A31" i="237" s="1"/>
  <c r="A32" i="237" s="1"/>
  <c r="A33" i="237" s="1"/>
  <c r="A34" i="237" s="1"/>
  <c r="A35" i="237" s="1"/>
  <c r="A36" i="237" s="1"/>
  <c r="A37" i="237" s="1"/>
  <c r="A38" i="237" s="1"/>
  <c r="A39" i="237" s="1"/>
  <c r="A40" i="237" s="1"/>
  <c r="A41" i="237" s="1"/>
  <c r="A42" i="237" s="1"/>
  <c r="A43" i="237" s="1"/>
  <c r="A44" i="237" s="1"/>
  <c r="A45" i="237" s="1"/>
  <c r="A46" i="237" s="1"/>
  <c r="A47" i="237" s="1"/>
  <c r="A48" i="237" s="1"/>
  <c r="A49" i="237" s="1"/>
  <c r="A50" i="237" s="1"/>
  <c r="A51" i="237" s="1"/>
  <c r="A52" i="237" s="1"/>
  <c r="A53" i="237" s="1"/>
  <c r="A54" i="237" s="1"/>
  <c r="A55" i="237" s="1"/>
  <c r="A56" i="237" s="1"/>
  <c r="A57" i="237" s="1"/>
  <c r="A58" i="237" s="1"/>
  <c r="A59" i="237" s="1"/>
  <c r="A60" i="237" s="1"/>
  <c r="A61" i="237" s="1"/>
  <c r="A62" i="237" s="1"/>
  <c r="A63" i="237" s="1"/>
  <c r="A64" i="237" s="1"/>
  <c r="A65" i="237" s="1"/>
  <c r="A66" i="237" s="1"/>
  <c r="A67" i="237" s="1"/>
  <c r="A68" i="237" s="1"/>
  <c r="A69" i="237" s="1"/>
  <c r="A70" i="237" s="1"/>
  <c r="A71" i="237" s="1"/>
  <c r="A72" i="237" s="1"/>
  <c r="A73" i="237" s="1"/>
  <c r="A22" i="236"/>
  <c r="A23" i="236" s="1"/>
  <c r="A24" i="236" s="1"/>
  <c r="A25" i="236" s="1"/>
  <c r="A26" i="236" s="1"/>
  <c r="A27" i="236" s="1"/>
  <c r="A28" i="236" s="1"/>
  <c r="A29" i="236" s="1"/>
  <c r="A30" i="236" s="1"/>
  <c r="A31" i="236" s="1"/>
  <c r="A32" i="236" s="1"/>
  <c r="A33" i="236" s="1"/>
  <c r="A34" i="236" s="1"/>
  <c r="A35" i="236" s="1"/>
  <c r="A36" i="236" s="1"/>
  <c r="A37" i="236" s="1"/>
  <c r="A38" i="236" s="1"/>
  <c r="A39" i="236" s="1"/>
  <c r="A40" i="236" s="1"/>
  <c r="A41" i="236" s="1"/>
  <c r="A42" i="236" s="1"/>
  <c r="A43" i="236" s="1"/>
  <c r="A44" i="236" s="1"/>
  <c r="A45" i="236" s="1"/>
  <c r="A46" i="236" s="1"/>
  <c r="A47" i="236" s="1"/>
  <c r="A48" i="236" s="1"/>
  <c r="A49" i="236" s="1"/>
  <c r="A50" i="236" s="1"/>
  <c r="A51" i="236" s="1"/>
  <c r="A52" i="236" s="1"/>
  <c r="A53" i="236" s="1"/>
  <c r="A54" i="236" s="1"/>
  <c r="A55" i="236" s="1"/>
  <c r="A56" i="236" s="1"/>
  <c r="A57" i="236" s="1"/>
  <c r="A58" i="236" s="1"/>
  <c r="A59" i="236" s="1"/>
  <c r="A60" i="236" s="1"/>
  <c r="A61" i="236" s="1"/>
  <c r="A62" i="236" s="1"/>
  <c r="A63" i="236" s="1"/>
  <c r="A64" i="236" s="1"/>
  <c r="A65" i="236" s="1"/>
  <c r="A66" i="236" s="1"/>
  <c r="A67" i="236" s="1"/>
  <c r="A68" i="236" s="1"/>
  <c r="A69" i="236" s="1"/>
  <c r="A70" i="236" s="1"/>
  <c r="A71" i="236" s="1"/>
  <c r="A72" i="236" s="1"/>
  <c r="A73" i="236" s="1"/>
  <c r="A74" i="236" s="1"/>
  <c r="A75" i="236" s="1"/>
  <c r="A76" i="236" s="1"/>
  <c r="A77" i="236" s="1"/>
  <c r="A78" i="236" s="1"/>
  <c r="A79" i="236" s="1"/>
  <c r="A80" i="236" s="1"/>
  <c r="A81" i="236" s="1"/>
  <c r="A82" i="236" s="1"/>
  <c r="A83" i="236" s="1"/>
  <c r="A84" i="236" s="1"/>
  <c r="A85" i="236" s="1"/>
  <c r="A86" i="236" s="1"/>
  <c r="A87" i="236" s="1"/>
  <c r="A88" i="236" s="1"/>
  <c r="A89" i="236" s="1"/>
  <c r="A90" i="236" s="1"/>
  <c r="A91" i="236" s="1"/>
  <c r="A92" i="236" s="1"/>
  <c r="A93" i="236" s="1"/>
  <c r="A94" i="236" s="1"/>
  <c r="A95" i="236" s="1"/>
  <c r="A96" i="236" s="1"/>
  <c r="A97" i="236" s="1"/>
  <c r="A98" i="236" s="1"/>
  <c r="A99" i="236" s="1"/>
  <c r="A100" i="236" s="1"/>
  <c r="A101" i="236" s="1"/>
  <c r="A102" i="236" s="1"/>
  <c r="A103" i="236" s="1"/>
  <c r="A104" i="236" s="1"/>
  <c r="A105" i="236" s="1"/>
  <c r="A106" i="236" s="1"/>
  <c r="A107" i="236" s="1"/>
  <c r="A108" i="236" s="1"/>
  <c r="A109" i="236" s="1"/>
  <c r="A110" i="236" s="1"/>
  <c r="A111" i="236" s="1"/>
  <c r="A112" i="236" s="1"/>
  <c r="A113" i="236" s="1"/>
  <c r="A114" i="236" s="1"/>
  <c r="A115" i="236" s="1"/>
  <c r="A116" i="236" s="1"/>
  <c r="A117" i="236" s="1"/>
  <c r="A118" i="236" s="1"/>
  <c r="A119" i="236" s="1"/>
  <c r="A120" i="236" s="1"/>
  <c r="A121" i="236" s="1"/>
  <c r="A122" i="236" s="1"/>
  <c r="A123" i="236" s="1"/>
  <c r="A124" i="236" s="1"/>
  <c r="A125" i="236" s="1"/>
  <c r="A126" i="236" s="1"/>
  <c r="A127" i="236" s="1"/>
  <c r="A128" i="236" s="1"/>
  <c r="A129" i="236" s="1"/>
  <c r="A130" i="236" s="1"/>
  <c r="A131" i="236" s="1"/>
  <c r="A132" i="236" s="1"/>
  <c r="A133" i="236" s="1"/>
  <c r="A134" i="236" s="1"/>
  <c r="A135" i="236" s="1"/>
  <c r="A136" i="236" s="1"/>
  <c r="A137" i="236" s="1"/>
  <c r="A138" i="236" s="1"/>
  <c r="A139" i="236" s="1"/>
  <c r="A140" i="236" s="1"/>
  <c r="A141" i="236" s="1"/>
  <c r="A142" i="236" s="1"/>
  <c r="A143" i="236" s="1"/>
  <c r="A144" i="236" s="1"/>
  <c r="A145" i="236" s="1"/>
  <c r="A146" i="236" s="1"/>
  <c r="A147" i="236" s="1"/>
  <c r="A148" i="236" s="1"/>
  <c r="A149" i="236" s="1"/>
  <c r="A150" i="236" s="1"/>
  <c r="A151" i="236" s="1"/>
  <c r="A152" i="236" s="1"/>
  <c r="A153" i="236" s="1"/>
  <c r="A154" i="236" s="1"/>
  <c r="A155" i="236" s="1"/>
  <c r="A156" i="236" s="1"/>
  <c r="A157" i="236" s="1"/>
  <c r="A158" i="236" s="1"/>
  <c r="A159" i="236" s="1"/>
  <c r="A160" i="236" s="1"/>
  <c r="A161" i="236" s="1"/>
  <c r="A162" i="236" s="1"/>
  <c r="A163" i="236" s="1"/>
  <c r="A164" i="236" s="1"/>
  <c r="A165" i="236" s="1"/>
  <c r="A166" i="236" s="1"/>
  <c r="A167" i="236" s="1"/>
  <c r="A168" i="236" s="1"/>
  <c r="A169" i="236" s="1"/>
  <c r="A170" i="236" s="1"/>
  <c r="A171" i="236" s="1"/>
  <c r="A172" i="236" s="1"/>
  <c r="A173" i="236" s="1"/>
  <c r="A174" i="236" s="1"/>
  <c r="A175" i="236" s="1"/>
  <c r="A176" i="236" s="1"/>
  <c r="A177" i="236" s="1"/>
  <c r="A178" i="236" s="1"/>
  <c r="A179" i="236" s="1"/>
  <c r="A180" i="236" s="1"/>
  <c r="A181" i="236" s="1"/>
  <c r="A182" i="236" s="1"/>
  <c r="A183" i="236" s="1"/>
  <c r="A184" i="236" s="1"/>
  <c r="A185" i="236" s="1"/>
  <c r="A186" i="236" s="1"/>
  <c r="A187" i="236" s="1"/>
  <c r="A188" i="236" s="1"/>
  <c r="A189" i="236" s="1"/>
  <c r="A190" i="236" s="1"/>
  <c r="A191" i="236" s="1"/>
  <c r="A192" i="236" s="1"/>
  <c r="A193" i="236" s="1"/>
  <c r="A194" i="236" s="1"/>
  <c r="A195" i="236" s="1"/>
  <c r="A196" i="236" s="1"/>
  <c r="A197" i="236" s="1"/>
  <c r="A198" i="236" s="1"/>
  <c r="A199" i="236" s="1"/>
  <c r="A200" i="236" s="1"/>
  <c r="A201" i="236" s="1"/>
  <c r="A202" i="236" s="1"/>
  <c r="A203" i="236" s="1"/>
  <c r="A204" i="236" s="1"/>
  <c r="A205" i="236" s="1"/>
  <c r="A206" i="236" s="1"/>
  <c r="A207" i="236" s="1"/>
  <c r="A208" i="236" s="1"/>
  <c r="A209" i="236" s="1"/>
  <c r="A210" i="236" s="1"/>
  <c r="A211" i="236" s="1"/>
  <c r="A212" i="236" s="1"/>
  <c r="A213" i="236" s="1"/>
  <c r="A214" i="236" s="1"/>
  <c r="A215" i="236" s="1"/>
  <c r="A216" i="236" s="1"/>
  <c r="A217" i="236" s="1"/>
  <c r="A218" i="236" s="1"/>
  <c r="A219" i="236" s="1"/>
  <c r="A220" i="236" s="1"/>
  <c r="A221" i="236" s="1"/>
  <c r="A222" i="236" s="1"/>
  <c r="A223" i="236" s="1"/>
  <c r="A224" i="236" s="1"/>
  <c r="A225" i="236" s="1"/>
  <c r="A226" i="236" s="1"/>
  <c r="A227" i="236" s="1"/>
  <c r="A228" i="236" s="1"/>
  <c r="A229" i="236" s="1"/>
  <c r="A230" i="236" s="1"/>
  <c r="A231" i="236" s="1"/>
  <c r="A232" i="236" s="1"/>
  <c r="A233" i="236" s="1"/>
  <c r="A234" i="236" s="1"/>
  <c r="A235" i="236" s="1"/>
  <c r="A236" i="236" s="1"/>
  <c r="A237" i="236" s="1"/>
  <c r="A238" i="236" s="1"/>
  <c r="A239" i="236" s="1"/>
  <c r="A240" i="236" s="1"/>
  <c r="A241" i="236" s="1"/>
  <c r="A242" i="236" s="1"/>
  <c r="A243" i="236" s="1"/>
  <c r="A244" i="236" s="1"/>
  <c r="A245" i="236" s="1"/>
  <c r="A246" i="236" s="1"/>
  <c r="A247" i="236" s="1"/>
  <c r="A248" i="236" s="1"/>
  <c r="A249" i="236" s="1"/>
  <c r="A250" i="236" s="1"/>
  <c r="A251" i="236" s="1"/>
  <c r="A252" i="236" s="1"/>
  <c r="A253" i="236" s="1"/>
  <c r="A254" i="236" s="1"/>
  <c r="A255" i="236" s="1"/>
  <c r="A256" i="236" s="1"/>
  <c r="A257" i="236" s="1"/>
  <c r="A258" i="236" s="1"/>
  <c r="A259" i="236" s="1"/>
  <c r="A260" i="236" s="1"/>
  <c r="A261" i="236" s="1"/>
  <c r="A262" i="236" s="1"/>
  <c r="A263" i="236" s="1"/>
  <c r="A264" i="236" s="1"/>
  <c r="A18" i="213"/>
  <c r="A19" i="213" s="1"/>
  <c r="A20" i="213" s="1"/>
  <c r="A21" i="213" s="1"/>
  <c r="A18" i="207"/>
  <c r="A19" i="207" s="1"/>
  <c r="A20" i="207" s="1"/>
  <c r="A21" i="207" s="1"/>
  <c r="A160" i="209" l="1"/>
  <c r="A161" i="209" s="1"/>
  <c r="A162" i="209" s="1"/>
  <c r="A163" i="209" s="1"/>
  <c r="A164" i="209" s="1"/>
  <c r="A165" i="209" s="1"/>
  <c r="A166" i="209" s="1"/>
  <c r="A167" i="209" s="1"/>
  <c r="A168" i="209" s="1"/>
  <c r="A169" i="209" s="1"/>
  <c r="A170" i="209" s="1"/>
  <c r="A171" i="209" s="1"/>
  <c r="A172" i="209" s="1"/>
  <c r="A173" i="209" s="1"/>
  <c r="A174" i="209" s="1"/>
  <c r="A175" i="209" s="1"/>
  <c r="A176" i="209" s="1"/>
  <c r="A177" i="209" s="1"/>
  <c r="A178" i="209" s="1"/>
  <c r="A179" i="209" s="1"/>
  <c r="A180" i="209" s="1"/>
  <c r="A181" i="209" s="1"/>
  <c r="A182" i="209" s="1"/>
  <c r="A183" i="209" s="1"/>
  <c r="A184" i="209" s="1"/>
  <c r="A185" i="209" s="1"/>
  <c r="A186" i="209" s="1"/>
  <c r="A187" i="209" s="1"/>
  <c r="A188" i="209" s="1"/>
  <c r="A22" i="213"/>
  <c r="A23" i="213" s="1"/>
  <c r="A24" i="213" s="1"/>
  <c r="A25" i="213" s="1"/>
  <c r="A26" i="213" s="1"/>
  <c r="A27" i="213" s="1"/>
  <c r="A28" i="213" s="1"/>
  <c r="A29" i="213" s="1"/>
  <c r="A30" i="213" s="1"/>
  <c r="A31" i="213" s="1"/>
  <c r="A32" i="213" s="1"/>
  <c r="A33" i="213" s="1"/>
  <c r="A34" i="213" s="1"/>
  <c r="A35" i="213" s="1"/>
  <c r="A36" i="213" s="1"/>
  <c r="A37" i="213" s="1"/>
  <c r="A38" i="213" s="1"/>
  <c r="A39" i="213" s="1"/>
  <c r="A40" i="213" s="1"/>
  <c r="A41" i="213" s="1"/>
  <c r="A42" i="213" s="1"/>
  <c r="A43" i="213" s="1"/>
  <c r="A44" i="213" s="1"/>
  <c r="A45" i="213" s="1"/>
  <c r="A46" i="213" s="1"/>
  <c r="A47" i="213" s="1"/>
  <c r="A48" i="213" s="1"/>
  <c r="A49" i="213" s="1"/>
  <c r="A50" i="213" s="1"/>
  <c r="A51" i="213" s="1"/>
  <c r="A52" i="213" s="1"/>
  <c r="A53" i="213" s="1"/>
  <c r="A54" i="213" s="1"/>
  <c r="A55" i="213" s="1"/>
  <c r="A22" i="207"/>
  <c r="A23" i="207" s="1"/>
  <c r="A24" i="207" s="1"/>
  <c r="A25" i="207" s="1"/>
  <c r="A26" i="207" s="1"/>
  <c r="A27" i="207" s="1"/>
  <c r="A28" i="207" s="1"/>
  <c r="A29" i="207" s="1"/>
  <c r="A30" i="207" s="1"/>
  <c r="A31" i="207" s="1"/>
  <c r="A32" i="207" s="1"/>
  <c r="A33" i="207" s="1"/>
  <c r="A34" i="207" s="1"/>
  <c r="A35" i="207" s="1"/>
  <c r="A36" i="207" s="1"/>
  <c r="A37" i="207" s="1"/>
  <c r="A38" i="207" s="1"/>
  <c r="A39" i="207" s="1"/>
  <c r="A40" i="207" s="1"/>
  <c r="A41" i="207" s="1"/>
  <c r="A42" i="207" s="1"/>
  <c r="A43" i="207" s="1"/>
  <c r="A44" i="207" s="1"/>
  <c r="A45" i="207" s="1"/>
  <c r="A46" i="207" s="1"/>
  <c r="A47" i="207" s="1"/>
  <c r="A48" i="207" s="1"/>
  <c r="A49" i="207" s="1"/>
  <c r="A50" i="207" s="1"/>
  <c r="A51" i="207" s="1"/>
  <c r="A52" i="207" s="1"/>
  <c r="A53" i="207" s="1"/>
  <c r="A54" i="207" s="1"/>
  <c r="A55" i="207" s="1"/>
  <c r="A56" i="207" s="1"/>
  <c r="A57" i="207" s="1"/>
  <c r="A58" i="207" s="1"/>
  <c r="A59" i="207" s="1"/>
  <c r="A60" i="207" s="1"/>
  <c r="A61" i="207" s="1"/>
  <c r="A62" i="207" s="1"/>
  <c r="A63" i="207" s="1"/>
  <c r="A64" i="207" s="1"/>
  <c r="A65" i="207" s="1"/>
  <c r="A66" i="207" s="1"/>
  <c r="A67" i="207" s="1"/>
  <c r="A68" i="207" s="1"/>
  <c r="A69" i="207" s="1"/>
  <c r="A70" i="207" s="1"/>
  <c r="A71" i="207" s="1"/>
  <c r="A72" i="207" s="1"/>
  <c r="A73" i="207" s="1"/>
  <c r="A189" i="209" l="1"/>
  <c r="A190" i="209" s="1"/>
  <c r="A191" i="209" s="1"/>
  <c r="A192" i="209" s="1"/>
  <c r="A193" i="209" s="1"/>
  <c r="A194" i="209" s="1"/>
  <c r="A195" i="209" s="1"/>
  <c r="A196" i="209" s="1"/>
  <c r="A197" i="209" s="1"/>
  <c r="A198" i="209" s="1"/>
  <c r="A199" i="209" s="1"/>
  <c r="A200" i="209" s="1"/>
  <c r="A201" i="209" s="1"/>
  <c r="A202" i="209" s="1"/>
  <c r="A203" i="209" s="1"/>
  <c r="A204" i="209" s="1"/>
  <c r="A205" i="209" s="1"/>
  <c r="A206" i="209" s="1"/>
  <c r="A207" i="209" s="1"/>
  <c r="A208" i="209" s="1"/>
  <c r="A209" i="209" s="1"/>
  <c r="A210" i="209" s="1"/>
  <c r="A211" i="209" s="1"/>
  <c r="A212" i="209" s="1"/>
  <c r="A213" i="209" s="1"/>
  <c r="A214" i="209" s="1"/>
  <c r="A215" i="209" s="1"/>
  <c r="A216" i="209" s="1"/>
  <c r="A217" i="209" s="1"/>
  <c r="A218" i="209" s="1"/>
  <c r="A219" i="209" s="1"/>
  <c r="A220" i="209" s="1"/>
  <c r="A221" i="209" s="1"/>
  <c r="A222" i="209" s="1"/>
  <c r="A223" i="209" s="1"/>
  <c r="A224" i="209" s="1"/>
  <c r="A225" i="209" s="1"/>
  <c r="A226" i="209" s="1"/>
  <c r="A227" i="209" s="1"/>
  <c r="A228" i="209" s="1"/>
  <c r="A229" i="209" s="1"/>
  <c r="A230" i="209" s="1"/>
  <c r="A231" i="209" s="1"/>
  <c r="D12" i="237"/>
  <c r="A232" i="209" l="1"/>
  <c r="A233" i="209" s="1"/>
  <c r="A234" i="209" s="1"/>
  <c r="A235" i="209" s="1"/>
  <c r="A236" i="209" s="1"/>
  <c r="A237" i="209" s="1"/>
  <c r="A238" i="209" s="1"/>
  <c r="A239" i="209" s="1"/>
  <c r="A240" i="209" s="1"/>
  <c r="A241" i="209" s="1"/>
  <c r="A242" i="209" s="1"/>
  <c r="A243" i="209" s="1"/>
  <c r="A244" i="209" s="1"/>
  <c r="A245" i="209" s="1"/>
  <c r="A246" i="209" s="1"/>
  <c r="A247" i="209" s="1"/>
  <c r="A248" i="209" s="1"/>
  <c r="A249" i="209" s="1"/>
  <c r="A250" i="209" s="1"/>
  <c r="A251" i="209" s="1"/>
  <c r="A252" i="209" s="1"/>
  <c r="A253" i="209" s="1"/>
  <c r="A254" i="209" s="1"/>
  <c r="A255" i="209" s="1"/>
  <c r="A256" i="209" s="1"/>
  <c r="A257" i="209" s="1"/>
  <c r="A258" i="209" s="1"/>
  <c r="A259" i="209" s="1"/>
  <c r="A260" i="209" s="1"/>
  <c r="A261" i="209" s="1"/>
  <c r="A262" i="209" s="1"/>
  <c r="A263" i="209" s="1"/>
  <c r="A264" i="209" s="1"/>
  <c r="A265" i="209" s="1"/>
  <c r="A266" i="209" s="1"/>
  <c r="C12" i="215"/>
  <c r="C12" i="30"/>
  <c r="H12" i="30" s="1"/>
  <c r="G210" i="236" l="1"/>
  <c r="L210" i="236" s="1"/>
  <c r="G214" i="236"/>
  <c r="L214" i="236" s="1"/>
  <c r="G207" i="236"/>
  <c r="L207" i="236" s="1"/>
  <c r="G211" i="236"/>
  <c r="L211" i="236" s="1"/>
  <c r="G213" i="236"/>
  <c r="L213" i="236" s="1"/>
  <c r="G218" i="236"/>
  <c r="L218" i="236" s="1"/>
  <c r="G203" i="236"/>
  <c r="L203" i="236" s="1"/>
  <c r="G208" i="236"/>
  <c r="L208" i="236" s="1"/>
  <c r="G212" i="236"/>
  <c r="L212" i="236" s="1"/>
  <c r="G224" i="236"/>
  <c r="G209" i="236"/>
  <c r="L209" i="236" s="1"/>
  <c r="G205" i="236"/>
  <c r="L205" i="236" s="1"/>
  <c r="H188" i="207"/>
  <c r="M188" i="207" s="1"/>
  <c r="G188" i="207"/>
  <c r="G190" i="207" s="1"/>
  <c r="G122" i="10"/>
  <c r="H122" i="10"/>
  <c r="G121" i="10"/>
  <c r="H121" i="10"/>
  <c r="G120" i="10"/>
  <c r="H120" i="10"/>
  <c r="G119" i="10"/>
  <c r="H119" i="10"/>
  <c r="M35" i="39"/>
  <c r="M34" i="39"/>
  <c r="M33" i="39"/>
  <c r="C24" i="30"/>
  <c r="D53" i="50"/>
  <c r="D38" i="79"/>
  <c r="F133" i="209"/>
  <c r="F134" i="209"/>
  <c r="F135" i="209"/>
  <c r="F136" i="209"/>
  <c r="F137" i="209"/>
  <c r="F138" i="209"/>
  <c r="F139" i="209"/>
  <c r="F140" i="209"/>
  <c r="F141" i="209"/>
  <c r="F142" i="209"/>
  <c r="F143" i="209"/>
  <c r="F144" i="209"/>
  <c r="F145" i="209"/>
  <c r="F146" i="209"/>
  <c r="F147" i="209"/>
  <c r="F148" i="209"/>
  <c r="F149" i="209"/>
  <c r="F150" i="209"/>
  <c r="F151" i="209"/>
  <c r="F152" i="209"/>
  <c r="F153" i="209"/>
  <c r="F130" i="213"/>
  <c r="F131" i="213"/>
  <c r="F132" i="213"/>
  <c r="F133" i="213"/>
  <c r="F134" i="213"/>
  <c r="F136" i="213"/>
  <c r="F135" i="213"/>
  <c r="F137" i="213"/>
  <c r="F138" i="213"/>
  <c r="F139" i="213"/>
  <c r="F140" i="213"/>
  <c r="F141" i="213"/>
  <c r="F142" i="213"/>
  <c r="F143" i="213"/>
  <c r="F144" i="213"/>
  <c r="F145" i="213"/>
  <c r="F146" i="213"/>
  <c r="F147" i="213"/>
  <c r="F148" i="213"/>
  <c r="F149" i="213"/>
  <c r="F150" i="213"/>
  <c r="F16" i="105"/>
  <c r="F18" i="105" s="1"/>
  <c r="D43" i="45"/>
  <c r="D73" i="51"/>
  <c r="D74" i="51"/>
  <c r="D75" i="51"/>
  <c r="D106" i="51"/>
  <c r="G255" i="213"/>
  <c r="L186" i="213"/>
  <c r="M186" i="213"/>
  <c r="H125" i="213"/>
  <c r="M125" i="213" s="1"/>
  <c r="M188" i="209"/>
  <c r="M127" i="209"/>
  <c r="E18" i="215"/>
  <c r="J18" i="215" s="1"/>
  <c r="J25" i="215" s="1"/>
  <c r="D19" i="215"/>
  <c r="I19" i="215" s="1"/>
  <c r="E19" i="215"/>
  <c r="J19" i="215" s="1"/>
  <c r="J26" i="215" s="1"/>
  <c r="D20" i="215"/>
  <c r="E20" i="215"/>
  <c r="J20" i="215" s="1"/>
  <c r="F22" i="244"/>
  <c r="K22" i="244" s="1"/>
  <c r="E19" i="244"/>
  <c r="J19" i="244" s="1"/>
  <c r="F19" i="244"/>
  <c r="K19" i="244" s="1"/>
  <c r="E16" i="244"/>
  <c r="J16" i="244" s="1"/>
  <c r="F16" i="244"/>
  <c r="K16" i="244" s="1"/>
  <c r="H136" i="207"/>
  <c r="M136" i="207" s="1"/>
  <c r="G254" i="236"/>
  <c r="L254" i="236" s="1"/>
  <c r="H260" i="236"/>
  <c r="H156" i="236"/>
  <c r="J18" i="30"/>
  <c r="D19" i="30"/>
  <c r="I19" i="30" s="1"/>
  <c r="J19" i="30"/>
  <c r="J26" i="30" s="1"/>
  <c r="D20" i="30"/>
  <c r="J20" i="30"/>
  <c r="J34" i="30" s="1"/>
  <c r="K22" i="243"/>
  <c r="J19" i="243"/>
  <c r="K19" i="243"/>
  <c r="J16" i="243"/>
  <c r="K16" i="243"/>
  <c r="F43" i="231"/>
  <c r="E32" i="231"/>
  <c r="K30" i="231"/>
  <c r="J22" i="231"/>
  <c r="F24" i="231"/>
  <c r="E18" i="106"/>
  <c r="E29" i="106" s="1"/>
  <c r="H16" i="104"/>
  <c r="J16" i="104" s="1"/>
  <c r="E41" i="231"/>
  <c r="E15" i="231"/>
  <c r="F15" i="231"/>
  <c r="E17" i="231"/>
  <c r="F17" i="231"/>
  <c r="A4" i="244"/>
  <c r="A4" i="243"/>
  <c r="A4" i="237"/>
  <c r="A4" i="231"/>
  <c r="A4" i="69"/>
  <c r="A4" i="24"/>
  <c r="A4" i="215"/>
  <c r="A4" i="30"/>
  <c r="A4" i="31"/>
  <c r="A4" i="247"/>
  <c r="J2" i="9"/>
  <c r="J1" i="9"/>
  <c r="F125" i="237"/>
  <c r="F126" i="237"/>
  <c r="F131" i="237"/>
  <c r="F132" i="237"/>
  <c r="F133" i="237"/>
  <c r="F134" i="237"/>
  <c r="F135" i="237"/>
  <c r="F136" i="237"/>
  <c r="F137" i="237"/>
  <c r="F138" i="237"/>
  <c r="F139" i="237"/>
  <c r="F140" i="237"/>
  <c r="F141" i="237"/>
  <c r="F142" i="237"/>
  <c r="F143" i="237"/>
  <c r="F144" i="237"/>
  <c r="F145" i="237"/>
  <c r="F146" i="237"/>
  <c r="F147" i="237"/>
  <c r="F148" i="237"/>
  <c r="F149" i="237"/>
  <c r="F150" i="237"/>
  <c r="F151" i="237"/>
  <c r="F156" i="237"/>
  <c r="F157" i="237"/>
  <c r="F158" i="237"/>
  <c r="F159" i="237"/>
  <c r="F160" i="237"/>
  <c r="F161" i="237"/>
  <c r="F162" i="237"/>
  <c r="F169" i="237"/>
  <c r="F170" i="237"/>
  <c r="F171" i="237"/>
  <c r="F172" i="237"/>
  <c r="F173" i="237"/>
  <c r="F174" i="237"/>
  <c r="F175" i="237"/>
  <c r="F176" i="237"/>
  <c r="F89" i="237"/>
  <c r="G89" i="237"/>
  <c r="F90" i="237"/>
  <c r="G90" i="237"/>
  <c r="F91" i="237"/>
  <c r="G91" i="237"/>
  <c r="F92" i="237"/>
  <c r="G92" i="237"/>
  <c r="F93" i="237"/>
  <c r="G93" i="237"/>
  <c r="F99" i="237"/>
  <c r="G99" i="237"/>
  <c r="F100" i="237"/>
  <c r="G100" i="237"/>
  <c r="F101" i="237"/>
  <c r="G101" i="237"/>
  <c r="F102" i="237"/>
  <c r="G102" i="237"/>
  <c r="F103" i="237"/>
  <c r="G103" i="237"/>
  <c r="F104" i="237"/>
  <c r="G104" i="237"/>
  <c r="F105" i="237"/>
  <c r="G105" i="237"/>
  <c r="F106" i="237"/>
  <c r="G106" i="237"/>
  <c r="F107" i="237"/>
  <c r="G107" i="237"/>
  <c r="F108" i="237"/>
  <c r="G108" i="237"/>
  <c r="F109" i="237"/>
  <c r="G109" i="237"/>
  <c r="F110" i="237"/>
  <c r="G110" i="237"/>
  <c r="F111" i="237"/>
  <c r="G111" i="237"/>
  <c r="F112" i="237"/>
  <c r="G112" i="237"/>
  <c r="F113" i="237"/>
  <c r="G113" i="237"/>
  <c r="F63" i="237"/>
  <c r="G63" i="237"/>
  <c r="F64" i="237"/>
  <c r="G64" i="237"/>
  <c r="F65" i="237"/>
  <c r="G65" i="237"/>
  <c r="F66" i="237"/>
  <c r="G66" i="237"/>
  <c r="F67" i="237"/>
  <c r="G67" i="237"/>
  <c r="F68" i="237"/>
  <c r="G68" i="237"/>
  <c r="F69" i="237"/>
  <c r="G69" i="237"/>
  <c r="F70" i="237"/>
  <c r="G70" i="237"/>
  <c r="F71" i="237"/>
  <c r="G71" i="237"/>
  <c r="F72" i="237"/>
  <c r="G72" i="237"/>
  <c r="F73" i="237"/>
  <c r="G73" i="237"/>
  <c r="F76" i="237"/>
  <c r="G76" i="237"/>
  <c r="F77" i="237"/>
  <c r="G77" i="237"/>
  <c r="F78" i="237"/>
  <c r="G78" i="237"/>
  <c r="F79" i="237"/>
  <c r="G79" i="237"/>
  <c r="F80" i="237"/>
  <c r="G80" i="237"/>
  <c r="F81" i="237"/>
  <c r="G81" i="237"/>
  <c r="F82" i="237"/>
  <c r="G82" i="237"/>
  <c r="F83" i="237"/>
  <c r="G83" i="237"/>
  <c r="F84" i="237"/>
  <c r="G84" i="237"/>
  <c r="F50" i="237"/>
  <c r="G50" i="237"/>
  <c r="F51" i="237"/>
  <c r="G51" i="237"/>
  <c r="F52" i="237"/>
  <c r="G52" i="237"/>
  <c r="F53" i="237"/>
  <c r="G53" i="237"/>
  <c r="F54" i="237"/>
  <c r="G54" i="237"/>
  <c r="F55" i="237"/>
  <c r="G55" i="237"/>
  <c r="F57" i="237"/>
  <c r="G57" i="237"/>
  <c r="F58" i="237"/>
  <c r="G58" i="237"/>
  <c r="F29" i="237"/>
  <c r="G29" i="237"/>
  <c r="F30" i="237"/>
  <c r="G30" i="237"/>
  <c r="F31" i="237"/>
  <c r="G31" i="237"/>
  <c r="F32" i="237"/>
  <c r="G32" i="237"/>
  <c r="F33" i="237"/>
  <c r="G33" i="237"/>
  <c r="F34" i="237"/>
  <c r="G34" i="237"/>
  <c r="F35" i="237"/>
  <c r="G35" i="237"/>
  <c r="F36" i="237"/>
  <c r="G36" i="237"/>
  <c r="F37" i="237"/>
  <c r="G37" i="237"/>
  <c r="F38" i="237"/>
  <c r="G38" i="237"/>
  <c r="F39" i="237"/>
  <c r="G39" i="237"/>
  <c r="F40" i="237"/>
  <c r="G40" i="237"/>
  <c r="F41" i="237"/>
  <c r="G41" i="237"/>
  <c r="F42" i="237"/>
  <c r="G42" i="237"/>
  <c r="F43" i="237"/>
  <c r="G43" i="237"/>
  <c r="F44" i="237"/>
  <c r="G44" i="237"/>
  <c r="F45" i="237"/>
  <c r="G45" i="237"/>
  <c r="F22" i="237"/>
  <c r="G22" i="237"/>
  <c r="F23" i="237"/>
  <c r="G23" i="237"/>
  <c r="F24" i="237"/>
  <c r="G24" i="237"/>
  <c r="G16" i="237"/>
  <c r="F17" i="237"/>
  <c r="G17" i="237"/>
  <c r="G124" i="213"/>
  <c r="G125" i="213"/>
  <c r="G130" i="213"/>
  <c r="L130" i="213" s="1"/>
  <c r="G131" i="213"/>
  <c r="L131" i="213" s="1"/>
  <c r="G132" i="213"/>
  <c r="L132" i="213" s="1"/>
  <c r="G133" i="213"/>
  <c r="L133" i="213" s="1"/>
  <c r="G134" i="213"/>
  <c r="L134" i="213" s="1"/>
  <c r="G136" i="213"/>
  <c r="L136" i="213" s="1"/>
  <c r="G135" i="213"/>
  <c r="L135" i="213" s="1"/>
  <c r="G137" i="213"/>
  <c r="L137" i="213" s="1"/>
  <c r="G138" i="213"/>
  <c r="L138" i="213" s="1"/>
  <c r="G139" i="213"/>
  <c r="L139" i="213" s="1"/>
  <c r="G140" i="213"/>
  <c r="L140" i="213" s="1"/>
  <c r="G141" i="213"/>
  <c r="L141" i="213" s="1"/>
  <c r="G142" i="213"/>
  <c r="L142" i="213" s="1"/>
  <c r="G143" i="213"/>
  <c r="L143" i="213" s="1"/>
  <c r="G144" i="213"/>
  <c r="L144" i="213" s="1"/>
  <c r="G145" i="213"/>
  <c r="L145" i="213" s="1"/>
  <c r="G146" i="213"/>
  <c r="L146" i="213" s="1"/>
  <c r="G147" i="213"/>
  <c r="L147" i="213" s="1"/>
  <c r="G148" i="213"/>
  <c r="L148" i="213" s="1"/>
  <c r="G149" i="213"/>
  <c r="L149" i="213" s="1"/>
  <c r="G150" i="213"/>
  <c r="L150" i="213" s="1"/>
  <c r="G155" i="213"/>
  <c r="G156" i="213"/>
  <c r="G157" i="213"/>
  <c r="G158" i="213"/>
  <c r="G170" i="213"/>
  <c r="L170" i="213" s="1"/>
  <c r="G171" i="213"/>
  <c r="G172" i="213"/>
  <c r="G173" i="213"/>
  <c r="G174" i="213"/>
  <c r="G175" i="213"/>
  <c r="L16" i="213"/>
  <c r="M16" i="213"/>
  <c r="L17" i="213"/>
  <c r="M17" i="213"/>
  <c r="L22" i="213"/>
  <c r="M22" i="213"/>
  <c r="L23" i="213"/>
  <c r="M23" i="213"/>
  <c r="L24" i="213"/>
  <c r="M24" i="213"/>
  <c r="L29" i="213"/>
  <c r="M29" i="213"/>
  <c r="L30" i="213"/>
  <c r="M30" i="213"/>
  <c r="L31" i="213"/>
  <c r="M31" i="213"/>
  <c r="L32" i="213"/>
  <c r="M32" i="213"/>
  <c r="L33" i="213"/>
  <c r="M33" i="213"/>
  <c r="L34" i="213"/>
  <c r="M34" i="213"/>
  <c r="L35" i="213"/>
  <c r="M35" i="213"/>
  <c r="L36" i="213"/>
  <c r="M36" i="213"/>
  <c r="L37" i="213"/>
  <c r="M37" i="213"/>
  <c r="L38" i="213"/>
  <c r="M38" i="213"/>
  <c r="L39" i="213"/>
  <c r="M39" i="213"/>
  <c r="L40" i="213"/>
  <c r="M40" i="213"/>
  <c r="L41" i="213"/>
  <c r="M41" i="213"/>
  <c r="L42" i="213"/>
  <c r="M42" i="213"/>
  <c r="L43" i="213"/>
  <c r="M43" i="213"/>
  <c r="L44" i="213"/>
  <c r="M44" i="213"/>
  <c r="L45" i="213"/>
  <c r="M45" i="213"/>
  <c r="L50" i="213"/>
  <c r="M50" i="213"/>
  <c r="L51" i="213"/>
  <c r="M51" i="213"/>
  <c r="L52" i="213"/>
  <c r="M52" i="213"/>
  <c r="L53" i="213"/>
  <c r="M53" i="213"/>
  <c r="L54" i="213"/>
  <c r="M54" i="213"/>
  <c r="L55" i="213"/>
  <c r="M55" i="213"/>
  <c r="L57" i="213"/>
  <c r="M57" i="213"/>
  <c r="L58" i="213"/>
  <c r="M58" i="213"/>
  <c r="L63" i="213"/>
  <c r="M63" i="213"/>
  <c r="L64" i="213"/>
  <c r="M64" i="213"/>
  <c r="L65" i="213"/>
  <c r="M65" i="213"/>
  <c r="L66" i="213"/>
  <c r="M66" i="213"/>
  <c r="L67" i="213"/>
  <c r="M67" i="213"/>
  <c r="L68" i="213"/>
  <c r="M68" i="213"/>
  <c r="L69" i="213"/>
  <c r="M69" i="213"/>
  <c r="L70" i="213"/>
  <c r="M70" i="213"/>
  <c r="L71" i="213"/>
  <c r="M71" i="213"/>
  <c r="L72" i="213"/>
  <c r="M72" i="213"/>
  <c r="L73" i="213"/>
  <c r="M73" i="213"/>
  <c r="L76" i="213"/>
  <c r="M76" i="213"/>
  <c r="L77" i="213"/>
  <c r="M77" i="213"/>
  <c r="L78" i="213"/>
  <c r="M78" i="213"/>
  <c r="L79" i="213"/>
  <c r="M79" i="213"/>
  <c r="L80" i="213"/>
  <c r="M80" i="213"/>
  <c r="L81" i="213"/>
  <c r="M81" i="213"/>
  <c r="L82" i="213"/>
  <c r="M82" i="213"/>
  <c r="L83" i="213"/>
  <c r="M83" i="213"/>
  <c r="L84" i="213"/>
  <c r="M84" i="213"/>
  <c r="L89" i="213"/>
  <c r="M89" i="213"/>
  <c r="L90" i="213"/>
  <c r="M90" i="213"/>
  <c r="L91" i="213"/>
  <c r="M91" i="213"/>
  <c r="L92" i="213"/>
  <c r="M92" i="213"/>
  <c r="L93" i="213"/>
  <c r="M93" i="213"/>
  <c r="L94" i="213"/>
  <c r="M94" i="213"/>
  <c r="L95" i="213"/>
  <c r="M95" i="213"/>
  <c r="L113" i="213"/>
  <c r="M113" i="213"/>
  <c r="G181" i="213"/>
  <c r="L181" i="213" s="1"/>
  <c r="L119" i="213"/>
  <c r="M119" i="213"/>
  <c r="G127" i="209"/>
  <c r="L127" i="209" s="1"/>
  <c r="G128" i="209"/>
  <c r="G133" i="209"/>
  <c r="G134" i="209"/>
  <c r="L134" i="209" s="1"/>
  <c r="G135" i="209"/>
  <c r="L135" i="209" s="1"/>
  <c r="G136" i="209"/>
  <c r="L136" i="209" s="1"/>
  <c r="G137" i="209"/>
  <c r="L137" i="209" s="1"/>
  <c r="G138" i="209"/>
  <c r="G139" i="209"/>
  <c r="L139" i="209" s="1"/>
  <c r="G140" i="209"/>
  <c r="L140" i="209" s="1"/>
  <c r="G141" i="209"/>
  <c r="L141" i="209" s="1"/>
  <c r="G142" i="209"/>
  <c r="L142" i="209" s="1"/>
  <c r="G143" i="209"/>
  <c r="L143" i="209" s="1"/>
  <c r="G144" i="209"/>
  <c r="L144" i="209" s="1"/>
  <c r="G145" i="209"/>
  <c r="L145" i="209" s="1"/>
  <c r="G146" i="209"/>
  <c r="L146" i="209" s="1"/>
  <c r="G147" i="209"/>
  <c r="L147" i="209" s="1"/>
  <c r="G148" i="209"/>
  <c r="L148" i="209" s="1"/>
  <c r="G149" i="209"/>
  <c r="L149" i="209" s="1"/>
  <c r="G150" i="209"/>
  <c r="L150" i="209" s="1"/>
  <c r="G151" i="209"/>
  <c r="L151" i="209" s="1"/>
  <c r="G152" i="209"/>
  <c r="L152" i="209" s="1"/>
  <c r="G153" i="209"/>
  <c r="L153" i="209" s="1"/>
  <c r="G158" i="209"/>
  <c r="L158" i="209" s="1"/>
  <c r="G159" i="209"/>
  <c r="L159" i="209" s="1"/>
  <c r="G160" i="209"/>
  <c r="L160" i="209" s="1"/>
  <c r="G161" i="209"/>
  <c r="L161" i="209" s="1"/>
  <c r="G162" i="209"/>
  <c r="L162" i="209" s="1"/>
  <c r="G169" i="209"/>
  <c r="L169" i="209" s="1"/>
  <c r="G170" i="209"/>
  <c r="L170" i="209" s="1"/>
  <c r="G171" i="209"/>
  <c r="L171" i="209" s="1"/>
  <c r="G172" i="209"/>
  <c r="L172" i="209" s="1"/>
  <c r="G173" i="209"/>
  <c r="L173" i="209" s="1"/>
  <c r="G174" i="209"/>
  <c r="L174" i="209" s="1"/>
  <c r="G175" i="209"/>
  <c r="L175" i="209" s="1"/>
  <c r="G176" i="209"/>
  <c r="L176" i="209" s="1"/>
  <c r="G177" i="209"/>
  <c r="L177" i="209" s="1"/>
  <c r="G178" i="209"/>
  <c r="L178" i="209" s="1"/>
  <c r="G179" i="209"/>
  <c r="L179" i="209" s="1"/>
  <c r="L89" i="209"/>
  <c r="M89" i="209"/>
  <c r="L90" i="209"/>
  <c r="M90" i="209"/>
  <c r="L91" i="209"/>
  <c r="M91" i="209"/>
  <c r="L92" i="209"/>
  <c r="M92" i="209"/>
  <c r="L93" i="209"/>
  <c r="M93" i="209"/>
  <c r="L94" i="209"/>
  <c r="M94" i="209"/>
  <c r="L95" i="209"/>
  <c r="M95" i="209"/>
  <c r="L103" i="209"/>
  <c r="M103" i="209"/>
  <c r="L104" i="209"/>
  <c r="M104" i="209"/>
  <c r="L105" i="209"/>
  <c r="M105" i="209"/>
  <c r="L106" i="209"/>
  <c r="M106" i="209"/>
  <c r="L107" i="209"/>
  <c r="M107" i="209"/>
  <c r="L108" i="209"/>
  <c r="M108" i="209"/>
  <c r="L109" i="209"/>
  <c r="M109" i="209"/>
  <c r="L110" i="209"/>
  <c r="M110" i="209"/>
  <c r="L111" i="209"/>
  <c r="M111" i="209"/>
  <c r="L112" i="209"/>
  <c r="M112" i="209"/>
  <c r="L113" i="209"/>
  <c r="M113" i="209"/>
  <c r="L114" i="209"/>
  <c r="M114" i="209"/>
  <c r="L63" i="209"/>
  <c r="M63" i="209"/>
  <c r="L64" i="209"/>
  <c r="M64" i="209"/>
  <c r="L65" i="209"/>
  <c r="M65" i="209"/>
  <c r="L66" i="209"/>
  <c r="M66" i="209"/>
  <c r="L67" i="209"/>
  <c r="M67" i="209"/>
  <c r="L68" i="209"/>
  <c r="M68" i="209"/>
  <c r="L69" i="209"/>
  <c r="M69" i="209"/>
  <c r="L70" i="209"/>
  <c r="M70" i="209"/>
  <c r="L71" i="209"/>
  <c r="M71" i="209"/>
  <c r="L72" i="209"/>
  <c r="M72" i="209"/>
  <c r="L73" i="209"/>
  <c r="M73" i="209"/>
  <c r="L76" i="209"/>
  <c r="M76" i="209"/>
  <c r="L77" i="209"/>
  <c r="M77" i="209"/>
  <c r="L78" i="209"/>
  <c r="M78" i="209"/>
  <c r="L79" i="209"/>
  <c r="M79" i="209"/>
  <c r="L80" i="209"/>
  <c r="M80" i="209"/>
  <c r="L81" i="209"/>
  <c r="M81" i="209"/>
  <c r="L82" i="209"/>
  <c r="M82" i="209"/>
  <c r="L83" i="209"/>
  <c r="M83" i="209"/>
  <c r="L84" i="209"/>
  <c r="M84" i="209"/>
  <c r="L50" i="209"/>
  <c r="M50" i="209"/>
  <c r="L51" i="209"/>
  <c r="M51" i="209"/>
  <c r="L52" i="209"/>
  <c r="M52" i="209"/>
  <c r="L53" i="209"/>
  <c r="M53" i="209"/>
  <c r="L54" i="209"/>
  <c r="M54" i="209"/>
  <c r="L55" i="209"/>
  <c r="M55" i="209"/>
  <c r="L57" i="209"/>
  <c r="M57" i="209"/>
  <c r="L58" i="209"/>
  <c r="M58" i="209"/>
  <c r="L29" i="209"/>
  <c r="M29" i="209"/>
  <c r="L30" i="209"/>
  <c r="M30" i="209"/>
  <c r="L31" i="209"/>
  <c r="M31" i="209"/>
  <c r="L32" i="209"/>
  <c r="M32" i="209"/>
  <c r="L33" i="209"/>
  <c r="M33" i="209"/>
  <c r="L34" i="209"/>
  <c r="M34" i="209"/>
  <c r="L35" i="209"/>
  <c r="M35" i="209"/>
  <c r="L36" i="209"/>
  <c r="M36" i="209"/>
  <c r="L37" i="209"/>
  <c r="M37" i="209"/>
  <c r="L38" i="209"/>
  <c r="M38" i="209"/>
  <c r="L39" i="209"/>
  <c r="M39" i="209"/>
  <c r="L40" i="209"/>
  <c r="M40" i="209"/>
  <c r="L41" i="209"/>
  <c r="M41" i="209"/>
  <c r="L42" i="209"/>
  <c r="M42" i="209"/>
  <c r="L43" i="209"/>
  <c r="M43" i="209"/>
  <c r="L44" i="209"/>
  <c r="M44" i="209"/>
  <c r="L45" i="209"/>
  <c r="M45" i="209"/>
  <c r="L22" i="209"/>
  <c r="M22" i="209"/>
  <c r="L23" i="209"/>
  <c r="M23" i="209"/>
  <c r="L24" i="209"/>
  <c r="M24" i="209"/>
  <c r="L16" i="209"/>
  <c r="M16" i="209"/>
  <c r="L17" i="209"/>
  <c r="M17" i="209"/>
  <c r="C18" i="215"/>
  <c r="I18" i="215"/>
  <c r="I32" i="215"/>
  <c r="C19" i="215"/>
  <c r="H20" i="215"/>
  <c r="C17" i="215"/>
  <c r="F17" i="215" s="1"/>
  <c r="I17" i="215"/>
  <c r="I24" i="215" s="1"/>
  <c r="J17" i="215"/>
  <c r="J24" i="215" s="1"/>
  <c r="H25" i="215"/>
  <c r="H26" i="215"/>
  <c r="H27" i="215"/>
  <c r="J31" i="215"/>
  <c r="C33" i="215"/>
  <c r="C34" i="215"/>
  <c r="D22" i="244"/>
  <c r="I19" i="244"/>
  <c r="I16" i="244"/>
  <c r="I13" i="244"/>
  <c r="J13" i="244"/>
  <c r="F13" i="244"/>
  <c r="K13" i="244" s="1"/>
  <c r="G124" i="207"/>
  <c r="G125" i="207"/>
  <c r="G130" i="207"/>
  <c r="L130" i="207" s="1"/>
  <c r="G131" i="207"/>
  <c r="L131" i="207" s="1"/>
  <c r="G132" i="207"/>
  <c r="L132" i="207" s="1"/>
  <c r="G133" i="207"/>
  <c r="L133" i="207" s="1"/>
  <c r="G134" i="207"/>
  <c r="L134" i="207" s="1"/>
  <c r="G136" i="207"/>
  <c r="L136" i="207" s="1"/>
  <c r="G135" i="207"/>
  <c r="L135" i="207" s="1"/>
  <c r="G137" i="207"/>
  <c r="L137" i="207" s="1"/>
  <c r="G138" i="207"/>
  <c r="L138" i="207" s="1"/>
  <c r="G139" i="207"/>
  <c r="L139" i="207" s="1"/>
  <c r="G140" i="207"/>
  <c r="L140" i="207" s="1"/>
  <c r="G141" i="207"/>
  <c r="L141" i="207" s="1"/>
  <c r="G142" i="207"/>
  <c r="L142" i="207" s="1"/>
  <c r="G143" i="207"/>
  <c r="L143" i="207" s="1"/>
  <c r="G144" i="207"/>
  <c r="L144" i="207" s="1"/>
  <c r="G145" i="207"/>
  <c r="L145" i="207" s="1"/>
  <c r="G146" i="207"/>
  <c r="L146" i="207" s="1"/>
  <c r="G147" i="207"/>
  <c r="L147" i="207" s="1"/>
  <c r="G148" i="207"/>
  <c r="L148" i="207" s="1"/>
  <c r="G149" i="207"/>
  <c r="L149" i="207" s="1"/>
  <c r="G150" i="207"/>
  <c r="L150" i="207" s="1"/>
  <c r="G155" i="207"/>
  <c r="G156" i="207"/>
  <c r="G157" i="207"/>
  <c r="G158" i="207"/>
  <c r="L16" i="207"/>
  <c r="M16" i="207"/>
  <c r="L17" i="207"/>
  <c r="M17" i="207"/>
  <c r="L22" i="207"/>
  <c r="M22" i="207"/>
  <c r="L23" i="207"/>
  <c r="M23" i="207"/>
  <c r="L24" i="207"/>
  <c r="M24" i="207"/>
  <c r="L29" i="207"/>
  <c r="M29" i="207"/>
  <c r="L30" i="207"/>
  <c r="M30" i="207"/>
  <c r="L31" i="207"/>
  <c r="M31" i="207"/>
  <c r="L32" i="207"/>
  <c r="M32" i="207"/>
  <c r="L33" i="207"/>
  <c r="M33" i="207"/>
  <c r="L34" i="207"/>
  <c r="M34" i="207"/>
  <c r="L35" i="207"/>
  <c r="M35" i="207"/>
  <c r="L36" i="207"/>
  <c r="M36" i="207"/>
  <c r="L37" i="207"/>
  <c r="M37" i="207"/>
  <c r="L38" i="207"/>
  <c r="M38" i="207"/>
  <c r="L39" i="207"/>
  <c r="M39" i="207"/>
  <c r="L40" i="207"/>
  <c r="M40" i="207"/>
  <c r="L41" i="207"/>
  <c r="M41" i="207"/>
  <c r="L42" i="207"/>
  <c r="M42" i="207"/>
  <c r="L43" i="207"/>
  <c r="M43" i="207"/>
  <c r="L44" i="207"/>
  <c r="M44" i="207"/>
  <c r="L45" i="207"/>
  <c r="M45" i="207"/>
  <c r="L50" i="207"/>
  <c r="M50" i="207"/>
  <c r="L51" i="207"/>
  <c r="M51" i="207"/>
  <c r="L52" i="207"/>
  <c r="M52" i="207"/>
  <c r="L53" i="207"/>
  <c r="M53" i="207"/>
  <c r="L54" i="207"/>
  <c r="M54" i="207"/>
  <c r="L55" i="207"/>
  <c r="M55" i="207"/>
  <c r="L57" i="207"/>
  <c r="M57" i="207"/>
  <c r="L58" i="207"/>
  <c r="M58" i="207"/>
  <c r="L63" i="207"/>
  <c r="M63" i="207"/>
  <c r="L64" i="207"/>
  <c r="M64" i="207"/>
  <c r="L65" i="207"/>
  <c r="M65" i="207"/>
  <c r="L66" i="207"/>
  <c r="M66" i="207"/>
  <c r="L67" i="207"/>
  <c r="M67" i="207"/>
  <c r="L68" i="207"/>
  <c r="M68" i="207"/>
  <c r="L69" i="207"/>
  <c r="M69" i="207"/>
  <c r="L70" i="207"/>
  <c r="M70" i="207"/>
  <c r="L71" i="207"/>
  <c r="M71" i="207"/>
  <c r="L72" i="207"/>
  <c r="M72" i="207"/>
  <c r="L73" i="207"/>
  <c r="M73" i="207"/>
  <c r="L76" i="207"/>
  <c r="M76" i="207"/>
  <c r="L77" i="207"/>
  <c r="M77" i="207"/>
  <c r="L78" i="207"/>
  <c r="M78" i="207"/>
  <c r="L79" i="207"/>
  <c r="M79" i="207"/>
  <c r="L80" i="207"/>
  <c r="M80" i="207"/>
  <c r="L81" i="207"/>
  <c r="M81" i="207"/>
  <c r="L82" i="207"/>
  <c r="M82" i="207"/>
  <c r="L83" i="207"/>
  <c r="M83" i="207"/>
  <c r="L84" i="207"/>
  <c r="M84" i="207"/>
  <c r="L89" i="207"/>
  <c r="M89" i="207"/>
  <c r="L90" i="207"/>
  <c r="M90" i="207"/>
  <c r="L91" i="207"/>
  <c r="M91" i="207"/>
  <c r="L92" i="207"/>
  <c r="M92" i="207"/>
  <c r="L93" i="207"/>
  <c r="M93" i="207"/>
  <c r="L94" i="207"/>
  <c r="M94" i="207"/>
  <c r="G181" i="207"/>
  <c r="L181" i="207" s="1"/>
  <c r="L119" i="207"/>
  <c r="M119" i="207"/>
  <c r="G125" i="236"/>
  <c r="L125" i="236" s="1"/>
  <c r="G126" i="236"/>
  <c r="L126" i="236" s="1"/>
  <c r="G131" i="236"/>
  <c r="L131" i="236" s="1"/>
  <c r="G132" i="236"/>
  <c r="L132" i="236" s="1"/>
  <c r="G133" i="236"/>
  <c r="L133" i="236" s="1"/>
  <c r="G134" i="236"/>
  <c r="L134" i="236" s="1"/>
  <c r="G135" i="236"/>
  <c r="L135" i="236" s="1"/>
  <c r="G136" i="236"/>
  <c r="L136" i="236" s="1"/>
  <c r="G137" i="236"/>
  <c r="L137" i="236" s="1"/>
  <c r="G138" i="236"/>
  <c r="L138" i="236" s="1"/>
  <c r="G139" i="236"/>
  <c r="L139" i="236" s="1"/>
  <c r="G140" i="236"/>
  <c r="L140" i="236" s="1"/>
  <c r="G141" i="236"/>
  <c r="L141" i="236" s="1"/>
  <c r="G142" i="236"/>
  <c r="L142" i="236" s="1"/>
  <c r="G143" i="236"/>
  <c r="L143" i="236" s="1"/>
  <c r="G144" i="236"/>
  <c r="L144" i="236" s="1"/>
  <c r="G145" i="236"/>
  <c r="L145" i="236" s="1"/>
  <c r="G146" i="236"/>
  <c r="L146" i="236" s="1"/>
  <c r="G147" i="236"/>
  <c r="L147" i="236" s="1"/>
  <c r="G148" i="236"/>
  <c r="L148" i="236" s="1"/>
  <c r="G149" i="236"/>
  <c r="L149" i="236" s="1"/>
  <c r="G150" i="236"/>
  <c r="L150" i="236" s="1"/>
  <c r="G151" i="236"/>
  <c r="L151" i="236" s="1"/>
  <c r="G156" i="236"/>
  <c r="L156" i="236" s="1"/>
  <c r="G157" i="236"/>
  <c r="L157" i="236" s="1"/>
  <c r="G158" i="236"/>
  <c r="L158" i="236" s="1"/>
  <c r="G164" i="236"/>
  <c r="G165" i="236"/>
  <c r="G166" i="236"/>
  <c r="L166" i="236" s="1"/>
  <c r="G167" i="236"/>
  <c r="L167" i="236" s="1"/>
  <c r="G168" i="236"/>
  <c r="L168" i="236" s="1"/>
  <c r="G169" i="236"/>
  <c r="L169" i="236" s="1"/>
  <c r="G170" i="236"/>
  <c r="L170" i="236" s="1"/>
  <c r="G171" i="236"/>
  <c r="L171" i="236" s="1"/>
  <c r="G172" i="236"/>
  <c r="L172" i="236" s="1"/>
  <c r="G173" i="236"/>
  <c r="L173" i="236" s="1"/>
  <c r="G174" i="236"/>
  <c r="L174" i="236" s="1"/>
  <c r="G175" i="236"/>
  <c r="L175" i="236" s="1"/>
  <c r="G176" i="236"/>
  <c r="L176" i="236" s="1"/>
  <c r="G177" i="236"/>
  <c r="L177" i="236" s="1"/>
  <c r="L89" i="236"/>
  <c r="M89" i="236"/>
  <c r="L90" i="236"/>
  <c r="M90" i="236"/>
  <c r="L91" i="236"/>
  <c r="M91" i="236"/>
  <c r="L92" i="236"/>
  <c r="M92" i="236"/>
  <c r="L93" i="236"/>
  <c r="M93" i="236"/>
  <c r="L94" i="236"/>
  <c r="M94" i="236"/>
  <c r="L95" i="236"/>
  <c r="M95" i="236"/>
  <c r="L96" i="236"/>
  <c r="M96" i="236"/>
  <c r="L97" i="236"/>
  <c r="M97" i="236"/>
  <c r="L98" i="236"/>
  <c r="M98" i="236"/>
  <c r="L99" i="236"/>
  <c r="M99" i="236"/>
  <c r="L100" i="236"/>
  <c r="M100" i="236"/>
  <c r="L101" i="236"/>
  <c r="M101" i="236"/>
  <c r="L102" i="236"/>
  <c r="M102" i="236"/>
  <c r="L103" i="236"/>
  <c r="M103" i="236"/>
  <c r="L104" i="236"/>
  <c r="M104" i="236"/>
  <c r="L105" i="236"/>
  <c r="M105" i="236"/>
  <c r="L112" i="236"/>
  <c r="M112" i="236"/>
  <c r="L113" i="236"/>
  <c r="M113" i="236"/>
  <c r="L114" i="236"/>
  <c r="M114" i="236"/>
  <c r="L63" i="236"/>
  <c r="M63" i="236"/>
  <c r="L64" i="236"/>
  <c r="M64" i="236"/>
  <c r="L65" i="236"/>
  <c r="M65" i="236"/>
  <c r="L66" i="236"/>
  <c r="M66" i="236"/>
  <c r="L67" i="236"/>
  <c r="M67" i="236"/>
  <c r="L68" i="236"/>
  <c r="M68" i="236"/>
  <c r="L69" i="236"/>
  <c r="M69" i="236"/>
  <c r="L70" i="236"/>
  <c r="M70" i="236"/>
  <c r="L71" i="236"/>
  <c r="M71" i="236"/>
  <c r="L72" i="236"/>
  <c r="M72" i="236"/>
  <c r="L73" i="236"/>
  <c r="M73" i="236"/>
  <c r="L76" i="236"/>
  <c r="M76" i="236"/>
  <c r="L77" i="236"/>
  <c r="M77" i="236"/>
  <c r="L78" i="236"/>
  <c r="M78" i="236"/>
  <c r="L79" i="236"/>
  <c r="M79" i="236"/>
  <c r="L80" i="236"/>
  <c r="M80" i="236"/>
  <c r="L81" i="236"/>
  <c r="M81" i="236"/>
  <c r="L82" i="236"/>
  <c r="M82" i="236"/>
  <c r="L83" i="236"/>
  <c r="M83" i="236"/>
  <c r="L84" i="236"/>
  <c r="M84" i="236"/>
  <c r="L50" i="236"/>
  <c r="M50" i="236"/>
  <c r="L51" i="236"/>
  <c r="M51" i="236"/>
  <c r="L52" i="236"/>
  <c r="M52" i="236"/>
  <c r="L53" i="236"/>
  <c r="M53" i="236"/>
  <c r="L54" i="236"/>
  <c r="M54" i="236"/>
  <c r="L55" i="236"/>
  <c r="M55" i="236"/>
  <c r="L57" i="236"/>
  <c r="M57" i="236"/>
  <c r="L58" i="236"/>
  <c r="M58" i="236"/>
  <c r="L29" i="236"/>
  <c r="M29" i="236"/>
  <c r="L30" i="236"/>
  <c r="M30" i="236"/>
  <c r="L31" i="236"/>
  <c r="M31" i="236"/>
  <c r="L32" i="236"/>
  <c r="M32" i="236"/>
  <c r="L33" i="236"/>
  <c r="M33" i="236"/>
  <c r="L34" i="236"/>
  <c r="M34" i="236"/>
  <c r="L35" i="236"/>
  <c r="M35" i="236"/>
  <c r="L36" i="236"/>
  <c r="M36" i="236"/>
  <c r="L37" i="236"/>
  <c r="M37" i="236"/>
  <c r="L38" i="236"/>
  <c r="M38" i="236"/>
  <c r="L39" i="236"/>
  <c r="M39" i="236"/>
  <c r="L40" i="236"/>
  <c r="M40" i="236"/>
  <c r="L41" i="236"/>
  <c r="M41" i="236"/>
  <c r="L42" i="236"/>
  <c r="M42" i="236"/>
  <c r="L43" i="236"/>
  <c r="M43" i="236"/>
  <c r="L44" i="236"/>
  <c r="M44" i="236"/>
  <c r="L45" i="236"/>
  <c r="M45" i="236"/>
  <c r="L22" i="236"/>
  <c r="M22" i="236"/>
  <c r="L23" i="236"/>
  <c r="M23" i="236"/>
  <c r="L24" i="236"/>
  <c r="M24" i="236"/>
  <c r="L16" i="236"/>
  <c r="M16" i="236"/>
  <c r="L17" i="236"/>
  <c r="M17" i="236"/>
  <c r="C31" i="30"/>
  <c r="I17" i="30"/>
  <c r="I31" i="30" s="1"/>
  <c r="J17" i="30"/>
  <c r="J31" i="30" s="1"/>
  <c r="C32" i="30"/>
  <c r="I18" i="30"/>
  <c r="I25" i="30" s="1"/>
  <c r="C33" i="30"/>
  <c r="C34" i="30"/>
  <c r="P36" i="214"/>
  <c r="H25" i="30" s="1"/>
  <c r="P38" i="214"/>
  <c r="H26" i="30" s="1"/>
  <c r="P40" i="214"/>
  <c r="H27" i="30" s="1"/>
  <c r="C20" i="214"/>
  <c r="D20" i="214"/>
  <c r="E20" i="214"/>
  <c r="F20" i="214"/>
  <c r="G20" i="214"/>
  <c r="H20" i="214"/>
  <c r="I20" i="214"/>
  <c r="J20" i="214"/>
  <c r="K20" i="214"/>
  <c r="L20" i="214"/>
  <c r="M20" i="214"/>
  <c r="N20" i="214"/>
  <c r="O20" i="214"/>
  <c r="C18" i="30" s="1"/>
  <c r="C25" i="214"/>
  <c r="D25" i="214"/>
  <c r="E25" i="214"/>
  <c r="F25" i="214"/>
  <c r="G25" i="214"/>
  <c r="H25" i="214"/>
  <c r="I25" i="214"/>
  <c r="J25" i="214"/>
  <c r="K25" i="214"/>
  <c r="L25" i="214"/>
  <c r="M25" i="214"/>
  <c r="N25" i="214"/>
  <c r="O25" i="214"/>
  <c r="C19" i="30" s="1"/>
  <c r="C30" i="214"/>
  <c r="D30" i="214"/>
  <c r="E30" i="214"/>
  <c r="F30" i="214"/>
  <c r="G30" i="214"/>
  <c r="H30" i="214"/>
  <c r="I30" i="214"/>
  <c r="J30" i="214"/>
  <c r="K30" i="214"/>
  <c r="L30" i="214"/>
  <c r="M30" i="214"/>
  <c r="N30" i="214"/>
  <c r="O30" i="214"/>
  <c r="C20" i="30" s="1"/>
  <c r="C15" i="214"/>
  <c r="D15" i="214"/>
  <c r="E15" i="214"/>
  <c r="F15" i="214"/>
  <c r="G15" i="214"/>
  <c r="H15" i="214"/>
  <c r="I15" i="214"/>
  <c r="J15" i="214"/>
  <c r="K15" i="214"/>
  <c r="L15" i="214"/>
  <c r="M15" i="214"/>
  <c r="N15" i="214"/>
  <c r="O15" i="214"/>
  <c r="C17" i="30" s="1"/>
  <c r="F17" i="30" s="1"/>
  <c r="D22" i="243"/>
  <c r="Q19" i="241"/>
  <c r="I19" i="243" s="1"/>
  <c r="Q16" i="241"/>
  <c r="I16" i="243" s="1"/>
  <c r="I13" i="243"/>
  <c r="J13" i="243"/>
  <c r="F13" i="243"/>
  <c r="K13" i="243" s="1"/>
  <c r="J41" i="231"/>
  <c r="J15" i="231"/>
  <c r="K15" i="231"/>
  <c r="J17" i="231"/>
  <c r="K17" i="231"/>
  <c r="O49" i="35"/>
  <c r="O17" i="35" s="1"/>
  <c r="M49" i="35"/>
  <c r="M17" i="35" s="1"/>
  <c r="H16" i="207"/>
  <c r="P8" i="228"/>
  <c r="P8" i="227"/>
  <c r="P8" i="226"/>
  <c r="P8" i="192"/>
  <c r="P8" i="193"/>
  <c r="P8" i="190"/>
  <c r="P8" i="44"/>
  <c r="P8" i="222" s="1"/>
  <c r="D8" i="79"/>
  <c r="D8" i="45"/>
  <c r="O9" i="46"/>
  <c r="A5" i="104"/>
  <c r="A4" i="104"/>
  <c r="A2" i="104"/>
  <c r="A1" i="104"/>
  <c r="F15" i="107"/>
  <c r="D37" i="107"/>
  <c r="F37" i="107" s="1"/>
  <c r="F36" i="107"/>
  <c r="F34" i="107"/>
  <c r="F33" i="107"/>
  <c r="F32" i="107"/>
  <c r="F31" i="107"/>
  <c r="F30" i="107"/>
  <c r="F29" i="107"/>
  <c r="F28" i="107"/>
  <c r="D24" i="107"/>
  <c r="F24" i="107" s="1"/>
  <c r="F23" i="107"/>
  <c r="F21" i="107"/>
  <c r="F20" i="107"/>
  <c r="F19" i="107"/>
  <c r="F18" i="107"/>
  <c r="F17" i="107"/>
  <c r="A5" i="107"/>
  <c r="A4" i="107"/>
  <c r="A2" i="107"/>
  <c r="A1" i="107"/>
  <c r="J128" i="10"/>
  <c r="K128" i="10"/>
  <c r="L128" i="10"/>
  <c r="F100" i="248"/>
  <c r="F101" i="248"/>
  <c r="F102" i="248"/>
  <c r="F103" i="248"/>
  <c r="F104" i="248"/>
  <c r="F105" i="248"/>
  <c r="F106" i="248"/>
  <c r="F107" i="248"/>
  <c r="F108" i="248"/>
  <c r="F109" i="248"/>
  <c r="F110" i="248"/>
  <c r="F111" i="248"/>
  <c r="F112" i="248"/>
  <c r="F113" i="248"/>
  <c r="F114" i="248"/>
  <c r="F115" i="248"/>
  <c r="F116" i="248"/>
  <c r="F117" i="248"/>
  <c r="F118" i="248"/>
  <c r="F119" i="248"/>
  <c r="F120" i="248"/>
  <c r="F121" i="248"/>
  <c r="F122" i="248"/>
  <c r="F123" i="248"/>
  <c r="F124" i="248"/>
  <c r="F125" i="248"/>
  <c r="F126" i="248"/>
  <c r="F127" i="248"/>
  <c r="F128" i="248"/>
  <c r="F129" i="248"/>
  <c r="F130" i="248"/>
  <c r="F131" i="248"/>
  <c r="F132" i="248"/>
  <c r="F133" i="248"/>
  <c r="F134" i="248"/>
  <c r="F135" i="248"/>
  <c r="F136" i="248"/>
  <c r="F137" i="248"/>
  <c r="F138" i="248"/>
  <c r="F139" i="248"/>
  <c r="F140" i="248"/>
  <c r="F141" i="248"/>
  <c r="F142" i="248"/>
  <c r="F143" i="248"/>
  <c r="F144" i="248"/>
  <c r="F145" i="248"/>
  <c r="F146" i="248"/>
  <c r="F147" i="248"/>
  <c r="F148" i="248"/>
  <c r="F149" i="248"/>
  <c r="F150" i="248"/>
  <c r="D181" i="248"/>
  <c r="F15" i="248"/>
  <c r="F17" i="248"/>
  <c r="F18" i="248"/>
  <c r="F19" i="248"/>
  <c r="F20" i="248"/>
  <c r="F21" i="248"/>
  <c r="F22" i="248"/>
  <c r="F23" i="248"/>
  <c r="F24" i="248"/>
  <c r="F25" i="248"/>
  <c r="F26" i="248"/>
  <c r="F27" i="248"/>
  <c r="F28" i="248"/>
  <c r="F29" i="248"/>
  <c r="F30" i="248"/>
  <c r="F31" i="248"/>
  <c r="F32" i="248"/>
  <c r="F33" i="248"/>
  <c r="F34" i="248"/>
  <c r="F35" i="248"/>
  <c r="F36" i="248"/>
  <c r="F37" i="248"/>
  <c r="F38" i="248"/>
  <c r="F39" i="248"/>
  <c r="F40" i="248"/>
  <c r="F41" i="248"/>
  <c r="F42" i="248"/>
  <c r="F43" i="248"/>
  <c r="F44" i="248"/>
  <c r="F45" i="248"/>
  <c r="F46" i="248"/>
  <c r="F47" i="248"/>
  <c r="F48" i="248"/>
  <c r="F49" i="248"/>
  <c r="F50" i="248"/>
  <c r="F51" i="248"/>
  <c r="F52" i="248"/>
  <c r="F53" i="248"/>
  <c r="F54" i="248"/>
  <c r="F55" i="248"/>
  <c r="F56" i="248"/>
  <c r="F57" i="248"/>
  <c r="F58" i="248"/>
  <c r="F59" i="248"/>
  <c r="F60" i="248"/>
  <c r="F61" i="248"/>
  <c r="F62" i="248"/>
  <c r="F63" i="248"/>
  <c r="F64" i="248"/>
  <c r="F65" i="248"/>
  <c r="F71" i="248"/>
  <c r="F72" i="248"/>
  <c r="F73" i="248"/>
  <c r="F74" i="248"/>
  <c r="D96" i="248"/>
  <c r="A5" i="248"/>
  <c r="A4" i="248"/>
  <c r="A2" i="248"/>
  <c r="A1" i="248"/>
  <c r="A101" i="248"/>
  <c r="A102" i="248" s="1"/>
  <c r="A103" i="248" s="1"/>
  <c r="A104" i="248" s="1"/>
  <c r="A105" i="248" s="1"/>
  <c r="A106" i="248" s="1"/>
  <c r="A107" i="248" s="1"/>
  <c r="A108" i="248" s="1"/>
  <c r="A109" i="248" s="1"/>
  <c r="A110" i="248" s="1"/>
  <c r="A111" i="248" s="1"/>
  <c r="A112" i="248" s="1"/>
  <c r="A113" i="248" s="1"/>
  <c r="A114" i="248" s="1"/>
  <c r="A115" i="248" s="1"/>
  <c r="A116" i="248" s="1"/>
  <c r="A118" i="248"/>
  <c r="A119" i="248" s="1"/>
  <c r="A120" i="248" s="1"/>
  <c r="A121" i="248" s="1"/>
  <c r="A123" i="248"/>
  <c r="A124" i="248" s="1"/>
  <c r="A125" i="248" s="1"/>
  <c r="A126" i="248" s="1"/>
  <c r="A127" i="248" s="1"/>
  <c r="A128" i="248" s="1"/>
  <c r="A129" i="248" s="1"/>
  <c r="A130" i="248" s="1"/>
  <c r="A131" i="248" s="1"/>
  <c r="A132" i="248" s="1"/>
  <c r="A133" i="248" s="1"/>
  <c r="A134" i="248" s="1"/>
  <c r="A135" i="248" s="1"/>
  <c r="A136" i="248" s="1"/>
  <c r="A137" i="248" s="1"/>
  <c r="A138" i="248" s="1"/>
  <c r="A139" i="248" s="1"/>
  <c r="A140" i="248" s="1"/>
  <c r="A141" i="248" s="1"/>
  <c r="A142" i="248" s="1"/>
  <c r="A143" i="248" s="1"/>
  <c r="A144" i="248" s="1"/>
  <c r="A145" i="248" s="1"/>
  <c r="A146" i="248" s="1"/>
  <c r="A147" i="248" s="1"/>
  <c r="A148" i="248" s="1"/>
  <c r="A149" i="248" s="1"/>
  <c r="A150" i="248" s="1"/>
  <c r="A151" i="248" s="1"/>
  <c r="A152" i="248" s="1"/>
  <c r="A153" i="248" s="1"/>
  <c r="A154" i="248" s="1"/>
  <c r="A155" i="248" s="1"/>
  <c r="A156" i="248" s="1"/>
  <c r="A157" i="248" s="1"/>
  <c r="A158" i="248" s="1"/>
  <c r="A159" i="248" s="1"/>
  <c r="A160" i="248" s="1"/>
  <c r="A161" i="248" s="1"/>
  <c r="A162" i="248" s="1"/>
  <c r="A163" i="248" s="1"/>
  <c r="A164" i="248" s="1"/>
  <c r="A165" i="248" s="1"/>
  <c r="A166" i="248" s="1"/>
  <c r="A167" i="248" s="1"/>
  <c r="A168" i="248" s="1"/>
  <c r="A169" i="248" s="1"/>
  <c r="A1" i="247"/>
  <c r="A2" i="247"/>
  <c r="J13" i="247"/>
  <c r="J14" i="247"/>
  <c r="H16" i="213"/>
  <c r="G17" i="213"/>
  <c r="H17" i="213"/>
  <c r="G17" i="207"/>
  <c r="H17" i="207"/>
  <c r="G22" i="213"/>
  <c r="H22" i="213"/>
  <c r="G23" i="213"/>
  <c r="H23" i="213"/>
  <c r="G24" i="213"/>
  <c r="H24" i="213"/>
  <c r="G22" i="207"/>
  <c r="H22" i="207"/>
  <c r="G23" i="207"/>
  <c r="H23" i="207"/>
  <c r="G24" i="207"/>
  <c r="H24" i="207"/>
  <c r="G29" i="213"/>
  <c r="H29" i="213"/>
  <c r="G30" i="213"/>
  <c r="H30" i="213"/>
  <c r="G31" i="213"/>
  <c r="H31" i="213"/>
  <c r="G32" i="213"/>
  <c r="H32" i="213"/>
  <c r="G33" i="213"/>
  <c r="H33" i="213"/>
  <c r="G34" i="213"/>
  <c r="H34" i="213"/>
  <c r="G35" i="213"/>
  <c r="H35" i="213"/>
  <c r="G36" i="213"/>
  <c r="H36" i="213"/>
  <c r="G37" i="213"/>
  <c r="H37" i="213"/>
  <c r="G38" i="213"/>
  <c r="H38" i="213"/>
  <c r="G39" i="213"/>
  <c r="H39" i="213"/>
  <c r="G40" i="213"/>
  <c r="H40" i="213"/>
  <c r="G41" i="213"/>
  <c r="H41" i="213"/>
  <c r="G42" i="213"/>
  <c r="H42" i="213"/>
  <c r="G43" i="213"/>
  <c r="H43" i="213"/>
  <c r="G44" i="213"/>
  <c r="H44" i="213"/>
  <c r="G45" i="213"/>
  <c r="H45" i="213"/>
  <c r="G29" i="207"/>
  <c r="H29" i="207"/>
  <c r="G30" i="207"/>
  <c r="H30" i="207"/>
  <c r="G31" i="207"/>
  <c r="H31" i="207"/>
  <c r="G32" i="207"/>
  <c r="H32" i="207"/>
  <c r="G33" i="207"/>
  <c r="H33" i="207"/>
  <c r="G34" i="207"/>
  <c r="H34" i="207"/>
  <c r="G35" i="207"/>
  <c r="H35" i="207"/>
  <c r="G36" i="207"/>
  <c r="H36" i="207"/>
  <c r="G37" i="207"/>
  <c r="H37" i="207"/>
  <c r="G38" i="207"/>
  <c r="H38" i="207"/>
  <c r="G39" i="207"/>
  <c r="H39" i="207"/>
  <c r="G40" i="207"/>
  <c r="H40" i="207"/>
  <c r="G41" i="207"/>
  <c r="H41" i="207"/>
  <c r="G42" i="207"/>
  <c r="H42" i="207"/>
  <c r="G43" i="207"/>
  <c r="H43" i="207"/>
  <c r="G44" i="207"/>
  <c r="H44" i="207"/>
  <c r="G45" i="207"/>
  <c r="H45" i="207"/>
  <c r="G50" i="213"/>
  <c r="H50" i="213"/>
  <c r="G51" i="213"/>
  <c r="H51" i="213"/>
  <c r="G52" i="213"/>
  <c r="H52" i="213"/>
  <c r="G53" i="213"/>
  <c r="H53" i="213"/>
  <c r="G54" i="213"/>
  <c r="H54" i="213"/>
  <c r="G55" i="213"/>
  <c r="H55" i="213"/>
  <c r="G57" i="213"/>
  <c r="H57" i="213"/>
  <c r="G58" i="213"/>
  <c r="H58" i="213"/>
  <c r="G50" i="207"/>
  <c r="H50" i="207"/>
  <c r="G51" i="207"/>
  <c r="H51" i="207"/>
  <c r="G52" i="207"/>
  <c r="H52" i="207"/>
  <c r="G53" i="207"/>
  <c r="H53" i="207"/>
  <c r="G54" i="207"/>
  <c r="H54" i="207"/>
  <c r="G55" i="207"/>
  <c r="H55" i="207"/>
  <c r="G57" i="207"/>
  <c r="H57" i="207"/>
  <c r="G58" i="207"/>
  <c r="H58" i="207"/>
  <c r="G63" i="213"/>
  <c r="H63" i="213"/>
  <c r="G64" i="213"/>
  <c r="H64" i="213"/>
  <c r="G65" i="213"/>
  <c r="H65" i="213"/>
  <c r="G66" i="213"/>
  <c r="H66" i="213"/>
  <c r="G67" i="213"/>
  <c r="H67" i="213"/>
  <c r="G68" i="213"/>
  <c r="H68" i="213"/>
  <c r="G69" i="213"/>
  <c r="H69" i="213"/>
  <c r="G70" i="213"/>
  <c r="H70" i="213"/>
  <c r="G71" i="213"/>
  <c r="H71" i="213"/>
  <c r="G72" i="213"/>
  <c r="H72" i="213"/>
  <c r="G73" i="213"/>
  <c r="H73" i="213"/>
  <c r="G76" i="213"/>
  <c r="H76" i="213"/>
  <c r="G77" i="213"/>
  <c r="H77" i="213"/>
  <c r="G78" i="213"/>
  <c r="H78" i="213"/>
  <c r="G79" i="213"/>
  <c r="H79" i="213"/>
  <c r="G80" i="213"/>
  <c r="H80" i="213"/>
  <c r="G81" i="213"/>
  <c r="H81" i="213"/>
  <c r="G82" i="213"/>
  <c r="H82" i="213"/>
  <c r="G83" i="213"/>
  <c r="H83" i="213"/>
  <c r="G84" i="213"/>
  <c r="H84" i="213"/>
  <c r="G63" i="207"/>
  <c r="H63" i="207"/>
  <c r="G64" i="207"/>
  <c r="H64" i="207"/>
  <c r="G65" i="207"/>
  <c r="H65" i="207"/>
  <c r="G66" i="207"/>
  <c r="H66" i="207"/>
  <c r="G67" i="207"/>
  <c r="H67" i="207"/>
  <c r="G68" i="207"/>
  <c r="H68" i="207"/>
  <c r="G69" i="207"/>
  <c r="H69" i="207"/>
  <c r="G70" i="207"/>
  <c r="H70" i="207"/>
  <c r="G71" i="207"/>
  <c r="H71" i="207"/>
  <c r="G72" i="207"/>
  <c r="H72" i="207"/>
  <c r="G73" i="207"/>
  <c r="H73" i="207"/>
  <c r="G76" i="207"/>
  <c r="H76" i="207"/>
  <c r="G77" i="207"/>
  <c r="H77" i="207"/>
  <c r="G78" i="207"/>
  <c r="H78" i="207"/>
  <c r="G79" i="207"/>
  <c r="H79" i="207"/>
  <c r="G80" i="207"/>
  <c r="H80" i="207"/>
  <c r="G81" i="207"/>
  <c r="H81" i="207"/>
  <c r="G82" i="207"/>
  <c r="H82" i="207"/>
  <c r="G83" i="207"/>
  <c r="H83" i="207"/>
  <c r="G84" i="207"/>
  <c r="H84" i="207"/>
  <c r="F130" i="207"/>
  <c r="F131" i="207"/>
  <c r="F132" i="207"/>
  <c r="F133" i="207"/>
  <c r="F134" i="207"/>
  <c r="F136" i="207"/>
  <c r="F135" i="207"/>
  <c r="F137" i="207"/>
  <c r="F138" i="207"/>
  <c r="F139" i="207"/>
  <c r="F140" i="207"/>
  <c r="F141" i="207"/>
  <c r="F142" i="207"/>
  <c r="F143" i="207"/>
  <c r="F144" i="207"/>
  <c r="F145" i="207"/>
  <c r="F146" i="207"/>
  <c r="F147" i="207"/>
  <c r="F148" i="207"/>
  <c r="F149" i="207"/>
  <c r="F150" i="207"/>
  <c r="G89" i="213"/>
  <c r="H89" i="213"/>
  <c r="G90" i="213"/>
  <c r="H90" i="213"/>
  <c r="G91" i="213"/>
  <c r="H91" i="213"/>
  <c r="G92" i="213"/>
  <c r="H92" i="213"/>
  <c r="G93" i="213"/>
  <c r="H93" i="213"/>
  <c r="G94" i="213"/>
  <c r="H94" i="213"/>
  <c r="G95" i="213"/>
  <c r="H95" i="213"/>
  <c r="G110" i="213"/>
  <c r="H110" i="213"/>
  <c r="G111" i="213"/>
  <c r="H111" i="213"/>
  <c r="G112" i="213"/>
  <c r="H112" i="213"/>
  <c r="G113" i="213"/>
  <c r="H113" i="213"/>
  <c r="G89" i="207"/>
  <c r="H89" i="207"/>
  <c r="G90" i="207"/>
  <c r="H90" i="207"/>
  <c r="G91" i="207"/>
  <c r="H91" i="207"/>
  <c r="G92" i="207"/>
  <c r="H92" i="207"/>
  <c r="G93" i="207"/>
  <c r="H93" i="207"/>
  <c r="G94" i="207"/>
  <c r="H94" i="207"/>
  <c r="G95" i="207"/>
  <c r="H112" i="207"/>
  <c r="G113" i="207"/>
  <c r="H113" i="207"/>
  <c r="G89" i="209"/>
  <c r="H89" i="209"/>
  <c r="G90" i="209"/>
  <c r="H90" i="209"/>
  <c r="G91" i="209"/>
  <c r="H91" i="209"/>
  <c r="G92" i="209"/>
  <c r="H92" i="209"/>
  <c r="G93" i="209"/>
  <c r="H93" i="209"/>
  <c r="G94" i="209"/>
  <c r="H94" i="209"/>
  <c r="G95" i="209"/>
  <c r="H95" i="209"/>
  <c r="G101" i="209"/>
  <c r="H101" i="209"/>
  <c r="G102" i="209"/>
  <c r="H102" i="209"/>
  <c r="G103" i="209"/>
  <c r="H103" i="209"/>
  <c r="G104" i="209"/>
  <c r="H104" i="209"/>
  <c r="G105" i="209"/>
  <c r="H105" i="209"/>
  <c r="G106" i="209"/>
  <c r="H106" i="209"/>
  <c r="G107" i="209"/>
  <c r="H107" i="209"/>
  <c r="G108" i="209"/>
  <c r="H108" i="209"/>
  <c r="G109" i="209"/>
  <c r="H109" i="209"/>
  <c r="G110" i="209"/>
  <c r="H110" i="209"/>
  <c r="G111" i="209"/>
  <c r="H111" i="209"/>
  <c r="G112" i="209"/>
  <c r="H112" i="209"/>
  <c r="G113" i="209"/>
  <c r="H113" i="209"/>
  <c r="G114" i="209"/>
  <c r="H114" i="209"/>
  <c r="G63" i="209"/>
  <c r="H63" i="209"/>
  <c r="G64" i="209"/>
  <c r="H64" i="209"/>
  <c r="G65" i="209"/>
  <c r="H65" i="209"/>
  <c r="G66" i="209"/>
  <c r="H66" i="209"/>
  <c r="G67" i="209"/>
  <c r="H67" i="209"/>
  <c r="G68" i="209"/>
  <c r="H68" i="209"/>
  <c r="G69" i="209"/>
  <c r="H69" i="209"/>
  <c r="G70" i="209"/>
  <c r="H70" i="209"/>
  <c r="G71" i="209"/>
  <c r="H71" i="209"/>
  <c r="G72" i="209"/>
  <c r="H72" i="209"/>
  <c r="G73" i="209"/>
  <c r="H73" i="209"/>
  <c r="G76" i="209"/>
  <c r="H76" i="209"/>
  <c r="G77" i="209"/>
  <c r="H77" i="209"/>
  <c r="G78" i="209"/>
  <c r="H78" i="209"/>
  <c r="G79" i="209"/>
  <c r="H79" i="209"/>
  <c r="G80" i="209"/>
  <c r="H80" i="209"/>
  <c r="G81" i="209"/>
  <c r="H81" i="209"/>
  <c r="G82" i="209"/>
  <c r="H82" i="209"/>
  <c r="G83" i="209"/>
  <c r="H83" i="209"/>
  <c r="G84" i="209"/>
  <c r="H84" i="209"/>
  <c r="G50" i="209"/>
  <c r="H50" i="209"/>
  <c r="G51" i="209"/>
  <c r="H51" i="209"/>
  <c r="G52" i="209"/>
  <c r="H52" i="209"/>
  <c r="G53" i="209"/>
  <c r="H53" i="209"/>
  <c r="G54" i="209"/>
  <c r="H54" i="209"/>
  <c r="G55" i="209"/>
  <c r="H55" i="209"/>
  <c r="G57" i="209"/>
  <c r="H57" i="209"/>
  <c r="G58" i="209"/>
  <c r="H58" i="209"/>
  <c r="G29" i="209"/>
  <c r="H29" i="209"/>
  <c r="G30" i="209"/>
  <c r="H30" i="209"/>
  <c r="G31" i="209"/>
  <c r="H31" i="209"/>
  <c r="G32" i="209"/>
  <c r="H32" i="209"/>
  <c r="G33" i="209"/>
  <c r="H33" i="209"/>
  <c r="G34" i="209"/>
  <c r="H34" i="209"/>
  <c r="G35" i="209"/>
  <c r="H35" i="209"/>
  <c r="G36" i="209"/>
  <c r="H36" i="209"/>
  <c r="G37" i="209"/>
  <c r="H37" i="209"/>
  <c r="G38" i="209"/>
  <c r="H38" i="209"/>
  <c r="G39" i="209"/>
  <c r="H39" i="209"/>
  <c r="G40" i="209"/>
  <c r="H40" i="209"/>
  <c r="G41" i="209"/>
  <c r="H41" i="209"/>
  <c r="G42" i="209"/>
  <c r="H42" i="209"/>
  <c r="G43" i="209"/>
  <c r="H43" i="209"/>
  <c r="G44" i="209"/>
  <c r="H44" i="209"/>
  <c r="G45" i="209"/>
  <c r="H45" i="209"/>
  <c r="G22" i="209"/>
  <c r="H22" i="209"/>
  <c r="G23" i="209"/>
  <c r="H23" i="209"/>
  <c r="G24" i="209"/>
  <c r="H24" i="209"/>
  <c r="H16" i="209"/>
  <c r="G17" i="209"/>
  <c r="H17" i="209"/>
  <c r="F131" i="236"/>
  <c r="F132" i="236"/>
  <c r="F133" i="236"/>
  <c r="F134" i="236"/>
  <c r="F135" i="236"/>
  <c r="F136" i="236"/>
  <c r="F137" i="236"/>
  <c r="F138" i="236"/>
  <c r="F139" i="236"/>
  <c r="F140" i="236"/>
  <c r="F141" i="236"/>
  <c r="F142" i="236"/>
  <c r="F143" i="236"/>
  <c r="F144" i="236"/>
  <c r="F145" i="236"/>
  <c r="F146" i="236"/>
  <c r="F147" i="236"/>
  <c r="F148" i="236"/>
  <c r="F149" i="236"/>
  <c r="F150" i="236"/>
  <c r="F151" i="236"/>
  <c r="G89" i="236"/>
  <c r="H89" i="236"/>
  <c r="G90" i="236"/>
  <c r="H90" i="236"/>
  <c r="G91" i="236"/>
  <c r="H91" i="236"/>
  <c r="G92" i="236"/>
  <c r="H92" i="236"/>
  <c r="G93" i="236"/>
  <c r="H93" i="236"/>
  <c r="G94" i="236"/>
  <c r="H94" i="236"/>
  <c r="G95" i="236"/>
  <c r="H95" i="236"/>
  <c r="G96" i="236"/>
  <c r="H96" i="236"/>
  <c r="G97" i="236"/>
  <c r="H97" i="236"/>
  <c r="G98" i="236"/>
  <c r="H98" i="236"/>
  <c r="G99" i="236"/>
  <c r="H99" i="236"/>
  <c r="G100" i="236"/>
  <c r="H100" i="236"/>
  <c r="G101" i="236"/>
  <c r="H101" i="236"/>
  <c r="G102" i="236"/>
  <c r="H102" i="236"/>
  <c r="G103" i="236"/>
  <c r="H103" i="236"/>
  <c r="G104" i="236"/>
  <c r="H104" i="236"/>
  <c r="G105" i="236"/>
  <c r="H105" i="236"/>
  <c r="G111" i="236"/>
  <c r="H111" i="236"/>
  <c r="G112" i="236"/>
  <c r="H112" i="236"/>
  <c r="G113" i="236"/>
  <c r="H113" i="236"/>
  <c r="G114" i="236"/>
  <c r="H114" i="236"/>
  <c r="G63" i="236"/>
  <c r="H63" i="236"/>
  <c r="G64" i="236"/>
  <c r="H64" i="236"/>
  <c r="G65" i="236"/>
  <c r="H65" i="236"/>
  <c r="G66" i="236"/>
  <c r="H66" i="236"/>
  <c r="G67" i="236"/>
  <c r="H67" i="236"/>
  <c r="G68" i="236"/>
  <c r="H68" i="236"/>
  <c r="G69" i="236"/>
  <c r="H69" i="236"/>
  <c r="G70" i="236"/>
  <c r="H70" i="236"/>
  <c r="G71" i="236"/>
  <c r="H71" i="236"/>
  <c r="G72" i="236"/>
  <c r="H72" i="236"/>
  <c r="G73" i="236"/>
  <c r="H73" i="236"/>
  <c r="G76" i="236"/>
  <c r="H76" i="236"/>
  <c r="G77" i="236"/>
  <c r="H77" i="236"/>
  <c r="G78" i="236"/>
  <c r="H78" i="236"/>
  <c r="G79" i="236"/>
  <c r="H79" i="236"/>
  <c r="G80" i="236"/>
  <c r="H80" i="236"/>
  <c r="G81" i="236"/>
  <c r="H81" i="236"/>
  <c r="G82" i="236"/>
  <c r="H82" i="236"/>
  <c r="G83" i="236"/>
  <c r="H83" i="236"/>
  <c r="G84" i="236"/>
  <c r="H84" i="236"/>
  <c r="G50" i="236"/>
  <c r="H50" i="236"/>
  <c r="G51" i="236"/>
  <c r="H51" i="236"/>
  <c r="G52" i="236"/>
  <c r="H52" i="236"/>
  <c r="G53" i="236"/>
  <c r="H53" i="236"/>
  <c r="G54" i="236"/>
  <c r="H54" i="236"/>
  <c r="G55" i="236"/>
  <c r="H55" i="236"/>
  <c r="G57" i="236"/>
  <c r="H57" i="236"/>
  <c r="G58" i="236"/>
  <c r="H58" i="236"/>
  <c r="G29" i="236"/>
  <c r="H29" i="236"/>
  <c r="G30" i="236"/>
  <c r="H30" i="236"/>
  <c r="G31" i="236"/>
  <c r="H31" i="236"/>
  <c r="G32" i="236"/>
  <c r="H32" i="236"/>
  <c r="G33" i="236"/>
  <c r="H33" i="236"/>
  <c r="G34" i="236"/>
  <c r="H34" i="236"/>
  <c r="G35" i="236"/>
  <c r="H35" i="236"/>
  <c r="G36" i="236"/>
  <c r="H36" i="236"/>
  <c r="G37" i="236"/>
  <c r="H37" i="236"/>
  <c r="G38" i="236"/>
  <c r="H38" i="236"/>
  <c r="G39" i="236"/>
  <c r="H39" i="236"/>
  <c r="G40" i="236"/>
  <c r="H40" i="236"/>
  <c r="G41" i="236"/>
  <c r="H41" i="236"/>
  <c r="G42" i="236"/>
  <c r="H42" i="236"/>
  <c r="G43" i="236"/>
  <c r="H43" i="236"/>
  <c r="G44" i="236"/>
  <c r="H44" i="236"/>
  <c r="G45" i="236"/>
  <c r="H45" i="236"/>
  <c r="G22" i="236"/>
  <c r="H22" i="236"/>
  <c r="G23" i="236"/>
  <c r="H23" i="236"/>
  <c r="G24" i="236"/>
  <c r="H24" i="236"/>
  <c r="H16" i="236"/>
  <c r="G17" i="236"/>
  <c r="H17" i="236"/>
  <c r="G119" i="213"/>
  <c r="H119" i="213"/>
  <c r="G119" i="207"/>
  <c r="H119" i="207"/>
  <c r="L98" i="10"/>
  <c r="K98" i="10"/>
  <c r="J98" i="10"/>
  <c r="D13" i="244"/>
  <c r="M98" i="10"/>
  <c r="N98" i="10"/>
  <c r="O98" i="10"/>
  <c r="P98" i="10"/>
  <c r="Q98" i="10"/>
  <c r="R98" i="10"/>
  <c r="A2" i="212"/>
  <c r="A2" i="244" s="1"/>
  <c r="D40" i="51"/>
  <c r="D146" i="51" s="1"/>
  <c r="A1" i="245"/>
  <c r="A2" i="245"/>
  <c r="A3" i="245"/>
  <c r="A4" i="245"/>
  <c r="E45" i="231"/>
  <c r="J45" i="231" s="1"/>
  <c r="E43" i="231"/>
  <c r="J43" i="231"/>
  <c r="J39" i="231"/>
  <c r="D19" i="244"/>
  <c r="D16" i="244"/>
  <c r="A1" i="212"/>
  <c r="A1" i="244" s="1"/>
  <c r="A3" i="212"/>
  <c r="A4" i="242" s="1"/>
  <c r="F8" i="137"/>
  <c r="J22" i="244"/>
  <c r="D19" i="243"/>
  <c r="D16" i="243"/>
  <c r="J22" i="243"/>
  <c r="A7" i="137"/>
  <c r="A7" i="237" s="1"/>
  <c r="A8" i="242"/>
  <c r="A6" i="242"/>
  <c r="A8" i="233"/>
  <c r="A6" i="233"/>
  <c r="A7" i="3"/>
  <c r="A7" i="241" s="1"/>
  <c r="A6" i="241"/>
  <c r="A8" i="241"/>
  <c r="A2" i="34"/>
  <c r="A1" i="34"/>
  <c r="A5" i="34"/>
  <c r="A4" i="34"/>
  <c r="J33" i="39"/>
  <c r="I34" i="39"/>
  <c r="J34" i="41"/>
  <c r="J36" i="41"/>
  <c r="I34" i="41"/>
  <c r="I36" i="41"/>
  <c r="H34" i="41"/>
  <c r="H36" i="41"/>
  <c r="H33" i="41"/>
  <c r="D17" i="103"/>
  <c r="D18" i="103"/>
  <c r="D19" i="103"/>
  <c r="E19" i="103" s="1"/>
  <c r="E16" i="103"/>
  <c r="E18" i="103"/>
  <c r="C41" i="103"/>
  <c r="A5" i="103"/>
  <c r="A4" i="103"/>
  <c r="A2" i="103"/>
  <c r="A1" i="103"/>
  <c r="H13" i="103"/>
  <c r="H12" i="103"/>
  <c r="E16" i="239"/>
  <c r="A1" i="239"/>
  <c r="A2" i="239"/>
  <c r="H11" i="239"/>
  <c r="H12" i="239"/>
  <c r="H15" i="239"/>
  <c r="A5" i="37"/>
  <c r="A4" i="37"/>
  <c r="A2" i="37"/>
  <c r="A1" i="37"/>
  <c r="A2" i="98"/>
  <c r="A1" i="98"/>
  <c r="A2" i="95"/>
  <c r="A1" i="95"/>
  <c r="A5" i="202"/>
  <c r="A4" i="202"/>
  <c r="A2" i="202"/>
  <c r="A1" i="202"/>
  <c r="A4" i="99"/>
  <c r="A2" i="99"/>
  <c r="A1" i="99"/>
  <c r="A2" i="106"/>
  <c r="A1" i="106"/>
  <c r="A5" i="105"/>
  <c r="A4" i="105"/>
  <c r="A2" i="105"/>
  <c r="A1" i="105"/>
  <c r="H12" i="102"/>
  <c r="H11" i="102"/>
  <c r="A5" i="102"/>
  <c r="A4" i="102"/>
  <c r="A2" i="102"/>
  <c r="A1" i="102"/>
  <c r="A5" i="100"/>
  <c r="A4" i="100"/>
  <c r="A2" i="100"/>
  <c r="A1" i="100"/>
  <c r="D73" i="100"/>
  <c r="E48" i="100"/>
  <c r="E19" i="100"/>
  <c r="E49" i="100" s="1"/>
  <c r="E20" i="100"/>
  <c r="E21" i="100"/>
  <c r="E51" i="100" s="1"/>
  <c r="I13" i="100"/>
  <c r="I12" i="100"/>
  <c r="A5" i="10"/>
  <c r="A4" i="10"/>
  <c r="A2" i="10"/>
  <c r="A1" i="10"/>
  <c r="A5" i="36"/>
  <c r="A4" i="36"/>
  <c r="A2" i="36"/>
  <c r="A1" i="36"/>
  <c r="A4" i="8"/>
  <c r="A2" i="8"/>
  <c r="A1" i="8"/>
  <c r="A8" i="5"/>
  <c r="A9" i="5"/>
  <c r="A7" i="5"/>
  <c r="A2" i="5"/>
  <c r="A1" i="5"/>
  <c r="A5" i="84"/>
  <c r="A4" i="84"/>
  <c r="A1" i="84"/>
  <c r="D9" i="238"/>
  <c r="E9" i="238"/>
  <c r="F9" i="238"/>
  <c r="G9" i="238"/>
  <c r="H9" i="238"/>
  <c r="I9" i="238"/>
  <c r="J9" i="238"/>
  <c r="K9" i="238"/>
  <c r="L9" i="238"/>
  <c r="M9" i="238"/>
  <c r="N9" i="238"/>
  <c r="D10" i="238"/>
  <c r="E10" i="238"/>
  <c r="F10" i="238"/>
  <c r="G10" i="238"/>
  <c r="H10" i="238"/>
  <c r="I10" i="238"/>
  <c r="J10" i="238"/>
  <c r="K10" i="238"/>
  <c r="L10" i="238"/>
  <c r="M10" i="238"/>
  <c r="N10" i="238"/>
  <c r="C10" i="238"/>
  <c r="C9" i="238"/>
  <c r="A7" i="79"/>
  <c r="A7" i="238" s="1"/>
  <c r="A8" i="238"/>
  <c r="A6" i="238"/>
  <c r="A4" i="238"/>
  <c r="A1" i="238"/>
  <c r="A2" i="238"/>
  <c r="O10" i="238"/>
  <c r="A1" i="237"/>
  <c r="A2" i="237"/>
  <c r="A6" i="237"/>
  <c r="A8" i="237"/>
  <c r="A8" i="236"/>
  <c r="A6" i="236"/>
  <c r="A4" i="236"/>
  <c r="A1" i="236"/>
  <c r="A2" i="236"/>
  <c r="E19" i="236"/>
  <c r="E26" i="236"/>
  <c r="E47" i="236"/>
  <c r="E60" i="236"/>
  <c r="E86" i="236"/>
  <c r="E118" i="236"/>
  <c r="E128" i="236"/>
  <c r="D153" i="236"/>
  <c r="E153" i="236"/>
  <c r="E179" i="236"/>
  <c r="E226" i="236"/>
  <c r="E262" i="236"/>
  <c r="K152" i="213"/>
  <c r="E228" i="209"/>
  <c r="E181" i="209"/>
  <c r="E60" i="209"/>
  <c r="K155" i="209"/>
  <c r="E118" i="209"/>
  <c r="E86" i="209"/>
  <c r="E47" i="209"/>
  <c r="E26" i="209"/>
  <c r="E19" i="209"/>
  <c r="E130" i="209"/>
  <c r="E155" i="209"/>
  <c r="D155" i="209"/>
  <c r="A8" i="209"/>
  <c r="A6" i="209"/>
  <c r="A4" i="209"/>
  <c r="A1" i="235"/>
  <c r="A2" i="235"/>
  <c r="A3" i="235"/>
  <c r="A4" i="235"/>
  <c r="D36" i="230"/>
  <c r="D19" i="230"/>
  <c r="E36" i="230"/>
  <c r="E19" i="230"/>
  <c r="F36" i="230"/>
  <c r="F19" i="230"/>
  <c r="G36" i="230"/>
  <c r="G19" i="230"/>
  <c r="H36" i="230"/>
  <c r="H19" i="230"/>
  <c r="A8" i="230"/>
  <c r="A6" i="230"/>
  <c r="L25" i="202"/>
  <c r="C53" i="228"/>
  <c r="B53" i="228"/>
  <c r="C32" i="227"/>
  <c r="B32" i="227"/>
  <c r="C40" i="226"/>
  <c r="B40" i="226"/>
  <c r="C56" i="192"/>
  <c r="B56" i="192"/>
  <c r="C33" i="193"/>
  <c r="B33" i="193"/>
  <c r="C44" i="190"/>
  <c r="B44" i="190"/>
  <c r="P10" i="228"/>
  <c r="A8" i="228"/>
  <c r="A6" i="228"/>
  <c r="A4" i="228"/>
  <c r="A1" i="228"/>
  <c r="A2" i="228"/>
  <c r="A8" i="227"/>
  <c r="A6" i="227"/>
  <c r="A4" i="227"/>
  <c r="A4" i="226"/>
  <c r="A1" i="227"/>
  <c r="A2" i="227"/>
  <c r="P10" i="227"/>
  <c r="A8" i="226"/>
  <c r="A6" i="226"/>
  <c r="A1" i="226"/>
  <c r="A2" i="226"/>
  <c r="P10" i="226"/>
  <c r="A4" i="222"/>
  <c r="A8" i="222"/>
  <c r="A6" i="222"/>
  <c r="A1" i="222"/>
  <c r="A2" i="222"/>
  <c r="A2" i="221"/>
  <c r="A3" i="221"/>
  <c r="A4" i="221"/>
  <c r="A1" i="221"/>
  <c r="A4" i="48"/>
  <c r="A2" i="48"/>
  <c r="A1" i="48"/>
  <c r="A4" i="49"/>
  <c r="A2" i="49"/>
  <c r="A1" i="49"/>
  <c r="A4" i="212"/>
  <c r="A4" i="50" s="1"/>
  <c r="A2" i="50"/>
  <c r="A1" i="50"/>
  <c r="A2" i="51"/>
  <c r="A1" i="51"/>
  <c r="C31" i="215"/>
  <c r="D31" i="215"/>
  <c r="E31" i="215"/>
  <c r="C32" i="215"/>
  <c r="D32" i="215"/>
  <c r="E33" i="30"/>
  <c r="D32" i="30"/>
  <c r="D31" i="30"/>
  <c r="E31" i="30"/>
  <c r="D152" i="213"/>
  <c r="A3" i="216"/>
  <c r="C27" i="215"/>
  <c r="C26" i="215"/>
  <c r="C25" i="215"/>
  <c r="D25" i="215"/>
  <c r="C24" i="215"/>
  <c r="D24" i="215"/>
  <c r="E24" i="215"/>
  <c r="C20" i="215"/>
  <c r="C27" i="30"/>
  <c r="C26" i="30"/>
  <c r="C25" i="30"/>
  <c r="D25" i="30"/>
  <c r="D24" i="30"/>
  <c r="E24" i="30"/>
  <c r="A1" i="216"/>
  <c r="A2" i="216"/>
  <c r="A9" i="215"/>
  <c r="A7" i="215"/>
  <c r="H12" i="215"/>
  <c r="A3" i="214"/>
  <c r="A2" i="214"/>
  <c r="A1" i="214"/>
  <c r="A9" i="30"/>
  <c r="A7" i="30"/>
  <c r="A8" i="67"/>
  <c r="A6" i="67"/>
  <c r="A9" i="69"/>
  <c r="A7" i="69"/>
  <c r="A2" i="69"/>
  <c r="A1" i="69"/>
  <c r="A9" i="24"/>
  <c r="A7" i="24"/>
  <c r="A2" i="24"/>
  <c r="A1" i="24"/>
  <c r="A8" i="213"/>
  <c r="A6" i="213"/>
  <c r="A4" i="213"/>
  <c r="A1" i="213"/>
  <c r="A2" i="213"/>
  <c r="E19" i="213"/>
  <c r="E26" i="213"/>
  <c r="E47" i="213"/>
  <c r="E60" i="213"/>
  <c r="E86" i="213"/>
  <c r="E115" i="213"/>
  <c r="E127" i="213"/>
  <c r="E152" i="213"/>
  <c r="E177" i="213"/>
  <c r="K152" i="207"/>
  <c r="E127" i="207"/>
  <c r="E152" i="207"/>
  <c r="E177" i="207"/>
  <c r="E19" i="207"/>
  <c r="E26" i="207"/>
  <c r="E47" i="207"/>
  <c r="E60" i="207"/>
  <c r="E86" i="207"/>
  <c r="E115" i="207"/>
  <c r="D152" i="207"/>
  <c r="A7" i="171"/>
  <c r="A8" i="171"/>
  <c r="A6" i="171"/>
  <c r="A4" i="171"/>
  <c r="A2" i="171"/>
  <c r="A1" i="171"/>
  <c r="O10" i="171"/>
  <c r="N10" i="171"/>
  <c r="M10" i="171"/>
  <c r="L10" i="171"/>
  <c r="K10" i="171"/>
  <c r="J10" i="171"/>
  <c r="I10" i="171"/>
  <c r="H10" i="171"/>
  <c r="G10" i="171"/>
  <c r="F10" i="171"/>
  <c r="E10" i="171"/>
  <c r="D10" i="171"/>
  <c r="C10" i="171"/>
  <c r="N9" i="171"/>
  <c r="M9" i="171"/>
  <c r="L9" i="171"/>
  <c r="K9" i="171"/>
  <c r="H9" i="171"/>
  <c r="G9" i="171"/>
  <c r="F9" i="171"/>
  <c r="E9" i="171"/>
  <c r="D9" i="171"/>
  <c r="C9" i="171"/>
  <c r="A4" i="192"/>
  <c r="A2" i="192"/>
  <c r="A1" i="192"/>
  <c r="P10" i="192"/>
  <c r="O10" i="192"/>
  <c r="N10" i="192"/>
  <c r="M10" i="192"/>
  <c r="L10" i="192"/>
  <c r="K10" i="192"/>
  <c r="J10" i="192"/>
  <c r="I10" i="192"/>
  <c r="H10" i="192"/>
  <c r="G10" i="192"/>
  <c r="F10" i="192"/>
  <c r="D10" i="192"/>
  <c r="O9" i="192"/>
  <c r="N9" i="192"/>
  <c r="M9" i="192"/>
  <c r="L9" i="192"/>
  <c r="K9" i="192"/>
  <c r="J9" i="192"/>
  <c r="I9" i="192"/>
  <c r="H9" i="192"/>
  <c r="G9" i="192"/>
  <c r="F9" i="192"/>
  <c r="D9" i="192"/>
  <c r="A7" i="44"/>
  <c r="A7" i="192" s="1"/>
  <c r="A8" i="44"/>
  <c r="A8" i="192" s="1"/>
  <c r="A6" i="44"/>
  <c r="A6" i="192" s="1"/>
  <c r="A4" i="193"/>
  <c r="A2" i="193"/>
  <c r="A1" i="193"/>
  <c r="P10" i="193"/>
  <c r="O10" i="193"/>
  <c r="N10" i="193"/>
  <c r="M10" i="193"/>
  <c r="L10" i="193"/>
  <c r="K10" i="193"/>
  <c r="J10" i="193"/>
  <c r="I10" i="193"/>
  <c r="H10" i="193"/>
  <c r="G10" i="193"/>
  <c r="F10" i="193"/>
  <c r="D10" i="193"/>
  <c r="O9" i="193"/>
  <c r="N9" i="193"/>
  <c r="M9" i="193"/>
  <c r="L9" i="193"/>
  <c r="K9" i="193"/>
  <c r="J9" i="193"/>
  <c r="I9" i="193"/>
  <c r="H9" i="193"/>
  <c r="G9" i="193"/>
  <c r="F9" i="193"/>
  <c r="D9" i="193"/>
  <c r="A4" i="190"/>
  <c r="A2" i="190"/>
  <c r="A1" i="190"/>
  <c r="P15" i="190"/>
  <c r="F9" i="190"/>
  <c r="G9" i="190"/>
  <c r="H9" i="190"/>
  <c r="I9" i="190"/>
  <c r="J9" i="190"/>
  <c r="K9" i="190"/>
  <c r="L9" i="190"/>
  <c r="M9" i="190"/>
  <c r="N9" i="190"/>
  <c r="O9" i="190"/>
  <c r="F10" i="190"/>
  <c r="G10" i="190"/>
  <c r="H10" i="190"/>
  <c r="I10" i="190"/>
  <c r="J10" i="190"/>
  <c r="K10" i="190"/>
  <c r="L10" i="190"/>
  <c r="M10" i="190"/>
  <c r="N10" i="190"/>
  <c r="O10" i="190"/>
  <c r="P10" i="190"/>
  <c r="D10" i="190"/>
  <c r="D9" i="190"/>
  <c r="A4" i="44"/>
  <c r="A2" i="44"/>
  <c r="A1" i="44"/>
  <c r="A4" i="4"/>
  <c r="A2" i="4"/>
  <c r="A1" i="4"/>
  <c r="G36" i="39"/>
  <c r="G35" i="39"/>
  <c r="G34" i="39"/>
  <c r="G33" i="39"/>
  <c r="G30" i="39"/>
  <c r="G22" i="39"/>
  <c r="H35" i="39"/>
  <c r="A5" i="39"/>
  <c r="A4" i="39"/>
  <c r="A2" i="39"/>
  <c r="A1" i="39"/>
  <c r="A2" i="41"/>
  <c r="A4" i="41"/>
  <c r="A5" i="41"/>
  <c r="A1" i="41"/>
  <c r="G36" i="41"/>
  <c r="G35" i="41"/>
  <c r="G34" i="41"/>
  <c r="G33" i="41"/>
  <c r="G30" i="41"/>
  <c r="G22" i="41"/>
  <c r="H35" i="41"/>
  <c r="A5" i="42"/>
  <c r="A4" i="42"/>
  <c r="A2" i="42"/>
  <c r="A1" i="42"/>
  <c r="D19" i="42"/>
  <c r="A5" i="35"/>
  <c r="A4" i="35"/>
  <c r="A2" i="35"/>
  <c r="A1" i="35"/>
  <c r="A4" i="79"/>
  <c r="A2" i="79"/>
  <c r="A1" i="79"/>
  <c r="A4" i="45"/>
  <c r="A2" i="45"/>
  <c r="A1" i="45"/>
  <c r="A1" i="211"/>
  <c r="A2" i="211"/>
  <c r="A3" i="211"/>
  <c r="A4" i="211"/>
  <c r="A8" i="46"/>
  <c r="A9" i="46"/>
  <c r="A7" i="46"/>
  <c r="A5" i="46"/>
  <c r="A4" i="46"/>
  <c r="A2" i="46"/>
  <c r="A1" i="46"/>
  <c r="A4" i="47"/>
  <c r="A2" i="47"/>
  <c r="A1" i="47"/>
  <c r="A4" i="67"/>
  <c r="A2" i="67"/>
  <c r="A1" i="67"/>
  <c r="A8" i="31"/>
  <c r="A6" i="31"/>
  <c r="A2" i="31"/>
  <c r="A1" i="31"/>
  <c r="A1" i="209"/>
  <c r="A2" i="209"/>
  <c r="A2" i="137"/>
  <c r="A1" i="137"/>
  <c r="A2" i="3"/>
  <c r="A1" i="3"/>
  <c r="A8" i="207"/>
  <c r="A7" i="207"/>
  <c r="A6" i="207"/>
  <c r="A4" i="207"/>
  <c r="A2" i="207"/>
  <c r="A1" i="207"/>
  <c r="A4" i="1"/>
  <c r="A2" i="1"/>
  <c r="A1" i="1"/>
  <c r="A4" i="206"/>
  <c r="A2" i="206"/>
  <c r="A3" i="206"/>
  <c r="A1" i="206"/>
  <c r="A4" i="205"/>
  <c r="A3" i="205"/>
  <c r="A2" i="205"/>
  <c r="A1" i="205"/>
  <c r="J25" i="10"/>
  <c r="J27" i="10" s="1"/>
  <c r="K25" i="10"/>
  <c r="K27" i="10" s="1"/>
  <c r="L25" i="10"/>
  <c r="L27" i="10" s="1"/>
  <c r="M25" i="10"/>
  <c r="M27" i="10" s="1"/>
  <c r="N25" i="10"/>
  <c r="N27" i="10" s="1"/>
  <c r="O25" i="10"/>
  <c r="O27" i="10" s="1"/>
  <c r="P25" i="10"/>
  <c r="P27" i="10" s="1"/>
  <c r="Q25" i="10"/>
  <c r="Q27" i="10" s="1"/>
  <c r="R25" i="10"/>
  <c r="R27" i="10" s="1"/>
  <c r="J31" i="10"/>
  <c r="K31" i="10"/>
  <c r="L31" i="10"/>
  <c r="M31" i="10"/>
  <c r="N31" i="10"/>
  <c r="O31" i="10"/>
  <c r="P31" i="10"/>
  <c r="Q31" i="10"/>
  <c r="R31" i="10"/>
  <c r="J45" i="10"/>
  <c r="K45" i="10"/>
  <c r="L45" i="10"/>
  <c r="M45" i="10"/>
  <c r="N45" i="10"/>
  <c r="P45" i="10"/>
  <c r="Q45" i="10"/>
  <c r="R45" i="10"/>
  <c r="O55" i="10"/>
  <c r="O58" i="10" s="1"/>
  <c r="O60" i="10" s="1"/>
  <c r="O62" i="10" s="1"/>
  <c r="Q55" i="10"/>
  <c r="Q58" i="10" s="1"/>
  <c r="Q60" i="10" s="1"/>
  <c r="Q62" i="10" s="1"/>
  <c r="R55" i="10"/>
  <c r="R58" i="10" s="1"/>
  <c r="R60" i="10" s="1"/>
  <c r="R62" i="10" s="1"/>
  <c r="P55" i="10"/>
  <c r="P58" i="10" s="1"/>
  <c r="P60" i="10" s="1"/>
  <c r="P62" i="10" s="1"/>
  <c r="G123" i="10"/>
  <c r="H123" i="10"/>
  <c r="M124" i="10"/>
  <c r="N124" i="10"/>
  <c r="O124" i="10"/>
  <c r="P124" i="10"/>
  <c r="Q124" i="10"/>
  <c r="R124" i="10"/>
  <c r="M128" i="10"/>
  <c r="N128" i="10"/>
  <c r="O128" i="10"/>
  <c r="P128" i="10"/>
  <c r="Q128" i="10"/>
  <c r="R128" i="10"/>
  <c r="M36" i="39"/>
  <c r="I35" i="41"/>
  <c r="J35" i="41"/>
  <c r="A14" i="35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J49" i="35"/>
  <c r="J50" i="35"/>
  <c r="H24" i="36"/>
  <c r="J24" i="36" s="1"/>
  <c r="F16" i="104"/>
  <c r="F18" i="104"/>
  <c r="J18" i="104"/>
  <c r="D20" i="104"/>
  <c r="A17" i="107"/>
  <c r="A18" i="107" s="1"/>
  <c r="A19" i="107" s="1"/>
  <c r="A20" i="107" s="1"/>
  <c r="A21" i="107" s="1"/>
  <c r="A22" i="107" s="1"/>
  <c r="A23" i="107" s="1"/>
  <c r="A29" i="107"/>
  <c r="A30" i="107" s="1"/>
  <c r="A31" i="107" s="1"/>
  <c r="A32" i="107" s="1"/>
  <c r="A33" i="107" s="1"/>
  <c r="A34" i="107" s="1"/>
  <c r="A35" i="107" s="1"/>
  <c r="A36" i="107" s="1"/>
  <c r="D8" i="48"/>
  <c r="D8" i="49"/>
  <c r="D9" i="50"/>
  <c r="D35" i="50"/>
  <c r="D36" i="50"/>
  <c r="A138" i="51"/>
  <c r="A139" i="51" s="1"/>
  <c r="A140" i="51" s="1"/>
  <c r="A141" i="51" s="1"/>
  <c r="A142" i="51" s="1"/>
  <c r="A144" i="51" s="1"/>
  <c r="A146" i="51" s="1"/>
  <c r="A148" i="51" s="1"/>
  <c r="A155" i="51" s="1"/>
  <c r="A156" i="51" s="1"/>
  <c r="A157" i="51" s="1"/>
  <c r="A158" i="51" s="1"/>
  <c r="A159" i="51" s="1"/>
  <c r="A160" i="51" s="1"/>
  <c r="A161" i="51" s="1"/>
  <c r="A162" i="51" s="1"/>
  <c r="A163" i="51" s="1"/>
  <c r="A164" i="51" s="1"/>
  <c r="A165" i="51" s="1"/>
  <c r="A166" i="51" s="1"/>
  <c r="A167" i="51" s="1"/>
  <c r="A168" i="51" s="1"/>
  <c r="A169" i="51" s="1"/>
  <c r="A170" i="51" s="1"/>
  <c r="A171" i="51" s="1"/>
  <c r="A172" i="51" s="1"/>
  <c r="P12" i="193"/>
  <c r="P14" i="190"/>
  <c r="H31" i="46"/>
  <c r="H33" i="46" s="1"/>
  <c r="A16" i="69"/>
  <c r="A18" i="69" s="1"/>
  <c r="A20" i="69" s="1"/>
  <c r="A22" i="69" s="1"/>
  <c r="A24" i="69" s="1"/>
  <c r="A26" i="69" s="1"/>
  <c r="A28" i="69" s="1"/>
  <c r="A30" i="69" s="1"/>
  <c r="A32" i="69" s="1"/>
  <c r="B16" i="69"/>
  <c r="B18" i="69"/>
  <c r="B20" i="69"/>
  <c r="B22" i="69"/>
  <c r="B24" i="69"/>
  <c r="B26" i="69"/>
  <c r="B28" i="69"/>
  <c r="B30" i="69"/>
  <c r="A16" i="24"/>
  <c r="A18" i="24" s="1"/>
  <c r="A20" i="24" s="1"/>
  <c r="A22" i="24" s="1"/>
  <c r="A24" i="24" s="1"/>
  <c r="A26" i="24" s="1"/>
  <c r="A28" i="24" s="1"/>
  <c r="A30" i="24" s="1"/>
  <c r="A32" i="24" s="1"/>
  <c r="B16" i="24"/>
  <c r="B18" i="24"/>
  <c r="B20" i="24"/>
  <c r="B22" i="24"/>
  <c r="B24" i="24"/>
  <c r="B26" i="24"/>
  <c r="B28" i="24"/>
  <c r="B30" i="24"/>
  <c r="A16" i="137"/>
  <c r="A17" i="137" s="1"/>
  <c r="A19" i="137" s="1"/>
  <c r="A21" i="137" s="1"/>
  <c r="A22" i="137" s="1"/>
  <c r="A23" i="137" s="1"/>
  <c r="A16" i="3"/>
  <c r="A17" i="3" s="1"/>
  <c r="A19" i="3" s="1"/>
  <c r="A21" i="3" s="1"/>
  <c r="A22" i="3" s="1"/>
  <c r="A23" i="3" s="1"/>
  <c r="A24" i="3" s="1"/>
  <c r="A25" i="3" s="1"/>
  <c r="A27" i="3" s="1"/>
  <c r="L50" i="35"/>
  <c r="N50" i="35"/>
  <c r="I22" i="243"/>
  <c r="I25" i="215"/>
  <c r="E34" i="231"/>
  <c r="E24" i="231"/>
  <c r="J30" i="231"/>
  <c r="M186" i="236"/>
  <c r="M174" i="207"/>
  <c r="M172" i="207"/>
  <c r="H158" i="207"/>
  <c r="M158" i="207" s="1"/>
  <c r="H170" i="209"/>
  <c r="H140" i="209"/>
  <c r="M140" i="209" s="1"/>
  <c r="M226" i="209"/>
  <c r="M214" i="209"/>
  <c r="G133" i="237"/>
  <c r="G137" i="237"/>
  <c r="G141" i="237"/>
  <c r="G145" i="237"/>
  <c r="G149" i="237"/>
  <c r="G156" i="237"/>
  <c r="G158" i="237"/>
  <c r="G160" i="237"/>
  <c r="G161" i="237"/>
  <c r="G172" i="237"/>
  <c r="G174" i="237"/>
  <c r="G126" i="237"/>
  <c r="G134" i="237"/>
  <c r="G138" i="237"/>
  <c r="G142" i="237"/>
  <c r="G146" i="237"/>
  <c r="G150" i="237"/>
  <c r="G159" i="237"/>
  <c r="G162" i="237"/>
  <c r="G169" i="237"/>
  <c r="G173" i="237"/>
  <c r="G175" i="237"/>
  <c r="G131" i="237"/>
  <c r="G135" i="237"/>
  <c r="G139" i="237"/>
  <c r="G143" i="237"/>
  <c r="G147" i="237"/>
  <c r="G151" i="237"/>
  <c r="G170" i="237"/>
  <c r="G176" i="237"/>
  <c r="G132" i="237"/>
  <c r="G136" i="237"/>
  <c r="G140" i="237"/>
  <c r="G144" i="237"/>
  <c r="G148" i="237"/>
  <c r="G157" i="237"/>
  <c r="G171" i="237"/>
  <c r="G213" i="237"/>
  <c r="G211" i="237"/>
  <c r="G218" i="237"/>
  <c r="G214" i="237"/>
  <c r="G212" i="237"/>
  <c r="G210" i="237"/>
  <c r="D153" i="237"/>
  <c r="N17" i="35" l="1"/>
  <c r="L17" i="35"/>
  <c r="E31" i="106"/>
  <c r="N15" i="106"/>
  <c r="M15" i="106" s="1"/>
  <c r="A7" i="67"/>
  <c r="A7" i="213"/>
  <c r="E50" i="100"/>
  <c r="A8" i="69"/>
  <c r="A1" i="30"/>
  <c r="A1" i="231"/>
  <c r="I31" i="215"/>
  <c r="A1" i="215"/>
  <c r="A8" i="215"/>
  <c r="A2" i="231"/>
  <c r="A1" i="230"/>
  <c r="A1" i="233"/>
  <c r="H191" i="207"/>
  <c r="M190" i="207"/>
  <c r="A4" i="241"/>
  <c r="A4" i="230"/>
  <c r="L190" i="207"/>
  <c r="L165" i="236"/>
  <c r="L164" i="236"/>
  <c r="A2" i="230"/>
  <c r="A2" i="233"/>
  <c r="G21" i="84"/>
  <c r="E17" i="103"/>
  <c r="J24" i="30"/>
  <c r="P43" i="231"/>
  <c r="A24" i="137"/>
  <c r="A25" i="137" s="1"/>
  <c r="A27" i="137" s="1"/>
  <c r="K25" i="4"/>
  <c r="A7" i="31"/>
  <c r="A8" i="24"/>
  <c r="A8" i="30"/>
  <c r="H20" i="104"/>
  <c r="F20" i="104"/>
  <c r="Q30" i="231"/>
  <c r="N140" i="209"/>
  <c r="M170" i="209"/>
  <c r="P38" i="232"/>
  <c r="J24" i="231"/>
  <c r="P24" i="231"/>
  <c r="M156" i="236"/>
  <c r="Q30" i="232"/>
  <c r="P30" i="232"/>
  <c r="J34" i="231"/>
  <c r="P22" i="232"/>
  <c r="A7" i="230"/>
  <c r="A7" i="209"/>
  <c r="L174" i="207"/>
  <c r="L157" i="207"/>
  <c r="L125" i="207"/>
  <c r="L172" i="213"/>
  <c r="L155" i="213"/>
  <c r="F31" i="30"/>
  <c r="L173" i="207"/>
  <c r="L156" i="207"/>
  <c r="L124" i="207"/>
  <c r="L175" i="213"/>
  <c r="L171" i="213"/>
  <c r="L158" i="213"/>
  <c r="F24" i="30"/>
  <c r="C28" i="215"/>
  <c r="L172" i="207"/>
  <c r="L155" i="207"/>
  <c r="L174" i="213"/>
  <c r="L157" i="213"/>
  <c r="L125" i="213"/>
  <c r="L175" i="207"/>
  <c r="L158" i="207"/>
  <c r="L173" i="213"/>
  <c r="L156" i="213"/>
  <c r="L124" i="213"/>
  <c r="G191" i="207"/>
  <c r="A7" i="236"/>
  <c r="A7" i="233"/>
  <c r="A6" i="190"/>
  <c r="D26" i="30"/>
  <c r="N49" i="35"/>
  <c r="L49" i="35"/>
  <c r="A7" i="242"/>
  <c r="H50" i="202"/>
  <c r="J33" i="30"/>
  <c r="F19" i="215"/>
  <c r="D26" i="215"/>
  <c r="E23" i="37"/>
  <c r="E25" i="37" s="1"/>
  <c r="E27" i="37" s="1"/>
  <c r="K22" i="231"/>
  <c r="Q22" i="231" s="1"/>
  <c r="F26" i="231"/>
  <c r="K26" i="231" s="1"/>
  <c r="D33" i="30"/>
  <c r="F33" i="30" s="1"/>
  <c r="L22" i="243"/>
  <c r="D33" i="215"/>
  <c r="G22" i="244"/>
  <c r="L255" i="213"/>
  <c r="D161" i="51"/>
  <c r="Q38" i="232"/>
  <c r="E26" i="30"/>
  <c r="G22" i="243"/>
  <c r="F19" i="30"/>
  <c r="E32" i="215"/>
  <c r="F32" i="215" s="1"/>
  <c r="F32" i="231"/>
  <c r="K32" i="231" s="1"/>
  <c r="J27" i="30"/>
  <c r="J20" i="104"/>
  <c r="N33" i="10"/>
  <c r="M33" i="10"/>
  <c r="L33" i="10"/>
  <c r="K33" i="10"/>
  <c r="J33" i="10"/>
  <c r="P33" i="10"/>
  <c r="O33" i="10"/>
  <c r="R33" i="10"/>
  <c r="Q33" i="10"/>
  <c r="H30" i="41"/>
  <c r="H34" i="39"/>
  <c r="J34" i="39"/>
  <c r="I24" i="30"/>
  <c r="I32" i="30"/>
  <c r="F181" i="248"/>
  <c r="J36" i="39"/>
  <c r="H36" i="39"/>
  <c r="H22" i="39"/>
  <c r="C20" i="103"/>
  <c r="C21" i="215"/>
  <c r="H19" i="215"/>
  <c r="K19" i="215" s="1"/>
  <c r="H18" i="215"/>
  <c r="K18" i="215" s="1"/>
  <c r="H17" i="215"/>
  <c r="P30" i="214"/>
  <c r="H20" i="30" s="1"/>
  <c r="P25" i="214"/>
  <c r="H19" i="30" s="1"/>
  <c r="K19" i="30" s="1"/>
  <c r="C21" i="30"/>
  <c r="P15" i="214"/>
  <c r="H17" i="30" s="1"/>
  <c r="K17" i="30" s="1"/>
  <c r="P20" i="214"/>
  <c r="H18" i="30" s="1"/>
  <c r="K18" i="30" s="1"/>
  <c r="J30" i="39"/>
  <c r="H30" i="34"/>
  <c r="J35" i="39"/>
  <c r="I22" i="39"/>
  <c r="I22" i="41"/>
  <c r="I30" i="41"/>
  <c r="J22" i="41"/>
  <c r="J30" i="41"/>
  <c r="H30" i="39"/>
  <c r="I30" i="39"/>
  <c r="N55" i="10"/>
  <c r="D29" i="42"/>
  <c r="M55" i="10" s="1"/>
  <c r="M58" i="10" s="1"/>
  <c r="M60" i="10" s="1"/>
  <c r="M22" i="39"/>
  <c r="P26" i="44"/>
  <c r="D27" i="45" s="1"/>
  <c r="M30" i="41"/>
  <c r="P34" i="214"/>
  <c r="D170" i="51"/>
  <c r="K25" i="215"/>
  <c r="F31" i="215"/>
  <c r="A1" i="241"/>
  <c r="A1" i="243"/>
  <c r="A1" i="242"/>
  <c r="I33" i="41"/>
  <c r="I35" i="39"/>
  <c r="I33" i="39"/>
  <c r="J22" i="39"/>
  <c r="D23" i="37"/>
  <c r="D25" i="37" s="1"/>
  <c r="D27" i="37" s="1"/>
  <c r="D29" i="37" s="1"/>
  <c r="D31" i="37" s="1"/>
  <c r="D34" i="37" s="1"/>
  <c r="E28" i="1" s="1"/>
  <c r="H22" i="41"/>
  <c r="H33" i="39"/>
  <c r="I36" i="39"/>
  <c r="J33" i="41"/>
  <c r="D22" i="42"/>
  <c r="C24" i="239"/>
  <c r="L187" i="207"/>
  <c r="G251" i="236"/>
  <c r="L251" i="236" s="1"/>
  <c r="A7" i="226"/>
  <c r="A7" i="222"/>
  <c r="A6" i="193"/>
  <c r="F24" i="215"/>
  <c r="E25" i="215"/>
  <c r="F25" i="215" s="1"/>
  <c r="F20" i="215"/>
  <c r="F18" i="215"/>
  <c r="G16" i="244"/>
  <c r="A8" i="190"/>
  <c r="A8" i="193"/>
  <c r="A7" i="190"/>
  <c r="A7" i="193"/>
  <c r="A7" i="227"/>
  <c r="A7" i="228"/>
  <c r="I23" i="8"/>
  <c r="I18" i="8"/>
  <c r="I42" i="190"/>
  <c r="E31" i="193"/>
  <c r="O18" i="35"/>
  <c r="J33" i="215"/>
  <c r="H148" i="209"/>
  <c r="M148" i="209" s="1"/>
  <c r="N148" i="209" s="1"/>
  <c r="D24" i="103"/>
  <c r="D26" i="103"/>
  <c r="E25" i="30"/>
  <c r="F25" i="30" s="1"/>
  <c r="I140" i="209"/>
  <c r="H137" i="209"/>
  <c r="M137" i="209" s="1"/>
  <c r="N137" i="209" s="1"/>
  <c r="H153" i="209"/>
  <c r="M153" i="209" s="1"/>
  <c r="N153" i="209" s="1"/>
  <c r="E23" i="103"/>
  <c r="D25" i="103"/>
  <c r="G16" i="243"/>
  <c r="G260" i="236"/>
  <c r="G253" i="236"/>
  <c r="L253" i="236" s="1"/>
  <c r="L231" i="236"/>
  <c r="H145" i="209"/>
  <c r="M145" i="209" s="1"/>
  <c r="N145" i="209" s="1"/>
  <c r="E26" i="215"/>
  <c r="E32" i="30"/>
  <c r="F32" i="30" s="1"/>
  <c r="E33" i="215"/>
  <c r="G250" i="236"/>
  <c r="L250" i="236" s="1"/>
  <c r="G43" i="10"/>
  <c r="H26" i="34"/>
  <c r="G42" i="190"/>
  <c r="E42" i="190"/>
  <c r="P13" i="193"/>
  <c r="F31" i="193"/>
  <c r="G31" i="193"/>
  <c r="H31" i="193"/>
  <c r="D24" i="244"/>
  <c r="C34" i="103"/>
  <c r="D18" i="105"/>
  <c r="F203" i="237"/>
  <c r="F207" i="237"/>
  <c r="F205" i="237"/>
  <c r="F209" i="237"/>
  <c r="F208" i="237"/>
  <c r="G208" i="237"/>
  <c r="G203" i="237"/>
  <c r="G207" i="237"/>
  <c r="G205" i="237"/>
  <c r="G209" i="237"/>
  <c r="F155" i="209"/>
  <c r="M213" i="209"/>
  <c r="H190" i="209"/>
  <c r="M190" i="209" s="1"/>
  <c r="E120" i="209"/>
  <c r="E183" i="209"/>
  <c r="H193" i="209"/>
  <c r="M193" i="209" s="1"/>
  <c r="I24" i="243"/>
  <c r="L13" i="243"/>
  <c r="G29" i="42"/>
  <c r="D13" i="243"/>
  <c r="G13" i="243" s="1"/>
  <c r="M18" i="35"/>
  <c r="I20" i="8"/>
  <c r="D41" i="231"/>
  <c r="C27" i="103"/>
  <c r="G13" i="244"/>
  <c r="I22" i="8"/>
  <c r="H144" i="236"/>
  <c r="M144" i="236" s="1"/>
  <c r="N144" i="236" s="1"/>
  <c r="H168" i="236"/>
  <c r="M231" i="236"/>
  <c r="G233" i="236"/>
  <c r="H136" i="236"/>
  <c r="M136" i="236" s="1"/>
  <c r="N136" i="236" s="1"/>
  <c r="H148" i="236"/>
  <c r="M148" i="236" s="1"/>
  <c r="N148" i="236" s="1"/>
  <c r="H132" i="236"/>
  <c r="M132" i="236" s="1"/>
  <c r="N132" i="236" s="1"/>
  <c r="H140" i="236"/>
  <c r="M140" i="236" s="1"/>
  <c r="N140" i="236" s="1"/>
  <c r="H157" i="236"/>
  <c r="H150" i="236"/>
  <c r="M150" i="236" s="1"/>
  <c r="N150" i="236" s="1"/>
  <c r="H146" i="236"/>
  <c r="M146" i="236" s="1"/>
  <c r="N146" i="236" s="1"/>
  <c r="H142" i="236"/>
  <c r="M142" i="236" s="1"/>
  <c r="N142" i="236" s="1"/>
  <c r="H138" i="236"/>
  <c r="M138" i="236" s="1"/>
  <c r="N138" i="236" s="1"/>
  <c r="H134" i="236"/>
  <c r="M134" i="236" s="1"/>
  <c r="N134" i="236" s="1"/>
  <c r="M125" i="236"/>
  <c r="H173" i="236"/>
  <c r="H175" i="236"/>
  <c r="H149" i="236"/>
  <c r="M149" i="236" s="1"/>
  <c r="N149" i="236" s="1"/>
  <c r="H145" i="236"/>
  <c r="M145" i="236" s="1"/>
  <c r="N145" i="236" s="1"/>
  <c r="H141" i="236"/>
  <c r="M141" i="236" s="1"/>
  <c r="N141" i="236" s="1"/>
  <c r="H137" i="236"/>
  <c r="M137" i="236" s="1"/>
  <c r="N137" i="236" s="1"/>
  <c r="H133" i="236"/>
  <c r="M133" i="236" s="1"/>
  <c r="N133" i="236" s="1"/>
  <c r="H167" i="236"/>
  <c r="H176" i="236"/>
  <c r="H151" i="236"/>
  <c r="M151" i="236" s="1"/>
  <c r="N151" i="236" s="1"/>
  <c r="H147" i="236"/>
  <c r="M147" i="236" s="1"/>
  <c r="N147" i="236" s="1"/>
  <c r="H143" i="236"/>
  <c r="M143" i="236" s="1"/>
  <c r="N143" i="236" s="1"/>
  <c r="H139" i="236"/>
  <c r="M139" i="236" s="1"/>
  <c r="N139" i="236" s="1"/>
  <c r="H135" i="236"/>
  <c r="M135" i="236" s="1"/>
  <c r="N135" i="236" s="1"/>
  <c r="H131" i="236"/>
  <c r="M131" i="236" s="1"/>
  <c r="N131" i="236" s="1"/>
  <c r="H171" i="236"/>
  <c r="H164" i="236"/>
  <c r="M164" i="236" s="1"/>
  <c r="H169" i="236"/>
  <c r="H174" i="236"/>
  <c r="E181" i="236"/>
  <c r="E120" i="236"/>
  <c r="H142" i="213"/>
  <c r="M142" i="213" s="1"/>
  <c r="N142" i="213" s="1"/>
  <c r="M124" i="213"/>
  <c r="H175" i="213"/>
  <c r="M175" i="213" s="1"/>
  <c r="H150" i="213"/>
  <c r="M150" i="213" s="1"/>
  <c r="N150" i="213" s="1"/>
  <c r="H145" i="213"/>
  <c r="M145" i="213" s="1"/>
  <c r="N145" i="213" s="1"/>
  <c r="H134" i="213"/>
  <c r="M134" i="213" s="1"/>
  <c r="N134" i="213" s="1"/>
  <c r="H172" i="213"/>
  <c r="M172" i="213" s="1"/>
  <c r="H146" i="213"/>
  <c r="M146" i="213" s="1"/>
  <c r="N146" i="213" s="1"/>
  <c r="H138" i="213"/>
  <c r="M138" i="213" s="1"/>
  <c r="N138" i="213" s="1"/>
  <c r="H130" i="213"/>
  <c r="M130" i="213" s="1"/>
  <c r="N130" i="213" s="1"/>
  <c r="H137" i="213"/>
  <c r="M137" i="213" s="1"/>
  <c r="N137" i="213" s="1"/>
  <c r="H171" i="213"/>
  <c r="M171" i="213" s="1"/>
  <c r="H155" i="213"/>
  <c r="M155" i="213" s="1"/>
  <c r="H144" i="213"/>
  <c r="M144" i="213" s="1"/>
  <c r="N144" i="213" s="1"/>
  <c r="H135" i="213"/>
  <c r="M135" i="213" s="1"/>
  <c r="N135" i="213" s="1"/>
  <c r="H141" i="213"/>
  <c r="M141" i="213" s="1"/>
  <c r="N141" i="213" s="1"/>
  <c r="H158" i="213"/>
  <c r="M158" i="213" s="1"/>
  <c r="H173" i="213"/>
  <c r="M173" i="213" s="1"/>
  <c r="H157" i="213"/>
  <c r="M157" i="213" s="1"/>
  <c r="H148" i="213"/>
  <c r="M148" i="213" s="1"/>
  <c r="N148" i="213" s="1"/>
  <c r="H140" i="213"/>
  <c r="M140" i="213" s="1"/>
  <c r="N140" i="213" s="1"/>
  <c r="H132" i="213"/>
  <c r="M132" i="213" s="1"/>
  <c r="N132" i="213" s="1"/>
  <c r="H133" i="213"/>
  <c r="M133" i="213" s="1"/>
  <c r="N133" i="213" s="1"/>
  <c r="H149" i="213"/>
  <c r="M149" i="213" s="1"/>
  <c r="N149" i="213" s="1"/>
  <c r="H174" i="213"/>
  <c r="M174" i="213" s="1"/>
  <c r="L246" i="213"/>
  <c r="G264" i="213"/>
  <c r="L257" i="213"/>
  <c r="L233" i="213"/>
  <c r="G227" i="213"/>
  <c r="L256" i="213"/>
  <c r="E179" i="213"/>
  <c r="L258" i="213"/>
  <c r="L236" i="213"/>
  <c r="L212" i="209"/>
  <c r="L226" i="209"/>
  <c r="I20" i="30"/>
  <c r="I34" i="30" s="1"/>
  <c r="D34" i="30"/>
  <c r="D27" i="30"/>
  <c r="I20" i="215"/>
  <c r="I27" i="215" s="1"/>
  <c r="D27" i="215"/>
  <c r="D34" i="215"/>
  <c r="M257" i="213"/>
  <c r="H264" i="213"/>
  <c r="M264" i="213" s="1"/>
  <c r="F152" i="213"/>
  <c r="L194" i="207"/>
  <c r="F20" i="30"/>
  <c r="H176" i="209"/>
  <c r="H143" i="209"/>
  <c r="H262" i="209"/>
  <c r="M262" i="209" s="1"/>
  <c r="H209" i="213"/>
  <c r="M209" i="213" s="1"/>
  <c r="H237" i="213"/>
  <c r="M237" i="213" s="1"/>
  <c r="H253" i="213"/>
  <c r="M253" i="213" s="1"/>
  <c r="L232" i="213"/>
  <c r="G253" i="213"/>
  <c r="G254" i="213"/>
  <c r="H212" i="213"/>
  <c r="M212" i="213" s="1"/>
  <c r="G252" i="213"/>
  <c r="H207" i="213"/>
  <c r="M207" i="213" s="1"/>
  <c r="G251" i="213"/>
  <c r="H213" i="213"/>
  <c r="M213" i="213" s="1"/>
  <c r="H206" i="213"/>
  <c r="M206" i="213" s="1"/>
  <c r="G250" i="213"/>
  <c r="G249" i="213"/>
  <c r="G247" i="213"/>
  <c r="E117" i="213"/>
  <c r="H208" i="213"/>
  <c r="M208" i="213" s="1"/>
  <c r="H197" i="213"/>
  <c r="M197" i="213" s="1"/>
  <c r="G245" i="213"/>
  <c r="G235" i="213"/>
  <c r="H205" i="213"/>
  <c r="M205" i="213" s="1"/>
  <c r="M257" i="207"/>
  <c r="M258" i="207"/>
  <c r="M175" i="207"/>
  <c r="N136" i="207"/>
  <c r="H156" i="207"/>
  <c r="M156" i="207" s="1"/>
  <c r="I136" i="207"/>
  <c r="H155" i="207"/>
  <c r="M155" i="207" s="1"/>
  <c r="H157" i="207"/>
  <c r="M157" i="207" s="1"/>
  <c r="M173" i="207"/>
  <c r="M233" i="207"/>
  <c r="M236" i="207"/>
  <c r="L233" i="207"/>
  <c r="E117" i="207"/>
  <c r="H181" i="207"/>
  <c r="M181" i="207" s="1"/>
  <c r="H150" i="207"/>
  <c r="M150" i="207" s="1"/>
  <c r="N150" i="207" s="1"/>
  <c r="H149" i="207"/>
  <c r="M149" i="207" s="1"/>
  <c r="N149" i="207" s="1"/>
  <c r="E179" i="207"/>
  <c r="E266" i="207" s="1"/>
  <c r="H147" i="207"/>
  <c r="M147" i="207" s="1"/>
  <c r="N147" i="207" s="1"/>
  <c r="H133" i="207"/>
  <c r="M133" i="207" s="1"/>
  <c r="N133" i="207" s="1"/>
  <c r="G255" i="207"/>
  <c r="L188" i="207"/>
  <c r="G253" i="207"/>
  <c r="G249" i="207"/>
  <c r="G264" i="207"/>
  <c r="G252" i="207"/>
  <c r="L246" i="207"/>
  <c r="L256" i="207"/>
  <c r="G251" i="207"/>
  <c r="G245" i="207"/>
  <c r="F41" i="231"/>
  <c r="P41" i="231" s="1"/>
  <c r="H254" i="236"/>
  <c r="M254" i="236" s="1"/>
  <c r="H146" i="207"/>
  <c r="M146" i="207" s="1"/>
  <c r="N146" i="207" s="1"/>
  <c r="G247" i="207"/>
  <c r="L233" i="209"/>
  <c r="G207" i="213"/>
  <c r="H251" i="236"/>
  <c r="M251" i="236" s="1"/>
  <c r="H233" i="236"/>
  <c r="M233" i="236" s="1"/>
  <c r="H139" i="207"/>
  <c r="M139" i="207" s="1"/>
  <c r="N139" i="207" s="1"/>
  <c r="J32" i="30"/>
  <c r="J25" i="30"/>
  <c r="K25" i="30" s="1"/>
  <c r="M186" i="207"/>
  <c r="G237" i="207"/>
  <c r="H179" i="209"/>
  <c r="H178" i="209"/>
  <c r="H172" i="209"/>
  <c r="H146" i="209"/>
  <c r="H133" i="209"/>
  <c r="M133" i="209" s="1"/>
  <c r="L213" i="209"/>
  <c r="G262" i="209"/>
  <c r="L262" i="209" s="1"/>
  <c r="H210" i="213"/>
  <c r="M210" i="213" s="1"/>
  <c r="H200" i="213"/>
  <c r="M200" i="213" s="1"/>
  <c r="G237" i="213"/>
  <c r="D23" i="102"/>
  <c r="H177" i="236"/>
  <c r="H151" i="209"/>
  <c r="H141" i="209"/>
  <c r="M215" i="209"/>
  <c r="F34" i="231"/>
  <c r="P34" i="231" s="1"/>
  <c r="H126" i="236"/>
  <c r="M126" i="236" s="1"/>
  <c r="G252" i="236"/>
  <c r="L252" i="236" s="1"/>
  <c r="G249" i="236"/>
  <c r="L249" i="236" s="1"/>
  <c r="G234" i="236"/>
  <c r="L232" i="236"/>
  <c r="M264" i="207"/>
  <c r="H130" i="207"/>
  <c r="M130" i="207" s="1"/>
  <c r="N130" i="207" s="1"/>
  <c r="H254" i="207"/>
  <c r="M254" i="207" s="1"/>
  <c r="H251" i="207"/>
  <c r="M251" i="207" s="1"/>
  <c r="H174" i="209"/>
  <c r="H160" i="209"/>
  <c r="H149" i="209"/>
  <c r="H138" i="209"/>
  <c r="M138" i="209" s="1"/>
  <c r="L214" i="209"/>
  <c r="H227" i="213"/>
  <c r="H211" i="213"/>
  <c r="M211" i="213" s="1"/>
  <c r="H255" i="213"/>
  <c r="G190" i="209"/>
  <c r="L190" i="209" s="1"/>
  <c r="K39" i="231"/>
  <c r="Q39" i="231" s="1"/>
  <c r="H198" i="213"/>
  <c r="M198" i="213" s="1"/>
  <c r="H193" i="213"/>
  <c r="M193" i="213" s="1"/>
  <c r="H191" i="213"/>
  <c r="M191" i="213" s="1"/>
  <c r="H234" i="213"/>
  <c r="M234" i="213" s="1"/>
  <c r="H141" i="207"/>
  <c r="M141" i="207" s="1"/>
  <c r="N141" i="207" s="1"/>
  <c r="H188" i="213"/>
  <c r="M188" i="213" s="1"/>
  <c r="H138" i="207"/>
  <c r="M138" i="207" s="1"/>
  <c r="N138" i="207" s="1"/>
  <c r="P44" i="232"/>
  <c r="H177" i="209"/>
  <c r="H175" i="209"/>
  <c r="H173" i="209"/>
  <c r="H171" i="209"/>
  <c r="H169" i="209"/>
  <c r="H162" i="209"/>
  <c r="H161" i="209"/>
  <c r="H159" i="209"/>
  <c r="H158" i="209"/>
  <c r="H152" i="209"/>
  <c r="H150" i="209"/>
  <c r="M150" i="209" s="1"/>
  <c r="N150" i="209" s="1"/>
  <c r="H147" i="209"/>
  <c r="H144" i="209"/>
  <c r="H142" i="209"/>
  <c r="H139" i="209"/>
  <c r="M220" i="209"/>
  <c r="M216" i="209"/>
  <c r="M212" i="209"/>
  <c r="H201" i="213"/>
  <c r="M201" i="213" s="1"/>
  <c r="H196" i="213"/>
  <c r="M196" i="213" s="1"/>
  <c r="H192" i="213"/>
  <c r="M192" i="213" s="1"/>
  <c r="F152" i="207"/>
  <c r="I21" i="8"/>
  <c r="I16" i="8"/>
  <c r="G124" i="10"/>
  <c r="H42" i="190"/>
  <c r="C35" i="30"/>
  <c r="F29" i="42"/>
  <c r="F19" i="42"/>
  <c r="F22" i="42" s="1"/>
  <c r="H20" i="34"/>
  <c r="I17" i="8"/>
  <c r="J124" i="10"/>
  <c r="P16" i="192"/>
  <c r="C35" i="215"/>
  <c r="G19" i="42"/>
  <c r="G22" i="42" s="1"/>
  <c r="E29" i="42"/>
  <c r="E20" i="103"/>
  <c r="E19" i="42"/>
  <c r="E22" i="42" s="1"/>
  <c r="H34" i="215"/>
  <c r="P46" i="214"/>
  <c r="H32" i="30" s="1"/>
  <c r="P44" i="214"/>
  <c r="H31" i="30" s="1"/>
  <c r="K31" i="30" s="1"/>
  <c r="H33" i="215"/>
  <c r="H32" i="215"/>
  <c r="H57" i="10"/>
  <c r="P50" i="214"/>
  <c r="H34" i="30" s="1"/>
  <c r="I22" i="244"/>
  <c r="I24" i="244" s="1"/>
  <c r="H31" i="215"/>
  <c r="H135" i="209"/>
  <c r="H128" i="209"/>
  <c r="M128" i="209" s="1"/>
  <c r="H181" i="213"/>
  <c r="H136" i="209"/>
  <c r="H134" i="209"/>
  <c r="E27" i="30"/>
  <c r="E34" i="30"/>
  <c r="H250" i="236"/>
  <c r="M250" i="236" s="1"/>
  <c r="H234" i="236"/>
  <c r="M234" i="236" s="1"/>
  <c r="H255" i="207"/>
  <c r="H252" i="207"/>
  <c r="M252" i="207" s="1"/>
  <c r="H254" i="213"/>
  <c r="E27" i="215"/>
  <c r="E34" i="215"/>
  <c r="G19" i="243"/>
  <c r="H253" i="236"/>
  <c r="M253" i="236" s="1"/>
  <c r="H249" i="207"/>
  <c r="M249" i="207" s="1"/>
  <c r="H235" i="207"/>
  <c r="M235" i="207" s="1"/>
  <c r="G19" i="244"/>
  <c r="H250" i="207"/>
  <c r="M250" i="207" s="1"/>
  <c r="H245" i="207"/>
  <c r="M245" i="207" s="1"/>
  <c r="M232" i="207"/>
  <c r="K24" i="231"/>
  <c r="L16" i="243"/>
  <c r="J32" i="231"/>
  <c r="L19" i="243"/>
  <c r="L19" i="244"/>
  <c r="G234" i="207"/>
  <c r="G234" i="213"/>
  <c r="L186" i="207"/>
  <c r="L215" i="209"/>
  <c r="G193" i="209"/>
  <c r="L193" i="209" s="1"/>
  <c r="P24" i="232"/>
  <c r="L220" i="209"/>
  <c r="L216" i="209"/>
  <c r="G194" i="209"/>
  <c r="L194" i="209" s="1"/>
  <c r="I26" i="215"/>
  <c r="K26" i="215" s="1"/>
  <c r="I33" i="215"/>
  <c r="G208" i="213"/>
  <c r="G188" i="213"/>
  <c r="L16" i="244"/>
  <c r="R66" i="10"/>
  <c r="R64" i="10"/>
  <c r="K124" i="10"/>
  <c r="F153" i="236"/>
  <c r="P64" i="10"/>
  <c r="P66" i="10"/>
  <c r="Q66" i="10"/>
  <c r="Q64" i="10"/>
  <c r="O66" i="10"/>
  <c r="O64" i="10"/>
  <c r="L124" i="10"/>
  <c r="A5" i="51"/>
  <c r="A2" i="241"/>
  <c r="A2" i="242"/>
  <c r="A2" i="243"/>
  <c r="A2" i="215"/>
  <c r="F18" i="30"/>
  <c r="A2" i="30"/>
  <c r="H124" i="10"/>
  <c r="C28" i="30"/>
  <c r="I33" i="30"/>
  <c r="I26" i="30"/>
  <c r="K26" i="30" s="1"/>
  <c r="G57" i="10"/>
  <c r="P48" i="214"/>
  <c r="H33" i="30" s="1"/>
  <c r="L13" i="244"/>
  <c r="K43" i="231"/>
  <c r="Q43" i="231" s="1"/>
  <c r="L138" i="209"/>
  <c r="L133" i="209"/>
  <c r="L128" i="209"/>
  <c r="E26" i="231"/>
  <c r="H252" i="236"/>
  <c r="M252" i="236" s="1"/>
  <c r="H249" i="236"/>
  <c r="M249" i="236" s="1"/>
  <c r="M232" i="236"/>
  <c r="H145" i="207"/>
  <c r="M145" i="207" s="1"/>
  <c r="N145" i="207" s="1"/>
  <c r="H142" i="207"/>
  <c r="M142" i="207" s="1"/>
  <c r="N142" i="207" s="1"/>
  <c r="H137" i="207"/>
  <c r="M137" i="207" s="1"/>
  <c r="N137" i="207" s="1"/>
  <c r="H134" i="207"/>
  <c r="M134" i="207" s="1"/>
  <c r="N134" i="207" s="1"/>
  <c r="H125" i="207"/>
  <c r="M125" i="207" s="1"/>
  <c r="M124" i="207"/>
  <c r="F45" i="231"/>
  <c r="H172" i="236"/>
  <c r="H170" i="236"/>
  <c r="H166" i="236"/>
  <c r="H165" i="236"/>
  <c r="H158" i="236"/>
  <c r="H143" i="207"/>
  <c r="M143" i="207" s="1"/>
  <c r="N143" i="207" s="1"/>
  <c r="H132" i="207"/>
  <c r="M132" i="207" s="1"/>
  <c r="N132" i="207" s="1"/>
  <c r="H135" i="207"/>
  <c r="M135" i="207" s="1"/>
  <c r="N135" i="207" s="1"/>
  <c r="H140" i="207"/>
  <c r="M140" i="207" s="1"/>
  <c r="N140" i="207" s="1"/>
  <c r="H144" i="207"/>
  <c r="M144" i="207" s="1"/>
  <c r="N144" i="207" s="1"/>
  <c r="H148" i="207"/>
  <c r="M148" i="207" s="1"/>
  <c r="N148" i="207" s="1"/>
  <c r="J27" i="215"/>
  <c r="J34" i="215"/>
  <c r="H131" i="207"/>
  <c r="M131" i="207" s="1"/>
  <c r="N131" i="207" s="1"/>
  <c r="G235" i="207"/>
  <c r="H234" i="207"/>
  <c r="L232" i="207"/>
  <c r="J32" i="215"/>
  <c r="H156" i="213"/>
  <c r="H147" i="213"/>
  <c r="H139" i="213"/>
  <c r="H131" i="213"/>
  <c r="G213" i="213"/>
  <c r="G206" i="213"/>
  <c r="G205" i="213"/>
  <c r="G203" i="213"/>
  <c r="H235" i="213"/>
  <c r="M256" i="207"/>
  <c r="G254" i="207"/>
  <c r="H253" i="207"/>
  <c r="G250" i="207"/>
  <c r="H247" i="207"/>
  <c r="M247" i="207" s="1"/>
  <c r="M246" i="207"/>
  <c r="H237" i="207"/>
  <c r="M237" i="207" s="1"/>
  <c r="H194" i="209"/>
  <c r="M194" i="209" s="1"/>
  <c r="G212" i="213"/>
  <c r="G211" i="213"/>
  <c r="G210" i="213"/>
  <c r="G209" i="213"/>
  <c r="G201" i="213"/>
  <c r="G200" i="213"/>
  <c r="G198" i="213"/>
  <c r="G197" i="213"/>
  <c r="H252" i="213"/>
  <c r="H170" i="213"/>
  <c r="M170" i="213" s="1"/>
  <c r="H143" i="213"/>
  <c r="H136" i="213"/>
  <c r="G196" i="213"/>
  <c r="G193" i="213"/>
  <c r="G192" i="213"/>
  <c r="G191" i="213"/>
  <c r="M232" i="213"/>
  <c r="H245" i="213"/>
  <c r="H247" i="213"/>
  <c r="H249" i="213"/>
  <c r="H251" i="213"/>
  <c r="H250" i="213"/>
  <c r="F212" i="237"/>
  <c r="F213" i="237"/>
  <c r="F210" i="237"/>
  <c r="F214" i="237"/>
  <c r="F218" i="237"/>
  <c r="F211" i="237"/>
  <c r="M30" i="39"/>
  <c r="L18" i="35" l="1"/>
  <c r="N18" i="35"/>
  <c r="N32" i="106"/>
  <c r="N36" i="106"/>
  <c r="N40" i="106"/>
  <c r="N44" i="106"/>
  <c r="N48" i="106"/>
  <c r="N52" i="106"/>
  <c r="N17" i="106"/>
  <c r="N21" i="106"/>
  <c r="N25" i="106"/>
  <c r="N33" i="106"/>
  <c r="N37" i="106"/>
  <c r="N41" i="106"/>
  <c r="N45" i="106"/>
  <c r="N49" i="106"/>
  <c r="N53" i="106"/>
  <c r="N18" i="106"/>
  <c r="N22" i="106"/>
  <c r="N26" i="106"/>
  <c r="N34" i="106"/>
  <c r="N38" i="106"/>
  <c r="N42" i="106"/>
  <c r="N46" i="106"/>
  <c r="N50" i="106"/>
  <c r="N54" i="106"/>
  <c r="N19" i="106"/>
  <c r="N23" i="106"/>
  <c r="N16" i="106"/>
  <c r="N35" i="106"/>
  <c r="N39" i="106"/>
  <c r="N43" i="106"/>
  <c r="N47" i="106"/>
  <c r="N51" i="106"/>
  <c r="N31" i="106"/>
  <c r="N20" i="106"/>
  <c r="N24" i="106"/>
  <c r="E266" i="209"/>
  <c r="I26" i="8"/>
  <c r="I34" i="8" s="1"/>
  <c r="K34" i="8" s="1"/>
  <c r="H192" i="207"/>
  <c r="M191" i="207"/>
  <c r="L264" i="213"/>
  <c r="L234" i="236"/>
  <c r="L227" i="213"/>
  <c r="L264" i="207"/>
  <c r="L191" i="207"/>
  <c r="F33" i="215"/>
  <c r="F26" i="30"/>
  <c r="Q32" i="231"/>
  <c r="Q22" i="232"/>
  <c r="P26" i="231"/>
  <c r="Q40" i="232"/>
  <c r="P40" i="232"/>
  <c r="M170" i="236"/>
  <c r="P32" i="232"/>
  <c r="M171" i="236"/>
  <c r="M173" i="236"/>
  <c r="P32" i="231"/>
  <c r="M172" i="236"/>
  <c r="M174" i="236"/>
  <c r="Q26" i="232"/>
  <c r="P26" i="232"/>
  <c r="M176" i="236"/>
  <c r="M175" i="236"/>
  <c r="P34" i="232"/>
  <c r="M167" i="236"/>
  <c r="M157" i="236"/>
  <c r="M168" i="236"/>
  <c r="Q42" i="232"/>
  <c r="P42" i="232"/>
  <c r="M165" i="236"/>
  <c r="K45" i="231"/>
  <c r="Q45" i="231" s="1"/>
  <c r="P45" i="231"/>
  <c r="M176" i="209"/>
  <c r="M169" i="236"/>
  <c r="Q24" i="231"/>
  <c r="L237" i="207"/>
  <c r="L249" i="207"/>
  <c r="L255" i="207"/>
  <c r="L247" i="207"/>
  <c r="L245" i="207"/>
  <c r="G192" i="207"/>
  <c r="L251" i="207"/>
  <c r="L252" i="207"/>
  <c r="L253" i="207"/>
  <c r="L234" i="207"/>
  <c r="D34" i="193"/>
  <c r="E45" i="190"/>
  <c r="F45" i="190"/>
  <c r="G45" i="190"/>
  <c r="H45" i="190"/>
  <c r="I45" i="190"/>
  <c r="H34" i="193"/>
  <c r="G34" i="193"/>
  <c r="F34" i="193"/>
  <c r="E34" i="193"/>
  <c r="E264" i="236"/>
  <c r="K32" i="30"/>
  <c r="F27" i="215"/>
  <c r="F26" i="215"/>
  <c r="H130" i="10"/>
  <c r="H128" i="10" s="1"/>
  <c r="G130" i="10"/>
  <c r="G128" i="10" s="1"/>
  <c r="D31" i="42"/>
  <c r="D42" i="42" s="1"/>
  <c r="D45" i="42" s="1"/>
  <c r="F27" i="30"/>
  <c r="I146" i="236"/>
  <c r="N138" i="209"/>
  <c r="L250" i="213"/>
  <c r="L235" i="213"/>
  <c r="L252" i="213"/>
  <c r="L233" i="236"/>
  <c r="L260" i="236"/>
  <c r="L245" i="213"/>
  <c r="L247" i="213"/>
  <c r="L249" i="213"/>
  <c r="L251" i="213"/>
  <c r="L254" i="213"/>
  <c r="J55" i="10"/>
  <c r="J58" i="10" s="1"/>
  <c r="J60" i="10" s="1"/>
  <c r="J62" i="10" s="1"/>
  <c r="H32" i="34"/>
  <c r="I34" i="215"/>
  <c r="K34" i="215" s="1"/>
  <c r="G24" i="244"/>
  <c r="D23" i="137" s="1"/>
  <c r="F96" i="248"/>
  <c r="G31" i="42"/>
  <c r="G42" i="42" s="1"/>
  <c r="G45" i="42" s="1"/>
  <c r="G24" i="243"/>
  <c r="D23" i="3" s="1"/>
  <c r="N58" i="10"/>
  <c r="N60" i="10" s="1"/>
  <c r="N62" i="10" s="1"/>
  <c r="M62" i="10"/>
  <c r="M66" i="10" s="1"/>
  <c r="E31" i="42"/>
  <c r="E42" i="42" s="1"/>
  <c r="E45" i="42" s="1"/>
  <c r="K55" i="10"/>
  <c r="K58" i="10" s="1"/>
  <c r="K60" i="10" s="1"/>
  <c r="C37" i="215"/>
  <c r="Q45" i="230"/>
  <c r="I41" i="231" s="1"/>
  <c r="H24" i="215"/>
  <c r="H24" i="30"/>
  <c r="C37" i="30"/>
  <c r="K33" i="215"/>
  <c r="H35" i="215"/>
  <c r="K17" i="215"/>
  <c r="H21" i="215"/>
  <c r="H21" i="30"/>
  <c r="K32" i="215"/>
  <c r="L55" i="10"/>
  <c r="L58" i="10" s="1"/>
  <c r="L60" i="10" s="1"/>
  <c r="D44" i="50"/>
  <c r="D25" i="51"/>
  <c r="I142" i="236"/>
  <c r="I27" i="30"/>
  <c r="K27" i="30" s="1"/>
  <c r="F21" i="215"/>
  <c r="F31" i="42"/>
  <c r="F42" i="42" s="1"/>
  <c r="F45" i="42" s="1"/>
  <c r="I148" i="209"/>
  <c r="I137" i="209"/>
  <c r="I153" i="209"/>
  <c r="I145" i="209"/>
  <c r="E266" i="213"/>
  <c r="I138" i="213"/>
  <c r="C43" i="103"/>
  <c r="P15" i="44"/>
  <c r="D60" i="51"/>
  <c r="D50" i="51"/>
  <c r="E28" i="100"/>
  <c r="E27" i="100"/>
  <c r="F34" i="215"/>
  <c r="F34" i="30"/>
  <c r="F35" i="30" s="1"/>
  <c r="I132" i="236"/>
  <c r="E26" i="100"/>
  <c r="E56" i="100" s="1"/>
  <c r="E18" i="239"/>
  <c r="K27" i="215"/>
  <c r="K20" i="215"/>
  <c r="I133" i="209"/>
  <c r="I149" i="236"/>
  <c r="F25" i="100"/>
  <c r="E55" i="100"/>
  <c r="O19" i="35"/>
  <c r="J19" i="35" s="1"/>
  <c r="O21" i="35"/>
  <c r="I141" i="213"/>
  <c r="E25" i="103"/>
  <c r="E26" i="103"/>
  <c r="E24" i="103"/>
  <c r="N133" i="209"/>
  <c r="D24" i="243"/>
  <c r="M19" i="35"/>
  <c r="M21" i="35"/>
  <c r="I144" i="236"/>
  <c r="I136" i="236"/>
  <c r="I140" i="236"/>
  <c r="I148" i="236"/>
  <c r="I133" i="236"/>
  <c r="I141" i="236"/>
  <c r="I150" i="236"/>
  <c r="I143" i="236"/>
  <c r="I151" i="236"/>
  <c r="I135" i="236"/>
  <c r="N153" i="236"/>
  <c r="I145" i="236"/>
  <c r="I139" i="236"/>
  <c r="I134" i="236"/>
  <c r="I137" i="236"/>
  <c r="I131" i="236"/>
  <c r="I147" i="236"/>
  <c r="I138" i="236"/>
  <c r="I149" i="213"/>
  <c r="I130" i="213"/>
  <c r="I145" i="213"/>
  <c r="I142" i="213"/>
  <c r="I135" i="213"/>
  <c r="I140" i="213"/>
  <c r="I134" i="213"/>
  <c r="I137" i="213"/>
  <c r="I150" i="213"/>
  <c r="I144" i="213"/>
  <c r="I146" i="213"/>
  <c r="I133" i="213"/>
  <c r="I148" i="213"/>
  <c r="I132" i="213"/>
  <c r="F21" i="30"/>
  <c r="L24" i="243"/>
  <c r="F23" i="3" s="1"/>
  <c r="K20" i="30"/>
  <c r="K21" i="30" s="1"/>
  <c r="E16" i="31" s="1"/>
  <c r="K34" i="30"/>
  <c r="M143" i="209"/>
  <c r="N143" i="209" s="1"/>
  <c r="I143" i="209"/>
  <c r="M236" i="213"/>
  <c r="L253" i="213"/>
  <c r="L258" i="207"/>
  <c r="L257" i="207"/>
  <c r="L236" i="207"/>
  <c r="I133" i="207"/>
  <c r="I149" i="207"/>
  <c r="I150" i="207"/>
  <c r="I147" i="207"/>
  <c r="I141" i="207"/>
  <c r="I139" i="207"/>
  <c r="K41" i="231"/>
  <c r="Q41" i="231" s="1"/>
  <c r="G41" i="231"/>
  <c r="L207" i="213"/>
  <c r="I146" i="207"/>
  <c r="M174" i="209"/>
  <c r="M141" i="209"/>
  <c r="N141" i="209" s="1"/>
  <c r="I141" i="209"/>
  <c r="I138" i="209"/>
  <c r="L237" i="213"/>
  <c r="M256" i="213"/>
  <c r="M146" i="209"/>
  <c r="N146" i="209" s="1"/>
  <c r="I146" i="209"/>
  <c r="M178" i="209"/>
  <c r="I138" i="207"/>
  <c r="M227" i="213"/>
  <c r="M149" i="209"/>
  <c r="N149" i="209" s="1"/>
  <c r="I149" i="209"/>
  <c r="M151" i="209"/>
  <c r="N151" i="209" s="1"/>
  <c r="I151" i="209"/>
  <c r="M179" i="209"/>
  <c r="M255" i="213"/>
  <c r="M160" i="209"/>
  <c r="I130" i="207"/>
  <c r="M233" i="213"/>
  <c r="K34" i="231"/>
  <c r="Q34" i="231" s="1"/>
  <c r="M177" i="236"/>
  <c r="I177" i="236"/>
  <c r="M172" i="209"/>
  <c r="M139" i="209"/>
  <c r="N139" i="209" s="1"/>
  <c r="I139" i="209"/>
  <c r="M161" i="209"/>
  <c r="M175" i="209"/>
  <c r="Q44" i="232"/>
  <c r="I142" i="209"/>
  <c r="M142" i="209"/>
  <c r="N142" i="209" s="1"/>
  <c r="I152" i="209"/>
  <c r="M152" i="209"/>
  <c r="N152" i="209" s="1"/>
  <c r="M162" i="209"/>
  <c r="I150" i="209"/>
  <c r="M144" i="209"/>
  <c r="N144" i="209" s="1"/>
  <c r="I144" i="209"/>
  <c r="M158" i="209"/>
  <c r="M171" i="209"/>
  <c r="M177" i="209"/>
  <c r="M147" i="209"/>
  <c r="N147" i="209" s="1"/>
  <c r="I147" i="209"/>
  <c r="M159" i="209"/>
  <c r="M169" i="209"/>
  <c r="M173" i="209"/>
  <c r="L22" i="244"/>
  <c r="L24" i="244" s="1"/>
  <c r="F23" i="137" s="1"/>
  <c r="K31" i="215"/>
  <c r="I134" i="209"/>
  <c r="M134" i="209"/>
  <c r="N134" i="209" s="1"/>
  <c r="I136" i="209"/>
  <c r="M136" i="209"/>
  <c r="N136" i="209" s="1"/>
  <c r="M181" i="213"/>
  <c r="M135" i="209"/>
  <c r="N135" i="209" s="1"/>
  <c r="I135" i="209"/>
  <c r="M254" i="213"/>
  <c r="M260" i="236"/>
  <c r="M246" i="213"/>
  <c r="M255" i="207"/>
  <c r="L234" i="213"/>
  <c r="Q34" i="232"/>
  <c r="Q24" i="232"/>
  <c r="L194" i="213"/>
  <c r="L208" i="213"/>
  <c r="L187" i="213"/>
  <c r="L188" i="213"/>
  <c r="E29" i="37"/>
  <c r="E31" i="37" s="1"/>
  <c r="E34" i="37" s="1"/>
  <c r="G28" i="1" s="1"/>
  <c r="L193" i="213"/>
  <c r="L197" i="213"/>
  <c r="L209" i="213"/>
  <c r="L254" i="207"/>
  <c r="M156" i="213"/>
  <c r="L235" i="207"/>
  <c r="M158" i="236"/>
  <c r="M166" i="236"/>
  <c r="H35" i="30"/>
  <c r="K33" i="30"/>
  <c r="I142" i="207"/>
  <c r="I140" i="207"/>
  <c r="I135" i="207"/>
  <c r="M250" i="213"/>
  <c r="M249" i="213"/>
  <c r="L196" i="213"/>
  <c r="M252" i="213"/>
  <c r="L198" i="213"/>
  <c r="L210" i="213"/>
  <c r="L250" i="207"/>
  <c r="M235" i="213"/>
  <c r="L203" i="213"/>
  <c r="L213" i="213"/>
  <c r="M131" i="213"/>
  <c r="N131" i="213" s="1"/>
  <c r="I131" i="213"/>
  <c r="I145" i="207"/>
  <c r="I144" i="207"/>
  <c r="M251" i="213"/>
  <c r="M247" i="213"/>
  <c r="L191" i="213"/>
  <c r="M136" i="213"/>
  <c r="N136" i="213" s="1"/>
  <c r="I136" i="213"/>
  <c r="M258" i="213"/>
  <c r="L200" i="213"/>
  <c r="L211" i="213"/>
  <c r="L205" i="213"/>
  <c r="M139" i="213"/>
  <c r="N139" i="213" s="1"/>
  <c r="I139" i="213"/>
  <c r="J26" i="231"/>
  <c r="Q26" i="231" s="1"/>
  <c r="H19" i="202"/>
  <c r="I131" i="207"/>
  <c r="I132" i="207"/>
  <c r="I148" i="207"/>
  <c r="I143" i="207"/>
  <c r="M245" i="213"/>
  <c r="L192" i="213"/>
  <c r="M143" i="213"/>
  <c r="N143" i="213" s="1"/>
  <c r="I143" i="213"/>
  <c r="L201" i="213"/>
  <c r="L212" i="213"/>
  <c r="M253" i="207"/>
  <c r="L206" i="213"/>
  <c r="M147" i="213"/>
  <c r="N147" i="213" s="1"/>
  <c r="I147" i="213"/>
  <c r="M234" i="207"/>
  <c r="N152" i="207"/>
  <c r="I134" i="207"/>
  <c r="I137" i="207"/>
  <c r="H19" i="35" l="1"/>
  <c r="N19" i="35"/>
  <c r="D155" i="51"/>
  <c r="D177" i="45"/>
  <c r="H193" i="207"/>
  <c r="M192" i="207"/>
  <c r="F35" i="215"/>
  <c r="F28" i="30"/>
  <c r="F37" i="30" s="1"/>
  <c r="D22" i="3" s="1"/>
  <c r="Q32" i="232"/>
  <c r="G41" i="10"/>
  <c r="G193" i="207"/>
  <c r="L192" i="207"/>
  <c r="D45" i="190"/>
  <c r="F28" i="215"/>
  <c r="G72" i="10"/>
  <c r="E31" i="212"/>
  <c r="K35" i="30"/>
  <c r="E20" i="31" s="1"/>
  <c r="J66" i="10"/>
  <c r="J64" i="10"/>
  <c r="M64" i="10"/>
  <c r="L62" i="10"/>
  <c r="L66" i="10" s="1"/>
  <c r="K62" i="10"/>
  <c r="K64" i="10" s="1"/>
  <c r="N64" i="10"/>
  <c r="N66" i="10"/>
  <c r="L41" i="231"/>
  <c r="K24" i="30"/>
  <c r="K28" i="30" s="1"/>
  <c r="E18" i="31" s="1"/>
  <c r="H28" i="30"/>
  <c r="H37" i="30" s="1"/>
  <c r="K24" i="215"/>
  <c r="K28" i="215" s="1"/>
  <c r="E18" i="67" s="1"/>
  <c r="H28" i="215"/>
  <c r="H37" i="215" s="1"/>
  <c r="K21" i="215"/>
  <c r="E16" i="67" s="1"/>
  <c r="K35" i="215"/>
  <c r="E20" i="67" s="1"/>
  <c r="D157" i="51"/>
  <c r="E27" i="103"/>
  <c r="E58" i="100"/>
  <c r="E57" i="100"/>
  <c r="L19" i="35"/>
  <c r="I153" i="236"/>
  <c r="I155" i="209"/>
  <c r="N155" i="209"/>
  <c r="I152" i="207"/>
  <c r="L44" i="202"/>
  <c r="I152" i="213"/>
  <c r="N152" i="213"/>
  <c r="H44" i="202"/>
  <c r="D159" i="51" l="1"/>
  <c r="H196" i="207"/>
  <c r="M193" i="207"/>
  <c r="F37" i="215"/>
  <c r="D22" i="137" s="1"/>
  <c r="G196" i="207"/>
  <c r="L193" i="207"/>
  <c r="L64" i="10"/>
  <c r="K66" i="10"/>
  <c r="K37" i="30"/>
  <c r="F22" i="3" s="1"/>
  <c r="K37" i="215"/>
  <c r="F22" i="137" s="1"/>
  <c r="H197" i="207" l="1"/>
  <c r="M196" i="207"/>
  <c r="G197" i="207"/>
  <c r="L196" i="207"/>
  <c r="H72" i="10"/>
  <c r="H198" i="207" l="1"/>
  <c r="M197" i="207"/>
  <c r="G198" i="207"/>
  <c r="L197" i="207"/>
  <c r="H200" i="207" l="1"/>
  <c r="M198" i="207"/>
  <c r="G200" i="207"/>
  <c r="L198" i="207"/>
  <c r="E22" i="239"/>
  <c r="D40" i="103"/>
  <c r="D38" i="103"/>
  <c r="E37" i="103"/>
  <c r="D39" i="103"/>
  <c r="D33" i="102"/>
  <c r="E42" i="100"/>
  <c r="E41" i="100"/>
  <c r="E40" i="100"/>
  <c r="E69" i="100"/>
  <c r="F69" i="100" s="1"/>
  <c r="H201" i="207" l="1"/>
  <c r="M200" i="207"/>
  <c r="G201" i="207"/>
  <c r="L200" i="207"/>
  <c r="E70" i="100"/>
  <c r="F70" i="100" s="1"/>
  <c r="E20" i="239"/>
  <c r="E24" i="239" s="1"/>
  <c r="E33" i="100"/>
  <c r="F32" i="100"/>
  <c r="E62" i="100"/>
  <c r="E35" i="100"/>
  <c r="E34" i="100"/>
  <c r="E71" i="100"/>
  <c r="F71" i="100" s="1"/>
  <c r="E38" i="103"/>
  <c r="E72" i="100"/>
  <c r="F72" i="100" s="1"/>
  <c r="E40" i="103"/>
  <c r="D32" i="103"/>
  <c r="D33" i="103"/>
  <c r="E30" i="103"/>
  <c r="D31" i="103"/>
  <c r="E39" i="103"/>
  <c r="H203" i="207" l="1"/>
  <c r="M201" i="207"/>
  <c r="G203" i="207"/>
  <c r="L201" i="207"/>
  <c r="M224" i="236"/>
  <c r="E41" i="103"/>
  <c r="E33" i="103"/>
  <c r="E64" i="100"/>
  <c r="F34" i="100"/>
  <c r="E32" i="103"/>
  <c r="F73" i="100"/>
  <c r="E65" i="100"/>
  <c r="F65" i="100" s="1"/>
  <c r="E63" i="100"/>
  <c r="F33" i="100"/>
  <c r="E31" i="103"/>
  <c r="H205" i="207" l="1"/>
  <c r="M203" i="207"/>
  <c r="G205" i="207"/>
  <c r="L203" i="207"/>
  <c r="E34" i="103"/>
  <c r="E43" i="103" s="1"/>
  <c r="H206" i="207" l="1"/>
  <c r="M205" i="207"/>
  <c r="G206" i="207"/>
  <c r="L205" i="207"/>
  <c r="H207" i="207" l="1"/>
  <c r="M206" i="207"/>
  <c r="G207" i="207"/>
  <c r="L206" i="207"/>
  <c r="H208" i="207" l="1"/>
  <c r="M207" i="207"/>
  <c r="G208" i="207"/>
  <c r="L207" i="207"/>
  <c r="H209" i="207" l="1"/>
  <c r="M208" i="207"/>
  <c r="G209" i="207"/>
  <c r="L208" i="207"/>
  <c r="H210" i="207" l="1"/>
  <c r="M209" i="207"/>
  <c r="L224" i="236"/>
  <c r="G210" i="207"/>
  <c r="L209" i="207"/>
  <c r="H211" i="207" l="1"/>
  <c r="M210" i="207"/>
  <c r="G211" i="207"/>
  <c r="L210" i="207"/>
  <c r="H212" i="207" l="1"/>
  <c r="M211" i="207"/>
  <c r="G212" i="207"/>
  <c r="L211" i="207"/>
  <c r="M212" i="207" l="1"/>
  <c r="H214" i="207"/>
  <c r="M214" i="207" s="1"/>
  <c r="H213" i="207"/>
  <c r="G214" i="207"/>
  <c r="G213" i="207"/>
  <c r="L212" i="207"/>
  <c r="H218" i="207" l="1"/>
  <c r="M213" i="207"/>
  <c r="L214" i="207"/>
  <c r="G218" i="207"/>
  <c r="L213" i="207"/>
  <c r="H227" i="207" l="1"/>
  <c r="M227" i="207" s="1"/>
  <c r="M218" i="207"/>
  <c r="G227" i="207"/>
  <c r="L227" i="207" s="1"/>
  <c r="L218" i="207"/>
  <c r="J27" i="42" l="1"/>
  <c r="D26" i="46"/>
  <c r="D20" i="47" l="1"/>
  <c r="H136" i="237" l="1"/>
  <c r="H141" i="237"/>
  <c r="H138" i="237"/>
  <c r="H135" i="237"/>
  <c r="H149" i="237"/>
  <c r="H132" i="237"/>
  <c r="H133" i="237"/>
  <c r="H139" i="237"/>
  <c r="H151" i="237"/>
  <c r="H143" i="237"/>
  <c r="H150" i="237"/>
  <c r="H146" i="237"/>
  <c r="H137" i="237"/>
  <c r="H144" i="237"/>
  <c r="H131" i="237"/>
  <c r="H148" i="237"/>
  <c r="H147" i="237"/>
  <c r="H140" i="237"/>
  <c r="H145" i="237"/>
  <c r="H142" i="237"/>
  <c r="H134" i="237"/>
  <c r="H153" i="237" l="1"/>
  <c r="F40" i="100" l="1"/>
  <c r="F41" i="100"/>
  <c r="F58" i="100" l="1"/>
  <c r="F27" i="100"/>
  <c r="D79" i="51"/>
  <c r="F64" i="100" l="1"/>
  <c r="D118" i="51"/>
  <c r="F51" i="100"/>
  <c r="D112" i="51"/>
  <c r="F19" i="100"/>
  <c r="F26" i="100"/>
  <c r="F21" i="100"/>
  <c r="F39" i="100"/>
  <c r="F62" i="100"/>
  <c r="D111" i="51" l="1"/>
  <c r="F18" i="100"/>
  <c r="J31" i="193" l="1"/>
  <c r="O17" i="171" l="1"/>
  <c r="O18" i="171"/>
  <c r="O31" i="171" l="1"/>
  <c r="D52" i="171"/>
  <c r="E52" i="171"/>
  <c r="F52" i="171"/>
  <c r="G52" i="171"/>
  <c r="H52" i="171"/>
  <c r="D39" i="171"/>
  <c r="E39" i="171"/>
  <c r="F39" i="171"/>
  <c r="G39" i="171"/>
  <c r="H39" i="171"/>
  <c r="D67" i="171"/>
  <c r="E67" i="171"/>
  <c r="F67" i="171"/>
  <c r="G67" i="171"/>
  <c r="H67" i="171"/>
  <c r="O16" i="171" l="1"/>
  <c r="G34" i="171"/>
  <c r="F34" i="171"/>
  <c r="H47" i="171"/>
  <c r="D47" i="171"/>
  <c r="F62" i="171"/>
  <c r="G24" i="171"/>
  <c r="G47" i="171"/>
  <c r="E62" i="171"/>
  <c r="F24" i="171"/>
  <c r="E34" i="171"/>
  <c r="O32" i="171"/>
  <c r="H34" i="171"/>
  <c r="D34" i="171"/>
  <c r="F47" i="171"/>
  <c r="H62" i="171"/>
  <c r="D62" i="171"/>
  <c r="E24" i="171"/>
  <c r="E47" i="171"/>
  <c r="G62" i="171"/>
  <c r="H24" i="171"/>
  <c r="D24" i="171"/>
  <c r="C67" i="171"/>
  <c r="C39" i="171"/>
  <c r="C52" i="171"/>
  <c r="O19" i="171"/>
  <c r="O60" i="171"/>
  <c r="O58" i="171"/>
  <c r="O15" i="171" l="1"/>
  <c r="C24" i="171"/>
  <c r="C47" i="171" l="1"/>
  <c r="C34" i="171"/>
  <c r="C62" i="171"/>
  <c r="O14" i="171" l="1"/>
  <c r="M43" i="35" l="1"/>
  <c r="L43" i="35" s="1"/>
  <c r="O43" i="35"/>
  <c r="O45" i="171"/>
  <c r="O59" i="171" l="1"/>
  <c r="O30" i="171"/>
  <c r="N43" i="35" l="1"/>
  <c r="D23" i="79" l="1"/>
  <c r="D43" i="50" s="1"/>
  <c r="D45" i="50" s="1"/>
  <c r="D46" i="50" s="1"/>
  <c r="D24" i="79" l="1"/>
  <c r="D48" i="50" s="1"/>
  <c r="D15" i="79" l="1"/>
  <c r="D13" i="50" s="1"/>
  <c r="D18" i="79" l="1"/>
  <c r="D28" i="50" s="1"/>
  <c r="D17" i="79" l="1"/>
  <c r="D16" i="79"/>
  <c r="D18" i="50" s="1"/>
  <c r="D19" i="79" l="1"/>
  <c r="D23" i="50"/>
  <c r="D134" i="79"/>
  <c r="D22" i="79"/>
  <c r="D26" i="79" l="1"/>
  <c r="D38" i="50"/>
  <c r="G48" i="10" l="1"/>
  <c r="D70" i="50"/>
  <c r="D28" i="79"/>
  <c r="O14" i="46" l="1"/>
  <c r="F15" i="47" s="1"/>
  <c r="G36" i="1" l="1"/>
  <c r="P40" i="44" l="1"/>
  <c r="D96" i="45" s="1"/>
  <c r="P43" i="44"/>
  <c r="D99" i="45" s="1"/>
  <c r="P45" i="44"/>
  <c r="D102" i="45" s="1"/>
  <c r="P37" i="44"/>
  <c r="D92" i="45" s="1"/>
  <c r="P34" i="44"/>
  <c r="D88" i="45" s="1"/>
  <c r="P42" i="44"/>
  <c r="D98" i="45" s="1"/>
  <c r="P33" i="44"/>
  <c r="D87" i="45" s="1"/>
  <c r="P36" i="44"/>
  <c r="D91" i="45" s="1"/>
  <c r="P35" i="44"/>
  <c r="D90" i="45" s="1"/>
  <c r="P41" i="44"/>
  <c r="D97" i="45" s="1"/>
  <c r="P44" i="44"/>
  <c r="D100" i="45" s="1"/>
  <c r="P39" i="44"/>
  <c r="D94" i="45" s="1"/>
  <c r="P38" i="44"/>
  <c r="D93" i="45" s="1"/>
  <c r="P32" i="44" l="1"/>
  <c r="D86" i="45" l="1"/>
  <c r="D81" i="79" l="1"/>
  <c r="D91" i="79"/>
  <c r="D85" i="79"/>
  <c r="D99" i="79"/>
  <c r="D97" i="79"/>
  <c r="D93" i="79"/>
  <c r="D82" i="79"/>
  <c r="D89" i="79"/>
  <c r="D87" i="79"/>
  <c r="D92" i="79"/>
  <c r="D88" i="79"/>
  <c r="D83" i="79"/>
  <c r="D94" i="79"/>
  <c r="D95" i="79"/>
  <c r="D86" i="79" l="1"/>
  <c r="D100" i="79" s="1"/>
  <c r="D58" i="50" l="1"/>
  <c r="K17" i="46"/>
  <c r="O17" i="46" l="1"/>
  <c r="D71" i="50"/>
  <c r="D72" i="50" s="1"/>
  <c r="F18" i="47" l="1"/>
  <c r="J18" i="47" l="1"/>
  <c r="P27" i="44" l="1"/>
  <c r="D28" i="45" s="1"/>
  <c r="D54" i="50"/>
  <c r="D27" i="51"/>
  <c r="D55" i="50" l="1"/>
  <c r="J17" i="42"/>
  <c r="D26" i="51"/>
  <c r="D49" i="50"/>
  <c r="D50" i="50" s="1"/>
  <c r="D56" i="50" l="1"/>
  <c r="D51" i="50"/>
  <c r="P17" i="44" l="1"/>
  <c r="D15" i="45" l="1"/>
  <c r="M16" i="41" l="1"/>
  <c r="D15" i="51"/>
  <c r="D14" i="50"/>
  <c r="P23" i="44"/>
  <c r="D15" i="50" l="1"/>
  <c r="D21" i="45"/>
  <c r="M33" i="41"/>
  <c r="D18" i="51" l="1"/>
  <c r="D29" i="50"/>
  <c r="D30" i="50" s="1"/>
  <c r="M19" i="41"/>
  <c r="M36" i="41" s="1"/>
  <c r="D16" i="50"/>
  <c r="P25" i="44"/>
  <c r="D26" i="45" l="1"/>
  <c r="D31" i="45" s="1"/>
  <c r="D31" i="50"/>
  <c r="D39" i="50" l="1"/>
  <c r="D40" i="50" s="1"/>
  <c r="D24" i="51"/>
  <c r="D29" i="51" s="1"/>
  <c r="J18" i="42"/>
  <c r="D41" i="50" l="1"/>
  <c r="P19" i="44" l="1"/>
  <c r="D17" i="45" l="1"/>
  <c r="M17" i="41" l="1"/>
  <c r="D16" i="51"/>
  <c r="D19" i="50"/>
  <c r="P20" i="44"/>
  <c r="D20" i="50" l="1"/>
  <c r="D18" i="45"/>
  <c r="M34" i="41"/>
  <c r="M18" i="41" l="1"/>
  <c r="D24" i="50"/>
  <c r="D17" i="51"/>
  <c r="D21" i="51" s="1"/>
  <c r="D31" i="51" s="1"/>
  <c r="D23" i="45"/>
  <c r="D21" i="50"/>
  <c r="D25" i="50" l="1"/>
  <c r="D66" i="50"/>
  <c r="M35" i="41"/>
  <c r="M22" i="41"/>
  <c r="J16" i="42"/>
  <c r="J19" i="42" s="1"/>
  <c r="D33" i="45"/>
  <c r="H48" i="10" l="1"/>
  <c r="D14" i="46"/>
  <c r="D26" i="50"/>
  <c r="D15" i="47" l="1"/>
  <c r="F14" i="46"/>
  <c r="H54" i="192" l="1"/>
  <c r="H56" i="192" s="1"/>
  <c r="G54" i="192"/>
  <c r="G56" i="192" s="1"/>
  <c r="F54" i="192"/>
  <c r="F56" i="192" s="1"/>
  <c r="E54" i="192"/>
  <c r="E56" i="192" s="1"/>
  <c r="H57" i="192" l="1"/>
  <c r="E57" i="192"/>
  <c r="I54" i="192"/>
  <c r="F57" i="192"/>
  <c r="G57" i="192"/>
  <c r="D54" i="192"/>
  <c r="I57" i="192" l="1"/>
  <c r="D57" i="192" l="1"/>
  <c r="E33" i="102" l="1"/>
  <c r="F42" i="100" l="1"/>
  <c r="F43" i="100" s="1"/>
  <c r="D43" i="100"/>
  <c r="E27" i="247" l="1"/>
  <c r="G27" i="247" s="1"/>
  <c r="E21" i="247" l="1"/>
  <c r="G21" i="247" s="1"/>
  <c r="D29" i="247" l="1"/>
  <c r="E24" i="247" l="1"/>
  <c r="G24" i="247" s="1"/>
  <c r="E18" i="247"/>
  <c r="C29" i="247"/>
  <c r="G18" i="247" l="1"/>
  <c r="G29" i="247" s="1"/>
  <c r="E29" i="247"/>
  <c r="M24" i="46" l="1"/>
  <c r="N96" i="236" l="1"/>
  <c r="P46" i="44" l="1"/>
  <c r="D104" i="45" l="1"/>
  <c r="D105" i="45" s="1"/>
  <c r="J21" i="42" s="1"/>
  <c r="J22" i="42" s="1"/>
  <c r="D59" i="50" l="1"/>
  <c r="D67" i="50" s="1"/>
  <c r="D68" i="50" s="1"/>
  <c r="D17" i="46"/>
  <c r="F17" i="46" s="1"/>
  <c r="D34" i="51"/>
  <c r="D36" i="51" s="1"/>
  <c r="D38" i="51" s="1"/>
  <c r="D60" i="50"/>
  <c r="D18" i="47" l="1"/>
  <c r="D61" i="50"/>
  <c r="F20" i="5" l="1"/>
  <c r="J20" i="5"/>
  <c r="L20" i="5" l="1"/>
  <c r="L17" i="202" s="1"/>
  <c r="K19" i="4" s="1"/>
  <c r="H42" i="202"/>
  <c r="H17" i="202"/>
  <c r="E29" i="212" l="1"/>
  <c r="G71" i="10"/>
  <c r="L42" i="202"/>
  <c r="G40" i="10"/>
  <c r="G19" i="4"/>
  <c r="H40" i="10" s="1"/>
  <c r="H21" i="202"/>
  <c r="H29" i="202" s="1"/>
  <c r="J17" i="202" s="1"/>
  <c r="N17" i="202" s="1"/>
  <c r="H46" i="202"/>
  <c r="H54" i="202" s="1"/>
  <c r="J42" i="202" s="1"/>
  <c r="J44" i="202" l="1"/>
  <c r="N44" i="202" s="1"/>
  <c r="J50" i="202"/>
  <c r="J48" i="202"/>
  <c r="N48" i="202" s="1"/>
  <c r="G27" i="4"/>
  <c r="N42" i="202"/>
  <c r="J19" i="202"/>
  <c r="N19" i="202" s="1"/>
  <c r="J27" i="202"/>
  <c r="N27" i="202" s="1"/>
  <c r="J25" i="202"/>
  <c r="J23" i="202"/>
  <c r="N23" i="202" s="1"/>
  <c r="J52" i="202"/>
  <c r="N52" i="202" s="1"/>
  <c r="H71" i="10"/>
  <c r="I19" i="4" l="1"/>
  <c r="M19" i="4" s="1"/>
  <c r="H45" i="10"/>
  <c r="G45" i="10"/>
  <c r="N46" i="202"/>
  <c r="N21" i="202"/>
  <c r="J46" i="202"/>
  <c r="J54" i="202" s="1"/>
  <c r="N25" i="202"/>
  <c r="I21" i="4"/>
  <c r="M21" i="4" s="1"/>
  <c r="I25" i="4"/>
  <c r="M25" i="4" s="1"/>
  <c r="I23" i="4"/>
  <c r="M23" i="4" s="1"/>
  <c r="J21" i="202"/>
  <c r="J29" i="202" s="1"/>
  <c r="G30" i="84" l="1"/>
  <c r="N29" i="202"/>
  <c r="E30" i="84"/>
  <c r="M27" i="4"/>
  <c r="E22" i="1" s="1"/>
  <c r="G22" i="1"/>
  <c r="I27" i="4"/>
  <c r="J19" i="230" l="1"/>
  <c r="I47" i="230" l="1"/>
  <c r="J47" i="230"/>
  <c r="I19" i="230"/>
  <c r="I36" i="230"/>
  <c r="J36" i="230"/>
  <c r="D24" i="231" l="1"/>
  <c r="G24" i="231" s="1"/>
  <c r="Q24" i="230" l="1"/>
  <c r="I24" i="231" s="1"/>
  <c r="L24" i="231" s="1"/>
  <c r="D26" i="231" l="1"/>
  <c r="G26" i="231" s="1"/>
  <c r="Q26" i="230"/>
  <c r="I26" i="231" s="1"/>
  <c r="L26" i="231" s="1"/>
  <c r="I28" i="230" l="1"/>
  <c r="J28" i="230"/>
  <c r="K28" i="230"/>
  <c r="L28" i="230"/>
  <c r="M28" i="230"/>
  <c r="N28" i="230"/>
  <c r="O28" i="230"/>
  <c r="E28" i="230"/>
  <c r="F28" i="230"/>
  <c r="G28" i="230"/>
  <c r="H28" i="230"/>
  <c r="E49" i="230" l="1"/>
  <c r="H49" i="230"/>
  <c r="Q22" i="230"/>
  <c r="I22" i="231" s="1"/>
  <c r="D28" i="230"/>
  <c r="J49" i="230"/>
  <c r="G49" i="230"/>
  <c r="I49" i="230"/>
  <c r="F49" i="230"/>
  <c r="P28" i="230"/>
  <c r="D22" i="231"/>
  <c r="D28" i="231" l="1"/>
  <c r="G22" i="231"/>
  <c r="G28" i="231" s="1"/>
  <c r="Q28" i="230"/>
  <c r="D49" i="230"/>
  <c r="L22" i="231"/>
  <c r="L28" i="231" s="1"/>
  <c r="I28" i="231"/>
  <c r="M32" i="35" l="1"/>
  <c r="L30" i="35"/>
  <c r="E23" i="102"/>
  <c r="D21" i="49"/>
  <c r="D22" i="49" l="1"/>
  <c r="E18" i="102"/>
  <c r="M42" i="35"/>
  <c r="L42" i="35" s="1"/>
  <c r="M35" i="35"/>
  <c r="L35" i="35" s="1"/>
  <c r="M25" i="35"/>
  <c r="L25" i="35" s="1"/>
  <c r="D17" i="36"/>
  <c r="D21" i="36" s="1"/>
  <c r="P52" i="192"/>
  <c r="F21" i="105"/>
  <c r="F23" i="105" s="1"/>
  <c r="E22" i="102"/>
  <c r="E24" i="102" s="1"/>
  <c r="M24" i="35" l="1"/>
  <c r="L24" i="35" s="1"/>
  <c r="D28" i="36"/>
  <c r="H28" i="36" s="1"/>
  <c r="C24" i="102"/>
  <c r="D25" i="36"/>
  <c r="H25" i="36" s="1"/>
  <c r="M39" i="35"/>
  <c r="D23" i="36"/>
  <c r="H23" i="36" s="1"/>
  <c r="D20" i="36"/>
  <c r="H20" i="36" s="1"/>
  <c r="H21" i="36"/>
  <c r="H17" i="36"/>
  <c r="E17" i="102"/>
  <c r="E19" i="102" s="1"/>
  <c r="C19" i="102"/>
  <c r="M46" i="35"/>
  <c r="P29" i="192"/>
  <c r="P25" i="192"/>
  <c r="M28" i="35"/>
  <c r="D23" i="105"/>
  <c r="P26" i="192"/>
  <c r="P41" i="192"/>
  <c r="D56" i="100" s="1"/>
  <c r="F56" i="100" s="1"/>
  <c r="P21" i="192"/>
  <c r="P18" i="192"/>
  <c r="P39" i="192"/>
  <c r="D28" i="100" s="1"/>
  <c r="D29" i="100" s="1"/>
  <c r="P42" i="192"/>
  <c r="D57" i="100" s="1"/>
  <c r="F57" i="100" s="1"/>
  <c r="P40" i="192"/>
  <c r="D55" i="100" s="1"/>
  <c r="P33" i="192"/>
  <c r="P48" i="192"/>
  <c r="P31" i="192"/>
  <c r="P22" i="192"/>
  <c r="P34" i="192"/>
  <c r="P30" i="192"/>
  <c r="P17" i="192"/>
  <c r="P32" i="192"/>
  <c r="P24" i="192"/>
  <c r="P27" i="192"/>
  <c r="P46" i="192"/>
  <c r="P44" i="192"/>
  <c r="P49" i="192"/>
  <c r="P20" i="192"/>
  <c r="P35" i="192"/>
  <c r="P19" i="192"/>
  <c r="P43" i="192"/>
  <c r="P47" i="192"/>
  <c r="P28" i="192"/>
  <c r="L65" i="192" l="1"/>
  <c r="L67" i="192" s="1"/>
  <c r="O65" i="192"/>
  <c r="O67" i="192" s="1"/>
  <c r="M54" i="192"/>
  <c r="M65" i="192"/>
  <c r="M67" i="192" s="1"/>
  <c r="K54" i="192"/>
  <c r="K65" i="192"/>
  <c r="K67" i="192" s="1"/>
  <c r="N54" i="192"/>
  <c r="N65" i="192"/>
  <c r="N67" i="192" s="1"/>
  <c r="D29" i="36"/>
  <c r="H29" i="36" s="1"/>
  <c r="P25" i="193"/>
  <c r="F28" i="100"/>
  <c r="F29" i="100" s="1"/>
  <c r="F31" i="105"/>
  <c r="F33" i="105" s="1"/>
  <c r="D33" i="105"/>
  <c r="P24" i="193"/>
  <c r="L54" i="192"/>
  <c r="D61" i="228"/>
  <c r="D63" i="228" s="1"/>
  <c r="O54" i="192"/>
  <c r="P45" i="192"/>
  <c r="D59" i="100"/>
  <c r="F55" i="100"/>
  <c r="F59" i="100" s="1"/>
  <c r="D31" i="36" l="1"/>
  <c r="H31" i="36" s="1"/>
  <c r="P26" i="193"/>
  <c r="P15" i="193"/>
  <c r="P23" i="193"/>
  <c r="K31" i="193"/>
  <c r="O31" i="193"/>
  <c r="M31" i="193"/>
  <c r="P20" i="193"/>
  <c r="P17" i="193"/>
  <c r="P16" i="193"/>
  <c r="P18" i="193"/>
  <c r="P21" i="193"/>
  <c r="P29" i="193"/>
  <c r="P28" i="193"/>
  <c r="N31" i="193"/>
  <c r="P19" i="193"/>
  <c r="E32" i="102"/>
  <c r="E34" i="102" s="1"/>
  <c r="C34" i="102"/>
  <c r="P14" i="193"/>
  <c r="E27" i="102"/>
  <c r="P54" i="192"/>
  <c r="P56" i="192"/>
  <c r="E41" i="227"/>
  <c r="E43" i="227" s="1"/>
  <c r="D41" i="227" l="1"/>
  <c r="D43" i="227" s="1"/>
  <c r="P22" i="193"/>
  <c r="P31" i="193" s="1"/>
  <c r="L31" i="193"/>
  <c r="P58" i="192"/>
  <c r="E61" i="228"/>
  <c r="E63" i="228" s="1"/>
  <c r="P57" i="192" l="1"/>
  <c r="F41" i="227"/>
  <c r="F43" i="227" s="1"/>
  <c r="P33" i="193"/>
  <c r="F61" i="228" l="1"/>
  <c r="F63" i="228" s="1"/>
  <c r="P35" i="193"/>
  <c r="G41" i="227"/>
  <c r="G43" i="227" s="1"/>
  <c r="G61" i="228"/>
  <c r="G63" i="228" s="1"/>
  <c r="H41" i="227"/>
  <c r="H43" i="227" s="1"/>
  <c r="P34" i="193" l="1"/>
  <c r="D15" i="49"/>
  <c r="I41" i="227"/>
  <c r="I43" i="227" s="1"/>
  <c r="H61" i="228" l="1"/>
  <c r="H63" i="228" s="1"/>
  <c r="O32" i="35"/>
  <c r="O42" i="35" s="1"/>
  <c r="N30" i="35"/>
  <c r="D16" i="49"/>
  <c r="I61" i="228" l="1"/>
  <c r="I63" i="228" s="1"/>
  <c r="L28" i="36"/>
  <c r="J28" i="36" s="1"/>
  <c r="O46" i="35"/>
  <c r="N42" i="35"/>
  <c r="J41" i="227"/>
  <c r="J43" i="227" s="1"/>
  <c r="L17" i="36"/>
  <c r="L21" i="36" s="1"/>
  <c r="N26" i="35"/>
  <c r="O25" i="35"/>
  <c r="J61" i="228" l="1"/>
  <c r="J63" i="228" s="1"/>
  <c r="L29" i="36"/>
  <c r="O24" i="35"/>
  <c r="O28" i="35" s="1"/>
  <c r="N25" i="35"/>
  <c r="K41" i="227"/>
  <c r="K43" i="227" s="1"/>
  <c r="L20" i="36"/>
  <c r="J20" i="36" s="1"/>
  <c r="J21" i="36"/>
  <c r="L23" i="36"/>
  <c r="J23" i="36" s="1"/>
  <c r="J17" i="36"/>
  <c r="K61" i="228" l="1"/>
  <c r="K63" i="228" s="1"/>
  <c r="J29" i="36"/>
  <c r="N24" i="35"/>
  <c r="L41" i="227"/>
  <c r="L43" i="227" s="1"/>
  <c r="N36" i="35"/>
  <c r="O35" i="35"/>
  <c r="M41" i="227"/>
  <c r="M43" i="227" s="1"/>
  <c r="L61" i="228" l="1"/>
  <c r="L63" i="228" s="1"/>
  <c r="O39" i="35"/>
  <c r="N35" i="35"/>
  <c r="L25" i="36"/>
  <c r="J25" i="36" s="1"/>
  <c r="J31" i="36" s="1"/>
  <c r="L31" i="36" s="1"/>
  <c r="O41" i="227"/>
  <c r="O43" i="227" s="1"/>
  <c r="M61" i="228" l="1"/>
  <c r="M63" i="228" s="1"/>
  <c r="O61" i="228"/>
  <c r="O63" i="228" s="1"/>
  <c r="N41" i="227" l="1"/>
  <c r="N43" i="227" s="1"/>
  <c r="N61" i="228"/>
  <c r="N63" i="228" s="1"/>
  <c r="E28" i="102" l="1"/>
  <c r="E29" i="102" s="1"/>
  <c r="P38" i="190"/>
  <c r="C29" i="102" l="1"/>
  <c r="J42" i="190"/>
  <c r="P41" i="190"/>
  <c r="P23" i="190"/>
  <c r="P40" i="190"/>
  <c r="P28" i="190"/>
  <c r="P29" i="190"/>
  <c r="P34" i="190"/>
  <c r="D35" i="100" l="1"/>
  <c r="F35" i="100" s="1"/>
  <c r="F36" i="100" s="1"/>
  <c r="D63" i="100"/>
  <c r="J123" i="44" l="1"/>
  <c r="J125" i="44" s="1"/>
  <c r="J60" i="190"/>
  <c r="J61" i="190" s="1"/>
  <c r="D36" i="100"/>
  <c r="D66" i="100"/>
  <c r="F63" i="100"/>
  <c r="F66" i="100" s="1"/>
  <c r="P35" i="190" l="1"/>
  <c r="P21" i="190" l="1"/>
  <c r="P36" i="190" l="1"/>
  <c r="P27" i="190"/>
  <c r="P20" i="190"/>
  <c r="D28" i="105" l="1"/>
  <c r="D35" i="105" s="1"/>
  <c r="F26" i="105"/>
  <c r="F28" i="105" s="1"/>
  <c r="F35" i="105" s="1"/>
  <c r="P37" i="190"/>
  <c r="P26" i="190" l="1"/>
  <c r="P18" i="190"/>
  <c r="P32" i="190"/>
  <c r="P39" i="190"/>
  <c r="P31" i="190"/>
  <c r="E50" i="226"/>
  <c r="E52" i="226" s="1"/>
  <c r="G50" i="226" l="1"/>
  <c r="G52" i="226" s="1"/>
  <c r="M42" i="190"/>
  <c r="O42" i="190"/>
  <c r="L42" i="190"/>
  <c r="N42" i="190"/>
  <c r="N50" i="226"/>
  <c r="N52" i="226" s="1"/>
  <c r="M50" i="226"/>
  <c r="M52" i="226" s="1"/>
  <c r="H50" i="226"/>
  <c r="H52" i="226" s="1"/>
  <c r="L50" i="226"/>
  <c r="L52" i="226" s="1"/>
  <c r="D50" i="226"/>
  <c r="D52" i="226" s="1"/>
  <c r="F50" i="226" l="1"/>
  <c r="F52" i="226" s="1"/>
  <c r="K50" i="226"/>
  <c r="K52" i="226" s="1"/>
  <c r="I50" i="226"/>
  <c r="I52" i="226" s="1"/>
  <c r="O60" i="190"/>
  <c r="O61" i="190" s="1"/>
  <c r="N60" i="190"/>
  <c r="N61" i="190" s="1"/>
  <c r="M60" i="190"/>
  <c r="M61" i="190" s="1"/>
  <c r="L60" i="190"/>
  <c r="L61" i="190" s="1"/>
  <c r="P33" i="190"/>
  <c r="P64" i="190" s="1"/>
  <c r="K42" i="190"/>
  <c r="O50" i="226"/>
  <c r="O52" i="226" s="1"/>
  <c r="J50" i="226" l="1"/>
  <c r="J52" i="226" s="1"/>
  <c r="P42" i="190"/>
  <c r="K60" i="190"/>
  <c r="K61" i="190" s="1"/>
  <c r="P44" i="190" l="1"/>
  <c r="P124" i="222"/>
  <c r="M27" i="46" l="1"/>
  <c r="D154" i="79"/>
  <c r="P46" i="190"/>
  <c r="P45" i="190" l="1"/>
  <c r="P102" i="44"/>
  <c r="J26" i="42" l="1"/>
  <c r="D159" i="45"/>
  <c r="D121" i="51" l="1"/>
  <c r="D142" i="51" l="1"/>
  <c r="D144" i="51" s="1"/>
  <c r="D22" i="36" l="1"/>
  <c r="H22" i="36" s="1"/>
  <c r="L22" i="36"/>
  <c r="J22" i="36" l="1"/>
  <c r="L62" i="171" l="1"/>
  <c r="J62" i="171"/>
  <c r="O44" i="171"/>
  <c r="M62" i="171"/>
  <c r="K47" i="171"/>
  <c r="J47" i="171"/>
  <c r="N47" i="171"/>
  <c r="I62" i="171"/>
  <c r="M47" i="171"/>
  <c r="L47" i="171"/>
  <c r="N62" i="171"/>
  <c r="O57" i="171"/>
  <c r="K62" i="171"/>
  <c r="L34" i="171" l="1"/>
  <c r="O29" i="171"/>
  <c r="M34" i="171"/>
  <c r="J34" i="171"/>
  <c r="O47" i="171"/>
  <c r="I34" i="171"/>
  <c r="K34" i="171"/>
  <c r="K24" i="171" s="1"/>
  <c r="O62" i="171"/>
  <c r="O67" i="171"/>
  <c r="N34" i="171"/>
  <c r="O52" i="171" l="1"/>
  <c r="I24" i="171"/>
  <c r="J113" i="44" s="1"/>
  <c r="J24" i="171"/>
  <c r="M24" i="171"/>
  <c r="O34" i="171"/>
  <c r="L24" i="171"/>
  <c r="O39" i="171"/>
  <c r="O22" i="171"/>
  <c r="O20" i="171"/>
  <c r="O21" i="171" l="1"/>
  <c r="N24" i="171"/>
  <c r="O24" i="171" l="1"/>
  <c r="P16" i="44"/>
  <c r="D19" i="48" l="1"/>
  <c r="D178" i="45"/>
  <c r="D168" i="51"/>
  <c r="D27" i="46" l="1"/>
  <c r="J28" i="42"/>
  <c r="D21" i="47" l="1"/>
  <c r="D45" i="231" l="1"/>
  <c r="G45" i="231" s="1"/>
  <c r="D43" i="231"/>
  <c r="G43" i="231" s="1"/>
  <c r="D17" i="231"/>
  <c r="G17" i="231" s="1"/>
  <c r="D15" i="231"/>
  <c r="G15" i="231" s="1"/>
  <c r="M19" i="230"/>
  <c r="D34" i="231"/>
  <c r="G34" i="231" s="1"/>
  <c r="D32" i="231"/>
  <c r="G32" i="231" s="1"/>
  <c r="I17" i="231" l="1"/>
  <c r="L17" i="231" s="1"/>
  <c r="N19" i="230"/>
  <c r="O36" i="230"/>
  <c r="N47" i="230"/>
  <c r="L36" i="230"/>
  <c r="K47" i="230"/>
  <c r="O47" i="230"/>
  <c r="L47" i="230"/>
  <c r="D39" i="231"/>
  <c r="P47" i="230"/>
  <c r="Q41" i="230"/>
  <c r="I43" i="231" s="1"/>
  <c r="L43" i="231" s="1"/>
  <c r="M47" i="230"/>
  <c r="Q43" i="230"/>
  <c r="I45" i="231" s="1"/>
  <c r="L45" i="231" s="1"/>
  <c r="K36" i="230"/>
  <c r="Q30" i="230"/>
  <c r="I30" i="231" s="1"/>
  <c r="Q32" i="230"/>
  <c r="I32" i="231" s="1"/>
  <c r="L32" i="231" s="1"/>
  <c r="M36" i="230"/>
  <c r="Q34" i="230"/>
  <c r="I34" i="231" s="1"/>
  <c r="L34" i="231" s="1"/>
  <c r="P36" i="230"/>
  <c r="D30" i="231"/>
  <c r="N36" i="230"/>
  <c r="O19" i="230"/>
  <c r="L19" i="230"/>
  <c r="I13" i="231"/>
  <c r="D13" i="231"/>
  <c r="P19" i="230"/>
  <c r="I15" i="231"/>
  <c r="L15" i="231" s="1"/>
  <c r="K19" i="230"/>
  <c r="N49" i="230" l="1"/>
  <c r="L49" i="230"/>
  <c r="M49" i="230"/>
  <c r="P49" i="230"/>
  <c r="O49" i="230"/>
  <c r="Q47" i="230"/>
  <c r="D47" i="231"/>
  <c r="G39" i="231"/>
  <c r="G47" i="231" s="1"/>
  <c r="Q39" i="230"/>
  <c r="I39" i="231" s="1"/>
  <c r="D36" i="231"/>
  <c r="G30" i="231"/>
  <c r="G36" i="231" s="1"/>
  <c r="L30" i="231"/>
  <c r="L36" i="231" s="1"/>
  <c r="I36" i="231"/>
  <c r="Q36" i="230"/>
  <c r="G13" i="231"/>
  <c r="G19" i="231" s="1"/>
  <c r="D19" i="231"/>
  <c r="L13" i="231"/>
  <c r="L19" i="231" s="1"/>
  <c r="I19" i="231"/>
  <c r="Q19" i="230"/>
  <c r="K49" i="230"/>
  <c r="G49" i="231" l="1"/>
  <c r="D49" i="231"/>
  <c r="D25" i="137"/>
  <c r="L39" i="231"/>
  <c r="L47" i="231" s="1"/>
  <c r="L49" i="231" s="1"/>
  <c r="I47" i="231"/>
  <c r="I49" i="231" s="1"/>
  <c r="Q49" i="230"/>
  <c r="F25" i="3" l="1"/>
  <c r="D25" i="3"/>
  <c r="F25" i="137"/>
  <c r="J27" i="106" l="1"/>
  <c r="I17" i="106" l="1"/>
  <c r="I18" i="106" l="1"/>
  <c r="I19" i="106" l="1"/>
  <c r="I20" i="106" l="1"/>
  <c r="I21" i="106" l="1"/>
  <c r="I22" i="106" l="1"/>
  <c r="I23" i="106" l="1"/>
  <c r="I24" i="106" l="1"/>
  <c r="I25" i="106" l="1"/>
  <c r="I26" i="106" l="1"/>
  <c r="Q26" i="106" s="1"/>
  <c r="I27" i="106"/>
  <c r="I31" i="106" l="1"/>
  <c r="I32" i="106" l="1"/>
  <c r="I33" i="106" l="1"/>
  <c r="I34" i="106" l="1"/>
  <c r="I35" i="106" l="1"/>
  <c r="I36" i="106" l="1"/>
  <c r="R41" i="106" l="1"/>
  <c r="R58" i="106"/>
  <c r="R47" i="106"/>
  <c r="R49" i="106"/>
  <c r="R64" i="106"/>
  <c r="R28" i="106"/>
  <c r="R33" i="106"/>
  <c r="R34" i="106"/>
  <c r="R43" i="106"/>
  <c r="R37" i="106"/>
  <c r="R35" i="106"/>
  <c r="R62" i="106"/>
  <c r="R51" i="106"/>
  <c r="R30" i="106"/>
  <c r="R50" i="106"/>
  <c r="R31" i="106"/>
  <c r="R44" i="106"/>
  <c r="R36" i="106"/>
  <c r="R61" i="106"/>
  <c r="R60" i="106"/>
  <c r="R52" i="106"/>
  <c r="R38" i="106"/>
  <c r="R42" i="106"/>
  <c r="R63" i="106"/>
  <c r="R45" i="106"/>
  <c r="R56" i="106"/>
  <c r="R59" i="106"/>
  <c r="R46" i="106"/>
  <c r="R29" i="106"/>
  <c r="R57" i="106"/>
  <c r="R32" i="106"/>
  <c r="M16" i="106"/>
  <c r="R48" i="106"/>
  <c r="R54" i="106"/>
  <c r="R53" i="106"/>
  <c r="R55" i="106"/>
  <c r="Q27" i="106"/>
  <c r="M17" i="106" l="1"/>
  <c r="M18" i="106" s="1"/>
  <c r="N27" i="106"/>
  <c r="Q29" i="106"/>
  <c r="Q28" i="106"/>
  <c r="R27" i="106"/>
  <c r="R39" i="106" l="1"/>
  <c r="M19" i="106"/>
  <c r="Q30" i="106"/>
  <c r="M25" i="46" l="1"/>
  <c r="Q31" i="106"/>
  <c r="M20" i="106"/>
  <c r="Q32" i="106" l="1"/>
  <c r="M21" i="106"/>
  <c r="M22" i="106" l="1"/>
  <c r="Q33" i="106"/>
  <c r="Q34" i="106" l="1"/>
  <c r="M23" i="106"/>
  <c r="Q35" i="106" l="1"/>
  <c r="M24" i="106"/>
  <c r="M25" i="106" l="1"/>
  <c r="Q36" i="106"/>
  <c r="Q37" i="106" l="1"/>
  <c r="M26" i="106"/>
  <c r="Q38" i="106" l="1"/>
  <c r="M31" i="106"/>
  <c r="M27" i="106"/>
  <c r="Q41" i="106" l="1"/>
  <c r="M32" i="106"/>
  <c r="D24" i="137"/>
  <c r="Q39" i="106"/>
  <c r="F24" i="137" s="1"/>
  <c r="Q42" i="106" l="1"/>
  <c r="M33" i="106"/>
  <c r="Q43" i="106" l="1"/>
  <c r="M34" i="106"/>
  <c r="Q44" i="106" l="1"/>
  <c r="M35" i="106"/>
  <c r="Q45" i="106" l="1"/>
  <c r="M36" i="106"/>
  <c r="M37" i="106" l="1"/>
  <c r="Q46" i="106"/>
  <c r="M38" i="106" l="1"/>
  <c r="Q47" i="106"/>
  <c r="M39" i="106" l="1"/>
  <c r="Q48" i="106"/>
  <c r="Q49" i="106" l="1"/>
  <c r="M40" i="106"/>
  <c r="M41" i="106" l="1"/>
  <c r="Q50" i="106"/>
  <c r="M42" i="106" l="1"/>
  <c r="Q51" i="106"/>
  <c r="Q52" i="106" l="1"/>
  <c r="M43" i="106"/>
  <c r="Q53" i="106" l="1"/>
  <c r="M44" i="106"/>
  <c r="M45" i="106" l="1"/>
  <c r="Q54" i="106"/>
  <c r="M46" i="106" l="1"/>
  <c r="Q55" i="106"/>
  <c r="Q56" i="106" l="1"/>
  <c r="M47" i="106"/>
  <c r="Q57" i="106" l="1"/>
  <c r="M48" i="106"/>
  <c r="Q58" i="106" l="1"/>
  <c r="M49" i="106"/>
  <c r="M50" i="106" l="1"/>
  <c r="Q59" i="106"/>
  <c r="Q60" i="106" l="1"/>
  <c r="M51" i="106"/>
  <c r="Q61" i="106" l="1"/>
  <c r="M52" i="106"/>
  <c r="M53" i="106" l="1"/>
  <c r="Q62" i="106"/>
  <c r="Q63" i="106" l="1"/>
  <c r="M54" i="106"/>
  <c r="Q64" i="106" s="1"/>
  <c r="H74" i="237" l="1"/>
  <c r="H75" i="237"/>
  <c r="F262" i="209" l="1"/>
  <c r="I262" i="209" s="1"/>
  <c r="F260" i="236"/>
  <c r="I260" i="236" s="1"/>
  <c r="N260" i="236" l="1"/>
  <c r="N262" i="209" l="1"/>
  <c r="F119" i="207" l="1"/>
  <c r="I119" i="207" s="1"/>
  <c r="F181" i="213" l="1"/>
  <c r="I181" i="213" s="1"/>
  <c r="F181" i="207"/>
  <c r="I181" i="207" s="1"/>
  <c r="F227" i="207"/>
  <c r="I227" i="207" l="1"/>
  <c r="F264" i="207"/>
  <c r="I264" i="207" s="1"/>
  <c r="I268" i="207" s="1"/>
  <c r="D16" i="3" s="1"/>
  <c r="H29" i="10" s="1"/>
  <c r="H31" i="10" s="1"/>
  <c r="D268" i="207"/>
  <c r="N181" i="213"/>
  <c r="F119" i="213"/>
  <c r="I119" i="213" s="1"/>
  <c r="F268" i="207" l="1"/>
  <c r="N119" i="213"/>
  <c r="F227" i="213"/>
  <c r="I227" i="213" s="1"/>
  <c r="D268" i="213" l="1"/>
  <c r="F264" i="213"/>
  <c r="N227" i="213"/>
  <c r="N264" i="213" l="1"/>
  <c r="N268" i="213" s="1"/>
  <c r="F16" i="137" s="1"/>
  <c r="K268" i="213"/>
  <c r="F268" i="213"/>
  <c r="I264" i="213"/>
  <c r="I268" i="213" s="1"/>
  <c r="D16" i="137" s="1"/>
  <c r="G29" i="10" s="1"/>
  <c r="G31" i="10" s="1"/>
  <c r="N227" i="207" l="1"/>
  <c r="N119" i="207"/>
  <c r="N181" i="207"/>
  <c r="K268" i="207" l="1"/>
  <c r="N264" i="207"/>
  <c r="N268" i="207" s="1"/>
  <c r="F16" i="3" s="1"/>
  <c r="F96" i="207" l="1"/>
  <c r="I96" i="207" s="1"/>
  <c r="F105" i="207"/>
  <c r="I105" i="207" s="1"/>
  <c r="F109" i="207" l="1"/>
  <c r="I109" i="207" s="1"/>
  <c r="N109" i="207"/>
  <c r="F96" i="236"/>
  <c r="I96" i="236" s="1"/>
  <c r="F96" i="213"/>
  <c r="I96" i="213" s="1"/>
  <c r="N96" i="207"/>
  <c r="N105" i="207"/>
  <c r="F105" i="213"/>
  <c r="I105" i="213" s="1"/>
  <c r="F109" i="213" l="1"/>
  <c r="I109" i="213" s="1"/>
  <c r="N96" i="213"/>
  <c r="N105" i="213"/>
  <c r="N109" i="213" l="1"/>
  <c r="F104" i="207" l="1"/>
  <c r="I104" i="207" s="1"/>
  <c r="F104" i="236"/>
  <c r="I104" i="236" s="1"/>
  <c r="F108" i="207" l="1"/>
  <c r="I108" i="207" s="1"/>
  <c r="N108" i="207"/>
  <c r="N104" i="236"/>
  <c r="N104" i="207"/>
  <c r="F108" i="236"/>
  <c r="I108" i="236" s="1"/>
  <c r="N108" i="236" l="1"/>
  <c r="H96" i="237" l="1"/>
  <c r="F96" i="209" l="1"/>
  <c r="I96" i="209" s="1"/>
  <c r="F259" i="207" l="1"/>
  <c r="I259" i="207" s="1"/>
  <c r="N259" i="207" l="1"/>
  <c r="F244" i="207"/>
  <c r="I244" i="207" s="1"/>
  <c r="F242" i="207"/>
  <c r="I242" i="207" s="1"/>
  <c r="F243" i="207"/>
  <c r="I243" i="207" s="1"/>
  <c r="F241" i="207"/>
  <c r="I241" i="207" s="1"/>
  <c r="F239" i="207"/>
  <c r="I239" i="207" s="1"/>
  <c r="F248" i="207"/>
  <c r="I248" i="207" s="1"/>
  <c r="F260" i="207"/>
  <c r="I260" i="207" s="1"/>
  <c r="F238" i="207"/>
  <c r="I238" i="207" s="1"/>
  <c r="N248" i="207" l="1"/>
  <c r="N260" i="207"/>
  <c r="F245" i="207"/>
  <c r="I245" i="207" s="1"/>
  <c r="F247" i="207"/>
  <c r="I247" i="207" s="1"/>
  <c r="F253" i="207"/>
  <c r="I253" i="207" s="1"/>
  <c r="F256" i="207"/>
  <c r="I256" i="207" s="1"/>
  <c r="F249" i="207"/>
  <c r="I249" i="207" s="1"/>
  <c r="N243" i="207"/>
  <c r="N244" i="207"/>
  <c r="F251" i="207"/>
  <c r="I251" i="207" s="1"/>
  <c r="F255" i="207"/>
  <c r="I255" i="207" s="1"/>
  <c r="F257" i="207"/>
  <c r="I257" i="207" s="1"/>
  <c r="F250" i="207"/>
  <c r="I250" i="207" s="1"/>
  <c r="F246" i="207"/>
  <c r="I246" i="207" s="1"/>
  <c r="F254" i="207"/>
  <c r="I254" i="207" s="1"/>
  <c r="N238" i="207"/>
  <c r="N239" i="207"/>
  <c r="N241" i="207"/>
  <c r="N242" i="207"/>
  <c r="F245" i="213" l="1"/>
  <c r="I245" i="213" s="1"/>
  <c r="N250" i="207"/>
  <c r="N255" i="207"/>
  <c r="N249" i="207"/>
  <c r="N254" i="207"/>
  <c r="N253" i="207"/>
  <c r="F258" i="207"/>
  <c r="I258" i="207" s="1"/>
  <c r="N257" i="207"/>
  <c r="N251" i="207"/>
  <c r="N256" i="207"/>
  <c r="F252" i="207"/>
  <c r="I252" i="207" s="1"/>
  <c r="N247" i="207"/>
  <c r="N245" i="207"/>
  <c r="N246" i="207"/>
  <c r="F246" i="213"/>
  <c r="I246" i="213" s="1"/>
  <c r="F240" i="207"/>
  <c r="I240" i="207" s="1"/>
  <c r="F247" i="213"/>
  <c r="I247" i="213" s="1"/>
  <c r="N245" i="213" l="1"/>
  <c r="F252" i="213"/>
  <c r="I252" i="213" s="1"/>
  <c r="F240" i="213"/>
  <c r="I240" i="213" s="1"/>
  <c r="F258" i="213"/>
  <c r="I258" i="213" s="1"/>
  <c r="N252" i="207"/>
  <c r="F257" i="213"/>
  <c r="I257" i="213" s="1"/>
  <c r="F254" i="213"/>
  <c r="I254" i="213" s="1"/>
  <c r="F249" i="213"/>
  <c r="I249" i="213" s="1"/>
  <c r="F250" i="213"/>
  <c r="I250" i="213" s="1"/>
  <c r="N258" i="207"/>
  <c r="F256" i="213"/>
  <c r="I256" i="213" s="1"/>
  <c r="F251" i="213"/>
  <c r="I251" i="213" s="1"/>
  <c r="F253" i="213"/>
  <c r="I253" i="213" s="1"/>
  <c r="F255" i="213"/>
  <c r="I255" i="213" s="1"/>
  <c r="N240" i="207"/>
  <c r="N247" i="213"/>
  <c r="N246" i="213"/>
  <c r="N250" i="213" l="1"/>
  <c r="N254" i="213"/>
  <c r="N255" i="213"/>
  <c r="N253" i="213"/>
  <c r="N251" i="213"/>
  <c r="N249" i="213"/>
  <c r="F104" i="213"/>
  <c r="I104" i="213" s="1"/>
  <c r="H104" i="237"/>
  <c r="N257" i="213"/>
  <c r="N252" i="213"/>
  <c r="N258" i="213"/>
  <c r="N256" i="213"/>
  <c r="N240" i="213"/>
  <c r="F233" i="207"/>
  <c r="I233" i="207" s="1"/>
  <c r="F234" i="207"/>
  <c r="I234" i="207" s="1"/>
  <c r="F232" i="207" l="1"/>
  <c r="F108" i="213"/>
  <c r="I108" i="213" s="1"/>
  <c r="N108" i="213"/>
  <c r="H108" i="237"/>
  <c r="F104" i="209"/>
  <c r="I104" i="209" s="1"/>
  <c r="N104" i="213"/>
  <c r="N233" i="207"/>
  <c r="F237" i="207"/>
  <c r="I237" i="207" s="1"/>
  <c r="N234" i="207"/>
  <c r="F235" i="207"/>
  <c r="I235" i="207" s="1"/>
  <c r="F236" i="207"/>
  <c r="I236" i="207" s="1"/>
  <c r="N232" i="207" l="1"/>
  <c r="D262" i="207"/>
  <c r="I232" i="207"/>
  <c r="I262" i="207" s="1"/>
  <c r="F262" i="207"/>
  <c r="N104" i="209"/>
  <c r="N108" i="209"/>
  <c r="N235" i="207"/>
  <c r="N236" i="207"/>
  <c r="N237" i="207"/>
  <c r="F108" i="209" l="1"/>
  <c r="I108" i="209" s="1"/>
  <c r="K262" i="207"/>
  <c r="N262" i="207"/>
  <c r="F259" i="213" l="1"/>
  <c r="I259" i="213" s="1"/>
  <c r="F238" i="213" l="1"/>
  <c r="I238" i="213" s="1"/>
  <c r="F242" i="213"/>
  <c r="I242" i="213" s="1"/>
  <c r="N259" i="213"/>
  <c r="F239" i="213"/>
  <c r="I239" i="213" s="1"/>
  <c r="F243" i="213"/>
  <c r="I243" i="213" s="1"/>
  <c r="F244" i="213"/>
  <c r="I244" i="213" s="1"/>
  <c r="F260" i="213"/>
  <c r="I260" i="213" s="1"/>
  <c r="F248" i="213"/>
  <c r="I248" i="213" s="1"/>
  <c r="F241" i="213"/>
  <c r="I241" i="213" s="1"/>
  <c r="N241" i="213" l="1"/>
  <c r="N260" i="213"/>
  <c r="N243" i="213"/>
  <c r="N238" i="213"/>
  <c r="N248" i="213"/>
  <c r="N244" i="213"/>
  <c r="N239" i="213"/>
  <c r="N242" i="213"/>
  <c r="F232" i="213" l="1"/>
  <c r="F234" i="213"/>
  <c r="I234" i="213" s="1"/>
  <c r="N232" i="213" l="1"/>
  <c r="I232" i="213"/>
  <c r="N234" i="213"/>
  <c r="F237" i="213" l="1"/>
  <c r="I237" i="213" s="1"/>
  <c r="F233" i="213" l="1"/>
  <c r="N237" i="213"/>
  <c r="F236" i="213"/>
  <c r="I236" i="213" s="1"/>
  <c r="F235" i="213"/>
  <c r="I235" i="213" s="1"/>
  <c r="I233" i="213" l="1"/>
  <c r="F262" i="213"/>
  <c r="N233" i="213"/>
  <c r="D262" i="213"/>
  <c r="I262" i="213"/>
  <c r="N235" i="213"/>
  <c r="N236" i="213"/>
  <c r="K262" i="213" l="1"/>
  <c r="N262" i="213"/>
  <c r="F167" i="207" l="1"/>
  <c r="I167" i="207" s="1"/>
  <c r="F167" i="213" l="1"/>
  <c r="I167" i="213" s="1"/>
  <c r="N167" i="207"/>
  <c r="N167" i="213" l="1"/>
  <c r="F163" i="207" l="1"/>
  <c r="I163" i="207" s="1"/>
  <c r="F164" i="207"/>
  <c r="I164" i="207" s="1"/>
  <c r="F159" i="207"/>
  <c r="I159" i="207" s="1"/>
  <c r="F160" i="236"/>
  <c r="I160" i="236" s="1"/>
  <c r="F161" i="207"/>
  <c r="I161" i="207" s="1"/>
  <c r="F160" i="207"/>
  <c r="I160" i="207" s="1"/>
  <c r="F161" i="236"/>
  <c r="I161" i="236" s="1"/>
  <c r="F166" i="207"/>
  <c r="I166" i="207" s="1"/>
  <c r="F167" i="236"/>
  <c r="I167" i="236" s="1"/>
  <c r="F162" i="207"/>
  <c r="I162" i="207" s="1"/>
  <c r="F163" i="236"/>
  <c r="I163" i="236" s="1"/>
  <c r="F165" i="207"/>
  <c r="I165" i="207" s="1"/>
  <c r="N163" i="236" l="1"/>
  <c r="N160" i="236"/>
  <c r="F164" i="213"/>
  <c r="I164" i="213" s="1"/>
  <c r="F163" i="213"/>
  <c r="I163" i="213" s="1"/>
  <c r="N167" i="236"/>
  <c r="N161" i="236"/>
  <c r="F165" i="213"/>
  <c r="I165" i="213" s="1"/>
  <c r="F161" i="213"/>
  <c r="I161" i="213" s="1"/>
  <c r="N166" i="207"/>
  <c r="N162" i="207"/>
  <c r="N160" i="207"/>
  <c r="N159" i="207"/>
  <c r="N165" i="207"/>
  <c r="N164" i="207"/>
  <c r="N161" i="207"/>
  <c r="N163" i="207"/>
  <c r="N164" i="213" l="1"/>
  <c r="N161" i="213"/>
  <c r="N163" i="213"/>
  <c r="N165" i="213"/>
  <c r="F155" i="207" l="1"/>
  <c r="F125" i="207"/>
  <c r="I125" i="207" s="1"/>
  <c r="F124" i="207" l="1"/>
  <c r="D127" i="207"/>
  <c r="N155" i="207"/>
  <c r="I155" i="207"/>
  <c r="F172" i="207"/>
  <c r="I172" i="207" s="1"/>
  <c r="F171" i="207"/>
  <c r="I171" i="207" s="1"/>
  <c r="N125" i="207"/>
  <c r="F173" i="207"/>
  <c r="I173" i="207" s="1"/>
  <c r="F174" i="207"/>
  <c r="I174" i="207" s="1"/>
  <c r="F170" i="207"/>
  <c r="I170" i="207" s="1"/>
  <c r="F169" i="207"/>
  <c r="I169" i="207" s="1"/>
  <c r="F157" i="207"/>
  <c r="I157" i="207" s="1"/>
  <c r="F168" i="207"/>
  <c r="I168" i="207" s="1"/>
  <c r="F156" i="207" l="1"/>
  <c r="K127" i="207"/>
  <c r="N124" i="207"/>
  <c r="N127" i="207" s="1"/>
  <c r="I124" i="207"/>
  <c r="I127" i="207" s="1"/>
  <c r="F127" i="207"/>
  <c r="F173" i="236"/>
  <c r="I173" i="236" s="1"/>
  <c r="F168" i="236"/>
  <c r="I168" i="236" s="1"/>
  <c r="N172" i="207"/>
  <c r="F162" i="236"/>
  <c r="I162" i="236" s="1"/>
  <c r="F166" i="236"/>
  <c r="I166" i="236" s="1"/>
  <c r="N168" i="236"/>
  <c r="F126" i="236"/>
  <c r="I126" i="236" s="1"/>
  <c r="F156" i="236"/>
  <c r="N174" i="207"/>
  <c r="N173" i="207"/>
  <c r="N171" i="207"/>
  <c r="N170" i="207"/>
  <c r="N157" i="207"/>
  <c r="N168" i="207"/>
  <c r="F175" i="207"/>
  <c r="I175" i="207" s="1"/>
  <c r="F158" i="207"/>
  <c r="I158" i="207" s="1"/>
  <c r="F158" i="236"/>
  <c r="I158" i="236" s="1"/>
  <c r="N169" i="207"/>
  <c r="I156" i="236" l="1"/>
  <c r="D177" i="207"/>
  <c r="D179" i="207" s="1"/>
  <c r="N156" i="207"/>
  <c r="I156" i="207"/>
  <c r="I177" i="207" s="1"/>
  <c r="I179" i="207" s="1"/>
  <c r="F177" i="207"/>
  <c r="F179" i="207" s="1"/>
  <c r="F171" i="236"/>
  <c r="I171" i="236" s="1"/>
  <c r="F172" i="236"/>
  <c r="I172" i="236" s="1"/>
  <c r="N166" i="236"/>
  <c r="N162" i="236"/>
  <c r="N126" i="236"/>
  <c r="F157" i="236"/>
  <c r="I157" i="236" s="1"/>
  <c r="F174" i="236"/>
  <c r="I174" i="236" s="1"/>
  <c r="F170" i="236"/>
  <c r="I170" i="236" s="1"/>
  <c r="N173" i="236"/>
  <c r="F175" i="236"/>
  <c r="I175" i="236" s="1"/>
  <c r="N158" i="236"/>
  <c r="N158" i="207"/>
  <c r="N175" i="207"/>
  <c r="N171" i="236" l="1"/>
  <c r="N177" i="207"/>
  <c r="N179" i="207" s="1"/>
  <c r="N156" i="236"/>
  <c r="K177" i="207"/>
  <c r="K179" i="207" s="1"/>
  <c r="F164" i="236"/>
  <c r="I164" i="236" s="1"/>
  <c r="F165" i="236"/>
  <c r="I165" i="236" s="1"/>
  <c r="N175" i="236"/>
  <c r="N174" i="236"/>
  <c r="N157" i="236"/>
  <c r="N170" i="236"/>
  <c r="F159" i="236"/>
  <c r="I159" i="236" s="1"/>
  <c r="F176" i="236"/>
  <c r="I176" i="236" s="1"/>
  <c r="N172" i="236"/>
  <c r="F169" i="236"/>
  <c r="I169" i="236" s="1"/>
  <c r="I179" i="236" l="1"/>
  <c r="F179" i="236"/>
  <c r="N176" i="236"/>
  <c r="N164" i="236"/>
  <c r="N165" i="236"/>
  <c r="N159" i="236"/>
  <c r="N169" i="236"/>
  <c r="D179" i="236" l="1"/>
  <c r="D128" i="236" l="1"/>
  <c r="D181" i="236" s="1"/>
  <c r="F125" i="236"/>
  <c r="N125" i="236" l="1"/>
  <c r="N128" i="236" s="1"/>
  <c r="F128" i="236"/>
  <c r="F181" i="236" s="1"/>
  <c r="I125" i="236"/>
  <c r="I128" i="236" s="1"/>
  <c r="I181" i="236" s="1"/>
  <c r="N177" i="236"/>
  <c r="N179" i="236" s="1"/>
  <c r="F162" i="213"/>
  <c r="I162" i="213" s="1"/>
  <c r="H163" i="237"/>
  <c r="F166" i="213"/>
  <c r="I166" i="213" s="1"/>
  <c r="H167" i="237"/>
  <c r="F159" i="213"/>
  <c r="I159" i="213" s="1"/>
  <c r="H160" i="237"/>
  <c r="F160" i="213"/>
  <c r="I160" i="213" s="1"/>
  <c r="H161" i="237"/>
  <c r="N181" i="236" l="1"/>
  <c r="F169" i="209"/>
  <c r="I169" i="209" s="1"/>
  <c r="F165" i="209"/>
  <c r="I165" i="209" s="1"/>
  <c r="F162" i="209"/>
  <c r="I162" i="209" s="1"/>
  <c r="N159" i="213"/>
  <c r="N162" i="213"/>
  <c r="N160" i="213"/>
  <c r="N166" i="213"/>
  <c r="F163" i="209"/>
  <c r="I163" i="209" s="1"/>
  <c r="N162" i="209" l="1"/>
  <c r="N165" i="209"/>
  <c r="N163" i="209"/>
  <c r="N169" i="209"/>
  <c r="F124" i="213" l="1"/>
  <c r="I124" i="213" l="1"/>
  <c r="N124" i="213"/>
  <c r="F169" i="213"/>
  <c r="I169" i="213" s="1"/>
  <c r="H126" i="237" l="1"/>
  <c r="N169" i="213"/>
  <c r="F171" i="213"/>
  <c r="I171" i="213" s="1"/>
  <c r="F125" i="213" l="1"/>
  <c r="D127" i="213"/>
  <c r="F155" i="213"/>
  <c r="F157" i="213"/>
  <c r="I157" i="213" s="1"/>
  <c r="N171" i="213"/>
  <c r="N125" i="213" l="1"/>
  <c r="N127" i="213" s="1"/>
  <c r="K127" i="213"/>
  <c r="I155" i="213"/>
  <c r="N155" i="213"/>
  <c r="I125" i="213"/>
  <c r="I127" i="213" s="1"/>
  <c r="F127" i="213"/>
  <c r="H158" i="237"/>
  <c r="H166" i="237"/>
  <c r="F158" i="209"/>
  <c r="N157" i="213"/>
  <c r="F174" i="213"/>
  <c r="I174" i="213" s="1"/>
  <c r="F128" i="209"/>
  <c r="I128" i="209" s="1"/>
  <c r="I158" i="209" l="1"/>
  <c r="F156" i="213"/>
  <c r="H156" i="237"/>
  <c r="H172" i="237"/>
  <c r="H170" i="237"/>
  <c r="F168" i="209"/>
  <c r="I168" i="209" s="1"/>
  <c r="N174" i="213"/>
  <c r="F160" i="209"/>
  <c r="I160" i="209" s="1"/>
  <c r="F170" i="213"/>
  <c r="I170" i="213" s="1"/>
  <c r="N128" i="209"/>
  <c r="F172" i="213"/>
  <c r="I172" i="213" s="1"/>
  <c r="F158" i="213"/>
  <c r="I158" i="213" s="1"/>
  <c r="N156" i="213" l="1"/>
  <c r="I156" i="213"/>
  <c r="N158" i="209"/>
  <c r="F174" i="209"/>
  <c r="I174" i="209" s="1"/>
  <c r="H171" i="237"/>
  <c r="F172" i="209"/>
  <c r="I172" i="209" s="1"/>
  <c r="H168" i="237"/>
  <c r="H173" i="237"/>
  <c r="N168" i="209"/>
  <c r="H159" i="237"/>
  <c r="N160" i="209"/>
  <c r="F168" i="213"/>
  <c r="I168" i="213" s="1"/>
  <c r="N158" i="213"/>
  <c r="N170" i="213"/>
  <c r="N172" i="213"/>
  <c r="F159" i="209"/>
  <c r="F173" i="213"/>
  <c r="I173" i="213" s="1"/>
  <c r="N174" i="209" l="1"/>
  <c r="H157" i="237"/>
  <c r="I159" i="209"/>
  <c r="F173" i="209"/>
  <c r="I173" i="209" s="1"/>
  <c r="N172" i="209"/>
  <c r="F170" i="209"/>
  <c r="I170" i="209" s="1"/>
  <c r="H169" i="237"/>
  <c r="F175" i="209"/>
  <c r="I175" i="209" s="1"/>
  <c r="H174" i="237"/>
  <c r="H165" i="237"/>
  <c r="F167" i="209"/>
  <c r="I167" i="209" s="1"/>
  <c r="N168" i="213"/>
  <c r="N173" i="213"/>
  <c r="F175" i="213"/>
  <c r="I175" i="213" s="1"/>
  <c r="I177" i="213" s="1"/>
  <c r="I179" i="213" s="1"/>
  <c r="F161" i="209"/>
  <c r="I161" i="209" s="1"/>
  <c r="N173" i="209" l="1"/>
  <c r="N159" i="209"/>
  <c r="D177" i="213"/>
  <c r="D179" i="213" s="1"/>
  <c r="F177" i="213"/>
  <c r="F179" i="213" s="1"/>
  <c r="N170" i="209"/>
  <c r="F171" i="209"/>
  <c r="I171" i="209" s="1"/>
  <c r="N175" i="209"/>
  <c r="H175" i="237"/>
  <c r="H176" i="237"/>
  <c r="F176" i="209"/>
  <c r="I176" i="209" s="1"/>
  <c r="N167" i="209"/>
  <c r="N175" i="213"/>
  <c r="N177" i="213" s="1"/>
  <c r="N179" i="213" s="1"/>
  <c r="N161" i="209"/>
  <c r="K177" i="213" l="1"/>
  <c r="K179" i="213" s="1"/>
  <c r="F177" i="209"/>
  <c r="I177" i="209" s="1"/>
  <c r="N176" i="209"/>
  <c r="N171" i="209"/>
  <c r="F164" i="209"/>
  <c r="I164" i="209" s="1"/>
  <c r="F178" i="209"/>
  <c r="I178" i="209" s="1"/>
  <c r="H162" i="237" l="1"/>
  <c r="N177" i="209"/>
  <c r="N164" i="209"/>
  <c r="H164" i="237"/>
  <c r="N178" i="209"/>
  <c r="D179" i="237" l="1"/>
  <c r="H179" i="237"/>
  <c r="F166" i="209"/>
  <c r="I166" i="209" l="1"/>
  <c r="N166" i="209"/>
  <c r="D128" i="237" l="1"/>
  <c r="D181" i="237" s="1"/>
  <c r="H125" i="237"/>
  <c r="H128" i="237" s="1"/>
  <c r="H181" i="237" s="1"/>
  <c r="F127" i="209" l="1"/>
  <c r="D130" i="209"/>
  <c r="D181" i="209" l="1"/>
  <c r="D183" i="209" s="1"/>
  <c r="F179" i="209"/>
  <c r="K130" i="209"/>
  <c r="N127" i="209"/>
  <c r="N130" i="209" s="1"/>
  <c r="I127" i="209"/>
  <c r="I130" i="209" s="1"/>
  <c r="F130" i="209"/>
  <c r="I179" i="209" l="1"/>
  <c r="I181" i="209" s="1"/>
  <c r="I183" i="209" s="1"/>
  <c r="F181" i="209"/>
  <c r="F183" i="209" s="1"/>
  <c r="N179" i="209"/>
  <c r="N181" i="209" s="1"/>
  <c r="N183" i="209" s="1"/>
  <c r="K181" i="209"/>
  <c r="K183" i="209" s="1"/>
  <c r="F195" i="207" l="1"/>
  <c r="I195" i="207" s="1"/>
  <c r="N195" i="207" l="1"/>
  <c r="F195" i="213"/>
  <c r="I195" i="213" s="1"/>
  <c r="F199" i="207"/>
  <c r="I199" i="207" s="1"/>
  <c r="F193" i="207"/>
  <c r="I193" i="207" s="1"/>
  <c r="F210" i="207"/>
  <c r="I210" i="207" s="1"/>
  <c r="F206" i="207"/>
  <c r="I206" i="207" s="1"/>
  <c r="F201" i="207"/>
  <c r="I201" i="207" s="1"/>
  <c r="F202" i="207"/>
  <c r="I202" i="207" s="1"/>
  <c r="F215" i="207"/>
  <c r="I215" i="207" s="1"/>
  <c r="F209" i="207"/>
  <c r="I209" i="207" s="1"/>
  <c r="F213" i="207"/>
  <c r="I213" i="207" s="1"/>
  <c r="F198" i="207"/>
  <c r="I198" i="207" s="1"/>
  <c r="F194" i="207"/>
  <c r="I194" i="207" s="1"/>
  <c r="F219" i="207"/>
  <c r="I219" i="207" s="1"/>
  <c r="F191" i="207"/>
  <c r="I191" i="207" s="1"/>
  <c r="F197" i="207"/>
  <c r="I197" i="207" s="1"/>
  <c r="F214" i="207"/>
  <c r="I214" i="207" s="1"/>
  <c r="F212" i="207"/>
  <c r="I212" i="207" s="1"/>
  <c r="F204" i="207"/>
  <c r="I204" i="207" s="1"/>
  <c r="F211" i="207"/>
  <c r="I211" i="207" s="1"/>
  <c r="F207" i="207"/>
  <c r="I207" i="207" s="1"/>
  <c r="F208" i="207"/>
  <c r="I208" i="207" s="1"/>
  <c r="F214" i="213" l="1"/>
  <c r="I214" i="213" s="1"/>
  <c r="F209" i="213"/>
  <c r="I209" i="213" s="1"/>
  <c r="F208" i="213"/>
  <c r="I208" i="213" s="1"/>
  <c r="F211" i="213"/>
  <c r="I211" i="213" s="1"/>
  <c r="F204" i="213"/>
  <c r="I204" i="213" s="1"/>
  <c r="F219" i="213"/>
  <c r="I219" i="213" s="1"/>
  <c r="F198" i="213"/>
  <c r="I198" i="213" s="1"/>
  <c r="F201" i="213"/>
  <c r="I201" i="213" s="1"/>
  <c r="F215" i="213"/>
  <c r="I215" i="213" s="1"/>
  <c r="F210" i="213"/>
  <c r="I210" i="213" s="1"/>
  <c r="F199" i="213"/>
  <c r="I199" i="213" s="1"/>
  <c r="F212" i="213"/>
  <c r="I212" i="213" s="1"/>
  <c r="F194" i="213"/>
  <c r="I194" i="213" s="1"/>
  <c r="F213" i="213"/>
  <c r="I213" i="213" s="1"/>
  <c r="F202" i="213"/>
  <c r="I202" i="213" s="1"/>
  <c r="F206" i="213"/>
  <c r="I206" i="213" s="1"/>
  <c r="N195" i="213"/>
  <c r="N215" i="207"/>
  <c r="N202" i="207"/>
  <c r="N204" i="207"/>
  <c r="N214" i="207"/>
  <c r="N197" i="207"/>
  <c r="N193" i="207"/>
  <c r="N208" i="207"/>
  <c r="N206" i="207"/>
  <c r="N194" i="207"/>
  <c r="N211" i="207"/>
  <c r="N212" i="207"/>
  <c r="F197" i="213"/>
  <c r="I197" i="213" s="1"/>
  <c r="N198" i="207"/>
  <c r="N213" i="207"/>
  <c r="N201" i="207"/>
  <c r="N210" i="207"/>
  <c r="N199" i="207"/>
  <c r="N207" i="207"/>
  <c r="N191" i="207"/>
  <c r="N219" i="207"/>
  <c r="N209" i="207"/>
  <c r="F193" i="213"/>
  <c r="I193" i="213" s="1"/>
  <c r="N204" i="213" l="1"/>
  <c r="N206" i="213"/>
  <c r="N209" i="213"/>
  <c r="N211" i="213"/>
  <c r="N215" i="213"/>
  <c r="N202" i="213"/>
  <c r="N214" i="213"/>
  <c r="F207" i="213"/>
  <c r="I207" i="213" s="1"/>
  <c r="N194" i="213"/>
  <c r="F191" i="213"/>
  <c r="I191" i="213" s="1"/>
  <c r="N199" i="213"/>
  <c r="N213" i="213"/>
  <c r="N198" i="213"/>
  <c r="N197" i="213"/>
  <c r="N212" i="213"/>
  <c r="N193" i="213"/>
  <c r="N210" i="213"/>
  <c r="N201" i="213"/>
  <c r="N208" i="213"/>
  <c r="N219" i="213"/>
  <c r="N207" i="213" l="1"/>
  <c r="N191" i="213"/>
  <c r="F223" i="236" l="1"/>
  <c r="I223" i="236" s="1"/>
  <c r="F190" i="207"/>
  <c r="I190" i="207" s="1"/>
  <c r="F222" i="207"/>
  <c r="I222" i="207" s="1"/>
  <c r="F217" i="207"/>
  <c r="I217" i="207" s="1"/>
  <c r="F196" i="207"/>
  <c r="I196" i="207" s="1"/>
  <c r="F216" i="207"/>
  <c r="I216" i="207" s="1"/>
  <c r="F189" i="207"/>
  <c r="I189" i="207" s="1"/>
  <c r="F221" i="207"/>
  <c r="I221" i="207" s="1"/>
  <c r="F205" i="207"/>
  <c r="I205" i="207" s="1"/>
  <c r="F218" i="207"/>
  <c r="I218" i="207" s="1"/>
  <c r="F223" i="207"/>
  <c r="I223" i="207" s="1"/>
  <c r="F220" i="207"/>
  <c r="I220" i="207" s="1"/>
  <c r="F200" i="207"/>
  <c r="I200" i="207" s="1"/>
  <c r="F203" i="207"/>
  <c r="I203" i="207" s="1"/>
  <c r="F192" i="207"/>
  <c r="I192" i="207" s="1"/>
  <c r="N203" i="207" l="1"/>
  <c r="F190" i="236"/>
  <c r="I190" i="236" s="1"/>
  <c r="N200" i="207"/>
  <c r="F189" i="236"/>
  <c r="I189" i="236" s="1"/>
  <c r="N192" i="207"/>
  <c r="N205" i="207"/>
  <c r="N189" i="207"/>
  <c r="N196" i="207"/>
  <c r="N222" i="207"/>
  <c r="N220" i="207"/>
  <c r="N217" i="207"/>
  <c r="N223" i="207"/>
  <c r="N218" i="207"/>
  <c r="N221" i="207"/>
  <c r="N216" i="207"/>
  <c r="N190" i="207"/>
  <c r="F222" i="236" l="1"/>
  <c r="I222" i="236" s="1"/>
  <c r="F221" i="236"/>
  <c r="I221" i="236" s="1"/>
  <c r="F220" i="236"/>
  <c r="I220" i="236" s="1"/>
  <c r="N190" i="236"/>
  <c r="N221" i="236"/>
  <c r="N222" i="236"/>
  <c r="N220" i="236"/>
  <c r="N189" i="236"/>
  <c r="F192" i="213" l="1"/>
  <c r="I192" i="213" s="1"/>
  <c r="F203" i="213"/>
  <c r="I203" i="213" s="1"/>
  <c r="F189" i="213"/>
  <c r="I189" i="213" s="1"/>
  <c r="F216" i="213"/>
  <c r="I216" i="213" s="1"/>
  <c r="F200" i="213"/>
  <c r="I200" i="213" s="1"/>
  <c r="F222" i="213"/>
  <c r="I222" i="213" s="1"/>
  <c r="F190" i="213"/>
  <c r="I190" i="213" s="1"/>
  <c r="F218" i="213"/>
  <c r="I218" i="213" s="1"/>
  <c r="F221" i="213"/>
  <c r="I221" i="213" s="1"/>
  <c r="F205" i="213"/>
  <c r="I205" i="213" s="1"/>
  <c r="F217" i="213"/>
  <c r="I217" i="213" s="1"/>
  <c r="F223" i="213"/>
  <c r="I223" i="213" s="1"/>
  <c r="F220" i="213"/>
  <c r="I220" i="213" s="1"/>
  <c r="F196" i="213"/>
  <c r="I196" i="213" s="1"/>
  <c r="H190" i="237" l="1"/>
  <c r="H189" i="237"/>
  <c r="N223" i="213"/>
  <c r="N205" i="213"/>
  <c r="N222" i="213"/>
  <c r="N216" i="213"/>
  <c r="N203" i="213"/>
  <c r="N217" i="213"/>
  <c r="N220" i="213"/>
  <c r="N221" i="213"/>
  <c r="N190" i="213"/>
  <c r="N200" i="213"/>
  <c r="N189" i="213"/>
  <c r="N192" i="213"/>
  <c r="N196" i="213"/>
  <c r="N218" i="213"/>
  <c r="F191" i="209" l="1"/>
  <c r="I191" i="209" s="1"/>
  <c r="F192" i="209"/>
  <c r="I192" i="209" s="1"/>
  <c r="N192" i="209"/>
  <c r="N191" i="209"/>
  <c r="F219" i="236" l="1"/>
  <c r="I219" i="236" s="1"/>
  <c r="N219" i="236"/>
  <c r="F218" i="236" l="1"/>
  <c r="I218" i="236" s="1"/>
  <c r="N218" i="236"/>
  <c r="F213" i="236" l="1"/>
  <c r="I213" i="236" s="1"/>
  <c r="N213" i="236"/>
  <c r="F187" i="207"/>
  <c r="I187" i="207" s="1"/>
  <c r="F188" i="207"/>
  <c r="I188" i="207" s="1"/>
  <c r="F211" i="236" l="1"/>
  <c r="I211" i="236" s="1"/>
  <c r="F212" i="236"/>
  <c r="I212" i="236" s="1"/>
  <c r="F216" i="236"/>
  <c r="I216" i="236" s="1"/>
  <c r="F217" i="236"/>
  <c r="I217" i="236" s="1"/>
  <c r="N211" i="236"/>
  <c r="N212" i="236"/>
  <c r="N217" i="236"/>
  <c r="N216" i="236"/>
  <c r="F187" i="236"/>
  <c r="I187" i="236" s="1"/>
  <c r="N188" i="207"/>
  <c r="N187" i="207"/>
  <c r="F192" i="236" l="1"/>
  <c r="I192" i="236" s="1"/>
  <c r="F209" i="236"/>
  <c r="I209" i="236" s="1"/>
  <c r="F215" i="236"/>
  <c r="I215" i="236" s="1"/>
  <c r="F200" i="236"/>
  <c r="I200" i="236" s="1"/>
  <c r="F210" i="236"/>
  <c r="I210" i="236" s="1"/>
  <c r="F205" i="236"/>
  <c r="I205" i="236" s="1"/>
  <c r="F196" i="236"/>
  <c r="I196" i="236" s="1"/>
  <c r="F193" i="236"/>
  <c r="I193" i="236" s="1"/>
  <c r="F214" i="236"/>
  <c r="I214" i="236" s="1"/>
  <c r="N215" i="236"/>
  <c r="N210" i="236"/>
  <c r="F191" i="236"/>
  <c r="I191" i="236" s="1"/>
  <c r="N209" i="236"/>
  <c r="N214" i="236"/>
  <c r="N205" i="236"/>
  <c r="N196" i="236"/>
  <c r="N200" i="236"/>
  <c r="N193" i="236"/>
  <c r="N192" i="236"/>
  <c r="F188" i="236"/>
  <c r="I188" i="236" s="1"/>
  <c r="N187" i="236"/>
  <c r="F202" i="236" l="1"/>
  <c r="I202" i="236" s="1"/>
  <c r="F194" i="236"/>
  <c r="I194" i="236" s="1"/>
  <c r="F204" i="236"/>
  <c r="I204" i="236" s="1"/>
  <c r="F195" i="236"/>
  <c r="I195" i="236" s="1"/>
  <c r="F197" i="236"/>
  <c r="I197" i="236" s="1"/>
  <c r="F201" i="236"/>
  <c r="I201" i="236" s="1"/>
  <c r="F199" i="236"/>
  <c r="I199" i="236" s="1"/>
  <c r="F203" i="236"/>
  <c r="I203" i="236" s="1"/>
  <c r="N202" i="236"/>
  <c r="N199" i="236"/>
  <c r="N195" i="236"/>
  <c r="N204" i="236"/>
  <c r="N201" i="236"/>
  <c r="N194" i="236"/>
  <c r="N197" i="236"/>
  <c r="N203" i="236"/>
  <c r="N191" i="236"/>
  <c r="N188" i="236"/>
  <c r="F206" i="236" l="1"/>
  <c r="I206" i="236" s="1"/>
  <c r="F198" i="236"/>
  <c r="I198" i="236" s="1"/>
  <c r="F207" i="236"/>
  <c r="I207" i="236" s="1"/>
  <c r="F208" i="236"/>
  <c r="I208" i="236" s="1"/>
  <c r="N206" i="236"/>
  <c r="N198" i="236"/>
  <c r="N208" i="236"/>
  <c r="N207" i="236"/>
  <c r="H223" i="237" l="1"/>
  <c r="H222" i="237" l="1"/>
  <c r="H219" i="237"/>
  <c r="F225" i="209" l="1"/>
  <c r="I225" i="209" s="1"/>
  <c r="H221" i="237"/>
  <c r="N223" i="209"/>
  <c r="N225" i="209"/>
  <c r="H220" i="237"/>
  <c r="F224" i="209" l="1"/>
  <c r="I224" i="209" s="1"/>
  <c r="F221" i="209"/>
  <c r="I221" i="209" s="1"/>
  <c r="F223" i="209"/>
  <c r="I223" i="209" s="1"/>
  <c r="F222" i="209"/>
  <c r="I222" i="209" s="1"/>
  <c r="N221" i="209"/>
  <c r="N224" i="209"/>
  <c r="N222" i="209"/>
  <c r="H218" i="237"/>
  <c r="F187" i="213"/>
  <c r="I187" i="213" s="1"/>
  <c r="F220" i="209" l="1"/>
  <c r="I220" i="209" s="1"/>
  <c r="N220" i="209"/>
  <c r="N187" i="213"/>
  <c r="F188" i="213"/>
  <c r="I188" i="213" s="1"/>
  <c r="F190" i="209" l="1"/>
  <c r="I190" i="209" s="1"/>
  <c r="H212" i="237"/>
  <c r="N188" i="213"/>
  <c r="F189" i="209"/>
  <c r="I189" i="209" s="1"/>
  <c r="H187" i="237"/>
  <c r="H188" i="237" l="1"/>
  <c r="H217" i="237"/>
  <c r="F219" i="209"/>
  <c r="I219" i="209" s="1"/>
  <c r="H213" i="237"/>
  <c r="H193" i="237"/>
  <c r="H215" i="237"/>
  <c r="H214" i="237"/>
  <c r="H211" i="237"/>
  <c r="H216" i="237"/>
  <c r="H207" i="237"/>
  <c r="H206" i="237"/>
  <c r="N190" i="209"/>
  <c r="H191" i="237"/>
  <c r="N189" i="209"/>
  <c r="F213" i="209" l="1"/>
  <c r="I213" i="209" s="1"/>
  <c r="F214" i="209"/>
  <c r="I214" i="209" s="1"/>
  <c r="F218" i="209"/>
  <c r="I218" i="209" s="1"/>
  <c r="N215" i="209"/>
  <c r="F215" i="209"/>
  <c r="I215" i="209" s="1"/>
  <c r="N217" i="209"/>
  <c r="N219" i="209"/>
  <c r="H203" i="237"/>
  <c r="H204" i="237"/>
  <c r="H205" i="237"/>
  <c r="N214" i="209"/>
  <c r="H202" i="237"/>
  <c r="H201" i="237"/>
  <c r="N213" i="209"/>
  <c r="N218" i="209"/>
  <c r="H192" i="237"/>
  <c r="H208" i="237"/>
  <c r="F209" i="209" l="1"/>
  <c r="I209" i="209" s="1"/>
  <c r="F216" i="209"/>
  <c r="I216" i="209" s="1"/>
  <c r="F194" i="209"/>
  <c r="I194" i="209" s="1"/>
  <c r="F206" i="209"/>
  <c r="I206" i="209" s="1"/>
  <c r="F208" i="209"/>
  <c r="I208" i="209" s="1"/>
  <c r="F195" i="209"/>
  <c r="I195" i="209" s="1"/>
  <c r="F210" i="209"/>
  <c r="I210" i="209" s="1"/>
  <c r="F207" i="209"/>
  <c r="I207" i="209" s="1"/>
  <c r="F205" i="209"/>
  <c r="I205" i="209" s="1"/>
  <c r="F217" i="209"/>
  <c r="I217" i="209" s="1"/>
  <c r="N204" i="209"/>
  <c r="N195" i="209"/>
  <c r="N205" i="209"/>
  <c r="N194" i="209"/>
  <c r="N210" i="209"/>
  <c r="H210" i="237"/>
  <c r="N208" i="209"/>
  <c r="N207" i="209"/>
  <c r="H195" i="237"/>
  <c r="H194" i="237"/>
  <c r="N206" i="209"/>
  <c r="H200" i="237"/>
  <c r="N216" i="209"/>
  <c r="N209" i="209"/>
  <c r="F193" i="209"/>
  <c r="I193" i="209" s="1"/>
  <c r="F202" i="209" l="1"/>
  <c r="I202" i="209" s="1"/>
  <c r="F203" i="209"/>
  <c r="I203" i="209" s="1"/>
  <c r="F204" i="209"/>
  <c r="I204" i="209" s="1"/>
  <c r="N203" i="209"/>
  <c r="H199" i="237"/>
  <c r="H198" i="237"/>
  <c r="N202" i="209"/>
  <c r="N212" i="209"/>
  <c r="H209" i="237"/>
  <c r="H197" i="237"/>
  <c r="N193" i="209"/>
  <c r="F212" i="209" l="1"/>
  <c r="I212" i="209" s="1"/>
  <c r="F196" i="209"/>
  <c r="I196" i="209" s="1"/>
  <c r="F211" i="209"/>
  <c r="I211" i="209" s="1"/>
  <c r="F197" i="209"/>
  <c r="I197" i="209" s="1"/>
  <c r="N197" i="209"/>
  <c r="N211" i="209"/>
  <c r="N196" i="209"/>
  <c r="F200" i="209" l="1"/>
  <c r="I200" i="209" s="1"/>
  <c r="F199" i="209"/>
  <c r="I199" i="209" s="1"/>
  <c r="F201" i="209"/>
  <c r="I201" i="209" s="1"/>
  <c r="N201" i="209"/>
  <c r="H196" i="237"/>
  <c r="N200" i="209"/>
  <c r="N199" i="209"/>
  <c r="F198" i="209" l="1"/>
  <c r="I198" i="209" s="1"/>
  <c r="N198" i="209"/>
  <c r="F16" i="207" l="1"/>
  <c r="N16" i="207" l="1"/>
  <c r="I16" i="207"/>
  <c r="F16" i="236" l="1"/>
  <c r="N16" i="236" l="1"/>
  <c r="I16" i="236"/>
  <c r="F101" i="207" l="1"/>
  <c r="I101" i="207" s="1"/>
  <c r="F103" i="207"/>
  <c r="I103" i="207" s="1"/>
  <c r="F99" i="207" l="1"/>
  <c r="I99" i="207" s="1"/>
  <c r="N103" i="207"/>
  <c r="F97" i="207"/>
  <c r="I97" i="207" s="1"/>
  <c r="F100" i="207"/>
  <c r="I100" i="207" s="1"/>
  <c r="F102" i="207"/>
  <c r="I102" i="207" s="1"/>
  <c r="F98" i="207"/>
  <c r="I98" i="207" s="1"/>
  <c r="N101" i="207"/>
  <c r="N99" i="207" l="1"/>
  <c r="N100" i="207"/>
  <c r="N98" i="207"/>
  <c r="N102" i="207"/>
  <c r="N97" i="207"/>
  <c r="F55" i="207"/>
  <c r="I55" i="207" s="1"/>
  <c r="F51" i="207"/>
  <c r="I51" i="207" s="1"/>
  <c r="F64" i="207" l="1"/>
  <c r="I64" i="207" s="1"/>
  <c r="F43" i="207"/>
  <c r="I43" i="207" s="1"/>
  <c r="F81" i="207"/>
  <c r="I81" i="207" s="1"/>
  <c r="F57" i="207"/>
  <c r="I57" i="207" s="1"/>
  <c r="F37" i="207"/>
  <c r="I37" i="207" s="1"/>
  <c r="F36" i="207"/>
  <c r="I36" i="207" s="1"/>
  <c r="F73" i="207"/>
  <c r="I73" i="207" s="1"/>
  <c r="F72" i="207"/>
  <c r="I72" i="207" s="1"/>
  <c r="F92" i="207"/>
  <c r="I92" i="207" s="1"/>
  <c r="F79" i="207"/>
  <c r="I79" i="207" s="1"/>
  <c r="F83" i="207"/>
  <c r="I83" i="207" s="1"/>
  <c r="F94" i="207"/>
  <c r="I94" i="207" s="1"/>
  <c r="F111" i="207"/>
  <c r="I111" i="207" s="1"/>
  <c r="F52" i="207"/>
  <c r="I52" i="207" s="1"/>
  <c r="F40" i="207"/>
  <c r="I40" i="207" s="1"/>
  <c r="F66" i="207"/>
  <c r="I66" i="207" s="1"/>
  <c r="N55" i="207"/>
  <c r="N51" i="207"/>
  <c r="F113" i="207"/>
  <c r="I113" i="207" s="1"/>
  <c r="F31" i="207"/>
  <c r="I31" i="207" s="1"/>
  <c r="F41" i="207"/>
  <c r="I41" i="207" s="1"/>
  <c r="F42" i="207"/>
  <c r="I42" i="207" s="1"/>
  <c r="F44" i="207"/>
  <c r="I44" i="207" s="1"/>
  <c r="F77" i="207"/>
  <c r="I77" i="207" s="1"/>
  <c r="F71" i="207"/>
  <c r="I71" i="207" s="1"/>
  <c r="F45" i="207"/>
  <c r="I45" i="207" s="1"/>
  <c r="F17" i="207" l="1"/>
  <c r="D19" i="207"/>
  <c r="N45" i="207"/>
  <c r="N36" i="207"/>
  <c r="N43" i="207"/>
  <c r="N42" i="207"/>
  <c r="N111" i="207"/>
  <c r="N72" i="207"/>
  <c r="N64" i="207"/>
  <c r="F73" i="236"/>
  <c r="I73" i="236" s="1"/>
  <c r="F79" i="236"/>
  <c r="I79" i="236" s="1"/>
  <c r="F55" i="236"/>
  <c r="I55" i="236" s="1"/>
  <c r="N52" i="207"/>
  <c r="F91" i="207"/>
  <c r="I91" i="207" s="1"/>
  <c r="N94" i="207"/>
  <c r="N79" i="207"/>
  <c r="N92" i="207"/>
  <c r="F69" i="207"/>
  <c r="I69" i="207" s="1"/>
  <c r="F76" i="207"/>
  <c r="I76" i="207" s="1"/>
  <c r="F53" i="207"/>
  <c r="I53" i="207" s="1"/>
  <c r="F112" i="207"/>
  <c r="I112" i="207" s="1"/>
  <c r="F70" i="207"/>
  <c r="I70" i="207" s="1"/>
  <c r="N71" i="207"/>
  <c r="N44" i="207"/>
  <c r="F78" i="207"/>
  <c r="I78" i="207" s="1"/>
  <c r="F35" i="207"/>
  <c r="I35" i="207" s="1"/>
  <c r="F24" i="207"/>
  <c r="I24" i="207" s="1"/>
  <c r="F84" i="207"/>
  <c r="I84" i="207" s="1"/>
  <c r="F68" i="207"/>
  <c r="I68" i="207" s="1"/>
  <c r="N66" i="207"/>
  <c r="F23" i="207"/>
  <c r="I23" i="207" s="1"/>
  <c r="F32" i="207"/>
  <c r="I32" i="207" s="1"/>
  <c r="F34" i="207"/>
  <c r="I34" i="207" s="1"/>
  <c r="F80" i="207"/>
  <c r="I80" i="207" s="1"/>
  <c r="N41" i="207"/>
  <c r="F65" i="207"/>
  <c r="I65" i="207" s="1"/>
  <c r="N31" i="207"/>
  <c r="F67" i="207"/>
  <c r="I67" i="207" s="1"/>
  <c r="F58" i="207"/>
  <c r="I58" i="207" s="1"/>
  <c r="F110" i="207"/>
  <c r="I110" i="207" s="1"/>
  <c r="F95" i="207"/>
  <c r="I95" i="207" s="1"/>
  <c r="F93" i="207"/>
  <c r="I93" i="207" s="1"/>
  <c r="N77" i="207"/>
  <c r="F82" i="207"/>
  <c r="I82" i="207" s="1"/>
  <c r="F54" i="207"/>
  <c r="I54" i="207" s="1"/>
  <c r="F90" i="207"/>
  <c r="I90" i="207" s="1"/>
  <c r="N83" i="207"/>
  <c r="F38" i="207"/>
  <c r="I38" i="207" s="1"/>
  <c r="F39" i="207"/>
  <c r="I39" i="207" s="1"/>
  <c r="N37" i="207"/>
  <c r="F30" i="207"/>
  <c r="I30" i="207" s="1"/>
  <c r="N113" i="207"/>
  <c r="N40" i="207"/>
  <c r="F107" i="207"/>
  <c r="I107" i="207" s="1"/>
  <c r="N73" i="207"/>
  <c r="F33" i="207"/>
  <c r="I33" i="207" s="1"/>
  <c r="N57" i="207"/>
  <c r="N81" i="207"/>
  <c r="F106" i="207"/>
  <c r="I106" i="207" s="1"/>
  <c r="F89" i="207" l="1"/>
  <c r="D115" i="207"/>
  <c r="F22" i="207"/>
  <c r="D26" i="207"/>
  <c r="F63" i="207"/>
  <c r="D86" i="207"/>
  <c r="I17" i="207"/>
  <c r="I19" i="207" s="1"/>
  <c r="F19" i="207"/>
  <c r="D47" i="207"/>
  <c r="F29" i="207"/>
  <c r="N17" i="207"/>
  <c r="N19" i="207" s="1"/>
  <c r="K19" i="207"/>
  <c r="D60" i="207"/>
  <c r="F50" i="207"/>
  <c r="F109" i="236"/>
  <c r="I109" i="236" s="1"/>
  <c r="F110" i="236"/>
  <c r="I110" i="236" s="1"/>
  <c r="N30" i="207"/>
  <c r="N91" i="207"/>
  <c r="N107" i="207"/>
  <c r="N93" i="207"/>
  <c r="N70" i="207"/>
  <c r="N69" i="207"/>
  <c r="N106" i="207"/>
  <c r="N110" i="207"/>
  <c r="F30" i="236"/>
  <c r="I30" i="236" s="1"/>
  <c r="F69" i="236"/>
  <c r="I69" i="236" s="1"/>
  <c r="F41" i="236"/>
  <c r="I41" i="236" s="1"/>
  <c r="F43" i="236"/>
  <c r="I43" i="236" s="1"/>
  <c r="F67" i="236"/>
  <c r="I67" i="236" s="1"/>
  <c r="F23" i="236"/>
  <c r="I23" i="236" s="1"/>
  <c r="F65" i="236"/>
  <c r="I65" i="236" s="1"/>
  <c r="F34" i="236"/>
  <c r="I34" i="236" s="1"/>
  <c r="F82" i="236"/>
  <c r="I82" i="236" s="1"/>
  <c r="F70" i="236"/>
  <c r="I70" i="236" s="1"/>
  <c r="F58" i="236"/>
  <c r="I58" i="236" s="1"/>
  <c r="F53" i="236"/>
  <c r="I53" i="236" s="1"/>
  <c r="F68" i="236"/>
  <c r="I68" i="236" s="1"/>
  <c r="F31" i="236"/>
  <c r="I31" i="236" s="1"/>
  <c r="F36" i="236"/>
  <c r="I36" i="236" s="1"/>
  <c r="F44" i="236"/>
  <c r="I44" i="236" s="1"/>
  <c r="F90" i="236"/>
  <c r="I90" i="236" s="1"/>
  <c r="F80" i="236"/>
  <c r="I80" i="236" s="1"/>
  <c r="F76" i="236"/>
  <c r="I76" i="236" s="1"/>
  <c r="F95" i="236"/>
  <c r="I95" i="236" s="1"/>
  <c r="F78" i="236"/>
  <c r="I78" i="236" s="1"/>
  <c r="F91" i="236"/>
  <c r="I91" i="236" s="1"/>
  <c r="F33" i="236"/>
  <c r="I33" i="236" s="1"/>
  <c r="F32" i="236"/>
  <c r="I32" i="236" s="1"/>
  <c r="F39" i="236"/>
  <c r="I39" i="236" s="1"/>
  <c r="F38" i="236"/>
  <c r="I38" i="236" s="1"/>
  <c r="F35" i="236"/>
  <c r="I35" i="236" s="1"/>
  <c r="F93" i="236"/>
  <c r="I93" i="236" s="1"/>
  <c r="F54" i="236"/>
  <c r="I54" i="236" s="1"/>
  <c r="F42" i="236"/>
  <c r="I42" i="236" s="1"/>
  <c r="F37" i="236"/>
  <c r="I37" i="236" s="1"/>
  <c r="F45" i="236"/>
  <c r="I45" i="236" s="1"/>
  <c r="F83" i="236"/>
  <c r="I83" i="236" s="1"/>
  <c r="F66" i="236"/>
  <c r="I66" i="236" s="1"/>
  <c r="N55" i="236"/>
  <c r="F40" i="236"/>
  <c r="I40" i="236" s="1"/>
  <c r="N79" i="236"/>
  <c r="N73" i="236"/>
  <c r="F24" i="236"/>
  <c r="I24" i="236" s="1"/>
  <c r="F51" i="236"/>
  <c r="I51" i="236" s="1"/>
  <c r="N38" i="207"/>
  <c r="N54" i="207"/>
  <c r="N67" i="207"/>
  <c r="N23" i="207"/>
  <c r="N78" i="207"/>
  <c r="N112" i="207"/>
  <c r="N95" i="207"/>
  <c r="N39" i="207"/>
  <c r="N90" i="207"/>
  <c r="N35" i="207"/>
  <c r="N76" i="207"/>
  <c r="N58" i="207"/>
  <c r="N33" i="207"/>
  <c r="N65" i="207"/>
  <c r="N68" i="207"/>
  <c r="N82" i="207"/>
  <c r="N80" i="207"/>
  <c r="N34" i="207"/>
  <c r="N32" i="207"/>
  <c r="N84" i="207"/>
  <c r="N24" i="207"/>
  <c r="N53" i="207"/>
  <c r="D117" i="207" l="1"/>
  <c r="H17" i="10"/>
  <c r="N29" i="207"/>
  <c r="N47" i="207" s="1"/>
  <c r="K47" i="207"/>
  <c r="K26" i="207"/>
  <c r="N22" i="207"/>
  <c r="N26" i="207" s="1"/>
  <c r="N50" i="207"/>
  <c r="N60" i="207" s="1"/>
  <c r="K60" i="207"/>
  <c r="F50" i="236"/>
  <c r="F63" i="236"/>
  <c r="I29" i="207"/>
  <c r="I47" i="207" s="1"/>
  <c r="H19" i="10" s="1"/>
  <c r="F47" i="207"/>
  <c r="I22" i="207"/>
  <c r="I26" i="207" s="1"/>
  <c r="H18" i="10" s="1"/>
  <c r="F26" i="207"/>
  <c r="K86" i="207"/>
  <c r="N63" i="207"/>
  <c r="N86" i="207" s="1"/>
  <c r="F89" i="236"/>
  <c r="F86" i="207"/>
  <c r="I63" i="207"/>
  <c r="I86" i="207" s="1"/>
  <c r="H21" i="10" s="1"/>
  <c r="K115" i="207"/>
  <c r="N89" i="207"/>
  <c r="N115" i="207" s="1"/>
  <c r="F29" i="236"/>
  <c r="D47" i="236"/>
  <c r="F60" i="207"/>
  <c r="I50" i="207"/>
  <c r="I60" i="207" s="1"/>
  <c r="H20" i="10" s="1"/>
  <c r="I89" i="207"/>
  <c r="I115" i="207" s="1"/>
  <c r="F115" i="207"/>
  <c r="N109" i="236"/>
  <c r="N54" i="236"/>
  <c r="N36" i="236"/>
  <c r="N31" i="236"/>
  <c r="N65" i="236"/>
  <c r="N41" i="236"/>
  <c r="N33" i="236"/>
  <c r="N44" i="236"/>
  <c r="N23" i="236"/>
  <c r="N30" i="236"/>
  <c r="N42" i="236"/>
  <c r="N43" i="236"/>
  <c r="N37" i="236"/>
  <c r="F52" i="236"/>
  <c r="I52" i="236" s="1"/>
  <c r="F92" i="236"/>
  <c r="I92" i="236" s="1"/>
  <c r="F81" i="236"/>
  <c r="I81" i="236" s="1"/>
  <c r="F94" i="236"/>
  <c r="I94" i="236" s="1"/>
  <c r="F64" i="236"/>
  <c r="I64" i="236" s="1"/>
  <c r="N45" i="236"/>
  <c r="N83" i="236"/>
  <c r="N66" i="236"/>
  <c r="F77" i="236"/>
  <c r="I77" i="236" s="1"/>
  <c r="N53" i="236"/>
  <c r="N78" i="236"/>
  <c r="N24" i="236"/>
  <c r="N95" i="236"/>
  <c r="N90" i="236"/>
  <c r="N91" i="236"/>
  <c r="N82" i="236"/>
  <c r="N32" i="236"/>
  <c r="N68" i="236"/>
  <c r="N51" i="236"/>
  <c r="N40" i="236"/>
  <c r="N70" i="236"/>
  <c r="N69" i="236"/>
  <c r="N80" i="236"/>
  <c r="N76" i="236"/>
  <c r="N93" i="236"/>
  <c r="F111" i="236"/>
  <c r="I111" i="236" s="1"/>
  <c r="N34" i="236"/>
  <c r="N58" i="236"/>
  <c r="N35" i="236"/>
  <c r="N38" i="236"/>
  <c r="N67" i="236"/>
  <c r="N39" i="236"/>
  <c r="N110" i="236"/>
  <c r="K117" i="207" l="1"/>
  <c r="N117" i="207"/>
  <c r="F117" i="207"/>
  <c r="N29" i="236"/>
  <c r="N47" i="236" s="1"/>
  <c r="I89" i="236"/>
  <c r="N63" i="236"/>
  <c r="F47" i="236"/>
  <c r="I29" i="236"/>
  <c r="I47" i="236" s="1"/>
  <c r="I63" i="236"/>
  <c r="N89" i="236"/>
  <c r="I117" i="207"/>
  <c r="N50" i="236"/>
  <c r="I50" i="236"/>
  <c r="N77" i="236"/>
  <c r="N64" i="236"/>
  <c r="F100" i="236"/>
  <c r="I100" i="236" s="1"/>
  <c r="F98" i="236"/>
  <c r="I98" i="236" s="1"/>
  <c r="F105" i="236"/>
  <c r="I105" i="236" s="1"/>
  <c r="F103" i="236"/>
  <c r="I103" i="236" s="1"/>
  <c r="F99" i="236"/>
  <c r="I99" i="236" s="1"/>
  <c r="F112" i="236"/>
  <c r="I112" i="236" s="1"/>
  <c r="F102" i="236"/>
  <c r="I102" i="236" s="1"/>
  <c r="N81" i="236"/>
  <c r="N52" i="236"/>
  <c r="N92" i="236"/>
  <c r="N94" i="236"/>
  <c r="F57" i="236"/>
  <c r="I57" i="236" s="1"/>
  <c r="F84" i="236"/>
  <c r="I84" i="236" s="1"/>
  <c r="N111" i="236"/>
  <c r="D26" i="236" l="1"/>
  <c r="F22" i="236"/>
  <c r="F60" i="236"/>
  <c r="I60" i="236"/>
  <c r="D60" i="236"/>
  <c r="N105" i="236"/>
  <c r="N100" i="236"/>
  <c r="F113" i="236"/>
  <c r="I113" i="236" s="1"/>
  <c r="N99" i="236"/>
  <c r="N103" i="236"/>
  <c r="N112" i="236"/>
  <c r="F101" i="236"/>
  <c r="I101" i="236" s="1"/>
  <c r="F107" i="236"/>
  <c r="I107" i="236" s="1"/>
  <c r="N102" i="236"/>
  <c r="N98" i="236"/>
  <c r="F106" i="236"/>
  <c r="I106" i="236" s="1"/>
  <c r="N57" i="236"/>
  <c r="N60" i="236" s="1"/>
  <c r="N84" i="236"/>
  <c r="F72" i="236"/>
  <c r="I72" i="236" s="1"/>
  <c r="F26" i="236" l="1"/>
  <c r="I22" i="236"/>
  <c r="I26" i="236" s="1"/>
  <c r="F71" i="236"/>
  <c r="D86" i="236"/>
  <c r="N22" i="236"/>
  <c r="N26" i="236" s="1"/>
  <c r="N113" i="236"/>
  <c r="N101" i="236"/>
  <c r="N106" i="236"/>
  <c r="N107" i="236"/>
  <c r="N72" i="236"/>
  <c r="F114" i="236" l="1"/>
  <c r="I114" i="236" s="1"/>
  <c r="F97" i="236"/>
  <c r="I71" i="236"/>
  <c r="I86" i="236" s="1"/>
  <c r="F86" i="236"/>
  <c r="N71" i="236"/>
  <c r="N86" i="236" s="1"/>
  <c r="N114" i="236"/>
  <c r="N97" i="236" l="1"/>
  <c r="I97" i="236"/>
  <c r="N115" i="236" l="1"/>
  <c r="F115" i="236"/>
  <c r="F116" i="236"/>
  <c r="I116" i="236" s="1"/>
  <c r="F17" i="236" l="1"/>
  <c r="D19" i="236"/>
  <c r="D118" i="236"/>
  <c r="D120" i="236" s="1"/>
  <c r="I115" i="236"/>
  <c r="I118" i="236" s="1"/>
  <c r="F118" i="236"/>
  <c r="I17" i="236" l="1"/>
  <c r="I19" i="236" s="1"/>
  <c r="I120" i="236" s="1"/>
  <c r="F19" i="236"/>
  <c r="F120" i="236" s="1"/>
  <c r="N17" i="236"/>
  <c r="N19" i="236" s="1"/>
  <c r="N116" i="236"/>
  <c r="N118" i="236" s="1"/>
  <c r="N120" i="236" l="1"/>
  <c r="F224" i="236"/>
  <c r="I224" i="236" s="1"/>
  <c r="F226" i="209" l="1"/>
  <c r="I226" i="209" s="1"/>
  <c r="N224" i="236"/>
  <c r="N226" i="209" l="1"/>
  <c r="D225" i="207" l="1"/>
  <c r="D266" i="207" s="1"/>
  <c r="F186" i="207"/>
  <c r="I186" i="207" l="1"/>
  <c r="I225" i="207" s="1"/>
  <c r="F225" i="207"/>
  <c r="F266" i="207" s="1"/>
  <c r="K225" i="207"/>
  <c r="K266" i="207" s="1"/>
  <c r="N186" i="207"/>
  <c r="N225" i="207" s="1"/>
  <c r="N266" i="207" s="1"/>
  <c r="F15" i="3" s="1"/>
  <c r="I266" i="207" l="1"/>
  <c r="D15" i="3" s="1"/>
  <c r="H22" i="10"/>
  <c r="H25" i="10" s="1"/>
  <c r="D226" i="236" l="1"/>
  <c r="F186" i="236"/>
  <c r="N186" i="236" l="1"/>
  <c r="N226" i="236" s="1"/>
  <c r="I186" i="236"/>
  <c r="I226" i="236" s="1"/>
  <c r="F226" i="236"/>
  <c r="D225" i="213" l="1"/>
  <c r="F186" i="213"/>
  <c r="N186" i="213" l="1"/>
  <c r="N225" i="213" s="1"/>
  <c r="K225" i="213"/>
  <c r="F225" i="213"/>
  <c r="I186" i="213"/>
  <c r="I225" i="213" s="1"/>
  <c r="H186" i="237" l="1"/>
  <c r="H226" i="237" s="1"/>
  <c r="D226" i="237"/>
  <c r="D228" i="209"/>
  <c r="F188" i="209"/>
  <c r="I188" i="209" s="1"/>
  <c r="I228" i="209" l="1"/>
  <c r="F228" i="209"/>
  <c r="N188" i="209"/>
  <c r="N228" i="209" s="1"/>
  <c r="K228" i="209"/>
  <c r="F98" i="213" l="1"/>
  <c r="I98" i="213" s="1"/>
  <c r="F97" i="213" l="1"/>
  <c r="I97" i="213" s="1"/>
  <c r="F102" i="213"/>
  <c r="I102" i="213" s="1"/>
  <c r="N98" i="213"/>
  <c r="F99" i="213"/>
  <c r="I99" i="213" s="1"/>
  <c r="F103" i="213"/>
  <c r="I103" i="213" s="1"/>
  <c r="F100" i="213"/>
  <c r="I100" i="213" s="1"/>
  <c r="F101" i="213"/>
  <c r="I101" i="213" s="1"/>
  <c r="N100" i="213" l="1"/>
  <c r="N99" i="213"/>
  <c r="N102" i="213"/>
  <c r="N101" i="213"/>
  <c r="N97" i="213"/>
  <c r="N103" i="213"/>
  <c r="F113" i="213" l="1"/>
  <c r="I113" i="213" s="1"/>
  <c r="F65" i="213" l="1"/>
  <c r="I65" i="213" s="1"/>
  <c r="F53" i="213"/>
  <c r="I53" i="213" s="1"/>
  <c r="F81" i="213"/>
  <c r="I81" i="213" s="1"/>
  <c r="N113" i="213"/>
  <c r="F110" i="213"/>
  <c r="I110" i="213" s="1"/>
  <c r="F54" i="213"/>
  <c r="I54" i="213" s="1"/>
  <c r="F93" i="213"/>
  <c r="I93" i="213" s="1"/>
  <c r="F91" i="213"/>
  <c r="I91" i="213" s="1"/>
  <c r="F70" i="213"/>
  <c r="I70" i="213" s="1"/>
  <c r="F35" i="213"/>
  <c r="I35" i="213" s="1"/>
  <c r="F42" i="213"/>
  <c r="I42" i="213" s="1"/>
  <c r="F95" i="213"/>
  <c r="I95" i="213" s="1"/>
  <c r="F72" i="213"/>
  <c r="I72" i="213" s="1"/>
  <c r="F78" i="213"/>
  <c r="I78" i="213" s="1"/>
  <c r="F41" i="213"/>
  <c r="I41" i="213" s="1"/>
  <c r="F17" i="213"/>
  <c r="I17" i="213" s="1"/>
  <c r="F30" i="213"/>
  <c r="I30" i="213" s="1"/>
  <c r="F71" i="213"/>
  <c r="I71" i="213" s="1"/>
  <c r="F37" i="213"/>
  <c r="I37" i="213" s="1"/>
  <c r="F31" i="213"/>
  <c r="I31" i="213" s="1"/>
  <c r="F57" i="213"/>
  <c r="I57" i="213" s="1"/>
  <c r="F45" i="213"/>
  <c r="I45" i="213" s="1"/>
  <c r="F106" i="213"/>
  <c r="I106" i="213" s="1"/>
  <c r="F77" i="213"/>
  <c r="I77" i="213" s="1"/>
  <c r="F55" i="213"/>
  <c r="I55" i="213" s="1"/>
  <c r="F73" i="213"/>
  <c r="I73" i="213" s="1"/>
  <c r="F83" i="213"/>
  <c r="I83" i="213" s="1"/>
  <c r="F39" i="213"/>
  <c r="I39" i="213" s="1"/>
  <c r="F36" i="213"/>
  <c r="I36" i="213" s="1"/>
  <c r="F84" i="213"/>
  <c r="I84" i="213" s="1"/>
  <c r="F64" i="213"/>
  <c r="I64" i="213" s="1"/>
  <c r="F66" i="213"/>
  <c r="I66" i="213" s="1"/>
  <c r="F107" i="213"/>
  <c r="I107" i="213" s="1"/>
  <c r="F22" i="213" l="1"/>
  <c r="F50" i="213"/>
  <c r="F16" i="213"/>
  <c r="D19" i="213"/>
  <c r="N54" i="213"/>
  <c r="N30" i="213"/>
  <c r="N93" i="213"/>
  <c r="N84" i="213"/>
  <c r="N37" i="213"/>
  <c r="N39" i="213"/>
  <c r="N55" i="213"/>
  <c r="N17" i="213"/>
  <c r="H42" i="237"/>
  <c r="N36" i="213"/>
  <c r="N83" i="213"/>
  <c r="F44" i="213"/>
  <c r="I44" i="213" s="1"/>
  <c r="N71" i="213"/>
  <c r="F90" i="213"/>
  <c r="I90" i="213" s="1"/>
  <c r="N35" i="213"/>
  <c r="N45" i="213"/>
  <c r="N106" i="213"/>
  <c r="F58" i="213"/>
  <c r="I58" i="213" s="1"/>
  <c r="N78" i="213"/>
  <c r="N72" i="213"/>
  <c r="N42" i="213"/>
  <c r="N91" i="213"/>
  <c r="N110" i="213"/>
  <c r="N64" i="213"/>
  <c r="F67" i="213"/>
  <c r="I67" i="213" s="1"/>
  <c r="F51" i="213"/>
  <c r="I51" i="213" s="1"/>
  <c r="F38" i="213"/>
  <c r="I38" i="213" s="1"/>
  <c r="N57" i="213"/>
  <c r="F112" i="213"/>
  <c r="I112" i="213" s="1"/>
  <c r="F23" i="213"/>
  <c r="I23" i="213" s="1"/>
  <c r="N41" i="213"/>
  <c r="N70" i="213"/>
  <c r="F24" i="213"/>
  <c r="I24" i="213" s="1"/>
  <c r="F94" i="213"/>
  <c r="I94" i="213" s="1"/>
  <c r="N81" i="213"/>
  <c r="N107" i="213"/>
  <c r="N77" i="213"/>
  <c r="F52" i="213"/>
  <c r="I52" i="213" s="1"/>
  <c r="F80" i="213"/>
  <c r="I80" i="213" s="1"/>
  <c r="F68" i="213"/>
  <c r="I68" i="213" s="1"/>
  <c r="F69" i="213"/>
  <c r="I69" i="213" s="1"/>
  <c r="N66" i="213"/>
  <c r="F82" i="213"/>
  <c r="I82" i="213" s="1"/>
  <c r="N31" i="213"/>
  <c r="N95" i="213"/>
  <c r="F79" i="213"/>
  <c r="I79" i="213" s="1"/>
  <c r="N65" i="213"/>
  <c r="F92" i="213"/>
  <c r="I92" i="213" s="1"/>
  <c r="N73" i="213"/>
  <c r="F33" i="213"/>
  <c r="I33" i="213" s="1"/>
  <c r="F43" i="213"/>
  <c r="I43" i="213" s="1"/>
  <c r="F76" i="213"/>
  <c r="I76" i="213" s="1"/>
  <c r="F40" i="213"/>
  <c r="I40" i="213" s="1"/>
  <c r="F34" i="213"/>
  <c r="I34" i="213" s="1"/>
  <c r="F111" i="213"/>
  <c r="I111" i="213" s="1"/>
  <c r="F32" i="213"/>
  <c r="I32" i="213" s="1"/>
  <c r="N53" i="213"/>
  <c r="N50" i="213" l="1"/>
  <c r="N16" i="213"/>
  <c r="N19" i="213" s="1"/>
  <c r="K19" i="213"/>
  <c r="D60" i="213"/>
  <c r="H22" i="237"/>
  <c r="N22" i="213"/>
  <c r="F60" i="213"/>
  <c r="I50" i="213"/>
  <c r="I60" i="213" s="1"/>
  <c r="G20" i="10" s="1"/>
  <c r="D115" i="213"/>
  <c r="F89" i="213"/>
  <c r="D26" i="213"/>
  <c r="D86" i="213"/>
  <c r="F63" i="213"/>
  <c r="F29" i="213"/>
  <c r="D47" i="213"/>
  <c r="I16" i="213"/>
  <c r="I19" i="213" s="1"/>
  <c r="F19" i="213"/>
  <c r="I22" i="213"/>
  <c r="I26" i="213" s="1"/>
  <c r="G18" i="10" s="1"/>
  <c r="F26" i="213"/>
  <c r="F42" i="209"/>
  <c r="I42" i="209" s="1"/>
  <c r="N82" i="213"/>
  <c r="N80" i="213"/>
  <c r="N94" i="213"/>
  <c r="N58" i="213"/>
  <c r="N92" i="213"/>
  <c r="N44" i="213"/>
  <c r="N90" i="213"/>
  <c r="N52" i="213"/>
  <c r="N40" i="213"/>
  <c r="N112" i="213"/>
  <c r="H81" i="237"/>
  <c r="H78" i="237"/>
  <c r="H17" i="237"/>
  <c r="H65" i="237"/>
  <c r="H91" i="237"/>
  <c r="H30" i="237"/>
  <c r="N69" i="213"/>
  <c r="N67" i="213"/>
  <c r="N34" i="213"/>
  <c r="N68" i="213"/>
  <c r="N42" i="209"/>
  <c r="N23" i="213"/>
  <c r="N38" i="213"/>
  <c r="N51" i="213"/>
  <c r="N111" i="213"/>
  <c r="N76" i="213"/>
  <c r="H64" i="237"/>
  <c r="N79" i="213"/>
  <c r="N24" i="213"/>
  <c r="N32" i="213"/>
  <c r="N43" i="213"/>
  <c r="N33" i="213"/>
  <c r="H57" i="237"/>
  <c r="H45" i="237"/>
  <c r="H36" i="237"/>
  <c r="H54" i="237"/>
  <c r="H53" i="237"/>
  <c r="D117" i="213" l="1"/>
  <c r="D266" i="213" s="1"/>
  <c r="K115" i="213"/>
  <c r="N89" i="213"/>
  <c r="N115" i="213" s="1"/>
  <c r="G17" i="10"/>
  <c r="F47" i="213"/>
  <c r="I29" i="213"/>
  <c r="I47" i="213" s="1"/>
  <c r="G19" i="10" s="1"/>
  <c r="N26" i="213"/>
  <c r="I63" i="213"/>
  <c r="I86" i="213" s="1"/>
  <c r="G21" i="10" s="1"/>
  <c r="F86" i="213"/>
  <c r="I89" i="213"/>
  <c r="I115" i="213" s="1"/>
  <c r="G22" i="10" s="1"/>
  <c r="F115" i="213"/>
  <c r="F22" i="209"/>
  <c r="K60" i="213"/>
  <c r="N29" i="213"/>
  <c r="N47" i="213" s="1"/>
  <c r="K47" i="213"/>
  <c r="H50" i="237"/>
  <c r="K86" i="213"/>
  <c r="N63" i="213"/>
  <c r="N86" i="213" s="1"/>
  <c r="K26" i="213"/>
  <c r="N60" i="213"/>
  <c r="H107" i="237"/>
  <c r="F36" i="209"/>
  <c r="I36" i="209" s="1"/>
  <c r="F53" i="209"/>
  <c r="I53" i="209" s="1"/>
  <c r="F54" i="209"/>
  <c r="I54" i="209" s="1"/>
  <c r="F57" i="209"/>
  <c r="I57" i="209" s="1"/>
  <c r="F78" i="209"/>
  <c r="I78" i="209" s="1"/>
  <c r="F64" i="209"/>
  <c r="I64" i="209" s="1"/>
  <c r="F65" i="209"/>
  <c r="I65" i="209" s="1"/>
  <c r="H35" i="237"/>
  <c r="H73" i="237"/>
  <c r="H37" i="237"/>
  <c r="H77" i="237"/>
  <c r="H39" i="237"/>
  <c r="H55" i="237"/>
  <c r="H94" i="237"/>
  <c r="H31" i="237"/>
  <c r="H24" i="237"/>
  <c r="H68" i="237"/>
  <c r="H84" i="237"/>
  <c r="H71" i="237"/>
  <c r="F91" i="209"/>
  <c r="I91" i="209" s="1"/>
  <c r="H95" i="237"/>
  <c r="H82" i="237"/>
  <c r="H51" i="237"/>
  <c r="H83" i="237"/>
  <c r="H43" i="237"/>
  <c r="F45" i="209"/>
  <c r="I45" i="209" s="1"/>
  <c r="F30" i="209"/>
  <c r="I30" i="209" s="1"/>
  <c r="F17" i="209"/>
  <c r="I17" i="209" s="1"/>
  <c r="F81" i="209"/>
  <c r="I81" i="209" s="1"/>
  <c r="K117" i="213" l="1"/>
  <c r="K266" i="213" s="1"/>
  <c r="F117" i="213"/>
  <c r="F266" i="213" s="1"/>
  <c r="N117" i="213"/>
  <c r="N266" i="213" s="1"/>
  <c r="F15" i="137" s="1"/>
  <c r="F50" i="209"/>
  <c r="I22" i="209"/>
  <c r="H29" i="237"/>
  <c r="N22" i="209"/>
  <c r="I117" i="213"/>
  <c r="I266" i="213" s="1"/>
  <c r="D15" i="137" s="1"/>
  <c r="G25" i="10"/>
  <c r="H100" i="237"/>
  <c r="F100" i="209"/>
  <c r="I100" i="209" s="1"/>
  <c r="F105" i="209"/>
  <c r="I105" i="209" s="1"/>
  <c r="H106" i="237"/>
  <c r="H105" i="237"/>
  <c r="N36" i="209"/>
  <c r="N78" i="209"/>
  <c r="N53" i="209"/>
  <c r="N64" i="209"/>
  <c r="N54" i="209"/>
  <c r="N57" i="209"/>
  <c r="N65" i="209"/>
  <c r="F39" i="209"/>
  <c r="I39" i="209" s="1"/>
  <c r="F84" i="209"/>
  <c r="I84" i="209" s="1"/>
  <c r="F51" i="209"/>
  <c r="I51" i="209" s="1"/>
  <c r="F24" i="209"/>
  <c r="I24" i="209" s="1"/>
  <c r="F31" i="209"/>
  <c r="I31" i="209" s="1"/>
  <c r="F43" i="209"/>
  <c r="I43" i="209" s="1"/>
  <c r="F82" i="209"/>
  <c r="I82" i="209" s="1"/>
  <c r="F37" i="209"/>
  <c r="I37" i="209" s="1"/>
  <c r="H70" i="237"/>
  <c r="H93" i="237"/>
  <c r="H79" i="237"/>
  <c r="H40" i="237"/>
  <c r="H69" i="237"/>
  <c r="H38" i="237"/>
  <c r="H58" i="237"/>
  <c r="H72" i="237"/>
  <c r="H52" i="237"/>
  <c r="N45" i="209"/>
  <c r="F83" i="209"/>
  <c r="I83" i="209" s="1"/>
  <c r="F95" i="209"/>
  <c r="I95" i="209" s="1"/>
  <c r="F94" i="209"/>
  <c r="I94" i="209" s="1"/>
  <c r="F55" i="209"/>
  <c r="I55" i="209" s="1"/>
  <c r="F77" i="209"/>
  <c r="I77" i="209" s="1"/>
  <c r="F73" i="209"/>
  <c r="I73" i="209" s="1"/>
  <c r="F35" i="209"/>
  <c r="I35" i="209" s="1"/>
  <c r="N81" i="209"/>
  <c r="N91" i="209"/>
  <c r="H80" i="237"/>
  <c r="F71" i="209"/>
  <c r="I71" i="209" s="1"/>
  <c r="F68" i="209"/>
  <c r="I68" i="209" s="1"/>
  <c r="N17" i="209"/>
  <c r="N30" i="209"/>
  <c r="H66" i="237"/>
  <c r="H41" i="237"/>
  <c r="H44" i="237"/>
  <c r="H92" i="237"/>
  <c r="H60" i="237" l="1"/>
  <c r="F29" i="209"/>
  <c r="N50" i="209"/>
  <c r="H63" i="237"/>
  <c r="F107" i="209"/>
  <c r="I107" i="209" s="1"/>
  <c r="D60" i="237"/>
  <c r="I50" i="209"/>
  <c r="H110" i="237"/>
  <c r="N82" i="209"/>
  <c r="N107" i="209"/>
  <c r="N105" i="209"/>
  <c r="N100" i="209"/>
  <c r="H102" i="237"/>
  <c r="F102" i="209"/>
  <c r="I102" i="209" s="1"/>
  <c r="F106" i="209"/>
  <c r="I106" i="209" s="1"/>
  <c r="H98" i="237"/>
  <c r="H109" i="237"/>
  <c r="N24" i="209"/>
  <c r="N84" i="209"/>
  <c r="N39" i="209"/>
  <c r="N31" i="209"/>
  <c r="N51" i="209"/>
  <c r="N37" i="209"/>
  <c r="F79" i="209"/>
  <c r="I79" i="209" s="1"/>
  <c r="F44" i="209"/>
  <c r="I44" i="209" s="1"/>
  <c r="N43" i="209"/>
  <c r="F66" i="209"/>
  <c r="I66" i="209" s="1"/>
  <c r="F80" i="209"/>
  <c r="I80" i="209" s="1"/>
  <c r="F72" i="209"/>
  <c r="I72" i="209" s="1"/>
  <c r="F38" i="209"/>
  <c r="I38" i="209" s="1"/>
  <c r="H33" i="237"/>
  <c r="H67" i="237"/>
  <c r="H76" i="237"/>
  <c r="H90" i="237"/>
  <c r="N77" i="209"/>
  <c r="N95" i="209"/>
  <c r="N55" i="209"/>
  <c r="N83" i="209"/>
  <c r="F52" i="209"/>
  <c r="I52" i="209" s="1"/>
  <c r="F92" i="209"/>
  <c r="I92" i="209" s="1"/>
  <c r="F41" i="209"/>
  <c r="I41" i="209" s="1"/>
  <c r="N68" i="209"/>
  <c r="N35" i="209"/>
  <c r="N94" i="209"/>
  <c r="F58" i="209"/>
  <c r="I58" i="209" s="1"/>
  <c r="F69" i="209"/>
  <c r="I69" i="209" s="1"/>
  <c r="F40" i="209"/>
  <c r="I40" i="209" s="1"/>
  <c r="F93" i="209"/>
  <c r="I93" i="209" s="1"/>
  <c r="N71" i="209"/>
  <c r="N73" i="209"/>
  <c r="F70" i="209"/>
  <c r="I70" i="209" s="1"/>
  <c r="H89" i="237" l="1"/>
  <c r="H32" i="237"/>
  <c r="F63" i="209"/>
  <c r="D86" i="237"/>
  <c r="N29" i="209"/>
  <c r="F60" i="209"/>
  <c r="D60" i="209"/>
  <c r="H86" i="237"/>
  <c r="I29" i="209"/>
  <c r="I60" i="209"/>
  <c r="F110" i="209"/>
  <c r="I110" i="209" s="1"/>
  <c r="N80" i="209"/>
  <c r="N106" i="209"/>
  <c r="N110" i="209"/>
  <c r="N102" i="209"/>
  <c r="H101" i="237"/>
  <c r="F101" i="209"/>
  <c r="I101" i="209" s="1"/>
  <c r="H103" i="237"/>
  <c r="F103" i="209"/>
  <c r="I103" i="209" s="1"/>
  <c r="H97" i="237"/>
  <c r="F97" i="209"/>
  <c r="I97" i="209" s="1"/>
  <c r="F98" i="209"/>
  <c r="I98" i="209" s="1"/>
  <c r="H99" i="237"/>
  <c r="F109" i="209"/>
  <c r="I109" i="209" s="1"/>
  <c r="N44" i="209"/>
  <c r="N72" i="209"/>
  <c r="N66" i="209"/>
  <c r="N38" i="209"/>
  <c r="N79" i="209"/>
  <c r="H34" i="237"/>
  <c r="F90" i="209"/>
  <c r="I90" i="209" s="1"/>
  <c r="N70" i="209"/>
  <c r="N69" i="209"/>
  <c r="N41" i="209"/>
  <c r="N93" i="209"/>
  <c r="N40" i="209"/>
  <c r="N52" i="209"/>
  <c r="F67" i="209"/>
  <c r="I67" i="209" s="1"/>
  <c r="N58" i="209"/>
  <c r="N92" i="209"/>
  <c r="F76" i="209"/>
  <c r="I76" i="209" s="1"/>
  <c r="F33" i="209"/>
  <c r="I33" i="209" s="1"/>
  <c r="D18" i="48" l="1"/>
  <c r="D20" i="48" s="1"/>
  <c r="N60" i="209"/>
  <c r="N63" i="209"/>
  <c r="D47" i="237"/>
  <c r="F89" i="209"/>
  <c r="K60" i="209"/>
  <c r="D86" i="209"/>
  <c r="H47" i="237"/>
  <c r="F86" i="209"/>
  <c r="I63" i="209"/>
  <c r="I86" i="209" s="1"/>
  <c r="F32" i="209"/>
  <c r="N97" i="209"/>
  <c r="N98" i="209"/>
  <c r="N101" i="209"/>
  <c r="N109" i="209"/>
  <c r="N103" i="209"/>
  <c r="F99" i="209"/>
  <c r="I99" i="209" s="1"/>
  <c r="H111" i="237"/>
  <c r="F111" i="209"/>
  <c r="I111" i="209" s="1"/>
  <c r="N33" i="209"/>
  <c r="F34" i="209"/>
  <c r="I34" i="209" s="1"/>
  <c r="N76" i="209"/>
  <c r="N90" i="209"/>
  <c r="N67" i="209"/>
  <c r="N99" i="209"/>
  <c r="D172" i="79" l="1"/>
  <c r="D21" i="48"/>
  <c r="D47" i="209"/>
  <c r="N89" i="209"/>
  <c r="H23" i="237"/>
  <c r="H26" i="237" s="1"/>
  <c r="D26" i="237"/>
  <c r="I32" i="209"/>
  <c r="I47" i="209" s="1"/>
  <c r="F47" i="209"/>
  <c r="I89" i="209"/>
  <c r="K86" i="209"/>
  <c r="N32" i="209"/>
  <c r="N86" i="209"/>
  <c r="N111" i="209"/>
  <c r="H112" i="237"/>
  <c r="F112" i="209"/>
  <c r="I112" i="209" s="1"/>
  <c r="N34" i="209"/>
  <c r="K27" i="46" l="1"/>
  <c r="O27" i="46" s="1"/>
  <c r="F21" i="47" s="1"/>
  <c r="F23" i="209"/>
  <c r="D26" i="209"/>
  <c r="K47" i="209"/>
  <c r="N47" i="209"/>
  <c r="N112" i="209"/>
  <c r="F27" i="46" l="1"/>
  <c r="N23" i="209"/>
  <c r="N26" i="209" s="1"/>
  <c r="K26" i="209"/>
  <c r="I23" i="209"/>
  <c r="I26" i="209" s="1"/>
  <c r="F26" i="209"/>
  <c r="H113" i="237" l="1"/>
  <c r="F113" i="209"/>
  <c r="N113" i="209" l="1"/>
  <c r="I113" i="209"/>
  <c r="N114" i="209" l="1"/>
  <c r="F114" i="209"/>
  <c r="I114" i="209" l="1"/>
  <c r="F115" i="209"/>
  <c r="I115" i="209" s="1"/>
  <c r="N115" i="209"/>
  <c r="H114" i="237" l="1"/>
  <c r="H116" i="237" s="1"/>
  <c r="F116" i="209"/>
  <c r="D118" i="209"/>
  <c r="H16" i="237"/>
  <c r="H19" i="237" s="1"/>
  <c r="D19" i="237"/>
  <c r="D116" i="237"/>
  <c r="D19" i="209"/>
  <c r="F16" i="209"/>
  <c r="D118" i="237" l="1"/>
  <c r="D120" i="209"/>
  <c r="H118" i="237"/>
  <c r="F19" i="209"/>
  <c r="I16" i="209"/>
  <c r="I19" i="209" s="1"/>
  <c r="N116" i="209"/>
  <c r="N118" i="209" s="1"/>
  <c r="K118" i="209"/>
  <c r="N16" i="209"/>
  <c r="N19" i="209" s="1"/>
  <c r="K19" i="209"/>
  <c r="I116" i="209"/>
  <c r="I118" i="209" s="1"/>
  <c r="I120" i="209" s="1"/>
  <c r="F118" i="209"/>
  <c r="F120" i="209" l="1"/>
  <c r="K120" i="209"/>
  <c r="N120" i="209"/>
  <c r="F233" i="236" l="1"/>
  <c r="I233" i="236" s="1"/>
  <c r="F246" i="236"/>
  <c r="I246" i="236" s="1"/>
  <c r="F258" i="236"/>
  <c r="I258" i="236" s="1"/>
  <c r="F252" i="236"/>
  <c r="I252" i="236" s="1"/>
  <c r="F257" i="236"/>
  <c r="I257" i="236" s="1"/>
  <c r="F235" i="236"/>
  <c r="I235" i="236" s="1"/>
  <c r="F255" i="236"/>
  <c r="I255" i="236" s="1"/>
  <c r="F249" i="236"/>
  <c r="I249" i="236" s="1"/>
  <c r="F253" i="236"/>
  <c r="I253" i="236" s="1"/>
  <c r="F250" i="236"/>
  <c r="I250" i="236" s="1"/>
  <c r="F234" i="236"/>
  <c r="I234" i="236" s="1"/>
  <c r="F232" i="236"/>
  <c r="I232" i="236" s="1"/>
  <c r="F245" i="236"/>
  <c r="I245" i="236" s="1"/>
  <c r="F247" i="236"/>
  <c r="I247" i="236" s="1"/>
  <c r="F238" i="236"/>
  <c r="I238" i="236" s="1"/>
  <c r="F241" i="236"/>
  <c r="I241" i="236" s="1"/>
  <c r="F239" i="236"/>
  <c r="I239" i="236" s="1"/>
  <c r="F240" i="236"/>
  <c r="I240" i="236" s="1"/>
  <c r="F236" i="236"/>
  <c r="I236" i="236" s="1"/>
  <c r="F251" i="236"/>
  <c r="I251" i="236" s="1"/>
  <c r="F256" i="236"/>
  <c r="I256" i="236" s="1"/>
  <c r="F242" i="236"/>
  <c r="I242" i="236" s="1"/>
  <c r="F248" i="236"/>
  <c r="I248" i="236" s="1"/>
  <c r="F244" i="236"/>
  <c r="I244" i="236" s="1"/>
  <c r="F259" i="236"/>
  <c r="I259" i="236" s="1"/>
  <c r="F243" i="236"/>
  <c r="I243" i="236" s="1"/>
  <c r="F237" i="236"/>
  <c r="I237" i="236" s="1"/>
  <c r="N254" i="236" l="1"/>
  <c r="F254" i="236"/>
  <c r="I254" i="236" s="1"/>
  <c r="N248" i="236"/>
  <c r="N251" i="236"/>
  <c r="N241" i="236"/>
  <c r="N232" i="236"/>
  <c r="N249" i="236"/>
  <c r="N252" i="236"/>
  <c r="N242" i="236"/>
  <c r="N236" i="236"/>
  <c r="N238" i="236"/>
  <c r="N234" i="236"/>
  <c r="N255" i="236"/>
  <c r="N258" i="236"/>
  <c r="N237" i="236"/>
  <c r="N256" i="236"/>
  <c r="N247" i="236"/>
  <c r="N250" i="236"/>
  <c r="N235" i="236"/>
  <c r="N246" i="236"/>
  <c r="N243" i="236"/>
  <c r="N259" i="236"/>
  <c r="N240" i="236"/>
  <c r="N244" i="236"/>
  <c r="N239" i="236"/>
  <c r="N245" i="236"/>
  <c r="N253" i="236"/>
  <c r="N257" i="236"/>
  <c r="N233" i="236"/>
  <c r="D262" i="236" l="1"/>
  <c r="D264" i="236" s="1"/>
  <c r="F231" i="236"/>
  <c r="N231" i="236" l="1"/>
  <c r="N262" i="236" s="1"/>
  <c r="N264" i="236" s="1"/>
  <c r="F17" i="3" s="1"/>
  <c r="F19" i="3" s="1"/>
  <c r="K262" i="236"/>
  <c r="K264" i="236" s="1"/>
  <c r="F262" i="236"/>
  <c r="F264" i="236" s="1"/>
  <c r="I231" i="236"/>
  <c r="I262" i="236" s="1"/>
  <c r="I264" i="236" s="1"/>
  <c r="D17" i="3" s="1"/>
  <c r="D19" i="3" l="1"/>
  <c r="H26" i="10"/>
  <c r="H27" i="10" s="1"/>
  <c r="H33" i="10" s="1"/>
  <c r="H259" i="237" l="1"/>
  <c r="H240" i="237"/>
  <c r="H232" i="237"/>
  <c r="H246" i="237"/>
  <c r="H248" i="237"/>
  <c r="H237" i="237"/>
  <c r="H244" i="237"/>
  <c r="H242" i="237"/>
  <c r="H247" i="237"/>
  <c r="H251" i="237"/>
  <c r="H241" i="237"/>
  <c r="H233" i="237"/>
  <c r="H258" i="237"/>
  <c r="H257" i="237"/>
  <c r="H249" i="237"/>
  <c r="H235" i="237"/>
  <c r="H239" i="237" l="1"/>
  <c r="H255" i="237"/>
  <c r="H245" i="237"/>
  <c r="H234" i="237"/>
  <c r="H250" i="237"/>
  <c r="H256" i="237"/>
  <c r="H253" i="237"/>
  <c r="H236" i="237"/>
  <c r="F253" i="209"/>
  <c r="I253" i="209" s="1"/>
  <c r="F249" i="209"/>
  <c r="I249" i="209" s="1"/>
  <c r="F244" i="209"/>
  <c r="I244" i="209" s="1"/>
  <c r="F250" i="209"/>
  <c r="I250" i="209" s="1"/>
  <c r="F248" i="209"/>
  <c r="I248" i="209" s="1"/>
  <c r="F242" i="209"/>
  <c r="I242" i="209" s="1"/>
  <c r="H238" i="237"/>
  <c r="H243" i="237"/>
  <c r="H254" i="237"/>
  <c r="F260" i="209"/>
  <c r="I260" i="209" s="1"/>
  <c r="F243" i="209"/>
  <c r="I243" i="209" s="1"/>
  <c r="F239" i="209"/>
  <c r="I239" i="209" s="1"/>
  <c r="F261" i="209"/>
  <c r="I261" i="209" s="1"/>
  <c r="H252" i="237"/>
  <c r="F235" i="209" l="1"/>
  <c r="I235" i="209" s="1"/>
  <c r="N234" i="209"/>
  <c r="F234" i="209"/>
  <c r="I234" i="209" s="1"/>
  <c r="N246" i="209"/>
  <c r="F246" i="209"/>
  <c r="I246" i="209" s="1"/>
  <c r="F251" i="209"/>
  <c r="I251" i="209" s="1"/>
  <c r="N259" i="209"/>
  <c r="F259" i="209"/>
  <c r="I259" i="209" s="1"/>
  <c r="F237" i="209"/>
  <c r="I237" i="209" s="1"/>
  <c r="N237" i="209"/>
  <c r="N251" i="209"/>
  <c r="N235" i="209"/>
  <c r="F240" i="209"/>
  <c r="I240" i="209" s="1"/>
  <c r="N239" i="209"/>
  <c r="F245" i="209"/>
  <c r="I245" i="209" s="1"/>
  <c r="N242" i="209"/>
  <c r="N249" i="209"/>
  <c r="F238" i="209"/>
  <c r="I238" i="209" s="1"/>
  <c r="F236" i="209"/>
  <c r="I236" i="209" s="1"/>
  <c r="N243" i="209"/>
  <c r="N248" i="209"/>
  <c r="N253" i="209"/>
  <c r="F254" i="209"/>
  <c r="I254" i="209" s="1"/>
  <c r="N260" i="209"/>
  <c r="N250" i="209"/>
  <c r="F255" i="209"/>
  <c r="I255" i="209" s="1"/>
  <c r="F252" i="209"/>
  <c r="I252" i="209" s="1"/>
  <c r="F247" i="209"/>
  <c r="I247" i="209" s="1"/>
  <c r="F241" i="209"/>
  <c r="I241" i="209" s="1"/>
  <c r="N261" i="209"/>
  <c r="N244" i="209"/>
  <c r="F256" i="209" l="1"/>
  <c r="I256" i="209" s="1"/>
  <c r="N257" i="209"/>
  <c r="F257" i="209"/>
  <c r="I257" i="209" s="1"/>
  <c r="F258" i="209"/>
  <c r="I258" i="209" s="1"/>
  <c r="N256" i="209"/>
  <c r="N258" i="209"/>
  <c r="N240" i="209"/>
  <c r="N241" i="209"/>
  <c r="N247" i="209"/>
  <c r="N245" i="209"/>
  <c r="N252" i="209"/>
  <c r="N254" i="209"/>
  <c r="N255" i="209"/>
  <c r="N236" i="209"/>
  <c r="N238" i="209"/>
  <c r="F233" i="209" l="1"/>
  <c r="D264" i="209"/>
  <c r="D266" i="209" s="1"/>
  <c r="D262" i="237"/>
  <c r="D264" i="237" s="1"/>
  <c r="H231" i="237"/>
  <c r="H262" i="237" s="1"/>
  <c r="H264" i="237" s="1"/>
  <c r="K264" i="209" l="1"/>
  <c r="K266" i="209" s="1"/>
  <c r="N233" i="209"/>
  <c r="N264" i="209" s="1"/>
  <c r="N266" i="209" s="1"/>
  <c r="F17" i="137" s="1"/>
  <c r="F19" i="137" s="1"/>
  <c r="F264" i="209"/>
  <c r="F266" i="209" s="1"/>
  <c r="I233" i="209"/>
  <c r="I264" i="209" s="1"/>
  <c r="I266" i="209" s="1"/>
  <c r="D17" i="137" s="1"/>
  <c r="G26" i="10" l="1"/>
  <c r="G27" i="10" s="1"/>
  <c r="G33" i="10" s="1"/>
  <c r="D19" i="137"/>
  <c r="D13" i="48" l="1"/>
  <c r="D15" i="48" s="1"/>
  <c r="D171" i="79"/>
  <c r="K26" i="46" l="1"/>
  <c r="O26" i="46"/>
  <c r="D16" i="48"/>
  <c r="F20" i="47" l="1"/>
  <c r="M26" i="46"/>
  <c r="F26" i="46"/>
  <c r="J20" i="47" l="1"/>
  <c r="D21" i="3"/>
  <c r="D21" i="137"/>
  <c r="F21" i="137" l="1"/>
  <c r="F27" i="137" s="1"/>
  <c r="D27" i="137"/>
  <c r="F21" i="3"/>
  <c r="F27" i="3" s="1"/>
  <c r="D27" i="3"/>
  <c r="E22" i="67"/>
  <c r="E22" i="31"/>
  <c r="E16" i="1" l="1"/>
  <c r="E24" i="1" s="1"/>
  <c r="D28" i="47"/>
  <c r="E28" i="84"/>
  <c r="E32" i="84" s="1"/>
  <c r="J28" i="47"/>
  <c r="G16" i="1"/>
  <c r="G24" i="1" s="1"/>
  <c r="F28" i="47"/>
  <c r="G28" i="84"/>
  <c r="G32" i="84" s="1"/>
  <c r="G17" i="84" l="1"/>
  <c r="E17" i="84"/>
  <c r="J41" i="42"/>
  <c r="G59" i="10" l="1"/>
  <c r="F17" i="84"/>
  <c r="H59" i="10"/>
  <c r="P62" i="44" l="1"/>
  <c r="D68" i="45" s="1"/>
  <c r="D63" i="79"/>
  <c r="D68" i="51" l="1"/>
  <c r="P60" i="44" l="1"/>
  <c r="D63" i="45" s="1"/>
  <c r="D64" i="51" s="1"/>
  <c r="P63" i="44"/>
  <c r="D69" i="45" s="1"/>
  <c r="D58" i="79"/>
  <c r="D64" i="79" l="1"/>
  <c r="D69" i="51"/>
  <c r="P94" i="44"/>
  <c r="D139" i="45" s="1"/>
  <c r="D110" i="51" s="1"/>
  <c r="P82" i="44"/>
  <c r="D123" i="45" s="1"/>
  <c r="D118" i="79"/>
  <c r="P47" i="44"/>
  <c r="D40" i="79"/>
  <c r="P91" i="44"/>
  <c r="D136" i="45" s="1"/>
  <c r="P104" i="44"/>
  <c r="D161" i="45" s="1"/>
  <c r="D123" i="51" s="1"/>
  <c r="D45" i="79"/>
  <c r="P86" i="44"/>
  <c r="D127" i="45" s="1"/>
  <c r="D101" i="51" s="1"/>
  <c r="P79" i="44"/>
  <c r="D117" i="45" s="1"/>
  <c r="D89" i="51" s="1"/>
  <c r="P31" i="44"/>
  <c r="D38" i="45" s="1"/>
  <c r="D48" i="51" s="1"/>
  <c r="D141" i="79"/>
  <c r="P68" i="44"/>
  <c r="D80" i="45" s="1"/>
  <c r="D77" i="51" s="1"/>
  <c r="P107" i="44"/>
  <c r="D164" i="45" s="1"/>
  <c r="D126" i="51" s="1"/>
  <c r="P55" i="44"/>
  <c r="D54" i="45" s="1"/>
  <c r="D58" i="51" s="1"/>
  <c r="P96" i="44"/>
  <c r="D146" i="45" s="1"/>
  <c r="D114" i="51" s="1"/>
  <c r="D75" i="79"/>
  <c r="P88" i="44"/>
  <c r="D129" i="45" s="1"/>
  <c r="D103" i="51" s="1"/>
  <c r="P80" i="44"/>
  <c r="D118" i="45" s="1"/>
  <c r="D90" i="51" s="1"/>
  <c r="P57" i="44"/>
  <c r="D60" i="45" s="1"/>
  <c r="D61" i="51" s="1"/>
  <c r="P77" i="44"/>
  <c r="D115" i="45" s="1"/>
  <c r="D87" i="51" s="1"/>
  <c r="P78" i="44"/>
  <c r="D116" i="45" s="1"/>
  <c r="D88" i="51" s="1"/>
  <c r="P106" i="44"/>
  <c r="D163" i="45" s="1"/>
  <c r="D125" i="51" s="1"/>
  <c r="P111" i="44"/>
  <c r="D171" i="45" s="1"/>
  <c r="P74" i="44"/>
  <c r="D112" i="45" s="1"/>
  <c r="D84" i="51" s="1"/>
  <c r="P110" i="44"/>
  <c r="D167" i="45" s="1"/>
  <c r="D131" i="51" s="1"/>
  <c r="P103" i="44"/>
  <c r="D160" i="45" s="1"/>
  <c r="D122" i="51" s="1"/>
  <c r="D159" i="79" l="1"/>
  <c r="D53" i="79"/>
  <c r="D121" i="222"/>
  <c r="D125" i="222" s="1"/>
  <c r="D112" i="79"/>
  <c r="D65" i="79"/>
  <c r="D172" i="45"/>
  <c r="D132" i="51"/>
  <c r="P109" i="44"/>
  <c r="D166" i="45" s="1"/>
  <c r="D130" i="51" s="1"/>
  <c r="P61" i="44"/>
  <c r="D64" i="45" s="1"/>
  <c r="D66" i="51" s="1"/>
  <c r="P50" i="44"/>
  <c r="D49" i="45" s="1"/>
  <c r="D53" i="51" s="1"/>
  <c r="P67" i="44"/>
  <c r="D79" i="45" s="1"/>
  <c r="P58" i="44"/>
  <c r="D61" i="45" s="1"/>
  <c r="D62" i="51" s="1"/>
  <c r="L113" i="44"/>
  <c r="L123" i="44"/>
  <c r="L125" i="44" s="1"/>
  <c r="O113" i="44"/>
  <c r="O123" i="44"/>
  <c r="O125" i="44" s="1"/>
  <c r="P83" i="44"/>
  <c r="D124" i="45" s="1"/>
  <c r="D93" i="51" s="1"/>
  <c r="D119" i="79"/>
  <c r="P59" i="44"/>
  <c r="D62" i="45" s="1"/>
  <c r="D63" i="51" s="1"/>
  <c r="P69" i="44"/>
  <c r="D81" i="45" s="1"/>
  <c r="D78" i="51" s="1"/>
  <c r="P76" i="44"/>
  <c r="D114" i="45" s="1"/>
  <c r="D86" i="51" s="1"/>
  <c r="D48" i="79"/>
  <c r="D114" i="79"/>
  <c r="N123" i="44"/>
  <c r="N125" i="44" s="1"/>
  <c r="N113" i="44"/>
  <c r="P64" i="44"/>
  <c r="D70" i="45" s="1"/>
  <c r="P56" i="44"/>
  <c r="D58" i="45" s="1"/>
  <c r="D92" i="51"/>
  <c r="D155" i="79"/>
  <c r="P101" i="44"/>
  <c r="D158" i="45" s="1"/>
  <c r="D120" i="51" s="1"/>
  <c r="P100" i="44"/>
  <c r="D157" i="45" s="1"/>
  <c r="P48" i="44"/>
  <c r="D47" i="45" s="1"/>
  <c r="D51" i="51" s="1"/>
  <c r="P89" i="44"/>
  <c r="D130" i="45" s="1"/>
  <c r="D104" i="51" s="1"/>
  <c r="P52" i="44"/>
  <c r="D51" i="45" s="1"/>
  <c r="D55" i="51" s="1"/>
  <c r="P95" i="44"/>
  <c r="D107" i="51"/>
  <c r="P51" i="44"/>
  <c r="D50" i="45" s="1"/>
  <c r="D54" i="51" s="1"/>
  <c r="D117" i="222"/>
  <c r="D118" i="222" s="1"/>
  <c r="P105" i="44"/>
  <c r="D162" i="45" s="1"/>
  <c r="D124" i="51" s="1"/>
  <c r="P75" i="44"/>
  <c r="D113" i="45" s="1"/>
  <c r="D85" i="51" s="1"/>
  <c r="P49" i="44"/>
  <c r="D48" i="45" s="1"/>
  <c r="D52" i="51" s="1"/>
  <c r="P108" i="44"/>
  <c r="D165" i="45" s="1"/>
  <c r="D127" i="51" s="1"/>
  <c r="D104" i="79"/>
  <c r="P87" i="44"/>
  <c r="D128" i="45" s="1"/>
  <c r="D102" i="51" s="1"/>
  <c r="D45" i="45"/>
  <c r="P53" i="44"/>
  <c r="D52" i="45" s="1"/>
  <c r="D56" i="51" s="1"/>
  <c r="P71" i="44"/>
  <c r="D109" i="45" s="1"/>
  <c r="D81" i="51" s="1"/>
  <c r="D105" i="79"/>
  <c r="P85" i="44"/>
  <c r="D126" i="45" s="1"/>
  <c r="D100" i="51" s="1"/>
  <c r="D33" i="79"/>
  <c r="P84" i="44"/>
  <c r="D125" i="45" s="1"/>
  <c r="D99" i="51" s="1"/>
  <c r="P92" i="44"/>
  <c r="D137" i="45" s="1"/>
  <c r="D108" i="51" s="1"/>
  <c r="P73" i="44"/>
  <c r="D111" i="45" s="1"/>
  <c r="D83" i="51" s="1"/>
  <c r="P93" i="44"/>
  <c r="D138" i="45" s="1"/>
  <c r="D109" i="51" s="1"/>
  <c r="P66" i="44"/>
  <c r="D72" i="45" s="1"/>
  <c r="D72" i="51" s="1"/>
  <c r="P65" i="44"/>
  <c r="D71" i="45" s="1"/>
  <c r="D71" i="51" s="1"/>
  <c r="D49" i="79"/>
  <c r="M113" i="44"/>
  <c r="M123" i="44"/>
  <c r="M125" i="44" s="1"/>
  <c r="P70" i="44"/>
  <c r="D108" i="45" s="1"/>
  <c r="P81" i="44"/>
  <c r="D119" i="45" s="1"/>
  <c r="D91" i="51" s="1"/>
  <c r="D123" i="79"/>
  <c r="P54" i="44"/>
  <c r="D53" i="45" s="1"/>
  <c r="D57" i="51" s="1"/>
  <c r="P90" i="44"/>
  <c r="D131" i="45" s="1"/>
  <c r="D105" i="51" s="1"/>
  <c r="D126" i="79"/>
  <c r="P97" i="44"/>
  <c r="P98" i="44"/>
  <c r="P99" i="44"/>
  <c r="K123" i="44"/>
  <c r="K125" i="44" s="1"/>
  <c r="K113" i="44"/>
  <c r="P30" i="44"/>
  <c r="P72" i="44"/>
  <c r="D110" i="45" s="1"/>
  <c r="D82" i="51" s="1"/>
  <c r="E121" i="222" l="1"/>
  <c r="D150" i="45"/>
  <c r="D48" i="100"/>
  <c r="J25" i="42"/>
  <c r="J29" i="42" s="1"/>
  <c r="D168" i="45"/>
  <c r="D25" i="46" s="1"/>
  <c r="D30" i="24" s="1"/>
  <c r="H30" i="24" s="1"/>
  <c r="D119" i="51"/>
  <c r="D37" i="45"/>
  <c r="D39" i="45" s="1"/>
  <c r="P119" i="44"/>
  <c r="F174" i="45" s="1"/>
  <c r="P122" i="44"/>
  <c r="D120" i="45"/>
  <c r="D80" i="51"/>
  <c r="D55" i="45"/>
  <c r="D49" i="51"/>
  <c r="D76" i="51"/>
  <c r="D83" i="45"/>
  <c r="D146" i="79"/>
  <c r="D133" i="45"/>
  <c r="D50" i="100"/>
  <c r="F50" i="100" s="1"/>
  <c r="D152" i="45"/>
  <c r="D117" i="51" s="1"/>
  <c r="D145" i="45"/>
  <c r="D20" i="100"/>
  <c r="D49" i="100"/>
  <c r="F49" i="100" s="1"/>
  <c r="D151" i="45"/>
  <c r="D116" i="51" s="1"/>
  <c r="E117" i="222"/>
  <c r="E118" i="222" s="1"/>
  <c r="D147" i="79"/>
  <c r="D65" i="45"/>
  <c r="D59" i="51"/>
  <c r="D32" i="79"/>
  <c r="D34" i="79" s="1"/>
  <c r="D140" i="45"/>
  <c r="D22" i="46" s="1"/>
  <c r="D24" i="24" s="1"/>
  <c r="H24" i="24" s="1"/>
  <c r="D70" i="51"/>
  <c r="D75" i="45"/>
  <c r="F117" i="222" l="1"/>
  <c r="F118" i="222" s="1"/>
  <c r="D20" i="46"/>
  <c r="D20" i="24" s="1"/>
  <c r="H20" i="24" s="1"/>
  <c r="D19" i="46"/>
  <c r="D18" i="24" s="1"/>
  <c r="H18" i="24" s="1"/>
  <c r="D21" i="46"/>
  <c r="D22" i="24" s="1"/>
  <c r="H22" i="24" s="1"/>
  <c r="F20" i="100"/>
  <c r="F22" i="100" s="1"/>
  <c r="D22" i="100"/>
  <c r="F121" i="222"/>
  <c r="F123" i="222" s="1"/>
  <c r="F48" i="100"/>
  <c r="F52" i="100" s="1"/>
  <c r="D52" i="100"/>
  <c r="D113" i="51"/>
  <c r="D147" i="45"/>
  <c r="D23" i="46" s="1"/>
  <c r="D26" i="24" s="1"/>
  <c r="H26" i="24" s="1"/>
  <c r="D154" i="45"/>
  <c r="D24" i="46" s="1"/>
  <c r="D28" i="24" s="1"/>
  <c r="H28" i="24" s="1"/>
  <c r="D115" i="51"/>
  <c r="D18" i="46"/>
  <c r="K18" i="46"/>
  <c r="J31" i="42"/>
  <c r="J42" i="42" s="1"/>
  <c r="H50" i="10"/>
  <c r="D134" i="51" l="1"/>
  <c r="D174" i="45"/>
  <c r="J43" i="42"/>
  <c r="H53" i="10" s="1"/>
  <c r="H55" i="10" s="1"/>
  <c r="E15" i="84"/>
  <c r="E19" i="84" s="1"/>
  <c r="E23" i="84" s="1"/>
  <c r="D19" i="47"/>
  <c r="D16" i="24"/>
  <c r="F18" i="46"/>
  <c r="O18" i="46"/>
  <c r="G117" i="222"/>
  <c r="G118" i="222" s="1"/>
  <c r="G121" i="222"/>
  <c r="H121" i="222"/>
  <c r="H117" i="222" l="1"/>
  <c r="H118" i="222" s="1"/>
  <c r="H114" i="10"/>
  <c r="H113" i="10"/>
  <c r="H58" i="10"/>
  <c r="H76" i="10" s="1"/>
  <c r="H115" i="10"/>
  <c r="D32" i="24"/>
  <c r="H32" i="24" s="1"/>
  <c r="H16" i="24"/>
  <c r="G174" i="45"/>
  <c r="D16" i="69"/>
  <c r="D179" i="45"/>
  <c r="D28" i="46" s="1"/>
  <c r="D31" i="46" s="1"/>
  <c r="D33" i="46" s="1"/>
  <c r="N54" i="202" s="1"/>
  <c r="N50" i="202" s="1"/>
  <c r="L50" i="202" s="1"/>
  <c r="D23" i="47"/>
  <c r="D24" i="47" s="1"/>
  <c r="D26" i="47" s="1"/>
  <c r="J45" i="42"/>
  <c r="I121" i="222" l="1"/>
  <c r="I117" i="222"/>
  <c r="I118" i="222" s="1"/>
  <c r="H82" i="10"/>
  <c r="D181" i="45"/>
  <c r="D183" i="45" s="1"/>
  <c r="H16" i="69"/>
  <c r="H77" i="10"/>
  <c r="H79" i="10"/>
  <c r="P12" i="44"/>
  <c r="P113" i="44" s="1"/>
  <c r="J32" i="24"/>
  <c r="E18" i="1"/>
  <c r="D30" i="47"/>
  <c r="H60" i="10"/>
  <c r="H62" i="10" s="1"/>
  <c r="H78" i="10"/>
  <c r="H80" i="10"/>
  <c r="D122" i="79"/>
  <c r="J117" i="222" l="1"/>
  <c r="J118" i="222" s="1"/>
  <c r="H66" i="10"/>
  <c r="H64" i="10"/>
  <c r="J121" i="222"/>
  <c r="E20" i="1"/>
  <c r="E26" i="1"/>
  <c r="E30" i="1" s="1"/>
  <c r="D131" i="79"/>
  <c r="D46" i="79"/>
  <c r="D67" i="79"/>
  <c r="D43" i="79"/>
  <c r="D59" i="79"/>
  <c r="D44" i="79"/>
  <c r="D156" i="79"/>
  <c r="D47" i="79"/>
  <c r="D125" i="79"/>
  <c r="D55" i="79"/>
  <c r="D57" i="79"/>
  <c r="D56" i="79"/>
  <c r="D121" i="79"/>
  <c r="D160" i="79"/>
  <c r="D161" i="79"/>
  <c r="D162" i="79"/>
  <c r="D124" i="79"/>
  <c r="D132" i="79"/>
  <c r="D120" i="79"/>
  <c r="D74" i="79"/>
  <c r="D76" i="79"/>
  <c r="D133" i="79"/>
  <c r="D153" i="79"/>
  <c r="D152" i="79"/>
  <c r="K117" i="222" l="1"/>
  <c r="K118" i="222" s="1"/>
  <c r="D145" i="79"/>
  <c r="D149" i="79" s="1"/>
  <c r="K24" i="46" s="1"/>
  <c r="D78" i="79"/>
  <c r="D60" i="79"/>
  <c r="D135" i="79"/>
  <c r="K22" i="46" s="1"/>
  <c r="D128" i="79"/>
  <c r="D140" i="79"/>
  <c r="D142" i="79" s="1"/>
  <c r="K23" i="46" s="1"/>
  <c r="K121" i="222"/>
  <c r="L117" i="222" l="1"/>
  <c r="L118" i="222" s="1"/>
  <c r="D42" i="79"/>
  <c r="D50" i="79" s="1"/>
  <c r="F22" i="46"/>
  <c r="O22" i="46"/>
  <c r="D24" i="69" s="1"/>
  <c r="H24" i="69" s="1"/>
  <c r="L121" i="222"/>
  <c r="O23" i="46"/>
  <c r="D26" i="69" s="1"/>
  <c r="H26" i="69" s="1"/>
  <c r="F23" i="46"/>
  <c r="F24" i="46"/>
  <c r="O24" i="46"/>
  <c r="D28" i="69" s="1"/>
  <c r="H28" i="69" s="1"/>
  <c r="M121" i="222"/>
  <c r="M117" i="222" l="1"/>
  <c r="M118" i="222" s="1"/>
  <c r="K19" i="46"/>
  <c r="D111" i="79"/>
  <c r="D106" i="79"/>
  <c r="D108" i="79"/>
  <c r="D110" i="79"/>
  <c r="D113" i="79"/>
  <c r="D107" i="79"/>
  <c r="D157" i="79"/>
  <c r="D109" i="79"/>
  <c r="D166" i="79"/>
  <c r="D167" i="79" s="1"/>
  <c r="D158" i="79" l="1"/>
  <c r="N121" i="222"/>
  <c r="O121" i="222"/>
  <c r="O117" i="222"/>
  <c r="O118" i="222" s="1"/>
  <c r="O19" i="46"/>
  <c r="F19" i="46"/>
  <c r="N117" i="222"/>
  <c r="N118" i="222" s="1"/>
  <c r="D163" i="79"/>
  <c r="K25" i="46" s="1"/>
  <c r="D103" i="79"/>
  <c r="D115" i="79" s="1"/>
  <c r="K21" i="46" s="1"/>
  <c r="D18" i="69" l="1"/>
  <c r="F25" i="46"/>
  <c r="O25" i="46"/>
  <c r="D66" i="79"/>
  <c r="D70" i="79" s="1"/>
  <c r="P121" i="222"/>
  <c r="P117" i="222"/>
  <c r="P118" i="222" s="1"/>
  <c r="P125" i="222" s="1"/>
  <c r="Q116" i="222"/>
  <c r="F169" i="79" s="1"/>
  <c r="F21" i="46"/>
  <c r="O21" i="46"/>
  <c r="D22" i="69" s="1"/>
  <c r="H22" i="69" s="1"/>
  <c r="D30" i="69" l="1"/>
  <c r="H30" i="69" s="1"/>
  <c r="H18" i="69"/>
  <c r="K20" i="46"/>
  <c r="D169" i="79"/>
  <c r="F20" i="46" l="1"/>
  <c r="O20" i="46"/>
  <c r="G169" i="79"/>
  <c r="D20" i="69" l="1"/>
  <c r="G15" i="84"/>
  <c r="F19" i="47"/>
  <c r="H20" i="69" l="1"/>
  <c r="D32" i="69"/>
  <c r="H32" i="69" s="1"/>
  <c r="F15" i="84"/>
  <c r="F19" i="84" s="1"/>
  <c r="G19" i="84"/>
  <c r="G23" i="84" s="1"/>
  <c r="G50" i="10" l="1"/>
  <c r="F23" i="84"/>
  <c r="O28" i="46"/>
  <c r="F23" i="47"/>
  <c r="F24" i="47" s="1"/>
  <c r="F26" i="47" s="1"/>
  <c r="O31" i="46" l="1"/>
  <c r="O33" i="46" s="1"/>
  <c r="G18" i="1"/>
  <c r="F30" i="47"/>
  <c r="G53" i="10"/>
  <c r="G55" i="10" s="1"/>
  <c r="G113" i="10" l="1"/>
  <c r="G114" i="10"/>
  <c r="G115" i="10"/>
  <c r="G58" i="10"/>
  <c r="G79" i="10" s="1"/>
  <c r="D173" i="79"/>
  <c r="G20" i="1"/>
  <c r="G26" i="1"/>
  <c r="G30" i="1" s="1"/>
  <c r="G82" i="10" l="1"/>
  <c r="G77" i="10"/>
  <c r="G76" i="10"/>
  <c r="K28" i="46"/>
  <c r="D175" i="79"/>
  <c r="D177" i="79" s="1"/>
  <c r="P119" i="222" s="1"/>
  <c r="Q119" i="222" s="1"/>
  <c r="H15" i="47"/>
  <c r="G34" i="1"/>
  <c r="G38" i="1" s="1"/>
  <c r="G78" i="10"/>
  <c r="G80" i="10"/>
  <c r="G60" i="10"/>
  <c r="G62" i="10" s="1"/>
  <c r="G64" i="10" l="1"/>
  <c r="G66" i="10"/>
  <c r="H21" i="47"/>
  <c r="J21" i="47" s="1"/>
  <c r="J15" i="47"/>
  <c r="H19" i="47"/>
  <c r="F28" i="46"/>
  <c r="F31" i="46" s="1"/>
  <c r="F33" i="46" s="1"/>
  <c r="K31" i="46"/>
  <c r="K33" i="46" s="1"/>
  <c r="M28" i="46"/>
  <c r="M31" i="46" s="1"/>
  <c r="M33" i="46" s="1"/>
  <c r="H23" i="47" l="1"/>
  <c r="J23" i="47" s="1"/>
  <c r="J19" i="47"/>
  <c r="J24" i="47" l="1"/>
  <c r="J26" i="47" s="1"/>
  <c r="J30" i="47" s="1"/>
  <c r="H24" i="47"/>
  <c r="H26" i="47" s="1"/>
  <c r="E123" i="222"/>
  <c r="K123" i="222"/>
  <c r="I123" i="222"/>
  <c r="J123" i="222"/>
  <c r="O123" i="222"/>
  <c r="M123" i="222"/>
  <c r="N123" i="222"/>
  <c r="H123" i="222"/>
  <c r="G123" i="222"/>
  <c r="L123" i="222"/>
  <c r="D123" i="222" l="1"/>
  <c r="D34" i="49" l="1"/>
  <c r="D35" i="49" l="1"/>
  <c r="D28" i="49" l="1"/>
  <c r="D29" i="49" l="1"/>
  <c r="D42" i="49" l="1"/>
  <c r="D43" i="49" l="1"/>
  <c r="D44" i="49" s="1"/>
  <c r="D45" i="49" s="1"/>
  <c r="D39" i="49"/>
  <c r="D40" i="49" l="1"/>
</calcChain>
</file>

<file path=xl/sharedStrings.xml><?xml version="1.0" encoding="utf-8"?>
<sst xmlns="http://schemas.openxmlformats.org/spreadsheetml/2006/main" count="5594" uniqueCount="1780">
  <si>
    <t>Cost</t>
  </si>
  <si>
    <t>EMBEDDED Cost of PREFERRED STOCK</t>
  </si>
  <si>
    <t>Cost of Capital Summary</t>
  </si>
  <si>
    <t>C-2.2</t>
  </si>
  <si>
    <t>Total General Plant</t>
  </si>
  <si>
    <t>Total CWIP Without AFUDC (Div 009, 091, 002, 012)</t>
  </si>
  <si>
    <t>Kentucky Direct (Division 009)</t>
  </si>
  <si>
    <t>Kentucky-Mid-States General Office (Division 091)</t>
  </si>
  <si>
    <t>Shared Services General Office (Division 002)</t>
  </si>
  <si>
    <t>Shared Services Customer Support (Division 012)</t>
  </si>
  <si>
    <t xml:space="preserve">Adjusted </t>
  </si>
  <si>
    <t xml:space="preserve">Kentucky </t>
  </si>
  <si>
    <t>Allocated</t>
  </si>
  <si>
    <t>Kentucky- Mid</t>
  </si>
  <si>
    <t>States Division</t>
  </si>
  <si>
    <t>(D)</t>
  </si>
  <si>
    <t>Mains - Steel</t>
  </si>
  <si>
    <t>OverTime Hours</t>
  </si>
  <si>
    <t xml:space="preserve">Ratio of OverTime Hours </t>
  </si>
  <si>
    <t>OverTime Dollars</t>
  </si>
  <si>
    <t>Ratio of OverTime Dollars</t>
  </si>
  <si>
    <t>Sales or</t>
  </si>
  <si>
    <t xml:space="preserve">13 Month Average Rate Base </t>
  </si>
  <si>
    <t>403 DEPRECIATION Expense</t>
  </si>
  <si>
    <t>Purchased Gas Cost</t>
  </si>
  <si>
    <t>Comparative Financial Data</t>
  </si>
  <si>
    <t xml:space="preserve">   Production &amp; Gathering Plant</t>
  </si>
  <si>
    <t xml:space="preserve">   Underground Storage</t>
  </si>
  <si>
    <t xml:space="preserve">   Transmission Plant</t>
  </si>
  <si>
    <t>907 Cust Accts Supervision</t>
  </si>
  <si>
    <t>908 Customer Assistance Expenses</t>
  </si>
  <si>
    <t>Div 09 Accumulated Deferred Income Taxes</t>
  </si>
  <si>
    <t>1 /8 Method</t>
  </si>
  <si>
    <t xml:space="preserve">   Basis) (%)</t>
  </si>
  <si>
    <t>Date</t>
  </si>
  <si>
    <t>Schedule H-1</t>
  </si>
  <si>
    <t>Most Recent Five Fiscal Years*</t>
  </si>
  <si>
    <t>Schedule C-2.2</t>
  </si>
  <si>
    <t>(E)</t>
  </si>
  <si>
    <t>(G)</t>
  </si>
  <si>
    <t>CIVIC, POLITICAL and RELATED ACTIVITIES</t>
  </si>
  <si>
    <t>of Total</t>
  </si>
  <si>
    <t xml:space="preserve">Allocation for taxes other CSC </t>
  </si>
  <si>
    <t>Forecasted</t>
  </si>
  <si>
    <t>Base</t>
  </si>
  <si>
    <t>13 Month</t>
  </si>
  <si>
    <t>Schedule K</t>
  </si>
  <si>
    <t>Schedule J-4</t>
  </si>
  <si>
    <t>Schedule J-3</t>
  </si>
  <si>
    <t>Schedule J-2</t>
  </si>
  <si>
    <t>Performance based rates</t>
  </si>
  <si>
    <t>Total other income</t>
  </si>
  <si>
    <t>Account 252 - Customer Advances For Construction</t>
  </si>
  <si>
    <t>Summary of Utility Jurisdictional Adjustments to</t>
  </si>
  <si>
    <t>Data:___X____Base Period________Forecasted Period</t>
  </si>
  <si>
    <t>(MMcf)</t>
  </si>
  <si>
    <t xml:space="preserve"> No.</t>
  </si>
  <si>
    <t>Schedule A</t>
  </si>
  <si>
    <t>Schedule</t>
  </si>
  <si>
    <t>Operating Income Summary</t>
  </si>
  <si>
    <t>to Straight-Time Hours</t>
  </si>
  <si>
    <t>O&amp;M Labor Dollars</t>
  </si>
  <si>
    <t xml:space="preserve">Ratio of O&amp;M of Labor Dollars </t>
  </si>
  <si>
    <t>Revenue From Transportation of Gas of Others</t>
  </si>
  <si>
    <t xml:space="preserve">  Other Operating Income</t>
  </si>
  <si>
    <t>O P E R A T I N G  R E V E N U E</t>
  </si>
  <si>
    <t>T O T A L  O P E R A T I N G  R E V E N U E</t>
  </si>
  <si>
    <t xml:space="preserve">      Gas Delivered to Storage</t>
  </si>
  <si>
    <t>Div 02 Accumulated Deferred Income Taxes</t>
  </si>
  <si>
    <t xml:space="preserve">      Other Gas Supply Expenses</t>
  </si>
  <si>
    <t>Customer Accting. &amp; Collection</t>
  </si>
  <si>
    <t>Customer Service &amp; Information</t>
  </si>
  <si>
    <t>Schedule F-6</t>
  </si>
  <si>
    <t>Owensboro Country Club</t>
  </si>
  <si>
    <t>( dues )</t>
  </si>
  <si>
    <t>OCC - Expenses</t>
  </si>
  <si>
    <t>Div 002</t>
  </si>
  <si>
    <t>Div 012</t>
  </si>
  <si>
    <t>Div 091</t>
  </si>
  <si>
    <t>B-4</t>
  </si>
  <si>
    <t>Allowance for Working Capital</t>
  </si>
  <si>
    <t>B-4.2</t>
  </si>
  <si>
    <t>B-4.1</t>
  </si>
  <si>
    <t>13 Month Average Balance</t>
  </si>
  <si>
    <t>B-5</t>
  </si>
  <si>
    <t>Unbilled</t>
  </si>
  <si>
    <t>Trailers</t>
  </si>
  <si>
    <t>Ditchers</t>
  </si>
  <si>
    <t>Backhoes</t>
  </si>
  <si>
    <t>Welders</t>
  </si>
  <si>
    <t>Charitable Organization  *</t>
  </si>
  <si>
    <t>Depreciation Expense</t>
  </si>
  <si>
    <t>13-Month</t>
  </si>
  <si>
    <t>Line</t>
  </si>
  <si>
    <t>Sub</t>
  </si>
  <si>
    <t>Workpaper</t>
  </si>
  <si>
    <t>Total</t>
  </si>
  <si>
    <t>Jurisdictional</t>
  </si>
  <si>
    <t>Average</t>
  </si>
  <si>
    <t>No.</t>
  </si>
  <si>
    <t>Acct</t>
  </si>
  <si>
    <t>Reference</t>
  </si>
  <si>
    <t>Company</t>
  </si>
  <si>
    <t>Percent</t>
  </si>
  <si>
    <t>Amount</t>
  </si>
  <si>
    <t>Balance</t>
  </si>
  <si>
    <t>Other Prop. On Cust. Prem</t>
  </si>
  <si>
    <t>actual</t>
  </si>
  <si>
    <t>Taxes Property and Other</t>
  </si>
  <si>
    <t>Ad Valorem - Accrual</t>
  </si>
  <si>
    <t>814 Storage Supervision &amp; Engineering</t>
  </si>
  <si>
    <t>816 Storage Wells Expense</t>
  </si>
  <si>
    <t>Working Capital Components</t>
  </si>
  <si>
    <t>Gross Profit</t>
  </si>
  <si>
    <t>Direct O&amp;M</t>
  </si>
  <si>
    <t>Depreciation &amp; amortization</t>
  </si>
  <si>
    <t>Taxes - other than income</t>
  </si>
  <si>
    <t>894 Dist Maint Other Eq</t>
  </si>
  <si>
    <t>901 Cust Accts Supervision</t>
  </si>
  <si>
    <t>902 Cust Accts Mtr Exp</t>
  </si>
  <si>
    <t>903 Cust Accts Records/Collections</t>
  </si>
  <si>
    <t>904 Cust Accts Uncoll Accts</t>
  </si>
  <si>
    <t>909 Cust Ser Supervision</t>
  </si>
  <si>
    <t>910 Cust Ser Assist Exp</t>
  </si>
  <si>
    <t>Adjusted Operating Income</t>
  </si>
  <si>
    <t>Gross Revenue</t>
  </si>
  <si>
    <t>Gross Revenue Conversion Factor</t>
  </si>
  <si>
    <t>Ratemaking</t>
  </si>
  <si>
    <t>Test Year</t>
  </si>
  <si>
    <t>Rev. &amp; Exp.</t>
  </si>
  <si>
    <t>Residential</t>
  </si>
  <si>
    <t>Commercial</t>
  </si>
  <si>
    <t>Industrial</t>
  </si>
  <si>
    <t>Average Revenue per Class:</t>
  </si>
  <si>
    <t>Total O &amp; M Expenses</t>
  </si>
  <si>
    <t xml:space="preserve">  Sales of Gas</t>
  </si>
  <si>
    <t>Data:__x___Base Period___x___Forecasted Period</t>
  </si>
  <si>
    <t>Schedule F-3</t>
  </si>
  <si>
    <t>Number</t>
  </si>
  <si>
    <t>Sched.</t>
  </si>
  <si>
    <t>C-2</t>
  </si>
  <si>
    <t>Weighted cost of Debt</t>
  </si>
  <si>
    <t>J-1.1</t>
  </si>
  <si>
    <t>Schedule F-2.1</t>
  </si>
  <si>
    <t>Compressor Station Expense</t>
  </si>
  <si>
    <t>Compressor Station Expense Fuel &amp; Power</t>
  </si>
  <si>
    <t>$</t>
  </si>
  <si>
    <t>100.00%</t>
  </si>
  <si>
    <t>Data:______Base Period__X___Forecasted Period</t>
  </si>
  <si>
    <t>%</t>
  </si>
  <si>
    <t>Adjustment</t>
  </si>
  <si>
    <t>Computation of State &amp; Federal Income Tax</t>
  </si>
  <si>
    <t>Composite Tax Rate (state &amp; federal)</t>
  </si>
  <si>
    <t>Franchises &amp; Consents</t>
  </si>
  <si>
    <t>Natural Gas Production Plant</t>
  </si>
  <si>
    <t>Division</t>
  </si>
  <si>
    <t>Property Plant and Equipment, Net (Sum line 1 Thru 3)</t>
  </si>
  <si>
    <t>Rate Base (Sum line 4 Thru 8)</t>
  </si>
  <si>
    <t>Property Plant and Equipment, Net (Sum Line 1 Thru 3)</t>
  </si>
  <si>
    <t>Rate Base (Sum Line 4 Thru 8)</t>
  </si>
  <si>
    <t>Forecasted Period Ending Balance</t>
  </si>
  <si>
    <t>Rights of Ways</t>
  </si>
  <si>
    <t>Field Lines</t>
  </si>
  <si>
    <t>Public Authority &amp; Other</t>
  </si>
  <si>
    <t>Number of Customer by Class:</t>
  </si>
  <si>
    <t xml:space="preserve">    Gross Plant</t>
  </si>
  <si>
    <t>406 AMORT. - Gas Plant AQUIST.</t>
  </si>
  <si>
    <t>Plant in Service</t>
  </si>
  <si>
    <t>(E=D/B)</t>
  </si>
  <si>
    <t>Federal Income Tax @</t>
  </si>
  <si>
    <t>A</t>
  </si>
  <si>
    <t>Rate Base Summary</t>
  </si>
  <si>
    <t>Net Income</t>
  </si>
  <si>
    <t xml:space="preserve">   Industrial</t>
  </si>
  <si>
    <t>Schedule F-1</t>
  </si>
  <si>
    <t>Account No.</t>
  </si>
  <si>
    <t>Social Organization/Service Club</t>
  </si>
  <si>
    <t>Jurisdictional %</t>
  </si>
  <si>
    <t xml:space="preserve">   Intangible Plant</t>
  </si>
  <si>
    <t>Other Tang. Property - Mainframe S/W</t>
  </si>
  <si>
    <t>Transportation</t>
  </si>
  <si>
    <t>Customer accounts-Operation supervision</t>
  </si>
  <si>
    <t>A&amp;G-Administrative &amp; general salaries</t>
  </si>
  <si>
    <t>A&amp;G-General advertising expense</t>
  </si>
  <si>
    <t>A&amp;G-Rents</t>
  </si>
  <si>
    <t>A&amp;G-Maintenance of general plant</t>
  </si>
  <si>
    <r>
      <t xml:space="preserve">Monthly Jurisdictional Operating Income by FERC Account, </t>
    </r>
    <r>
      <rPr>
        <b/>
        <sz val="12"/>
        <rFont val="Helvetica-Narrow"/>
      </rPr>
      <t>Div 002 Only</t>
    </r>
  </si>
  <si>
    <r>
      <t xml:space="preserve">Monthly Jurisdictional Operating Income by FERC Account, </t>
    </r>
    <r>
      <rPr>
        <b/>
        <sz val="12"/>
        <rFont val="Helvetica-Narrow"/>
      </rPr>
      <t>Div 012 Only</t>
    </r>
  </si>
  <si>
    <t>Other storage expenses-Operation labor and expenses</t>
  </si>
  <si>
    <t>Odorization</t>
  </si>
  <si>
    <r>
      <t xml:space="preserve">Monthly Jurisdictional Operating Income by FERC Account, </t>
    </r>
    <r>
      <rPr>
        <b/>
        <sz val="12"/>
        <rFont val="Helvetica-Narrow"/>
      </rPr>
      <t>Div 091 Only</t>
    </r>
  </si>
  <si>
    <t>Discription</t>
  </si>
  <si>
    <t>Account 4081-Taxes Other than Income Tax by Sub-Account</t>
  </si>
  <si>
    <t>Div 009</t>
  </si>
  <si>
    <t>Summary of Revenue Adjustments.</t>
  </si>
  <si>
    <t>Allocation Factor to Kentucky</t>
  </si>
  <si>
    <t>Kentucky</t>
  </si>
  <si>
    <t>*Note:  Debits are shown as positive, and credits are shown as negatives.  Includes the  Shared Services allocation.</t>
  </si>
  <si>
    <t>Data:__X___Base Period___X___Forecasted Period</t>
  </si>
  <si>
    <t>Shared Services</t>
  </si>
  <si>
    <t>Kentucky/Mid-States</t>
  </si>
  <si>
    <t>General Office (Div 002)</t>
  </si>
  <si>
    <t>Customer Support (Div 012)</t>
  </si>
  <si>
    <t>Mid-States General Office (Div 091)</t>
  </si>
  <si>
    <t>Line No.</t>
  </si>
  <si>
    <t>Benefit Load Projects</t>
  </si>
  <si>
    <t>Taxes Property And Other</t>
  </si>
  <si>
    <t>Total Tax Other Than Income Tax</t>
  </si>
  <si>
    <t>Allocation Factor to Kentucky Mid-States (Div 091)</t>
  </si>
  <si>
    <t>Allocation Factor to Kentucky Jurisdiction (Div 009)</t>
  </si>
  <si>
    <t>Total Allocated Amount</t>
  </si>
  <si>
    <t>Interest Deduction</t>
  </si>
  <si>
    <t>922 Administrative Expense Transferred</t>
  </si>
  <si>
    <t>DIVISION 09</t>
  </si>
  <si>
    <t>DIVISION 02</t>
  </si>
  <si>
    <t>Total Storage Plant</t>
  </si>
  <si>
    <t>Account /</t>
  </si>
  <si>
    <t>Title</t>
  </si>
  <si>
    <t>Title of Adjustment</t>
  </si>
  <si>
    <t>&amp; Title</t>
  </si>
  <si>
    <t>Projected Rate Case Expense</t>
  </si>
  <si>
    <t>Consulting</t>
  </si>
  <si>
    <t>495 Other Gas Service Revenue</t>
  </si>
  <si>
    <t>803/804/812 Gas Purchase Costs</t>
  </si>
  <si>
    <t>Blended Effective Tax Rate</t>
  </si>
  <si>
    <t>911 Cust Ser Info Adv Exp</t>
  </si>
  <si>
    <t>916 Sales Promo Demo/Selling</t>
  </si>
  <si>
    <t>921 Adm Gen Office Supply</t>
  </si>
  <si>
    <t>923 Adm Gen Outside Services Emply</t>
  </si>
  <si>
    <t>Meas &amp; Reg. Sta. Equip - General</t>
  </si>
  <si>
    <t>Forfeited discounts</t>
  </si>
  <si>
    <t>815 Maps and records</t>
  </si>
  <si>
    <t>860 Rents</t>
  </si>
  <si>
    <t>8711 Odorization</t>
  </si>
  <si>
    <t>895 Maintenance of Other Plant</t>
  </si>
  <si>
    <t>835 Storage Maintenance Meas/Reg</t>
  </si>
  <si>
    <t>836 Storage Maintenance Purification</t>
  </si>
  <si>
    <t>841 Storage Operation</t>
  </si>
  <si>
    <t>847 Storage Maintenance</t>
  </si>
  <si>
    <t>* The Payroll System accumulates data most readily on a fiscal year basis (Oct. 1 - Sept. 30) rather than calendar basis.</t>
  </si>
  <si>
    <t>850 Trsm Supervision &amp; Engineering</t>
  </si>
  <si>
    <t>856 Trsm Mains Expense</t>
  </si>
  <si>
    <t>857 Trsm Measuring &amp; Regulating</t>
  </si>
  <si>
    <t>859 Trsm Other Exp</t>
  </si>
  <si>
    <t>862 Trsm Structure &amp; Improvements</t>
  </si>
  <si>
    <t>863 Trsm Maint of Mains</t>
  </si>
  <si>
    <t>864 Trsm Maint Comp Sta Equip</t>
  </si>
  <si>
    <t>865 Trsm Maint Meas/Reg Sta</t>
  </si>
  <si>
    <t>867 Trsm Maint Other Eq</t>
  </si>
  <si>
    <t>870 Dist Supervision &amp; Engineering</t>
  </si>
  <si>
    <t>871 Dist Load Dispatching</t>
  </si>
  <si>
    <t>872 Dist Comp Sta</t>
  </si>
  <si>
    <t>874 Dist Main/Ser Exp</t>
  </si>
  <si>
    <t>875 Dist Meas/Reg Sta-Gen</t>
  </si>
  <si>
    <t>SIT Rate</t>
  </si>
  <si>
    <t>Schedule D-2.1</t>
  </si>
  <si>
    <t xml:space="preserve">  Preferred stock ($000)</t>
  </si>
  <si>
    <t xml:space="preserve">  Common equity ($000)</t>
  </si>
  <si>
    <t>Condensed Income Statement data: ($000)</t>
  </si>
  <si>
    <t xml:space="preserve">  State Income Tax (current))</t>
  </si>
  <si>
    <t xml:space="preserve">  Federal Income Tax (current)</t>
  </si>
  <si>
    <t xml:space="preserve">  Federal and State Income Tax - net</t>
  </si>
  <si>
    <t xml:space="preserve">  Investment  tax credits</t>
  </si>
  <si>
    <t>Schedule D-2.2</t>
  </si>
  <si>
    <t>Schedule D-2.3</t>
  </si>
  <si>
    <t>Schedule C-1</t>
  </si>
  <si>
    <t>Schedule C-2</t>
  </si>
  <si>
    <t>Materials &amp; Supplies</t>
  </si>
  <si>
    <t>Acct.</t>
  </si>
  <si>
    <t>Interest</t>
  </si>
  <si>
    <t>Expense</t>
  </si>
  <si>
    <t>Rate Base</t>
  </si>
  <si>
    <t>SHORT-TERM DEBT</t>
  </si>
  <si>
    <t>LONG-TERM DEBT</t>
  </si>
  <si>
    <t>PREFERRED STOCK</t>
  </si>
  <si>
    <t>COMMON EQUITY</t>
  </si>
  <si>
    <t>J-3</t>
  </si>
  <si>
    <t>J-4</t>
  </si>
  <si>
    <t>Total Natural Gas Production Plant</t>
  </si>
  <si>
    <t>Storage Plant</t>
  </si>
  <si>
    <t xml:space="preserve">Compression Station Equipment </t>
  </si>
  <si>
    <t xml:space="preserve">      PGA for Transportation Sales</t>
  </si>
  <si>
    <t xml:space="preserve">      Unbilled PGA Costs</t>
  </si>
  <si>
    <t xml:space="preserve">      PGA Offset to Unrecovered Gas Cost</t>
  </si>
  <si>
    <t xml:space="preserve">      Gas Withdrawn From Storage - Debit</t>
  </si>
  <si>
    <t>Operating Revenue and Expenses by FERC Account</t>
  </si>
  <si>
    <t xml:space="preserve">(1) These donations represent Economic Development Contributions, all Other civic donations are Included </t>
  </si>
  <si>
    <t>Required Rate of Return</t>
  </si>
  <si>
    <t xml:space="preserve">  Operating Expenses (excludes Federal</t>
  </si>
  <si>
    <t>Ad Valorem</t>
  </si>
  <si>
    <t>Public Service Commission Assessment</t>
  </si>
  <si>
    <t>Organization</t>
  </si>
  <si>
    <t>Land</t>
  </si>
  <si>
    <t>Maintenance of Other Plant</t>
  </si>
  <si>
    <t>Maps and Records</t>
  </si>
  <si>
    <t>840/847</t>
  </si>
  <si>
    <t>SubAccount Titles</t>
  </si>
  <si>
    <t>Intangible Plant</t>
  </si>
  <si>
    <t>Total Intangible Plant</t>
  </si>
  <si>
    <t>Distribution Plant</t>
  </si>
  <si>
    <t>Total Distribution Plant</t>
  </si>
  <si>
    <t>General Plant</t>
  </si>
  <si>
    <t>O P E R A T I N G  E X P E N S E S</t>
  </si>
  <si>
    <t xml:space="preserve">      Natural Gas City Gate Purchases</t>
  </si>
  <si>
    <t>State &amp; Federal Income Taxes</t>
  </si>
  <si>
    <t xml:space="preserve">  Total Mix of Sales</t>
  </si>
  <si>
    <t xml:space="preserve">  Mix of Fuel:</t>
  </si>
  <si>
    <t>Composite Depreciation Rate</t>
  </si>
  <si>
    <t xml:space="preserve">   Plant in Service by functional class:</t>
  </si>
  <si>
    <t>Property Insurance</t>
  </si>
  <si>
    <t>Franchise Requirements</t>
  </si>
  <si>
    <t>Miscellaneous General Expense</t>
  </si>
  <si>
    <t>403-406</t>
  </si>
  <si>
    <t>Revenue Statistics</t>
  </si>
  <si>
    <t>Total Utility</t>
  </si>
  <si>
    <t>13 month</t>
  </si>
  <si>
    <t>Test Period</t>
  </si>
  <si>
    <t>Ending Balance</t>
  </si>
  <si>
    <t>Labor and Benefits</t>
  </si>
  <si>
    <t>Rent, Maintenance and Utilites</t>
  </si>
  <si>
    <t>Other O&amp;M</t>
  </si>
  <si>
    <t>Bad Debt</t>
  </si>
  <si>
    <t>(F)</t>
  </si>
  <si>
    <t xml:space="preserve"> </t>
  </si>
  <si>
    <t>Base Period</t>
  </si>
  <si>
    <t>Forecasted Period</t>
  </si>
  <si>
    <t>Ng. Field Meas. &amp; Reg. Station</t>
  </si>
  <si>
    <t>Purchased Gas Cost - Operation</t>
  </si>
  <si>
    <t>T O T A L  O P E R A T I N G  E X P E N S E</t>
  </si>
  <si>
    <t>Total Operation and Maintenance Expense</t>
  </si>
  <si>
    <t xml:space="preserve">  Return On Total Capital (Average)</t>
  </si>
  <si>
    <t xml:space="preserve">  Return On Net Plant in Service (Average)</t>
  </si>
  <si>
    <t xml:space="preserve">  Mix of Sales:</t>
  </si>
  <si>
    <t>TOTAL OPERATING EXPENSE (incl Gas Cost)</t>
  </si>
  <si>
    <t>NET OPERATING INCOME</t>
  </si>
  <si>
    <t>STDRATE</t>
  </si>
  <si>
    <t>LTDRATE</t>
  </si>
  <si>
    <t xml:space="preserve">Jurisdictional </t>
  </si>
  <si>
    <t>Account</t>
  </si>
  <si>
    <t>N/A</t>
  </si>
  <si>
    <t xml:space="preserve">Sales by Customer Class: </t>
  </si>
  <si>
    <t>Average Volume per Class:</t>
  </si>
  <si>
    <t>Other Tang. Property - Application Software</t>
  </si>
  <si>
    <t>Cushion Gas</t>
  </si>
  <si>
    <t xml:space="preserve">      Odorization</t>
  </si>
  <si>
    <t>N E T  O P E R A T I N G  I N C O M E</t>
  </si>
  <si>
    <t>Atmos Energy Corporation, Kentucky/Mid-States Division</t>
  </si>
  <si>
    <t>Class of Capital</t>
  </si>
  <si>
    <t>Weighted</t>
  </si>
  <si>
    <t>Outstanding</t>
  </si>
  <si>
    <t>Effective</t>
  </si>
  <si>
    <t>Annual</t>
  </si>
  <si>
    <t>Issue</t>
  </si>
  <si>
    <t>Issued</t>
  </si>
  <si>
    <t>Premium</t>
  </si>
  <si>
    <t>or</t>
  </si>
  <si>
    <t>Discount</t>
  </si>
  <si>
    <t>Gain or Loss</t>
  </si>
  <si>
    <t>on Reacquired</t>
  </si>
  <si>
    <t>Stock</t>
  </si>
  <si>
    <t>Net</t>
  </si>
  <si>
    <t>Proceeds</t>
  </si>
  <si>
    <t>At Issue</t>
  </si>
  <si>
    <t>Annualized</t>
  </si>
  <si>
    <t>Dividends</t>
  </si>
  <si>
    <t>Workpaper Reference No(s).____________________</t>
  </si>
  <si>
    <t>1</t>
  </si>
  <si>
    <t>B-1</t>
  </si>
  <si>
    <t>2</t>
  </si>
  <si>
    <t>C-1</t>
  </si>
  <si>
    <t>3</t>
  </si>
  <si>
    <t>4</t>
  </si>
  <si>
    <t>5</t>
  </si>
  <si>
    <t>6</t>
  </si>
  <si>
    <t>7</t>
  </si>
  <si>
    <t>H</t>
  </si>
  <si>
    <t>8</t>
  </si>
  <si>
    <t>9</t>
  </si>
  <si>
    <t>10</t>
  </si>
  <si>
    <t>Data:__X___Base Period______Forecasted Period</t>
  </si>
  <si>
    <t>13 Month Avg</t>
  </si>
  <si>
    <t xml:space="preserve">  Earnings available for common equity</t>
  </si>
  <si>
    <t xml:space="preserve">    Acquisition Adjustments</t>
  </si>
  <si>
    <t xml:space="preserve">   Less:  Accumulated depreciation</t>
  </si>
  <si>
    <t xml:space="preserve">   Net plant in Service</t>
  </si>
  <si>
    <t>% of Construction financed internally</t>
  </si>
  <si>
    <t>Operating Income Percentage</t>
  </si>
  <si>
    <t>834 Storage Maintenance Compressor</t>
  </si>
  <si>
    <t>AGA</t>
  </si>
  <si>
    <t xml:space="preserve">     on Schedule F-2.1, Charitable Contributions.</t>
  </si>
  <si>
    <t>Summary of O &amp; M adjustments.</t>
  </si>
  <si>
    <t>Atmos Energy Corporation has no PREFERRED STOCK OUTSTANDING at this time.</t>
  </si>
  <si>
    <t>Positions included on this schedule are:</t>
  </si>
  <si>
    <t>These costs are total costs for Atmos Energy Corporation, a portion of which are allocated to Kentucky.</t>
  </si>
  <si>
    <t xml:space="preserve">  Labor</t>
  </si>
  <si>
    <t>Dividend Rate,</t>
  </si>
  <si>
    <t>Proposed</t>
  </si>
  <si>
    <t xml:space="preserve">   Total</t>
  </si>
  <si>
    <t>Adjusted Operating Income Statement</t>
  </si>
  <si>
    <t>Total DEBT</t>
  </si>
  <si>
    <t>Total Capital</t>
  </si>
  <si>
    <t xml:space="preserve">          sub-total</t>
  </si>
  <si>
    <t>Legal Fees</t>
  </si>
  <si>
    <t xml:space="preserve">     (J. Hughes/R. Hutchinson)</t>
  </si>
  <si>
    <t>Employee Expense</t>
  </si>
  <si>
    <t xml:space="preserve">Note:  Rate Case related expenses are shown separately on Schedule F-6. </t>
  </si>
  <si>
    <t xml:space="preserve">     (airfare, lodging, meals, etc.)</t>
  </si>
  <si>
    <t>Miscellaneous Expense</t>
  </si>
  <si>
    <t xml:space="preserve">     (printing, advertising, etc.)</t>
  </si>
  <si>
    <t>Note:  These items are not included in O&amp;M and therefore not part of revenue requirements.</t>
  </si>
  <si>
    <t>Data:__X____Base Period___X____Forecasted Period</t>
  </si>
  <si>
    <t>(c)</t>
  </si>
  <si>
    <t>Earned Rate of Return (line 2 divided by line 1)</t>
  </si>
  <si>
    <t>Required Operating Income (line 1 times line 4)</t>
  </si>
  <si>
    <t>Operating Income Deficiency (line 5 minus line 2)</t>
  </si>
  <si>
    <t>Revenue Deficiency (line 6 times line 7)</t>
  </si>
  <si>
    <t>Accumulated Depreciation &amp; Amortization</t>
  </si>
  <si>
    <t xml:space="preserve">Gross Payroll </t>
  </si>
  <si>
    <t>Monthly Jurisdictional Operating Income by FERC Account</t>
  </si>
  <si>
    <t xml:space="preserve">     Total     </t>
  </si>
  <si>
    <t>PROFESSIONAL Service Expenses</t>
  </si>
  <si>
    <t xml:space="preserve">      PGA for Commercial</t>
  </si>
  <si>
    <t>Total Distribution Expenses - Maintenance</t>
  </si>
  <si>
    <t>Customer Accounts Expenses - Operation</t>
  </si>
  <si>
    <t>SOCIAL and Service CLUB DUES</t>
  </si>
  <si>
    <t>(2)  All civic Memberships are Included on Schedule F-1, Social and Service Club Dues.</t>
  </si>
  <si>
    <t>Workpaper Reference No(s).</t>
  </si>
  <si>
    <t>Current Rates</t>
  </si>
  <si>
    <t>Proposed Rates</t>
  </si>
  <si>
    <t>Return at</t>
  </si>
  <si>
    <t>Detailed Adjustments</t>
  </si>
  <si>
    <t>Allowance For Working Capital</t>
  </si>
  <si>
    <t xml:space="preserve">   Other</t>
  </si>
  <si>
    <t>Other Capital</t>
  </si>
  <si>
    <t>Other Operating Income</t>
  </si>
  <si>
    <t>Health</t>
  </si>
  <si>
    <t>Total Production Expense - Operation</t>
  </si>
  <si>
    <t>887 Dist Maint of Mains</t>
  </si>
  <si>
    <t>Div 91 Accumulated Deferred Income Taxes</t>
  </si>
  <si>
    <t>Account 255 - Accumulated Deferred Investment Tax Credits</t>
  </si>
  <si>
    <t>Communication Equipment</t>
  </si>
  <si>
    <t>Wells \ Rights of Way</t>
  </si>
  <si>
    <t>Meter Installaitons</t>
  </si>
  <si>
    <t>House Reg. Installations</t>
  </si>
  <si>
    <t>Ind. Meas. &amp; Reg. Sta. Equipment</t>
  </si>
  <si>
    <t>Air Conditioning Equipment</t>
  </si>
  <si>
    <t>841/847</t>
  </si>
  <si>
    <t>Other Storage Exp. - LNG</t>
  </si>
  <si>
    <t>Sched</t>
  </si>
  <si>
    <t>Ref.</t>
  </si>
  <si>
    <t>Utility budget</t>
  </si>
  <si>
    <t>Other Tang. Property - PC Hardware</t>
  </si>
  <si>
    <t>Misc Cust Serv &amp; Informational Exp</t>
  </si>
  <si>
    <t>Budgeted</t>
  </si>
  <si>
    <t>912 Demonstrating and Selling Expenses</t>
  </si>
  <si>
    <t>913 Advertising Expenses</t>
  </si>
  <si>
    <t>924 Property insurance</t>
  </si>
  <si>
    <t>Other O &amp; M Expenses</t>
  </si>
  <si>
    <t>Workpaper Reference No(s).__________</t>
  </si>
  <si>
    <t>C-2.3</t>
  </si>
  <si>
    <t>Monthly Operating Income by FERC Account</t>
  </si>
  <si>
    <t>Taxes Other than Income Tax by Sub-Account</t>
  </si>
  <si>
    <t>Unallocated</t>
  </si>
  <si>
    <t>Income Tax Calculation</t>
  </si>
  <si>
    <t>ADJ 2</t>
  </si>
  <si>
    <t>ADJ 3</t>
  </si>
  <si>
    <t>ADJ 4</t>
  </si>
  <si>
    <t>ADJ 5</t>
  </si>
  <si>
    <t>Data:__X_____Base Period___X____Forecasted Period</t>
  </si>
  <si>
    <t>ADJ3</t>
  </si>
  <si>
    <t>D-2.1</t>
  </si>
  <si>
    <t>ADJUST.</t>
  </si>
  <si>
    <t>929 Uniforms capitalized</t>
  </si>
  <si>
    <t>840 Other Storage Expense</t>
  </si>
  <si>
    <t>Other Tangible Property - Servers - H/W</t>
  </si>
  <si>
    <t>Measuring &amp; Regulating Station Expense</t>
  </si>
  <si>
    <t>Purification</t>
  </si>
  <si>
    <t>Description of Expenses</t>
  </si>
  <si>
    <t>Supervision</t>
  </si>
  <si>
    <t>Customer Assistance</t>
  </si>
  <si>
    <t>Data:___x___Base Period___x___Forecasted Period</t>
  </si>
  <si>
    <t>Schedule F-2.2</t>
  </si>
  <si>
    <t>Payee</t>
  </si>
  <si>
    <t>Data:___x___Base Period___X___Forecasted Period</t>
  </si>
  <si>
    <t>Schedule F-2.3</t>
  </si>
  <si>
    <t xml:space="preserve">  Total Operating Revenue</t>
  </si>
  <si>
    <t xml:space="preserve">  Total Plant Revenue</t>
  </si>
  <si>
    <t xml:space="preserve">  Total DEPRECIATION and Amortization</t>
  </si>
  <si>
    <t xml:space="preserve">Total </t>
  </si>
  <si>
    <t>Total Other Working Capital Allowances</t>
  </si>
  <si>
    <t>Total Working Capital Requirements</t>
  </si>
  <si>
    <t>Construction Work in Progress</t>
  </si>
  <si>
    <t>% Change</t>
  </si>
  <si>
    <t>Executive Compensation</t>
  </si>
  <si>
    <t>Sales Expense</t>
  </si>
  <si>
    <t>Admin. &amp; General Expense</t>
  </si>
  <si>
    <t xml:space="preserve">Plant in Service by Accounts and SubAccounts </t>
  </si>
  <si>
    <t>Other Tangible Property - MF - Hardware</t>
  </si>
  <si>
    <t>TYPE, PAR Amount</t>
  </si>
  <si>
    <t xml:space="preserve">   Distribution Plant</t>
  </si>
  <si>
    <t>* *</t>
  </si>
  <si>
    <t>F-2.2</t>
  </si>
  <si>
    <t>F-3</t>
  </si>
  <si>
    <t>PROPOSED RATES</t>
  </si>
  <si>
    <t>CURRENT RATES</t>
  </si>
  <si>
    <t>Other Tang. Property - PC Software</t>
  </si>
  <si>
    <t>Mains</t>
  </si>
  <si>
    <t>Wells Expense</t>
  </si>
  <si>
    <t>Lines Expense</t>
  </si>
  <si>
    <t>404 Amortization Expense</t>
  </si>
  <si>
    <t>Deferred  Credits and Accumulated Deferred Income Taxes</t>
  </si>
  <si>
    <t>PAYROLL Costs</t>
  </si>
  <si>
    <t>13 Month Average</t>
  </si>
  <si>
    <t>Account 1540- Plant Materials and Operating Supplies</t>
  </si>
  <si>
    <t xml:space="preserve">Account 1630- Stores Expense Undistributed </t>
  </si>
  <si>
    <t>Total Materials &amp; Supplies</t>
  </si>
  <si>
    <t>Gas Stored Underground- Account 1641</t>
  </si>
  <si>
    <t>Prepayments- Account 1650</t>
  </si>
  <si>
    <t>Data Source:</t>
  </si>
  <si>
    <t>Material &amp; Supplies (Account 1540 &amp; 1630)</t>
  </si>
  <si>
    <t>Gas Stored Underground (Account 1641)</t>
  </si>
  <si>
    <t>Prepayments (Account 1650)</t>
  </si>
  <si>
    <t>Salvation Army</t>
  </si>
  <si>
    <t xml:space="preserve">Base Period </t>
  </si>
  <si>
    <t>(F=B+C-D+E)</t>
  </si>
  <si>
    <t>NOTES:</t>
  </si>
  <si>
    <t>ANNUALIZED SHORT-TERM DEBT</t>
  </si>
  <si>
    <t>Remittance Processing Equip</t>
  </si>
  <si>
    <t>Reference No.</t>
  </si>
  <si>
    <t>Accumulated Depreciation and Amortization</t>
  </si>
  <si>
    <t>Plant in Service by Account and Sub Account</t>
  </si>
  <si>
    <t xml:space="preserve">  Dividend Payout Ratio (Declared</t>
  </si>
  <si>
    <t xml:space="preserve">  Market Price - High (Low)</t>
  </si>
  <si>
    <t xml:space="preserve">   1st Quarter - High ($)</t>
  </si>
  <si>
    <t xml:space="preserve">   1st Quarter - Low ($)</t>
  </si>
  <si>
    <t xml:space="preserve">   2nd Quarter - High ($)</t>
  </si>
  <si>
    <t xml:space="preserve">   2nd Quarter - Low ($)</t>
  </si>
  <si>
    <t xml:space="preserve">   3rd Quarter - High ($)</t>
  </si>
  <si>
    <t>Period</t>
  </si>
  <si>
    <t>Type of Filing:___X_____Original________Updated</t>
  </si>
  <si>
    <t>Structures Frame</t>
  </si>
  <si>
    <t>Power Operated Equipment</t>
  </si>
  <si>
    <t>Misc Intangible Plant</t>
  </si>
  <si>
    <t>Total Customer Accounts Expense</t>
  </si>
  <si>
    <t>Customer Service &amp; Information - Operation</t>
  </si>
  <si>
    <t>F-1</t>
  </si>
  <si>
    <t>Social and Service Club Dues</t>
  </si>
  <si>
    <t>F-2.1</t>
  </si>
  <si>
    <t>Charitable Contributions</t>
  </si>
  <si>
    <t>Initiation Fees/Country Club Expenses</t>
  </si>
  <si>
    <t>F-2.3</t>
  </si>
  <si>
    <t>Employee Party, Outing and Gift Expenses</t>
  </si>
  <si>
    <t>Sales and Advertising Expenses</t>
  </si>
  <si>
    <t>F-4</t>
  </si>
  <si>
    <t>F-5</t>
  </si>
  <si>
    <t>Professional Service Expenses</t>
  </si>
  <si>
    <t>F-6</t>
  </si>
  <si>
    <t>F-7</t>
  </si>
  <si>
    <t>Civic, Political and Related Activities</t>
  </si>
  <si>
    <t>Expense Reports</t>
  </si>
  <si>
    <t>Jurisdictional Requirement</t>
  </si>
  <si>
    <t>Allocated O&amp;M</t>
  </si>
  <si>
    <t>*Note:  Debits are shown as positive, and credits are shown as negatives.  Includes the Shared Services allocation.</t>
  </si>
  <si>
    <t xml:space="preserve">                            </t>
  </si>
  <si>
    <t>Mcf</t>
  </si>
  <si>
    <t>Data:__X___Base Period__X___Forecasted Period</t>
  </si>
  <si>
    <t>488 MISC. Service Revenues</t>
  </si>
  <si>
    <t>Income Taxes</t>
  </si>
  <si>
    <t>Customer Service and Informational Expenses</t>
  </si>
  <si>
    <t>408 Taxes, Other than Income</t>
  </si>
  <si>
    <t>Rate</t>
  </si>
  <si>
    <t>Item</t>
  </si>
  <si>
    <t>Schedule F-5</t>
  </si>
  <si>
    <t>Schedule F-7</t>
  </si>
  <si>
    <t>Donations (1)</t>
  </si>
  <si>
    <t>Civic Duties (2)</t>
  </si>
  <si>
    <t xml:space="preserve">  Moody's Preferred Stock Rating</t>
  </si>
  <si>
    <t xml:space="preserve">  S&amp;P Preferred Stock Rating</t>
  </si>
  <si>
    <t>Common Stock Related Data: (1)</t>
  </si>
  <si>
    <t xml:space="preserve">  Shares Outstanding Year End (000)</t>
  </si>
  <si>
    <t xml:space="preserve">  Total SALE of Gas</t>
  </si>
  <si>
    <t>Operating income(loss)</t>
  </si>
  <si>
    <t>Other income</t>
  </si>
  <si>
    <t>Other Income</t>
  </si>
  <si>
    <t>Other</t>
  </si>
  <si>
    <t>Meas. &amp; Reg. Sta. Structues</t>
  </si>
  <si>
    <t>Other Structures</t>
  </si>
  <si>
    <t>Well Construction</t>
  </si>
  <si>
    <t>Well Equipment</t>
  </si>
  <si>
    <t>Leaseholds</t>
  </si>
  <si>
    <t>Storage Rights</t>
  </si>
  <si>
    <t>Compressor Station Equipment</t>
  </si>
  <si>
    <t>Taxes - Other</t>
  </si>
  <si>
    <t>Utility</t>
  </si>
  <si>
    <t>Jurisdiction</t>
  </si>
  <si>
    <t>Revenue</t>
  </si>
  <si>
    <t>Tributary Lines</t>
  </si>
  <si>
    <t>INCOME STATEMENT</t>
  </si>
  <si>
    <t>Operating Revenues</t>
  </si>
  <si>
    <t>Gas service revenue</t>
  </si>
  <si>
    <t xml:space="preserve">Other revenue </t>
  </si>
  <si>
    <t>Total Operating Revenues</t>
  </si>
  <si>
    <t>Purchase gas</t>
  </si>
  <si>
    <t>Purpose and Description</t>
  </si>
  <si>
    <t>ADJ1</t>
  </si>
  <si>
    <t>ADJ2</t>
  </si>
  <si>
    <t>ADJ 1</t>
  </si>
  <si>
    <t>Promotional</t>
  </si>
  <si>
    <t xml:space="preserve">  Employee INSURANCE PLANS</t>
  </si>
  <si>
    <t>Total Employee BENEFITS</t>
  </si>
  <si>
    <t>Employee PARTY, OUTING, and GIFT EXP.</t>
  </si>
  <si>
    <t>Computation of Gross Revenue Conversion Factor</t>
  </si>
  <si>
    <t>Comparative Income Statement</t>
  </si>
  <si>
    <t>(H=GXB)</t>
  </si>
  <si>
    <t>Pages</t>
  </si>
  <si>
    <t>Type of Filing:___X____Original________Updated ________Revised</t>
  </si>
  <si>
    <t>to Total Labor Dollars</t>
  </si>
  <si>
    <t>Employee Benefits</t>
  </si>
  <si>
    <t xml:space="preserve">  Return On Common Equity (Average)</t>
  </si>
  <si>
    <t>Most Recent Ten Calendar Years - as Reported</t>
  </si>
  <si>
    <t xml:space="preserve">  and State Taxes, includes gas cost) </t>
  </si>
  <si>
    <t>(H)</t>
  </si>
  <si>
    <t>(I)</t>
  </si>
  <si>
    <t>$000</t>
  </si>
  <si>
    <t>Various</t>
  </si>
  <si>
    <t>Schedule G-3</t>
  </si>
  <si>
    <t xml:space="preserve">  Taxes Other than Income</t>
  </si>
  <si>
    <t>Allocation</t>
  </si>
  <si>
    <t>Deferred Credits &amp; Accumulated Deferred Income Taxes</t>
  </si>
  <si>
    <t>Ratio of Payroll Taxes</t>
  </si>
  <si>
    <t xml:space="preserve">Expensed to Total Payroll </t>
  </si>
  <si>
    <t xml:space="preserve">   Average (Monthly) (000)</t>
  </si>
  <si>
    <t>Total Payroll Taxes</t>
  </si>
  <si>
    <t>Customer Advances For Construction</t>
  </si>
  <si>
    <t>Taxes</t>
  </si>
  <si>
    <t>Production O&amp;M Expense</t>
  </si>
  <si>
    <t>Storage O&amp;M Expense</t>
  </si>
  <si>
    <t>Storage Well Royalties</t>
  </si>
  <si>
    <t>Structure &amp; Improvements</t>
  </si>
  <si>
    <t>Reservoirs &amp; Wells</t>
  </si>
  <si>
    <t>Compressor Station Equip.</t>
  </si>
  <si>
    <t>Measuring &amp; Regulating Station Equip.</t>
  </si>
  <si>
    <t>Mains Expense</t>
  </si>
  <si>
    <t>Measuring &amp; Regulating Station Exp.</t>
  </si>
  <si>
    <t>Measuring &amp; Reg Station Equip.</t>
  </si>
  <si>
    <t>Other Equipment</t>
  </si>
  <si>
    <t>Other Exp.</t>
  </si>
  <si>
    <t>Supervision and Engineering</t>
  </si>
  <si>
    <t>Distribution Load Dispatching</t>
  </si>
  <si>
    <t>Stores Equipment</t>
  </si>
  <si>
    <t>Miscellaneous Equipment</t>
  </si>
  <si>
    <t>Transmission O&amp;M Expense</t>
  </si>
  <si>
    <t>SALE of Gas - Unbilled - no adjustment.</t>
  </si>
  <si>
    <t>876 Dist Meas/Reg Sta-Ind</t>
  </si>
  <si>
    <t>877 Dist Meas/Reg Sta-Cty.</t>
  </si>
  <si>
    <t>878 Dist Mtr/House Reg</t>
  </si>
  <si>
    <t>879 Dist Cust Install</t>
  </si>
  <si>
    <t>880 Dist Other Exp</t>
  </si>
  <si>
    <t>881 Dist Rents</t>
  </si>
  <si>
    <t>Total Distribution Expenses - Operation</t>
  </si>
  <si>
    <t>Distribution Expenses - Maintenance</t>
  </si>
  <si>
    <t>Production Expense - Operation</t>
  </si>
  <si>
    <t>Other Gas Revenue</t>
  </si>
  <si>
    <t>Political Activities (3)</t>
  </si>
  <si>
    <t>Informational and Instructional Advertising Expenses</t>
  </si>
  <si>
    <t>Customer Assistance Expenses</t>
  </si>
  <si>
    <t>Meter Reading Expenses</t>
  </si>
  <si>
    <t>Uncollectible Accounts</t>
  </si>
  <si>
    <t>Provision for Federal &amp; State Income Taxes</t>
  </si>
  <si>
    <t>Depreciation and Amortization</t>
  </si>
  <si>
    <t>Taxes Other than Income Taxes</t>
  </si>
  <si>
    <t>Operation Supervision &amp; Engineering</t>
  </si>
  <si>
    <t>Distribution O&amp;M Expense</t>
  </si>
  <si>
    <t>Account 190 - Accumulated Deferred Income Taxes</t>
  </si>
  <si>
    <t>Account 282 - Accumulated Deferred Income Taxes</t>
  </si>
  <si>
    <t>Account 283 - Accumulated Deferred Income Taxes - Other</t>
  </si>
  <si>
    <t>DIVISION 91</t>
  </si>
  <si>
    <t>Schedule D-1</t>
  </si>
  <si>
    <t>B-2</t>
  </si>
  <si>
    <t>B-3</t>
  </si>
  <si>
    <t>Data:___X____Base Period___X____Forecasted Period</t>
  </si>
  <si>
    <t xml:space="preserve">     </t>
  </si>
  <si>
    <t xml:space="preserve">  Total Payroll Taxes</t>
  </si>
  <si>
    <t>Total Compensation</t>
  </si>
  <si>
    <t>Data Source</t>
  </si>
  <si>
    <t>Filing Requirement</t>
  </si>
  <si>
    <t>B-2 B</t>
  </si>
  <si>
    <t>B-3 B</t>
  </si>
  <si>
    <t>B-4.2 B</t>
  </si>
  <si>
    <t>B-4.1 B</t>
  </si>
  <si>
    <t>B-6 B</t>
  </si>
  <si>
    <t>B-5 B</t>
  </si>
  <si>
    <t>B-2 F</t>
  </si>
  <si>
    <t>B-3 F</t>
  </si>
  <si>
    <t>B-4.2 F</t>
  </si>
  <si>
    <t>B-4.1 F</t>
  </si>
  <si>
    <t>B-6 F</t>
  </si>
  <si>
    <t>B-5 F</t>
  </si>
  <si>
    <t>Schedule B-3.1</t>
  </si>
  <si>
    <t>Description of methodology</t>
  </si>
  <si>
    <t>used to determine</t>
  </si>
  <si>
    <t>Schedule B-4 B</t>
  </si>
  <si>
    <t>Schedule B-4 F</t>
  </si>
  <si>
    <t>Schedule B-4.1 B</t>
  </si>
  <si>
    <t>Schedule B-4.1 F</t>
  </si>
  <si>
    <t>Schedule B-4.2 B</t>
  </si>
  <si>
    <t>Schedule B-4.2 F</t>
  </si>
  <si>
    <t>Sch. B-5 B</t>
  </si>
  <si>
    <t>Sch. B-5 F</t>
  </si>
  <si>
    <t>Sch. B-6 B</t>
  </si>
  <si>
    <t>Sch. B-6 F</t>
  </si>
  <si>
    <t>Schedule C-2.1 F</t>
  </si>
  <si>
    <t>Schedule C-2.1 B</t>
  </si>
  <si>
    <t>Schedule C-2.3 B</t>
  </si>
  <si>
    <t>Schedule C-2.3 F</t>
  </si>
  <si>
    <t>Schedule F-8</t>
  </si>
  <si>
    <t>Revenue by Customer Class:</t>
  </si>
  <si>
    <t>WP B-5 B</t>
  </si>
  <si>
    <t>Div 012 Accumulated Deferred Income Taxes</t>
  </si>
  <si>
    <t>Total Account 252 - Customer Advances For Construction</t>
  </si>
  <si>
    <t>Total Deferred Inc. Taxes and Investment Tax  Credits</t>
  </si>
  <si>
    <t>Communication Equip. - Telemetering</t>
  </si>
  <si>
    <t xml:space="preserve">     Total interest charges</t>
  </si>
  <si>
    <t>Income Before Taxes</t>
  </si>
  <si>
    <t>Provision for income taxes</t>
  </si>
  <si>
    <t>Meas &amp; Reg. Sta. Equipment T.b.</t>
  </si>
  <si>
    <t xml:space="preserve">  AFUDC - % of Net Income</t>
  </si>
  <si>
    <t xml:space="preserve">  AFUDC - % of earnings available for </t>
  </si>
  <si>
    <t xml:space="preserve">   common equity</t>
  </si>
  <si>
    <t>Costs of Capital (1)</t>
  </si>
  <si>
    <t xml:space="preserve">  Embedded cost of short-term debt (%)</t>
  </si>
  <si>
    <t xml:space="preserve">  Embedded cost of long-term debt  (%)</t>
  </si>
  <si>
    <t>Total Administrative and Gen. Exp. - Maintenance</t>
  </si>
  <si>
    <t>4091-4101</t>
  </si>
  <si>
    <t>Operating (Income)Loss*</t>
  </si>
  <si>
    <t>Total Employee Benefits</t>
  </si>
  <si>
    <t>Employee Benefits Expensed</t>
  </si>
  <si>
    <t>Rate of Return</t>
  </si>
  <si>
    <t>Operating Revenue</t>
  </si>
  <si>
    <t>Revenue &amp;</t>
  </si>
  <si>
    <t>Man Hours</t>
  </si>
  <si>
    <t>Labor Dollars</t>
  </si>
  <si>
    <t>Straight-Time Dollars</t>
  </si>
  <si>
    <t>885 Dist Maint Super/Eng</t>
  </si>
  <si>
    <t xml:space="preserve">  Moody's Bond Rating</t>
  </si>
  <si>
    <t xml:space="preserve">  S&amp;P Bond Rating</t>
  </si>
  <si>
    <t>Schedule B-1</t>
  </si>
  <si>
    <t>Structures-Brick</t>
  </si>
  <si>
    <t>Total Plant (Div 009, 091, 002, 012)</t>
  </si>
  <si>
    <t>CWIP With out AFUDC</t>
  </si>
  <si>
    <t>(a)</t>
  </si>
  <si>
    <t>(b)</t>
  </si>
  <si>
    <t>(d)</t>
  </si>
  <si>
    <t>(e)</t>
  </si>
  <si>
    <t>(g)</t>
  </si>
  <si>
    <t>(h)</t>
  </si>
  <si>
    <t>(i)</t>
  </si>
  <si>
    <t>(c) = (a) + (b)</t>
  </si>
  <si>
    <t>(f) = (c) * (d) * (e)</t>
  </si>
  <si>
    <t>(j) = (g) * (h) * (i)</t>
  </si>
  <si>
    <t>Total Administrative and General Exp. - Operation</t>
  </si>
  <si>
    <t>Administrative and General Salaries</t>
  </si>
  <si>
    <t>Office Supplies and Expenses</t>
  </si>
  <si>
    <t>Administrative Expense Transferred</t>
  </si>
  <si>
    <t>Outside Services Employed</t>
  </si>
  <si>
    <t>Injuries and Damages</t>
  </si>
  <si>
    <t>(3) These expenses are recorded below the line and therefore not included in O&amp;M.</t>
  </si>
  <si>
    <t>Employee Pensions and Benefits</t>
  </si>
  <si>
    <t>Regulatory Commission Expense</t>
  </si>
  <si>
    <t>Rents</t>
  </si>
  <si>
    <t>Demonstrating and Selling Expenses</t>
  </si>
  <si>
    <t>Administrative and General Expense - Maintenance</t>
  </si>
  <si>
    <t>Maintenance of General Plant</t>
  </si>
  <si>
    <t>Account 190 - Accumulated Deferred Income Taxes (1)</t>
  </si>
  <si>
    <t>886 Dist Maint Struc/Improv</t>
  </si>
  <si>
    <t>*</t>
  </si>
  <si>
    <t>Schedule J-1</t>
  </si>
  <si>
    <t>INITIATION FEES/COUNTRY CLUB Expenses  *</t>
  </si>
  <si>
    <t>Other - Public Authority</t>
  </si>
  <si>
    <t>Office Furniture &amp; Equipment</t>
  </si>
  <si>
    <t>Office Machines</t>
  </si>
  <si>
    <t>8950</t>
  </si>
  <si>
    <t xml:space="preserve">   Public authority &amp; Other Sales</t>
  </si>
  <si>
    <t xml:space="preserve">  Construction Work in Progress</t>
  </si>
  <si>
    <t>Cash Working Capital</t>
  </si>
  <si>
    <t>Working Capital</t>
  </si>
  <si>
    <t>Cash Working Capital Allowance</t>
  </si>
  <si>
    <t>Total Labor Dollars</t>
  </si>
  <si>
    <t>Data:__X___Base Period_____Forecasted Period</t>
  </si>
  <si>
    <t>Straight Time Hours</t>
  </si>
  <si>
    <t>Prepayments</t>
  </si>
  <si>
    <t>Material &amp; Supplies</t>
  </si>
  <si>
    <t>Rights of Way</t>
  </si>
  <si>
    <t>Operating Income</t>
  </si>
  <si>
    <t xml:space="preserve">  Operating Income</t>
  </si>
  <si>
    <t xml:space="preserve">Ratio of Employee Benefits </t>
  </si>
  <si>
    <t>Expensed to Total Employee</t>
  </si>
  <si>
    <t>Benefits</t>
  </si>
  <si>
    <t>Payroll Taxes</t>
  </si>
  <si>
    <t>Interest Income</t>
  </si>
  <si>
    <t>Costs allocated from SSU and KY-MDS General Office</t>
  </si>
  <si>
    <t>Newspaper, Magazine,bill stuffer &amp; Other</t>
  </si>
  <si>
    <t>Notes:</t>
  </si>
  <si>
    <t>Data:___X___Base Period___X____Forecasted Period</t>
  </si>
  <si>
    <t>Total Base Period</t>
  </si>
  <si>
    <t>BASE PERIOD</t>
  </si>
  <si>
    <t>Sched. B-6</t>
  </si>
  <si>
    <t>B-6</t>
  </si>
  <si>
    <t>American Red Cross</t>
  </si>
  <si>
    <t xml:space="preserve">  Pre-Tax Interest Coverage </t>
  </si>
  <si>
    <t xml:space="preserve">  Pre-Tax Interest Coverage (Excluding AFUDC)</t>
  </si>
  <si>
    <t xml:space="preserve">      Other Gas Purchases / Gas Cost Adjustments</t>
  </si>
  <si>
    <t>Taxable Income</t>
  </si>
  <si>
    <t>Summary</t>
  </si>
  <si>
    <t>B</t>
  </si>
  <si>
    <t>C</t>
  </si>
  <si>
    <t>Operating Income (Revenues &amp; Expenses)</t>
  </si>
  <si>
    <t>D</t>
  </si>
  <si>
    <t>Adjustments to Operating Income by Account</t>
  </si>
  <si>
    <t>F</t>
  </si>
  <si>
    <t>Rule F Compliance Adjustments</t>
  </si>
  <si>
    <t>G</t>
  </si>
  <si>
    <t>Payroll Analysis</t>
  </si>
  <si>
    <t>I</t>
  </si>
  <si>
    <t>Comparative Income Statements</t>
  </si>
  <si>
    <t>J</t>
  </si>
  <si>
    <t>Cost of Capital</t>
  </si>
  <si>
    <t>K</t>
  </si>
  <si>
    <t>E</t>
  </si>
  <si>
    <t>Schedule   E</t>
  </si>
  <si>
    <t>Fully Adjusted</t>
  </si>
  <si>
    <t>Operating Income before Income Tax &amp; Interest</t>
  </si>
  <si>
    <t>(1) Based on fiscal year-end of parent company</t>
  </si>
  <si>
    <t xml:space="preserve">  ESOP PLAN Contributions</t>
  </si>
  <si>
    <t>NOTE:  This schedule contains confidential information, detail of these numbers are available upon request.</t>
  </si>
  <si>
    <t xml:space="preserve">      PGA for Industrial</t>
  </si>
  <si>
    <t xml:space="preserve">      PGA for Public Authority</t>
  </si>
  <si>
    <t>Miscellaneous Sales Expenses</t>
  </si>
  <si>
    <t>Other Gas Supply Expenses - Operation</t>
  </si>
  <si>
    <t xml:space="preserve">  Total Other Gas Supply Expenses - Operation</t>
  </si>
  <si>
    <t>NET Operating Income Impact</t>
  </si>
  <si>
    <t>Schedule G-1</t>
  </si>
  <si>
    <t>Schedule G-2</t>
  </si>
  <si>
    <t xml:space="preserve">  Dividends Declared Per Share ($)</t>
  </si>
  <si>
    <t>Mains Cathodic Protection</t>
  </si>
  <si>
    <t>Mains - Plastic</t>
  </si>
  <si>
    <t>Meters</t>
  </si>
  <si>
    <t>Working Capital Components - 13 Month Averages</t>
  </si>
  <si>
    <t>Cash Working Capital - 1/8 O&amp;M Expenses</t>
  </si>
  <si>
    <t>Payroll Costs</t>
  </si>
  <si>
    <t>Total Payroll Costs</t>
  </si>
  <si>
    <t>Operating Income by Major Accounts</t>
  </si>
  <si>
    <t>Advertising Expenses</t>
  </si>
  <si>
    <t>Sheet 1 of 1</t>
  </si>
  <si>
    <t>13 Mth Avg.</t>
  </si>
  <si>
    <t>Total Customer Accounts Expenses - Operation</t>
  </si>
  <si>
    <t>Structures &amp; Improvements</t>
  </si>
  <si>
    <t>Miscellaneous general expenses</t>
  </si>
  <si>
    <t>Maintenance of general plant</t>
  </si>
  <si>
    <t xml:space="preserve">  Shares Outstanding - Weighted</t>
  </si>
  <si>
    <t>Data:__X____Base Period___X___Forecasted Period</t>
  </si>
  <si>
    <t>Amortization of gas plant acquisition adjustments</t>
  </si>
  <si>
    <t>Taxes other than income taxes, utility operating income</t>
  </si>
  <si>
    <t>Residential sales</t>
  </si>
  <si>
    <t>Other Sales to Public Authorities</t>
  </si>
  <si>
    <t>Miscellaneous service revenues</t>
  </si>
  <si>
    <t>Revenue-Transportation Commercial</t>
  </si>
  <si>
    <t>Intercompany Gas Well-head Purchases</t>
  </si>
  <si>
    <t>Natural gas city gate purchases</t>
  </si>
  <si>
    <t>Other purchases</t>
  </si>
  <si>
    <t>PGA for Residential</t>
  </si>
  <si>
    <t>PGA for Commercial</t>
  </si>
  <si>
    <t>PGA for Industrial</t>
  </si>
  <si>
    <t>PGA for Public Authorities</t>
  </si>
  <si>
    <t>Unbilled PGA Cost</t>
  </si>
  <si>
    <t>PGA Offset to Unrecovered Gas Cost</t>
  </si>
  <si>
    <t>Exchange gas</t>
  </si>
  <si>
    <t>Gas withdrawn from storage-Debit</t>
  </si>
  <si>
    <t>Gas delivered to storage-Credit</t>
  </si>
  <si>
    <t>Gas used for other utility operations-Credit</t>
  </si>
  <si>
    <t>Storage-Operation supervision and engineering</t>
  </si>
  <si>
    <t>Wells expenses</t>
  </si>
  <si>
    <t>EMPLOYEE EXPENSE REPORT EXCLUSIONS</t>
  </si>
  <si>
    <t xml:space="preserve">Data Source: </t>
  </si>
  <si>
    <t>Expense Report Review Division 009.xls</t>
  </si>
  <si>
    <t>Expense Report Review Division 091.xls</t>
  </si>
  <si>
    <t>Total Expense Report Exclusions</t>
  </si>
  <si>
    <t>Lines expenses</t>
  </si>
  <si>
    <t>Compressor station expenses</t>
  </si>
  <si>
    <t>Compressor station fuel and power</t>
  </si>
  <si>
    <t>Storage-Measuring and regulating station expenses</t>
  </si>
  <si>
    <t>Storage-Purification expenses</t>
  </si>
  <si>
    <t>Storage-Other expenses</t>
  </si>
  <si>
    <t>Percentage of</t>
  </si>
  <si>
    <t>Incremental</t>
  </si>
  <si>
    <t>Less: Uncollectible Accounts Expense</t>
  </si>
  <si>
    <t>Less: PSC Fees</t>
  </si>
  <si>
    <t>Net Revenues</t>
  </si>
  <si>
    <t>Income before Federal Income Tax</t>
  </si>
  <si>
    <t>(100 % divided by Income after Income Tax)</t>
  </si>
  <si>
    <t>AVERAGE SHORT-TERM DEBT</t>
  </si>
  <si>
    <t>TOTAL SHORT-TERM DEBT</t>
  </si>
  <si>
    <t>AVERAGE SHORT-TERM DEBT (1)</t>
  </si>
  <si>
    <t>Storage well royalties</t>
  </si>
  <si>
    <t>Storage-Maintenance of structures and improvements</t>
  </si>
  <si>
    <t>Maintenance of compressor station equipment</t>
  </si>
  <si>
    <t>Maintenance of measuring and regulating station equipment</t>
  </si>
  <si>
    <t>Processing-Maintenance of purification equipment</t>
  </si>
  <si>
    <t>Transmission-Operation supervision and engineering</t>
  </si>
  <si>
    <t>Mains expenses</t>
  </si>
  <si>
    <t>Transmission-Measuring and regulating station expenses</t>
  </si>
  <si>
    <t>Transmission-Maintenance of mains</t>
  </si>
  <si>
    <t>Transmission-Maintenance of measuring and regulating station equipment</t>
  </si>
  <si>
    <t>Distribution-Operation supervision and engineering</t>
  </si>
  <si>
    <t>Distribution load dispatching</t>
  </si>
  <si>
    <t>Mains and Services Expenses</t>
  </si>
  <si>
    <t>Distribution-Measuring and regulating station expenses</t>
  </si>
  <si>
    <t>Distribution-Measuring and regulating station expenses-Industrial</t>
  </si>
  <si>
    <t>Distribution-Measuring and regulating station expenses-City gate check stations</t>
  </si>
  <si>
    <t>Meter and house regulator expenses</t>
  </si>
  <si>
    <t>Customer installations expenses</t>
  </si>
  <si>
    <t>Distribution-Other expenses</t>
  </si>
  <si>
    <t>Distribution-Rents</t>
  </si>
  <si>
    <t>Distribution-Maintenance supervision and engineering</t>
  </si>
  <si>
    <t>Distribution-Maintenance of structures and improvements</t>
  </si>
  <si>
    <t>Distribution-Maint of mains</t>
  </si>
  <si>
    <t>Maintenance of measuring and regulating station equipment-General</t>
  </si>
  <si>
    <t>Maintenance of measuring and regulating station equipment-Industrial</t>
  </si>
  <si>
    <t>Maintenance of measuring and regulating station equipment-City gate check stations</t>
  </si>
  <si>
    <t>Maintenance of services</t>
  </si>
  <si>
    <t>Maintenance of meters and house regulators</t>
  </si>
  <si>
    <t>Distribution-Maintenance of other equipment</t>
  </si>
  <si>
    <t>Customer accounts-Meter reading expenses</t>
  </si>
  <si>
    <t>Sub Account 07421- Service Awards</t>
  </si>
  <si>
    <t>Grand Total</t>
  </si>
  <si>
    <t>Class Cost Study - P. Raab</t>
  </si>
  <si>
    <t>Cost of Capital - Vander Weide, J. H.</t>
  </si>
  <si>
    <t>Customer accounts-Customer records and collections expenses</t>
  </si>
  <si>
    <t>Customer accounts-Uncollectible accounts</t>
  </si>
  <si>
    <t>Customer service-Operating informational and instructional advertising expense</t>
  </si>
  <si>
    <t>Customer service-Miscellaneous customer service</t>
  </si>
  <si>
    <t>Sales-Supervision</t>
  </si>
  <si>
    <t>Sales-Demonstrating and selling expenses</t>
  </si>
  <si>
    <t>Sales-Advertising expenses</t>
  </si>
  <si>
    <t>A&amp;G-Office supplies &amp; expense</t>
  </si>
  <si>
    <t>A&amp;G-Administrative expense transferred-Credit</t>
  </si>
  <si>
    <t>A&amp;G-Outside services employed</t>
  </si>
  <si>
    <t>A&amp;G-Property insurance</t>
  </si>
  <si>
    <t>A&amp;G-Injuries &amp; damages</t>
  </si>
  <si>
    <t>A&amp;G-Employee pensions and benefits</t>
  </si>
  <si>
    <t>A&amp;G-Franchise requirements</t>
  </si>
  <si>
    <t>A&amp;G-Regulatory commission expenses</t>
  </si>
  <si>
    <t>Account Discription</t>
  </si>
  <si>
    <t>Data Sources:</t>
  </si>
  <si>
    <t>Advertising</t>
  </si>
  <si>
    <t>Miscellaneous Sales Expense</t>
  </si>
  <si>
    <t xml:space="preserve">   General Plant</t>
  </si>
  <si>
    <t>Total Projected Rate Case Expense</t>
  </si>
  <si>
    <t>Museums &amp; Arts</t>
  </si>
  <si>
    <t>Youth Clubs &amp; Centers</t>
  </si>
  <si>
    <t>Other Tangible Property - Servers - S/W</t>
  </si>
  <si>
    <t>Compressor Station Labor &amp; Expenses</t>
  </si>
  <si>
    <t>Mains &amp; Services</t>
  </si>
  <si>
    <t>Meters and House Regulator Expense</t>
  </si>
  <si>
    <t>Customer Installations Expense</t>
  </si>
  <si>
    <t>Other Expense</t>
  </si>
  <si>
    <t>Measuring and Regulating Station Exp. - Gen</t>
  </si>
  <si>
    <t>Measuring and Regulating Station Exp. - Ind.</t>
  </si>
  <si>
    <t>Measuring and Regulating Sta. Exp. - City Gate</t>
  </si>
  <si>
    <t>Structures and Improvements</t>
  </si>
  <si>
    <t>Meters and House Regulators</t>
  </si>
  <si>
    <t>Customer Records &amp; Collections</t>
  </si>
  <si>
    <t>F-8</t>
  </si>
  <si>
    <t>Total Manhours</t>
  </si>
  <si>
    <t xml:space="preserve">  AFUDC</t>
  </si>
  <si>
    <t xml:space="preserve">Working Capital Components </t>
  </si>
  <si>
    <t xml:space="preserve">  Embedded cost of preferred stock (%)</t>
  </si>
  <si>
    <t>Supervision (1)</t>
  </si>
  <si>
    <t>Informational Advertising (1)</t>
  </si>
  <si>
    <t>Miscellaneous Customer Service and Informational (1)</t>
  </si>
  <si>
    <t>Demonstration and Selling (1)</t>
  </si>
  <si>
    <t xml:space="preserve">Allocated </t>
  </si>
  <si>
    <t>06111- Contract Labor</t>
  </si>
  <si>
    <t>06121- Legal</t>
  </si>
  <si>
    <t>Fixed Charge Coverage: (1)</t>
  </si>
  <si>
    <t>Description</t>
  </si>
  <si>
    <t>Unadjusted</t>
  </si>
  <si>
    <t>Adjustments</t>
  </si>
  <si>
    <t>Adjusted</t>
  </si>
  <si>
    <t>Interest Charges</t>
  </si>
  <si>
    <t>Operating Expenses</t>
  </si>
  <si>
    <t>Requirement</t>
  </si>
  <si>
    <t>Meas &amp; Reg. Equipment</t>
  </si>
  <si>
    <t>Transmission Plant</t>
  </si>
  <si>
    <t>Other Structues</t>
  </si>
  <si>
    <t>Meas. &amp; Reg. Equipment</t>
  </si>
  <si>
    <t>Land Other</t>
  </si>
  <si>
    <t>Structures &amp; Improvements T.B.</t>
  </si>
  <si>
    <t>Improvements</t>
  </si>
  <si>
    <t>Land Rights</t>
  </si>
  <si>
    <t>Overall Financial Summary</t>
  </si>
  <si>
    <t>Allocation from taxes other SS</t>
  </si>
  <si>
    <t>Factor</t>
  </si>
  <si>
    <t>Other Tangible Property - Network - H/W</t>
  </si>
  <si>
    <t>Total Transmission Expense - Operation</t>
  </si>
  <si>
    <t>Transmission Expense - Maintenance</t>
  </si>
  <si>
    <t>Total Transmission Expense - Maintenance</t>
  </si>
  <si>
    <t xml:space="preserve">      Exchange Gas</t>
  </si>
  <si>
    <t>Schedule B-2 F</t>
  </si>
  <si>
    <t>Schedule B-2 B</t>
  </si>
  <si>
    <t>Schedule B-3 B</t>
  </si>
  <si>
    <t>Schedule B-3 F</t>
  </si>
  <si>
    <t>Natural Gas Storage Expense - Maintenance</t>
  </si>
  <si>
    <t>Forfeited Discounts</t>
  </si>
  <si>
    <t>Misc. Service Revenues</t>
  </si>
  <si>
    <t>480 Gas Rev - Residential</t>
  </si>
  <si>
    <t>480 Gas Rev - Commericial</t>
  </si>
  <si>
    <t>480 Gas Rev - Industrial</t>
  </si>
  <si>
    <t>480 Gas Rev - Public Authority &amp; Other</t>
  </si>
  <si>
    <t>890 Dist Maint Meas/Reg Sta-Ind</t>
  </si>
  <si>
    <t>891 Dist Maint Meas/Reg Sta-Cty</t>
  </si>
  <si>
    <t>892 Dist Maint of Ser</t>
  </si>
  <si>
    <t>893 Dist Maint Mtr/House Reg</t>
  </si>
  <si>
    <t xml:space="preserve">      Gas Used for Other Utility Operations</t>
  </si>
  <si>
    <t>Total Purchased Gas Cost</t>
  </si>
  <si>
    <t>Natural Gas Storage Expense - Operation</t>
  </si>
  <si>
    <t>Total Nat. Gas Storage Expense - Operation</t>
  </si>
  <si>
    <t>Total Nat. Gas Storage Expense - Maintenance</t>
  </si>
  <si>
    <t>Transmission Expense - Operation</t>
  </si>
  <si>
    <t>AVERAGE ANNUALIZED SHORT-TERM DEBT</t>
  </si>
  <si>
    <t xml:space="preserve">  Earnings Per Share - Weighted Avg. ($)</t>
  </si>
  <si>
    <t xml:space="preserve">  Dividends Paid Per Share ($)</t>
  </si>
  <si>
    <t>Education</t>
  </si>
  <si>
    <t>United Way Agencies</t>
  </si>
  <si>
    <t>Community Welfare</t>
  </si>
  <si>
    <t>Tools, Shop &amp; Garage Equipment</t>
  </si>
  <si>
    <t>Improvement to leased Premises</t>
  </si>
  <si>
    <t xml:space="preserve">   Residential</t>
  </si>
  <si>
    <t xml:space="preserve">   Commercial</t>
  </si>
  <si>
    <t>to Straight-Time Dollars</t>
  </si>
  <si>
    <t>Purification Equipment</t>
  </si>
  <si>
    <t>819 Storage Compressor Station Fuel</t>
  </si>
  <si>
    <t>820 Storage Measuring &amp; Regulating</t>
  </si>
  <si>
    <t>821 Storage Purification</t>
  </si>
  <si>
    <t>824 Storage Other Expense</t>
  </si>
  <si>
    <t>825 Storage Royalties</t>
  </si>
  <si>
    <t>831 Storage Maintenance Structure</t>
  </si>
  <si>
    <t>832 Storage Maintenance Res</t>
  </si>
  <si>
    <t>Type of Filing:_______Original________Updated ____X____Revised</t>
  </si>
  <si>
    <t>13 Mth Average</t>
  </si>
  <si>
    <t>Distribution Expenses - Operation</t>
  </si>
  <si>
    <t xml:space="preserve">  Depreciation Expense</t>
  </si>
  <si>
    <t>Services</t>
  </si>
  <si>
    <t>House Regulators</t>
  </si>
  <si>
    <t>Interest Expense</t>
  </si>
  <si>
    <t>Data:_____Base Period___X__Forecasted Period</t>
  </si>
  <si>
    <t>Period End</t>
  </si>
  <si>
    <t>Customer Service and Informational SALES and General ADVERTISING Expense</t>
  </si>
  <si>
    <t>Other Working Capital Allowances (Inventory &amp; Prepaids)</t>
  </si>
  <si>
    <t>100%</t>
  </si>
  <si>
    <t xml:space="preserve">   3rd Quarter - Low ($)</t>
  </si>
  <si>
    <t xml:space="preserve">   4th Quarter - High ($)</t>
  </si>
  <si>
    <t xml:space="preserve">   4th Quarter - Low ($)</t>
  </si>
  <si>
    <t xml:space="preserve">  Book Amount Per Share (Year-end) ($)</t>
  </si>
  <si>
    <t>Data:________Base Period___X____Forecasted Period</t>
  </si>
  <si>
    <t>D-1</t>
  </si>
  <si>
    <t>925 Adm Gen Injuries/Damages</t>
  </si>
  <si>
    <t>926 Adm Gen Empl Pen/Ben</t>
  </si>
  <si>
    <t>(based on year-end accounts))</t>
  </si>
  <si>
    <t xml:space="preserve">  Short-term debt ($000)</t>
  </si>
  <si>
    <t xml:space="preserve">  Long-term debt ($000)</t>
  </si>
  <si>
    <t xml:space="preserve">  Other Income net</t>
  </si>
  <si>
    <t xml:space="preserve">  Income available for fixed charges</t>
  </si>
  <si>
    <t xml:space="preserve">  Interest charges</t>
  </si>
  <si>
    <t xml:space="preserve">  Net Income</t>
  </si>
  <si>
    <t xml:space="preserve">  Preferred dividends accrual</t>
  </si>
  <si>
    <t>Transportation Equipment</t>
  </si>
  <si>
    <t>Summary of Utility Jurisdictional Adjustments to Operating Income by Account</t>
  </si>
  <si>
    <t>LN</t>
  </si>
  <si>
    <t>NO</t>
  </si>
  <si>
    <t>ADJUSTED</t>
  </si>
  <si>
    <t>(A)</t>
  </si>
  <si>
    <t>(B)</t>
  </si>
  <si>
    <t>(C)</t>
  </si>
  <si>
    <t>AVERAGE ANNUALIZED LONG-TERM DEBT</t>
  </si>
  <si>
    <t xml:space="preserve">(1) Included in these accounts are advertising and promotional advertising expenses which are considered Non-recoverable and will be Excluded </t>
  </si>
  <si>
    <t>Rate of Return Measures (1)</t>
  </si>
  <si>
    <t xml:space="preserve">Gas Stored Underground </t>
  </si>
  <si>
    <t xml:space="preserve">  FAS 106</t>
  </si>
  <si>
    <t>D-2.2</t>
  </si>
  <si>
    <t>GRAND</t>
  </si>
  <si>
    <t>D-2.3</t>
  </si>
  <si>
    <t>(1)</t>
  </si>
  <si>
    <t>(2)</t>
  </si>
  <si>
    <t>(3)</t>
  </si>
  <si>
    <t xml:space="preserve"> 1</t>
  </si>
  <si>
    <t>12.50%</t>
  </si>
  <si>
    <t xml:space="preserve">  Salary</t>
  </si>
  <si>
    <t xml:space="preserve">  Other Allowances and Compensation</t>
  </si>
  <si>
    <t xml:space="preserve">  Total Salary and Compensation</t>
  </si>
  <si>
    <t xml:space="preserve">  Pensions</t>
  </si>
  <si>
    <t xml:space="preserve">  Other Benefits</t>
  </si>
  <si>
    <t xml:space="preserve">  Total Employee Benefits</t>
  </si>
  <si>
    <t>Payroll Taxes Expensed</t>
  </si>
  <si>
    <t xml:space="preserve">  After Tax Interest Coverage  </t>
  </si>
  <si>
    <t xml:space="preserve">  SEC Coverage</t>
  </si>
  <si>
    <t xml:space="preserve">  After Tax Interest Coverage (Excluding AFUDC)</t>
  </si>
  <si>
    <t xml:space="preserve">  Indenture Provision Coverage</t>
  </si>
  <si>
    <t xml:space="preserve">  After Tax Fixed Charge Coverage</t>
  </si>
  <si>
    <t>Stock and Bond Ratings: (1)</t>
  </si>
  <si>
    <t>Jurisdictional Rate Base Summary</t>
  </si>
  <si>
    <t>Increase</t>
  </si>
  <si>
    <t>Revenue Increase Requested</t>
  </si>
  <si>
    <t>SALE of Gas</t>
  </si>
  <si>
    <t>Total Sales Expenses</t>
  </si>
  <si>
    <t>Administrative and General Expenses - Operation</t>
  </si>
  <si>
    <t>DIVISION 12</t>
  </si>
  <si>
    <t>Jurisdictional Accumulated Depreciation &amp; Amortization</t>
  </si>
  <si>
    <t>B-3.1</t>
  </si>
  <si>
    <t>Field Meas. &amp; Reg. Sta. Equip</t>
  </si>
  <si>
    <t>Total Operating Expenses</t>
  </si>
  <si>
    <t>Type of Filing:___X____Original________Updated</t>
  </si>
  <si>
    <t>Type of Filing:___X____Original________Updated________Revised</t>
  </si>
  <si>
    <t>Type of Filing:___X_____Original________Updated________Revised</t>
  </si>
  <si>
    <t>Type of Filing:___X____Original________Updated_________Revised</t>
  </si>
  <si>
    <t>Type of Filing:___X____Original_______Updated_______Revised</t>
  </si>
  <si>
    <t xml:space="preserve">ACCOUNT No. </t>
  </si>
  <si>
    <t>Base Year</t>
  </si>
  <si>
    <t>Expenses</t>
  </si>
  <si>
    <t>Classification</t>
  </si>
  <si>
    <t>Major Group</t>
  </si>
  <si>
    <t>Kentucky Composite Tax</t>
  </si>
  <si>
    <t>Deferred Inc. Taxes and Investment Tax  Credits</t>
  </si>
  <si>
    <t>Workpaper Reference NO(S).____________________</t>
  </si>
  <si>
    <t>J-1</t>
  </si>
  <si>
    <t>SALES STATISTICS</t>
  </si>
  <si>
    <t>Schedule I</t>
  </si>
  <si>
    <t xml:space="preserve">      Transportation to City Gate</t>
  </si>
  <si>
    <t xml:space="preserve">Operating Revenue and Expenses by FERC Account </t>
  </si>
  <si>
    <t>Production Expense - Maintenance</t>
  </si>
  <si>
    <t>Ng Main. Supervision &amp; Engineering</t>
  </si>
  <si>
    <t>Ng. Main. Supervision &amp; Engineering</t>
  </si>
  <si>
    <t>Rate Base, Dep. Exp., &amp; Taxes Other</t>
  </si>
  <si>
    <t>Retirement Work in Progress</t>
  </si>
  <si>
    <t>Composite</t>
  </si>
  <si>
    <t>Total Accumulated Depreciation &amp; Amortization (Div 009, 091, 002, 012)</t>
  </si>
  <si>
    <t>Data:_____Base Period___X___Forecasted Period</t>
  </si>
  <si>
    <t>Land &amp; Land Rights</t>
  </si>
  <si>
    <t>State &amp; Federal Income Tax</t>
  </si>
  <si>
    <t>* Interest Expense Calculation:</t>
  </si>
  <si>
    <t>State Tax Rate</t>
  </si>
  <si>
    <t>Federal Tax Rate</t>
  </si>
  <si>
    <t>Other Tangible Property</t>
  </si>
  <si>
    <t>Other Financial and Operating Data:</t>
  </si>
  <si>
    <t>Plant Data: ($000)</t>
  </si>
  <si>
    <t xml:space="preserve">  Total Sales of Gas</t>
  </si>
  <si>
    <t xml:space="preserve">  Total Other Operating Income</t>
  </si>
  <si>
    <t>Cost Rate</t>
  </si>
  <si>
    <t>Employee Levels</t>
  </si>
  <si>
    <t>Average Employee Levels</t>
  </si>
  <si>
    <t>Year end Employee Levels</t>
  </si>
  <si>
    <t>Most Recent Five Calendar Years</t>
  </si>
  <si>
    <t>Payroll Analysis by Employee Classifications/Payroll Distribution/Total Company</t>
  </si>
  <si>
    <t xml:space="preserve">  Total MIX of Fuel (2)</t>
  </si>
  <si>
    <t>(2) Kentucky gas purchases by accounting month.</t>
  </si>
  <si>
    <t>Cash Working Capital Components - 1 / 8 O&amp;M Expenses</t>
  </si>
  <si>
    <t>Period ending</t>
  </si>
  <si>
    <t>Sched. B-5</t>
  </si>
  <si>
    <t>C-2.1</t>
  </si>
  <si>
    <t>General Plant **</t>
  </si>
  <si>
    <t>Base Period Ending Balance</t>
  </si>
  <si>
    <t>Kentucky Direct (Div 009)</t>
  </si>
  <si>
    <t>KY/Mid-States General Office (Div 091)</t>
  </si>
  <si>
    <t>Shared Services General Office (Div 002)</t>
  </si>
  <si>
    <t>Shared Services Customer Support (Div 012)</t>
  </si>
  <si>
    <t>Safety or</t>
  </si>
  <si>
    <t>Req by Law</t>
  </si>
  <si>
    <t>Other Tang. Property - CPU</t>
  </si>
  <si>
    <t xml:space="preserve">    Total CWIP</t>
  </si>
  <si>
    <t>Total LONG-TERM DEBT</t>
  </si>
  <si>
    <t>927 Adm Gen Franchise Req</t>
  </si>
  <si>
    <t>928 Adm Gen Reg Comm Exp</t>
  </si>
  <si>
    <t>9301 Adm Gen Goodwill Adv</t>
  </si>
  <si>
    <t>9302 Adm Gen Gen Exp</t>
  </si>
  <si>
    <t>932 Adm Gen Maint Gen Plant</t>
  </si>
  <si>
    <t>Supporting</t>
  </si>
  <si>
    <t>Adjusted Operating Revenues</t>
  </si>
  <si>
    <t xml:space="preserve">  Operating Revenues </t>
  </si>
  <si>
    <t>Rate Base Component</t>
  </si>
  <si>
    <t>Component</t>
  </si>
  <si>
    <t>Meas &amp; Reg. Sta. Equip - City Gate</t>
  </si>
  <si>
    <t>Net Operating Income</t>
  </si>
  <si>
    <t>817 Storage Lines Expense</t>
  </si>
  <si>
    <t>818 Storage Compressor Station</t>
  </si>
  <si>
    <t>889 Dist Maint Meas/Reg Sta-Gen</t>
  </si>
  <si>
    <t>Witness:   Waller</t>
  </si>
  <si>
    <t>G-Structures &amp; Improvements</t>
  </si>
  <si>
    <t>G-Office Furniture &amp; Equip.</t>
  </si>
  <si>
    <t>Laboratory Equipment</t>
  </si>
  <si>
    <t>CKV-Land &amp; Land Rights</t>
  </si>
  <si>
    <t>CKV-Structures &amp; Improvements</t>
  </si>
  <si>
    <t>CKV-Communication Equipment</t>
  </si>
  <si>
    <t>CKV-Other Tangible Property</t>
  </si>
  <si>
    <t>CKV-Oth Tang Prop-PC Hardware</t>
  </si>
  <si>
    <t>CKV-Oth Tang Prop-PC Software</t>
  </si>
  <si>
    <t>depreciation expense due to the increased level of depreciable plant investment.</t>
  </si>
  <si>
    <t xml:space="preserve">Taxes Other - The purpose of this adjustment is to account for anticipated </t>
  </si>
  <si>
    <t>changes in Taxes, Other than Income Taxes</t>
  </si>
  <si>
    <t>Natural gas field line purchases</t>
  </si>
  <si>
    <t>Transmission and compression of gas by others</t>
  </si>
  <si>
    <t>Revenue-Transportation Distribution</t>
  </si>
  <si>
    <t xml:space="preserve">      Transmission and compression of gas by others</t>
  </si>
  <si>
    <t xml:space="preserve">      Natural gas field line purchases</t>
  </si>
  <si>
    <t xml:space="preserve">      Gas used for products extraction-Credit</t>
  </si>
  <si>
    <t>4893-4896</t>
  </si>
  <si>
    <t>**Note:  Provision for Income Taxes is not a component of Operating Income but is included on this schedule to develop the 12 month total for use elsewhere in the model</t>
  </si>
  <si>
    <t>Allocation Factors</t>
  </si>
  <si>
    <t>Forecast Period</t>
  </si>
  <si>
    <t>KY/ Md-Sts</t>
  </si>
  <si>
    <t>Charles K. Vaughan Center</t>
  </si>
  <si>
    <t>Greenville Avenue Data Center</t>
  </si>
  <si>
    <t>Forecast</t>
  </si>
  <si>
    <t>489 Revenue From Transporting Gas to Others</t>
  </si>
  <si>
    <t>Payroll Tax Projects</t>
  </si>
  <si>
    <t>Allocation from taxes other Gen Office</t>
  </si>
  <si>
    <t>Sales-Demonstrating and selling</t>
  </si>
  <si>
    <t>Distribution-Measuring and regulating station expenses-Genrl</t>
  </si>
  <si>
    <t>from O &amp; M for ratemaking and therefore the Revenue Requirements.  These amounts are shown properly classified on Schedule F-4, Advertising.</t>
  </si>
  <si>
    <t>ADVERTISING</t>
  </si>
  <si>
    <t>SS expense review.xlsx</t>
  </si>
  <si>
    <t>NOTE:  Country Club dues will be excluded from O &amp; M and therefore, excluded from the revenue requirements. A/C 870.</t>
  </si>
  <si>
    <t>Deferred  Credits</t>
  </si>
  <si>
    <t>(1) Unbilled Revenue is not included in the appropriate customer class.</t>
  </si>
  <si>
    <t>and 10 Most Recent Calendar Years</t>
  </si>
  <si>
    <r>
      <t xml:space="preserve">Capital structure:  </t>
    </r>
    <r>
      <rPr>
        <b/>
        <u/>
        <sz val="10.8"/>
        <rFont val="Helvetica-Narrow"/>
      </rPr>
      <t>(Total Company)</t>
    </r>
  </si>
  <si>
    <t>Account 923 - Outside Services Employed</t>
  </si>
  <si>
    <t>Source:</t>
  </si>
  <si>
    <t>Sources:</t>
  </si>
  <si>
    <t>Labor</t>
  </si>
  <si>
    <t xml:space="preserve">  PENSION &amp; RETIREMENT Income Plan</t>
  </si>
  <si>
    <t>% of</t>
  </si>
  <si>
    <t>forecast</t>
  </si>
  <si>
    <t>ANDERSON COUNTY CHAMBER OF COMMERCE</t>
  </si>
  <si>
    <t>CAVE CITY CHAMBER OF COMMERCE</t>
  </si>
  <si>
    <t>GRAND RIVERS CHAMBER OF COMMERCE</t>
  </si>
  <si>
    <t>GREATER MUHLENBERG CHAMBER OF COMMERCE</t>
  </si>
  <si>
    <t>GREATER OWENSBORO CHAMBER OF COMMERCE</t>
  </si>
  <si>
    <t>HOPKINS COUNTY HOME BUILDERS ASSOCIATION</t>
  </si>
  <si>
    <t>KENTUCKY GAS ASSOCIATION</t>
  </si>
  <si>
    <t>LAKE BARKLEY CHAMBER OF COMMERCE</t>
  </si>
  <si>
    <t>LINCOLN COUNTY CHAMBER OF COMMERCE</t>
  </si>
  <si>
    <t>OHIO COUNTY CHAMBER OF COMMERCE</t>
  </si>
  <si>
    <t>PADUCAH AREA CHAMBER OF COMMERCE</t>
  </si>
  <si>
    <t>SOCIETY FOR MARKETING PROFESSIONAL SERVICES</t>
  </si>
  <si>
    <t>Depreciation - D. Watson</t>
  </si>
  <si>
    <t>AR 15 general plant amortization</t>
  </si>
  <si>
    <t>Schedule F-9</t>
  </si>
  <si>
    <t>LEASE EXPENSE</t>
  </si>
  <si>
    <t>Division 009 - Direct Kentucky</t>
  </si>
  <si>
    <t>Monthly</t>
  </si>
  <si>
    <t>Period affected</t>
  </si>
  <si>
    <t>months</t>
  </si>
  <si>
    <t>Total Amount</t>
  </si>
  <si>
    <t>Adjustment to O &amp; M</t>
  </si>
  <si>
    <t>Total lease expense to be avoided</t>
  </si>
  <si>
    <t>Data Sources</t>
  </si>
  <si>
    <t>factor</t>
  </si>
  <si>
    <t>O&amp;M</t>
  </si>
  <si>
    <t>Base Year Revenues</t>
  </si>
  <si>
    <t>Base Year Gas Costs</t>
  </si>
  <si>
    <t>Base Year Gross Profit</t>
  </si>
  <si>
    <t>Test Year Revenues</t>
  </si>
  <si>
    <t>Test Year Gas costs</t>
  </si>
  <si>
    <t>Test Year Gross Profit</t>
  </si>
  <si>
    <t xml:space="preserve">SALE of Gas-Residential - the purpose of this Adjustment is to reflect the normalization of volumes </t>
  </si>
  <si>
    <t xml:space="preserve">SALE of Gas-Commercial - the purpose of this Adjustment is to reflect the normalization of volumes </t>
  </si>
  <si>
    <t>SALE of Gas-Industrial - the purpose of this Adjustment is to reflect known and measurable changes,</t>
  </si>
  <si>
    <t xml:space="preserve">SALE of Gas-Public Authority - The purpose of this Adjustment is to reflect the normalization of </t>
  </si>
  <si>
    <t>revenues for the base period.</t>
  </si>
  <si>
    <t xml:space="preserve">Revenue from Transportation  - the purpose of this Adjustment is to reflect known and measurable </t>
  </si>
  <si>
    <t xml:space="preserve">Forfeited discounts - the purpose of this adjustment is to reflect anticipated changes in the billed late </t>
  </si>
  <si>
    <t>payment fees from the base period to the test year.</t>
  </si>
  <si>
    <t xml:space="preserve">Benefits are projected as a fixed benefit load percentage of labor expense plus an amount for workers’ comp </t>
  </si>
  <si>
    <t>insurance.  This adjustment pertains to labor and benefits for Kentucky operations.</t>
  </si>
  <si>
    <t>Rent, Maintenance and Utilities - The purpose of this adjustment is to account for forecasted rent, maintenance</t>
  </si>
  <si>
    <t xml:space="preserve">and utilities.  Unlike other O&amp;M categories that are likely to increase with normal inflation, our building rents are  </t>
  </si>
  <si>
    <t xml:space="preserve">driven by leases already in place and can therefore be projected with a high level of accuracy.  The rent portion </t>
  </si>
  <si>
    <t>for Kentucky operations.</t>
  </si>
  <si>
    <t>of this O&amp;M category was projected by reviewing actual lease amounts.  This adjustment pertains to expenses</t>
  </si>
  <si>
    <t xml:space="preserve">Other O&amp;M - The purpose of this adjustment is to account for projected changes in O&amp;M expenses other than </t>
  </si>
  <si>
    <t xml:space="preserve">Bad Debt - The purpose of this adjustment is to account for anticipated bad debt costs due to uncollectible </t>
  </si>
  <si>
    <t xml:space="preserve">accounts.  The projection is made by calculating 0.50% of residential, commercial and public authority  </t>
  </si>
  <si>
    <t xml:space="preserve">Costs allocated from Shared Services and Kentucky-Mid States General Office - The purpose of this </t>
  </si>
  <si>
    <t xml:space="preserve">adjustment is to account for the forecasted amount of expenses that are allocated to Kentucky from the   </t>
  </si>
  <si>
    <t>Shared Services Unit and Division General Office.</t>
  </si>
  <si>
    <t>Schedule F-4</t>
  </si>
  <si>
    <t>F-9</t>
  </si>
  <si>
    <t>Leases</t>
  </si>
  <si>
    <t>931 A&amp;G-Rents</t>
  </si>
  <si>
    <t>920 Administrative and General Salaries</t>
  </si>
  <si>
    <t>COMMITMENT FEE</t>
  </si>
  <si>
    <t>G-2 Labor Support schedules.xls</t>
  </si>
  <si>
    <t>No. (s)</t>
  </si>
  <si>
    <t xml:space="preserve">Account No. </t>
  </si>
  <si>
    <t>Witness:  Waller</t>
  </si>
  <si>
    <t>NOTE:  This amount is included on ratemaking adjustments on Schedule C-2 and therefore excluded from the Revenue Requirements.</t>
  </si>
  <si>
    <t>A&amp;G-Administrative &amp; General Salaries</t>
  </si>
  <si>
    <t>Total Forecasted Period</t>
  </si>
  <si>
    <t>Unbilled Residential</t>
  </si>
  <si>
    <t>Unbilled Commercial</t>
  </si>
  <si>
    <t>Unbilled Public Authority</t>
  </si>
  <si>
    <t>Unbilled Residential Revenue</t>
  </si>
  <si>
    <t>Unbilled Comm Revenue</t>
  </si>
  <si>
    <t>Unbilled Public Authority Revenue</t>
  </si>
  <si>
    <t>Annualized Amortization of Debt Exp. &amp; Debt Dsct.</t>
  </si>
  <si>
    <t>Less Unamortized Debt Discount</t>
  </si>
  <si>
    <t>Total Plant  (Div 91)</t>
  </si>
  <si>
    <t>Total Plant  (Div 9)</t>
  </si>
  <si>
    <t>Total General Plant  (Div 2)</t>
  </si>
  <si>
    <t>Total General Plant  (Div 12)</t>
  </si>
  <si>
    <t>39103-Office Furn. - Copiers &amp; Type</t>
  </si>
  <si>
    <t>Total Depr Reserves  (Div 9)</t>
  </si>
  <si>
    <t>Total Depr Reserves  (Div 2)</t>
  </si>
  <si>
    <t>Total Depr Reserves  (Div 12)</t>
  </si>
  <si>
    <t>Total Depr Reserves  (Div 91)</t>
  </si>
  <si>
    <t>Ending</t>
  </si>
  <si>
    <t>12 Months</t>
  </si>
  <si>
    <t>Total Depreciation Expense  (Div 91)</t>
  </si>
  <si>
    <t>Total Depreciation Expense  (Div 9)</t>
  </si>
  <si>
    <t>Total Depreciation Expense  (Div 2)</t>
  </si>
  <si>
    <t>Total Depreciation Expense  (Div 12)</t>
  </si>
  <si>
    <t>Total General Plant Depr</t>
  </si>
  <si>
    <t>Total Distribution Plant Depr</t>
  </si>
  <si>
    <t>Total Intangible Plant Depr</t>
  </si>
  <si>
    <t>Total Storage Plant Depr</t>
  </si>
  <si>
    <t>Total Production Plant - (LPG)  Depr</t>
  </si>
  <si>
    <t>Total Natural Gas Production Plant Depr</t>
  </si>
  <si>
    <t>Total Intangible Plant Amort.</t>
  </si>
  <si>
    <t>index to source file</t>
  </si>
  <si>
    <t>Maintenance of other equipment</t>
  </si>
  <si>
    <t>Communication system expenses</t>
  </si>
  <si>
    <t>Transmission-Maintenance of compressor sta equipment</t>
  </si>
  <si>
    <t>Distribution-Compressor station labor and expenses</t>
  </si>
  <si>
    <t>Unbilled Industrial Revenue</t>
  </si>
  <si>
    <t>Witness: Waller</t>
  </si>
  <si>
    <t xml:space="preserve">Depreciation  Expense - The purpose of this adjustment is to reflect the change in </t>
  </si>
  <si>
    <t>Production and gathering-Other</t>
  </si>
  <si>
    <t>Unbilled Industrial</t>
  </si>
  <si>
    <t>2013</t>
  </si>
  <si>
    <t>Total Transmission Plant</t>
  </si>
  <si>
    <t>Occupational Licenses</t>
  </si>
  <si>
    <t>Dot Transmission User Tax</t>
  </si>
  <si>
    <t>Total Allocated Amount from Div 91</t>
  </si>
  <si>
    <t>Total Allocated Amount from Div 12</t>
  </si>
  <si>
    <t>Total Allocated Amount from Div 2</t>
  </si>
  <si>
    <t>Rate of Return on Equity</t>
  </si>
  <si>
    <t>SSU</t>
  </si>
  <si>
    <t>Billing</t>
  </si>
  <si>
    <t>Adjs</t>
  </si>
  <si>
    <t>Schedule F-10</t>
  </si>
  <si>
    <t>Div</t>
  </si>
  <si>
    <t>Category</t>
  </si>
  <si>
    <t>Totals</t>
  </si>
  <si>
    <t>Variable Pay &amp; Management Incentive Plans</t>
  </si>
  <si>
    <t>VPP &amp; MIP</t>
  </si>
  <si>
    <t>Restricted Stock Plans</t>
  </si>
  <si>
    <t>RSU-LTIP - Time Lapse</t>
  </si>
  <si>
    <t>Total Allocated Restricted Stock Plans</t>
  </si>
  <si>
    <t>Total Allocated VPP &amp; MIP Plans</t>
  </si>
  <si>
    <t>Grand Total Allocated Expense</t>
  </si>
  <si>
    <t>INCENTIVE COMPENSATION EXPENSE</t>
  </si>
  <si>
    <t>F-10</t>
  </si>
  <si>
    <t>RSU-LTIP - Performance Based</t>
  </si>
  <si>
    <t>CHARITABLE CONTRIBUTIONS</t>
  </si>
  <si>
    <t>TEST PERIOD</t>
  </si>
  <si>
    <t xml:space="preserve">Misc Service Revenues - the purpose of this adjustment is to reflect modest reduction in service charge </t>
  </si>
  <si>
    <t>837 Maintenance of other equipment</t>
  </si>
  <si>
    <t>852 Communication system expenses</t>
  </si>
  <si>
    <t>Total General Plant Reserves</t>
  </si>
  <si>
    <t>Total Distribution Plant Reserves</t>
  </si>
  <si>
    <t>Total Production Plant - LPG Reserves</t>
  </si>
  <si>
    <t>Total Storage Plant Reserves</t>
  </si>
  <si>
    <t>Total Natural Gas Production Plant Reserves</t>
  </si>
  <si>
    <t>Total Intangible Plant Reserves</t>
  </si>
  <si>
    <t>Commercial Revenue</t>
  </si>
  <si>
    <t>Industrial Revenue</t>
  </si>
  <si>
    <t>forecasted</t>
  </si>
  <si>
    <t>4060</t>
  </si>
  <si>
    <t>Field measuring and regulating station expenses</t>
  </si>
  <si>
    <t>39924-Oth Tang Prop - Gen.</t>
  </si>
  <si>
    <t>2014</t>
  </si>
  <si>
    <t>* Standby Pay included in regular hours and dollars</t>
  </si>
  <si>
    <t>855 Other Fuel &amp; Power Comp</t>
  </si>
  <si>
    <t>Other fuel and power for Compression</t>
  </si>
  <si>
    <t>Other fuel &amp; power for compression</t>
  </si>
  <si>
    <t>Other Fuel &amp; Power for Compression</t>
  </si>
  <si>
    <t>CHRISTIAN COUNTY CHAMBER OF COMMERCE</t>
  </si>
  <si>
    <t>GREATER OWENSBORO ECONOMIC DEVELOPMENT CORP</t>
  </si>
  <si>
    <t>KENTUCKY OIL AND GAS ASSOCIATION</t>
  </si>
  <si>
    <t>MARION COUNTY CHAMBER OF COMMERCE</t>
  </si>
  <si>
    <t>Retirement Work in Progress Recon</t>
  </si>
  <si>
    <t>Transmission-Maintenance of me - Non-Inventory Supplies 8650-02005</t>
  </si>
  <si>
    <t>FR 16(8)(a)</t>
  </si>
  <si>
    <t>FR 16(8)(b)</t>
  </si>
  <si>
    <t>FR 16(8)(c)</t>
  </si>
  <si>
    <t>FR 16(8)(d)</t>
  </si>
  <si>
    <t>FR 16(8)(e)</t>
  </si>
  <si>
    <t>FR 16(8)(f)</t>
  </si>
  <si>
    <t>FR 16(8)(g)</t>
  </si>
  <si>
    <t>FR 16(8)(h)</t>
  </si>
  <si>
    <t>FR 16(8)(i)</t>
  </si>
  <si>
    <t>FR 16(8)(j)</t>
  </si>
  <si>
    <t>FR 16(8)(k)</t>
  </si>
  <si>
    <t>FR 16(8)(b)                 SCHEDULE B</t>
  </si>
  <si>
    <t>FR 16(8)(b)1</t>
  </si>
  <si>
    <t>FR 16(8)(b)2</t>
  </si>
  <si>
    <t>FR 16(8)(b)3</t>
  </si>
  <si>
    <t>FR 16(8)(b)3.1</t>
  </si>
  <si>
    <t>FR 16(8)(b)4</t>
  </si>
  <si>
    <t>FR 16(8)(b)4.1</t>
  </si>
  <si>
    <t>FR 16(8)(b)4.2</t>
  </si>
  <si>
    <t>FR 16(8)(b)5</t>
  </si>
  <si>
    <t>FR 16(8)(b)6</t>
  </si>
  <si>
    <t>FR 16(8)(c)                 SCHEDULE C</t>
  </si>
  <si>
    <t>FR 16(8)(c)1</t>
  </si>
  <si>
    <t>FR 16(8)(c)2</t>
  </si>
  <si>
    <t>FR 16(8)(c)2.1</t>
  </si>
  <si>
    <t>FR 16(8)(c)2.2</t>
  </si>
  <si>
    <t>FR 16(8)(c)2.3</t>
  </si>
  <si>
    <t>FR 16(8)(d)                 SCHEDULE D</t>
  </si>
  <si>
    <t>FR 16(8)(d)1</t>
  </si>
  <si>
    <t>FR 16(8)(d)2.1</t>
  </si>
  <si>
    <t>FR 16(8)(d)2.2</t>
  </si>
  <si>
    <t>FR 16(8)(d)2.3</t>
  </si>
  <si>
    <t>FR 16(8)(e)                 SCHEDULE E</t>
  </si>
  <si>
    <t>FR 16(8)(f)                 SCHEDULE F</t>
  </si>
  <si>
    <t>FR 16(8)(i)1</t>
  </si>
  <si>
    <t>FR 16(8)(i)2</t>
  </si>
  <si>
    <t>FR 16(8)(i)3</t>
  </si>
  <si>
    <t>Change in NOLC</t>
  </si>
  <si>
    <t>Regulated Asset Balance</t>
  </si>
  <si>
    <t>Amortization Expense</t>
  </si>
  <si>
    <t>(13 Month Average)</t>
  </si>
  <si>
    <t xml:space="preserve">Calculation of Change in NOLC </t>
  </si>
  <si>
    <t>(from 13-month average Base Period to 13-month average Forecasted Period</t>
  </si>
  <si>
    <t>13-month average Rate Base</t>
  </si>
  <si>
    <t>Forecasted Test Period</t>
  </si>
  <si>
    <t>B.1 F</t>
  </si>
  <si>
    <t>Required Operating Income</t>
  </si>
  <si>
    <t>A.1</t>
  </si>
  <si>
    <t>E.1</t>
  </si>
  <si>
    <t>Return on Equity Portion of Rate Base</t>
  </si>
  <si>
    <t>Return, grossed up for Income Tax</t>
  </si>
  <si>
    <t>B.1 F; B.1 B</t>
  </si>
  <si>
    <t>13-Month Average ADIT, Forecasted Period, excl, Change in NOLC</t>
  </si>
  <si>
    <t>Total Required Change in Accumulated Deferred Income Taxes</t>
  </si>
  <si>
    <t>ADIT Reconciliation</t>
  </si>
  <si>
    <t>Change In ADIT, excluding forecasted change in NOLC</t>
  </si>
  <si>
    <t>Required Change in NOLC</t>
  </si>
  <si>
    <t>Forecasted Change in NOLC</t>
  </si>
  <si>
    <t>Forecasted 13-month Average ADIT in Rate Base</t>
  </si>
  <si>
    <t>Tax Expense on Return</t>
  </si>
  <si>
    <t>B.5 B</t>
  </si>
  <si>
    <r>
      <t>Total Required Change in Accumulated Deferred Income Taxes</t>
    </r>
    <r>
      <rPr>
        <b/>
        <vertAlign val="superscript"/>
        <sz val="8.4"/>
        <rFont val="Helvetica-Narrow"/>
      </rPr>
      <t>1</t>
    </r>
  </si>
  <si>
    <r>
      <rPr>
        <i/>
        <vertAlign val="superscript"/>
        <sz val="8.4"/>
        <rFont val="Helvetica-Narrow"/>
      </rPr>
      <t>1</t>
    </r>
    <r>
      <rPr>
        <i/>
        <sz val="12"/>
        <rFont val="Helvetica-Narrow"/>
      </rPr>
      <t>Because the Company is in a NOLC position, the total change in ADIT must equal the tax expenses included in revenue requirement</t>
    </r>
  </si>
  <si>
    <t xml:space="preserve">      (excluding forecasted change in NOLC)</t>
  </si>
  <si>
    <t>Line 71 - Line 67</t>
  </si>
  <si>
    <t>Line 37</t>
  </si>
  <si>
    <t>Line 39</t>
  </si>
  <si>
    <t>line 50 - line 52</t>
  </si>
  <si>
    <t>Line 56 x tax rate</t>
  </si>
  <si>
    <t>Line 54 / (1-tax rate)</t>
  </si>
  <si>
    <t>Line 37; B.5 B</t>
  </si>
  <si>
    <t>13 Month Average Capital Structure</t>
  </si>
  <si>
    <t>Capital Structure</t>
  </si>
  <si>
    <t>Schedule F 2 1.xls</t>
  </si>
  <si>
    <t>Schedule F-1.xlsx</t>
  </si>
  <si>
    <t>F 2 2 Owensboro Country Club Expenses.xls</t>
  </si>
  <si>
    <t>6.75% Debentures Unsecured due July 2028</t>
  </si>
  <si>
    <t>6.67% MTN A1 due Dec 2025</t>
  </si>
  <si>
    <t>5.95% Sr Note due 10/15/2034</t>
  </si>
  <si>
    <t>Sr Note 5.50% Due 06/15/2041</t>
  </si>
  <si>
    <t>4.15% Sr Note due 1/15/2043</t>
  </si>
  <si>
    <t>4.125% Sr Note due 10/15/2044</t>
  </si>
  <si>
    <t>Incentive Compensation Expense</t>
  </si>
  <si>
    <t>This adjustment pertains to expenses for Kentucky operations.</t>
  </si>
  <si>
    <t>Labor and Benefits - The purpose of this adjustment is to account for forecasted labor and benefits expense</t>
  </si>
  <si>
    <t>due primarily to adjustments to labor capitalization rate versus the base period.</t>
  </si>
  <si>
    <t xml:space="preserve">Other gas service revenues - the purpose of this adjustment is to reflect pro forma adjustments for </t>
  </si>
  <si>
    <t>individual customers and special contract reformations</t>
  </si>
  <si>
    <t>margins from the revenues projection.</t>
  </si>
  <si>
    <t xml:space="preserve">labor, benefits, rent, and bad debt.  </t>
  </si>
  <si>
    <t xml:space="preserve">*Test Period ending ADIT balance does not include forecasted change in NOLC.  Forecasted change in NOLC is calculated on B.5F on a 13 month average basis only and included in rate base and revenue requirement.  </t>
  </si>
  <si>
    <t>Gas Purchase Costs - The purpose of this Adjustment is to reflect the purchase quantities</t>
  </si>
  <si>
    <t>as of March 31, 2019</t>
  </si>
  <si>
    <t>as of December 31, 2017</t>
  </si>
  <si>
    <t>Communication Equip.</t>
  </si>
  <si>
    <t>Servers Hardware</t>
  </si>
  <si>
    <t>Servers Software</t>
  </si>
  <si>
    <t>Office Furniture And</t>
  </si>
  <si>
    <t>Struct &amp; Improv AEAM</t>
  </si>
  <si>
    <t>Improv-Leased AEAM</t>
  </si>
  <si>
    <t>Off Furn &amp; Equip-AEAM</t>
  </si>
  <si>
    <t>Tools And Garage-AEAM</t>
  </si>
  <si>
    <t>Commun Equip AEAM</t>
  </si>
  <si>
    <t>Misc Equip - AEAM</t>
  </si>
  <si>
    <t>Servers-Hardware-AEAM</t>
  </si>
  <si>
    <t>Servers-Software-AEAM</t>
  </si>
  <si>
    <t>Network Hardware-AEAM</t>
  </si>
  <si>
    <t>Remittance Processing</t>
  </si>
  <si>
    <t>CKV-Office Furn &amp; Eq</t>
  </si>
  <si>
    <t>CKV-Transportation Eq</t>
  </si>
  <si>
    <t>CKV-Tools Shop Garage</t>
  </si>
  <si>
    <t>CKV-Laboratory Equip</t>
  </si>
  <si>
    <t>CKV-Misc Equipment</t>
  </si>
  <si>
    <t>CKV-Oth Tang Prop-App</t>
  </si>
  <si>
    <t>Oth Tang Prop - Gen.</t>
  </si>
  <si>
    <t>Pc Hardware-AEAM</t>
  </si>
  <si>
    <t>Application SW-AEAM</t>
  </si>
  <si>
    <t>ALGN-Servers-Hardware</t>
  </si>
  <si>
    <t>ALGN-Servers-Software</t>
  </si>
  <si>
    <t>ALGN-Application SW</t>
  </si>
  <si>
    <t>NOTE:  There are no OCC expenses for the Base Period</t>
  </si>
  <si>
    <t>38900-Land &amp; Land Rights</t>
  </si>
  <si>
    <t>39000-Structures &amp; Improvements</t>
  </si>
  <si>
    <t>39002-Structures - Brick</t>
  </si>
  <si>
    <t>39003-Improvements</t>
  </si>
  <si>
    <t>39004-Air Conditioning Equipment</t>
  </si>
  <si>
    <t>39009-Improv. to Leased Premises</t>
  </si>
  <si>
    <t>39100-Office Furniture &amp; Equipment</t>
  </si>
  <si>
    <t>39200-Transportation Equipment</t>
  </si>
  <si>
    <t>39202-WKG Trailers</t>
  </si>
  <si>
    <t>39400-Tools, Shop, &amp; Garage Equip.</t>
  </si>
  <si>
    <t>39603-Ditchers</t>
  </si>
  <si>
    <t>39604-Backhoes</t>
  </si>
  <si>
    <t>39605-Welders</t>
  </si>
  <si>
    <t>39700-Communication Equipment</t>
  </si>
  <si>
    <t>39705-Comm. Equip. - Telemetering</t>
  </si>
  <si>
    <t>39800-Miscellaneous Equipment</t>
  </si>
  <si>
    <t>39903-Oth Tang Prop - Network - H/W</t>
  </si>
  <si>
    <t>39906-Oth Tang Prop - PC Hardware</t>
  </si>
  <si>
    <t>39907-Oth Tang Prop - PC Software</t>
  </si>
  <si>
    <t>39908-Oth Tang Prop - Appl Software</t>
  </si>
  <si>
    <t>39001-Structures - Frame</t>
  </si>
  <si>
    <t>39200-Trans Equip- Group</t>
  </si>
  <si>
    <t>39600-Power Operated Equipment</t>
  </si>
  <si>
    <t>39900-Other Tangible Property</t>
  </si>
  <si>
    <t>39901-Oth Tang Prop - Servers - H/W</t>
  </si>
  <si>
    <t>39902-Oth Tang Prop - Servers - S/W</t>
  </si>
  <si>
    <t>39005-G-Structures &amp; Improvements</t>
  </si>
  <si>
    <t>39102-Remittance Processing Equipment</t>
  </si>
  <si>
    <t>39104-G-Office Furniture &amp; Equip.</t>
  </si>
  <si>
    <t>39300-Stores Equipment</t>
  </si>
  <si>
    <t>39500-Laboratory Equipment</t>
  </si>
  <si>
    <t>39900-Other Tangible Equipm</t>
  </si>
  <si>
    <t>39904-Oth Tang Prop - CPU</t>
  </si>
  <si>
    <t>39905-Oth Tang Prop - MF Hardware</t>
  </si>
  <si>
    <t>39909-Oth Tang Prop - Mainframe S/W</t>
  </si>
  <si>
    <t>38900-Land</t>
  </si>
  <si>
    <t>38910-CKV-Land &amp; Land Rights</t>
  </si>
  <si>
    <t>39010-CKV-Structures &amp; Improvements</t>
  </si>
  <si>
    <t>39710-CKV-Communication Equipment</t>
  </si>
  <si>
    <t>39910-CKV-Other Tangible Property</t>
  </si>
  <si>
    <t>39916-CKV-Oth Tang Prop-PC Hardware</t>
  </si>
  <si>
    <t>39917-CKV-Oth Tang Prop-PC Software</t>
  </si>
  <si>
    <t>RWIP</t>
  </si>
  <si>
    <t>AEAM</t>
  </si>
  <si>
    <t>ALGN</t>
  </si>
  <si>
    <t>3% Sr Note dues 6/15/2027</t>
  </si>
  <si>
    <t>3% Sr Note due 6/15/2027</t>
  </si>
  <si>
    <t>$200MM 3YR Sr Credit Facility (Est. 9/22/16)</t>
  </si>
  <si>
    <t>Less Unamortized Debt Expenses</t>
  </si>
  <si>
    <t>2016</t>
  </si>
  <si>
    <t>2015</t>
  </si>
  <si>
    <t>COMMITMENT FEE &amp; BANK ADMIN</t>
  </si>
  <si>
    <t>Donations</t>
  </si>
  <si>
    <t>CADIZ ROTARY CLUB</t>
  </si>
  <si>
    <t>FRANKLIN-SIMPSON CHAMBER OF COMMERCE</t>
  </si>
  <si>
    <t>GREATER OWENSBORO REALTOR ASSOCIATION</t>
  </si>
  <si>
    <t>HOME BUILDERS ASSOCIATION OF OWENSBORO</t>
  </si>
  <si>
    <t>HOPKINSVILLE CHRISTIAN AND TODD COUNTY ASSN OF REALTORS</t>
  </si>
  <si>
    <t>KENTUCKY CHAMBER OF COMMERCE</t>
  </si>
  <si>
    <t>KENTUCKY COUNTY JUDGE EXECUTIVE ASSOCIATION</t>
  </si>
  <si>
    <t>LOGAN COUNTY HOME BUILDERS</t>
  </si>
  <si>
    <t>NACE INTERNATIONAL</t>
  </si>
  <si>
    <t>PRINCETON / CALDWELL COUNTY CHAMBER OF COMMERCE</t>
  </si>
  <si>
    <t xml:space="preserve">  SERP</t>
  </si>
  <si>
    <t xml:space="preserve">  FICA/FUTA/SUTA</t>
  </si>
  <si>
    <t>2021</t>
  </si>
  <si>
    <t>C2.2 Jurirep Acct 9220.xlsx</t>
  </si>
  <si>
    <t>F.6 Schedule Rate Case Expenses.xls</t>
  </si>
  <si>
    <t>changes in gas costs between the periods.</t>
  </si>
  <si>
    <t>C.2.2 Jurirep 9220.xlsx</t>
  </si>
  <si>
    <t>Thirteen Month Average as of March 31, 2019</t>
  </si>
  <si>
    <t>Includes 7 Officers</t>
  </si>
  <si>
    <t>CEO</t>
  </si>
  <si>
    <t>SVP, Utility Operations (created in January 2017)</t>
  </si>
  <si>
    <t>SVP, General Counsel (vacant from Mar17-Jul17, filled in Aug-17)</t>
  </si>
  <si>
    <t>President and COO</t>
  </si>
  <si>
    <t xml:space="preserve">SVP, CFO </t>
  </si>
  <si>
    <t xml:space="preserve">SVP, Safety and Enterprise </t>
  </si>
  <si>
    <t>Witness:  Christian</t>
  </si>
  <si>
    <t>Witness: Gillham, Martin, and Waller</t>
  </si>
  <si>
    <t>for sales service.  The Base Period includes Unbilled Gas Costs that will zero out by the end</t>
  </si>
  <si>
    <t xml:space="preserve">changes in demand for existing industries and account for migration to/from transportation service </t>
  </si>
  <si>
    <t>increases and reductions, shifts from base period to test year and</t>
  </si>
  <si>
    <t>Deferred Liablity Amortization</t>
  </si>
  <si>
    <t>ADIT Excess Deferred Liabilities</t>
  </si>
  <si>
    <t>Account 2530 - 27909</t>
  </si>
  <si>
    <t>Regulatory Assets / Liabilities</t>
  </si>
  <si>
    <t>WP B.5 F1; F.6</t>
  </si>
  <si>
    <t>Regulatory Assets / Liabilities*</t>
  </si>
  <si>
    <t>Base Period: Twelve Months Ended December 31, 2018</t>
  </si>
  <si>
    <t>Forecasted Test Period: Twelve Months Ended March 31, 2020</t>
  </si>
  <si>
    <t>as of December 31, 2018</t>
  </si>
  <si>
    <t>as of March 31, 2020</t>
  </si>
  <si>
    <t>2017</t>
  </si>
  <si>
    <t xml:space="preserve">   (1)  Interest Rate is the actual average rate for 12 Months Ended June 30, 2018. </t>
  </si>
  <si>
    <t>G.1 Benefits Rates Calc FY18.xlsx</t>
  </si>
  <si>
    <t>div 9 labor analysis-2018.xlsx</t>
  </si>
  <si>
    <t>OM for KY-2018.xlsx</t>
  </si>
  <si>
    <t>Sales-Miscellaneous sales expenses</t>
  </si>
  <si>
    <t>Provision for Rate Refunds</t>
  </si>
  <si>
    <t>MCLEAN COUNTY CHAMBER OF COMMERCE</t>
  </si>
  <si>
    <t>PENNYRILE BOARD OF REALTORS</t>
  </si>
  <si>
    <t>CAMPBELLSVILLE / TAYLOR COUNTY CHAMBER OF COMMERCE</t>
  </si>
  <si>
    <t>KENTUCKY ASSOCIATION OF MASTER CONTRACTORS INC</t>
  </si>
  <si>
    <t>KENTUCKY RESTAURANT ASSOCIATION</t>
  </si>
  <si>
    <t>BOWLING GREEN AREA CHAMBER OF COMMERCE</t>
  </si>
  <si>
    <t>HOPKINS COUNTY REGIONAL CHAMBER OF COMMERCE</t>
  </si>
  <si>
    <t>KENTUCKY LAKE CHAMBER OF COMMERCE</t>
  </si>
  <si>
    <t>OWENSBORO ASSN OF PLUMBING HEATING AND COOLING CONTRACTORS INC</t>
  </si>
  <si>
    <t>PADUCAH BOARD OF REALTORS INC</t>
  </si>
  <si>
    <t>TENNESSEE PROFESSIONAL ENGINEER (LICENSE RENEWAL)</t>
  </si>
  <si>
    <t>KENTUCKY STATE TREASURER (NOTARY RENEWAL)</t>
  </si>
  <si>
    <t>WARREN COUNTY CLERKS OFFICE</t>
  </si>
  <si>
    <t>Amortization of Excess ADIT</t>
  </si>
  <si>
    <t>WP B.5 F1</t>
  </si>
  <si>
    <t>Regulatory Liability Balance</t>
  </si>
  <si>
    <t>2022</t>
  </si>
  <si>
    <t>Mains - Anodes</t>
  </si>
  <si>
    <t>Mains - Leak Clamps</t>
  </si>
  <si>
    <t>SVP, Human Resources</t>
  </si>
  <si>
    <t>*Wtd Avg is 9 mos of FY18 and 3 months of FY17</t>
  </si>
  <si>
    <t>Div 009 Direct O&amp;M</t>
  </si>
  <si>
    <t>Total O&amp;M</t>
  </si>
  <si>
    <t>SSU Direct O&amp;M</t>
  </si>
  <si>
    <t>O&amp;M Comparison</t>
  </si>
  <si>
    <t>Maintenance Supervision and Engineering</t>
  </si>
  <si>
    <t>Mains Expenses</t>
  </si>
  <si>
    <t>Purchase of Hopkinsville Office</t>
  </si>
  <si>
    <t>Hopkinsville Office</t>
  </si>
  <si>
    <t>misc Finrep retrievals-2018.xlsx</t>
  </si>
  <si>
    <t>Income Statement Activity Jan18-Jun18.xlsx</t>
  </si>
  <si>
    <t>Gas Cost by FERC-2018.xlsx</t>
  </si>
  <si>
    <t>KY Revenue &amp; Billing Unit Forecast 2018 Case.xlsx</t>
  </si>
  <si>
    <t>Kentucky Jurisdiction Case No. 2018-00281</t>
  </si>
  <si>
    <t>Case No. 2017-00349</t>
  </si>
  <si>
    <t>Case No. 2018-00281</t>
  </si>
  <si>
    <t>Rate Case (3 year Amortization)</t>
  </si>
  <si>
    <t>Balance Total</t>
  </si>
  <si>
    <t>Amortization Total</t>
  </si>
  <si>
    <t>002</t>
  </si>
  <si>
    <t>Directors Retirement Expenses - 04113</t>
  </si>
  <si>
    <t>Budget Sub Account</t>
  </si>
  <si>
    <t>F-6,F-8,F-9, F-10, F-11</t>
  </si>
  <si>
    <t>Amortization</t>
  </si>
  <si>
    <t xml:space="preserve">Depreciation </t>
  </si>
  <si>
    <t>2017-00349 O&amp;M Adjustments</t>
  </si>
  <si>
    <t>Removal of Retirement Benefits</t>
  </si>
  <si>
    <t xml:space="preserve">Three (3) Year Amortization of Rate Case Expenses </t>
  </si>
  <si>
    <t xml:space="preserve">   (1)  Interest Rate is the actual average rate for 12 Months Ended June 30, 2018</t>
  </si>
  <si>
    <t>Avg ADIT, Base Period</t>
  </si>
  <si>
    <t>KY Plant Data-2018 case.xlsx</t>
  </si>
  <si>
    <t>misc jurirep BS accts-2018.xlsx</t>
  </si>
  <si>
    <t>ADIT for KY 6-30-18.xlsx</t>
  </si>
  <si>
    <t>ADIT for KY-6-30-18.xlsx</t>
  </si>
  <si>
    <t>OM for KY - 2018.xlsx</t>
  </si>
  <si>
    <t>G.3 -- Executive Compensation 2018.xlsx</t>
  </si>
  <si>
    <t>Lead/Lag Study</t>
  </si>
  <si>
    <t>Witness: Waller, Christian</t>
  </si>
  <si>
    <t>Witness:   Waller, Christian, Story</t>
  </si>
  <si>
    <t>Witness: Waller, Story</t>
  </si>
  <si>
    <t>Witness: Waller, Densman</t>
  </si>
  <si>
    <t>Witness:  Waller, Densman</t>
  </si>
  <si>
    <t>Witness: Gillham, Waller, Densman</t>
  </si>
  <si>
    <t>Witness: Gillham, Densman</t>
  </si>
  <si>
    <t>RSU-LTIP - Time Lapse/Performance Based</t>
  </si>
  <si>
    <t>012</t>
  </si>
  <si>
    <t>009</t>
  </si>
  <si>
    <t>091</t>
  </si>
  <si>
    <t xml:space="preserve">Payroll </t>
  </si>
  <si>
    <t>Payroll</t>
  </si>
  <si>
    <t>Revenue Requirements (line 10 plus line 11)</t>
  </si>
  <si>
    <t>Witness:  Waller, Story</t>
  </si>
  <si>
    <t>due to cold weather in base period, and changes in gas costs between the periods</t>
  </si>
  <si>
    <t>volumes due to cold weather in base period, and changes in gas costs between the periods</t>
  </si>
  <si>
    <t xml:space="preserve">of the base period when replaced by actuals.  Gas costs in the Forecasted Period are lower </t>
  </si>
  <si>
    <t>primarily due to lower estimated GCA price</t>
  </si>
  <si>
    <t>(1) Based on fiscal year-end of parent company, except for Base Period &amp; Test Period which are based on Atmos Energy Corporation, Kentucky.  Return calculations cannot be used for revenue requirement purposes</t>
  </si>
  <si>
    <t>AG DR. No 1-57</t>
  </si>
  <si>
    <t>Payroll Tax Expense Adjustment</t>
  </si>
  <si>
    <t xml:space="preserve"> 2018 * * Composite Tax Rate Calculation: 5.00% + 21%(100% - 6.00%)  =  24.95%</t>
  </si>
  <si>
    <t>8.50% Sr Note due 3/15/2019</t>
  </si>
  <si>
    <t>Storage-Rents</t>
  </si>
  <si>
    <t>Customer Installations Expenses</t>
  </si>
  <si>
    <t>Miscellaneous General Expenses</t>
  </si>
  <si>
    <t>BANK OF AMERICA</t>
  </si>
  <si>
    <t>PAXTON MEDIA GROUP</t>
  </si>
  <si>
    <t>GLASGOW / BARREN COUNTY CHAMBER OF COMMERCE</t>
  </si>
  <si>
    <t>GLASGOW BARREN COUNTY CHAMBER OF COMMERCE</t>
  </si>
  <si>
    <t>TRIGG CO.CHAMBER OF COMMERCE</t>
  </si>
  <si>
    <t>LOGAN COUNTY CHAMBER OF COMMERCE</t>
  </si>
  <si>
    <t>GREATER  BRECKINRIDGE CHAMBER OF COMMERCE</t>
  </si>
  <si>
    <t>GREENSBURG - GREEN COUNTY CHAMBER OF COMMERCE</t>
  </si>
  <si>
    <t>MAYFIELD / GRAVES COUNTY CHAMBER OF COMMERCE</t>
  </si>
  <si>
    <t>SOUTH WEST KENTUCKY ECONOMIC DEVELOPMENT COUNCIL</t>
  </si>
  <si>
    <t>HOPKINSVILLE HOME BUILDERS ASSOCIATION</t>
  </si>
  <si>
    <t>DANVILLE-BOYLE COUNTY CHAMBER OF COMMERCE</t>
  </si>
  <si>
    <t>CHAMBER OF COMMERCE</t>
  </si>
  <si>
    <t>HOME BUILDERS ASSOCIATION OF WESTERN KY</t>
  </si>
  <si>
    <t>TODD COUNTY CHAMBER OF COMMERCE</t>
  </si>
  <si>
    <t>SAM'S CLUB (MEMBERSHIP RENEWAL FEE)</t>
  </si>
  <si>
    <t>CITY OF STANFORD (BUSINESS LICENSE)</t>
  </si>
  <si>
    <t>NATIONAL SOCIETY OF PROFESSIONAL ENGINEERS</t>
  </si>
  <si>
    <t>STATE OF TENNESSEE  (ANNUAL TN PROFESSIONAL PRIVILEDGE TAX)</t>
  </si>
  <si>
    <t>AMERICAN ASSOCIATION  OF PETROLEUM GEOLOGISTS</t>
  </si>
  <si>
    <t>AMERICAN SOCIETY OF MECHNICAL ENGINEERS</t>
  </si>
  <si>
    <t>SOCIETY OF PETROLEUM ENGINEERS</t>
  </si>
  <si>
    <t>KENTUCKY ASSOCIATION OF MAPPING PROFESSIONALS</t>
  </si>
  <si>
    <t>CRITTENDEN COUNTY ECONOMIC</t>
  </si>
  <si>
    <t>THE HOME BUILDERS ASSOCIATION OF THE BLUEGRASS</t>
  </si>
  <si>
    <t>SALES USE TAX</t>
  </si>
  <si>
    <t>JOURNAL ENTRY</t>
  </si>
  <si>
    <t>Heat Help Assistance Program</t>
  </si>
  <si>
    <t>Heat Help Assistance Programs</t>
  </si>
  <si>
    <t>AMERICAN SOCIETY OF MECHANICAL ENGINEERS</t>
  </si>
  <si>
    <t>BOWLING GREEN CHAMBER OF COMMERCE</t>
  </si>
  <si>
    <t>BUILDING INDUSTRY ASSOCIATION OF GREATER LOUISVILLE</t>
  </si>
  <si>
    <t>CADIZ TRIGG COUNTY ECONOMIC DEVELOP COMM</t>
  </si>
  <si>
    <t>CAMPBELLSVILLE - TAYLOR COUNTY CHAMBER OF COMMERCE</t>
  </si>
  <si>
    <t>FRANKLIN SIMPSON CHAMBER OF COMMERCE</t>
  </si>
  <si>
    <t>GARRARD COUNTY CHAMBER</t>
  </si>
  <si>
    <t>GARRARD COUNTY CHAMBER OF COMMERCE</t>
  </si>
  <si>
    <t>GREATER  BRECKINRIDGE COUNTY CHAMBER OF COMMERCE</t>
  </si>
  <si>
    <t>GREENSBURG - GREEN CO. CHAMBER</t>
  </si>
  <si>
    <t>HART COUNTY CHAMBER OF COMMERCE</t>
  </si>
  <si>
    <t>HOME BUILDERS ASSOCIATION</t>
  </si>
  <si>
    <t>HOME BUILDERS ASSOCIATION OF THE BLUEGRASS</t>
  </si>
  <si>
    <t>KENTUCKY ASSOCIATION FOR ECONOMIC DEVELOPMENT</t>
  </si>
  <si>
    <t>LEADERSHIP KENTUCKY</t>
  </si>
  <si>
    <t>LEADERSHIP SHELBY</t>
  </si>
  <si>
    <t>LOGAN ECONOMIC ALLIANCE FOR DEVELOPMENT</t>
  </si>
  <si>
    <t>MAD HOP CO BOARD OF REALTORS</t>
  </si>
  <si>
    <t>MARSHALL COUNTY CHAMBER OF COMMERCE</t>
  </si>
  <si>
    <t>MAYFIELD GRAVES COUNTY CHAMBER OF COMMERCE</t>
  </si>
  <si>
    <t>MERCER COUNTY CHAMBER OF COMMERCE</t>
  </si>
  <si>
    <t>OKLAHOMA ACCOUNTANCY BOARD</t>
  </si>
  <si>
    <t>OWENSBORO ASSN OF PLUMBING HEATING</t>
  </si>
  <si>
    <t>PRINCETON/CALDWELL COUNTY CHAMBER OF COMMERCE</t>
  </si>
  <si>
    <t>REALTOR ASSOCIATION OF SOUTHERN KENTUCKY</t>
  </si>
  <si>
    <t>SHELBY COUNTY CHAMBER OF COMMERCE</t>
  </si>
  <si>
    <t>SOUTH WESTERN KENTUCKY ECONOMIC DEVELOPMENT COUNCIL</t>
  </si>
  <si>
    <t>SPRINGFIELD WASHINGTON COUNTY CHAMBER OF COMMERCE</t>
  </si>
  <si>
    <t>THE LAKE NEWS</t>
  </si>
  <si>
    <t>TODD COUNTY COMMUNITY ALLIANCE</t>
  </si>
  <si>
    <t>TRIGG CO. CHAMBER OF COMMERCE</t>
  </si>
  <si>
    <t>URBAN &amp; REGIONAL INFORMATION SYSTEMS ASSOCIATION</t>
  </si>
  <si>
    <t>4.3% Sr Note due 10/1/2048 - Amort is pending new debt issue</t>
  </si>
  <si>
    <t>0</t>
  </si>
  <si>
    <t>Wtd Avg</t>
  </si>
  <si>
    <t>FY18</t>
  </si>
  <si>
    <t>FY19</t>
  </si>
  <si>
    <t>A2</t>
  </si>
  <si>
    <t>Baa1</t>
  </si>
  <si>
    <t>Baa2</t>
  </si>
  <si>
    <t>Baa3</t>
  </si>
  <si>
    <t>A-</t>
  </si>
  <si>
    <t>BBB+</t>
  </si>
  <si>
    <t>BBB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</si>
</sst>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_)"/>
    <numFmt numFmtId="166" formatCode="0.000000_)"/>
    <numFmt numFmtId="167" formatCode="mm/dd/yy_)"/>
    <numFmt numFmtId="168" formatCode="hh:mm:ss_)"/>
    <numFmt numFmtId="169" formatCode="0.000%"/>
    <numFmt numFmtId="170" formatCode="0.0000%"/>
    <numFmt numFmtId="171" formatCode="#,##0.0_);\(#,##0.0\)"/>
    <numFmt numFmtId="172" formatCode="0.000_)"/>
    <numFmt numFmtId="173" formatCode="0.0%"/>
    <numFmt numFmtId="174" formatCode="0.000000%"/>
    <numFmt numFmtId="175" formatCode="#,##0.000_);\(#,##0.000\)"/>
    <numFmt numFmtId="176" formatCode="#,##0.000000_);\(#,##0.000000\)"/>
    <numFmt numFmtId="177" formatCode="_(* #,##0.0000_);_(* \(#,##0.0000\);_(* &quot;-&quot;??_);_(@_)"/>
    <numFmt numFmtId="178" formatCode="_(* #,##0.00000_);_(* \(#,##0.00000\);_(* &quot;-&quot;??_);_(@_)"/>
    <numFmt numFmtId="179" formatCode="0.00000%"/>
    <numFmt numFmtId="180" formatCode="0_);\(0\)"/>
    <numFmt numFmtId="181" formatCode="&quot;$&quot;#,##0"/>
    <numFmt numFmtId="182" formatCode="_(&quot;$&quot;* #,##0_);_(&quot;$&quot;* \(#,##0\);_(&quot;$&quot;* &quot;-&quot;??_);_(@_)"/>
    <numFmt numFmtId="183" formatCode="0000"/>
    <numFmt numFmtId="184" formatCode="000.0"/>
    <numFmt numFmtId="185" formatCode="_(* #,##0_);_(* \(#,##0\);_(* &quot;-&quot;??_);_(@_)"/>
    <numFmt numFmtId="186" formatCode="[$-409]mmm\-yy;@"/>
    <numFmt numFmtId="187" formatCode="_(* #,##0.0_);_(* \(#,##0.0\);_(* &quot;-&quot;??_);_(@_)"/>
    <numFmt numFmtId="188" formatCode="0.0000000%"/>
    <numFmt numFmtId="189" formatCode="mm/dd/yy;@"/>
    <numFmt numFmtId="190" formatCode="#,##0.0000_);\(#,##0.0000\)"/>
    <numFmt numFmtId="191" formatCode="0.000000000000000%"/>
    <numFmt numFmtId="192" formatCode="#,##0.0"/>
    <numFmt numFmtId="193" formatCode="General;;"/>
  </numFmts>
  <fonts count="94">
    <font>
      <sz val="12"/>
      <name val="Helvetica-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Helvetica-Narrow"/>
      <family val="2"/>
    </font>
    <font>
      <b/>
      <sz val="12"/>
      <name val="Helvetica-Narrow"/>
      <family val="2"/>
    </font>
    <font>
      <u/>
      <sz val="12"/>
      <name val="Helvetica-Narrow"/>
      <family val="2"/>
    </font>
    <font>
      <u val="double"/>
      <sz val="12"/>
      <name val="Helvetica-Narrow"/>
      <family val="2"/>
    </font>
    <font>
      <sz val="12"/>
      <color indexed="12"/>
      <name val="Helvetica-Narrow"/>
      <family val="2"/>
    </font>
    <font>
      <sz val="12"/>
      <name val="Helvetica-Narrow"/>
      <family val="2"/>
    </font>
    <font>
      <sz val="12"/>
      <color indexed="10"/>
      <name val="Helvetica-Narrow"/>
      <family val="2"/>
    </font>
    <font>
      <sz val="12"/>
      <color indexed="10"/>
      <name val="Helvetica-Narrow"/>
    </font>
    <font>
      <sz val="12"/>
      <color indexed="12"/>
      <name val="Helvetica-Narrow"/>
    </font>
    <font>
      <sz val="12"/>
      <name val="Helvetica-Narrow"/>
    </font>
    <font>
      <u/>
      <sz val="12"/>
      <name val="Helvetica-Narrow"/>
    </font>
    <font>
      <b/>
      <sz val="12"/>
      <name val="Helvetica-Narrow"/>
    </font>
    <font>
      <u val="double"/>
      <sz val="12"/>
      <name val="Helvetica-Narrow"/>
    </font>
    <font>
      <b/>
      <sz val="12"/>
      <color indexed="14"/>
      <name val="Helvetica-Narrow"/>
    </font>
    <font>
      <b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Helvetica-Narrow"/>
      <family val="2"/>
    </font>
    <font>
      <sz val="8"/>
      <name val="Helvetica-Narrow"/>
      <family val="2"/>
    </font>
    <font>
      <sz val="12"/>
      <color indexed="20"/>
      <name val="Helvetica-Narrow"/>
      <family val="2"/>
    </font>
    <font>
      <sz val="12"/>
      <color indexed="20"/>
      <name val="Helvetica-Narrow"/>
    </font>
    <font>
      <sz val="10"/>
      <name val="Arial"/>
      <family val="2"/>
    </font>
    <font>
      <u/>
      <sz val="9"/>
      <color indexed="12"/>
      <name val="Helvetica-Narrow"/>
      <family val="2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Helvetica-Narrow"/>
      <family val="2"/>
    </font>
    <font>
      <b/>
      <u/>
      <sz val="12"/>
      <name val="Helvetica-Narrow"/>
    </font>
    <font>
      <sz val="12"/>
      <name val="Helvetica-Narrow"/>
      <family val="2"/>
    </font>
    <font>
      <sz val="9"/>
      <name val="Helvetica-Narrow"/>
      <family val="2"/>
    </font>
    <font>
      <sz val="12"/>
      <name val="Helvetica Narrow"/>
      <family val="2"/>
    </font>
    <font>
      <b/>
      <sz val="9"/>
      <name val="Helvetica-Narrow"/>
      <family val="2"/>
    </font>
    <font>
      <sz val="12"/>
      <name val="Helvetica-Narrow"/>
      <family val="2"/>
    </font>
    <font>
      <u/>
      <sz val="12"/>
      <color indexed="12"/>
      <name val="Helvetica-Narrow"/>
      <family val="2"/>
    </font>
    <font>
      <sz val="12"/>
      <color rgb="FF0000FF"/>
      <name val="Helvetica-Narrow"/>
      <family val="2"/>
    </font>
    <font>
      <b/>
      <sz val="12"/>
      <color rgb="FF0000FF"/>
      <name val="Helvetica-Narrow"/>
    </font>
    <font>
      <sz val="12"/>
      <color rgb="FF0000FF"/>
      <name val="Helvetica-Narrow"/>
    </font>
    <font>
      <sz val="12"/>
      <color rgb="FFFF0000"/>
      <name val="Helvetica-Narrow"/>
      <family val="2"/>
    </font>
    <font>
      <b/>
      <sz val="12"/>
      <color rgb="FF00B050"/>
      <name val="Helvetica-Narrow"/>
    </font>
    <font>
      <sz val="10"/>
      <color rgb="FF0000FF"/>
      <name val="Helvetica-Narrow"/>
      <family val="2"/>
    </font>
    <font>
      <sz val="12"/>
      <color rgb="FF0000FF"/>
      <name val="Times New Roman"/>
      <family val="1"/>
    </font>
    <font>
      <b/>
      <u/>
      <sz val="10.8"/>
      <name val="Helvetica-Narrow"/>
    </font>
    <font>
      <u/>
      <sz val="12"/>
      <name val="Helvetica Narrow"/>
      <family val="2"/>
    </font>
    <font>
      <sz val="12"/>
      <color theme="0" tint="-0.34998626667073579"/>
      <name val="Helvetica-Narrow"/>
      <family val="2"/>
    </font>
    <font>
      <sz val="12"/>
      <color theme="0" tint="-0.249977111117893"/>
      <name val="Helvetica-Narrow"/>
    </font>
    <font>
      <sz val="12"/>
      <color theme="0" tint="-0.249977111117893"/>
      <name val="Helvetica-Narrow"/>
      <family val="2"/>
    </font>
    <font>
      <b/>
      <sz val="12"/>
      <color rgb="FFFF0000"/>
      <name val="Helvetica-Narrow"/>
    </font>
    <font>
      <b/>
      <sz val="10"/>
      <color rgb="FFFF0000"/>
      <name val="Arial"/>
      <family val="2"/>
    </font>
    <font>
      <sz val="12"/>
      <color theme="0" tint="-0.499984740745262"/>
      <name val="Helvetica-Narrow"/>
      <family val="2"/>
    </font>
    <font>
      <sz val="10"/>
      <color theme="0" tint="-0.499984740745262"/>
      <name val="Helvetica-Narrow"/>
      <family val="2"/>
    </font>
    <font>
      <u/>
      <sz val="12"/>
      <color rgb="FF0000FF"/>
      <name val="Helvetica-Narrow"/>
      <family val="2"/>
    </font>
    <font>
      <sz val="10"/>
      <name val="Arial"/>
      <family val="2"/>
    </font>
    <font>
      <sz val="12"/>
      <color rgb="FFFF0000"/>
      <name val="Helvetica-Narrow"/>
    </font>
    <font>
      <sz val="10.8"/>
      <color rgb="FFFF0000"/>
      <name val="Helvetica-Narrow"/>
    </font>
    <font>
      <sz val="12"/>
      <color theme="0"/>
      <name val="Helvetica-Narrow"/>
      <family val="2"/>
    </font>
    <font>
      <b/>
      <vertAlign val="superscript"/>
      <sz val="8.4"/>
      <name val="Helvetica-Narrow"/>
    </font>
    <font>
      <i/>
      <sz val="12"/>
      <name val="Helvetica-Narrow"/>
    </font>
    <font>
      <i/>
      <vertAlign val="superscript"/>
      <sz val="8.4"/>
      <name val="Helvetica-Narrow"/>
    </font>
    <font>
      <i/>
      <sz val="8"/>
      <name val="Helvetica-Narrow"/>
    </font>
    <font>
      <sz val="12"/>
      <name val="Arial MT"/>
    </font>
    <font>
      <sz val="10"/>
      <name val="Helvetica-Narrow"/>
    </font>
    <font>
      <sz val="11"/>
      <color rgb="FF000000"/>
      <name val="Calibri"/>
      <family val="2"/>
    </font>
    <font>
      <sz val="10"/>
      <color indexed="18"/>
      <name val="Arial"/>
      <family val="2"/>
    </font>
    <font>
      <sz val="12"/>
      <name val="Tms Rmn"/>
    </font>
    <font>
      <sz val="9"/>
      <name val="Times New Roman"/>
      <family val="1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8"/>
      <name val="Palatino"/>
    </font>
    <font>
      <sz val="10"/>
      <color indexed="12"/>
      <name val="Arial"/>
      <family val="2"/>
    </font>
    <font>
      <b/>
      <sz val="12"/>
      <name val="Tms Rmn"/>
    </font>
    <font>
      <b/>
      <sz val="22"/>
      <color indexed="16"/>
      <name val="Arial"/>
      <family val="2"/>
    </font>
    <font>
      <sz val="7"/>
      <name val="Small Fonts"/>
      <family val="2"/>
    </font>
    <font>
      <sz val="12"/>
      <color indexed="62"/>
      <name val="Arial"/>
      <family val="2"/>
    </font>
    <font>
      <b/>
      <i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6"/>
      <color indexed="16"/>
      <name val="Arial"/>
      <family val="2"/>
    </font>
    <font>
      <sz val="12"/>
      <color indexed="13"/>
      <name val="Tms Rmn"/>
    </font>
    <font>
      <b/>
      <sz val="18"/>
      <name val="Palatino"/>
    </font>
    <font>
      <sz val="8"/>
      <color indexed="12"/>
      <name val="Arial"/>
      <family val="2"/>
    </font>
    <font>
      <sz val="12"/>
      <name val="新細明體"/>
      <family val="1"/>
      <charset val="136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27">
    <xf numFmtId="37" fontId="0" fillId="0" borderId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30" fillId="0" borderId="0"/>
    <xf numFmtId="37" fontId="4" fillId="0" borderId="0" applyProtection="0"/>
    <xf numFmtId="0" fontId="26" fillId="0" borderId="0"/>
    <xf numFmtId="0" fontId="26" fillId="0" borderId="0"/>
    <xf numFmtId="40" fontId="31" fillId="2" borderId="0">
      <alignment horizontal="right"/>
    </xf>
    <xf numFmtId="0" fontId="32" fillId="3" borderId="0">
      <alignment horizontal="center"/>
    </xf>
    <xf numFmtId="0" fontId="33" fillId="2" borderId="1"/>
    <xf numFmtId="0" fontId="34" fillId="0" borderId="0" applyBorder="0">
      <alignment horizontal="centerContinuous"/>
    </xf>
    <xf numFmtId="0" fontId="35" fillId="0" borderId="0" applyBorder="0">
      <alignment horizontal="centerContinuous"/>
    </xf>
    <xf numFmtId="9" fontId="3" fillId="0" borderId="0" applyFont="0" applyFill="0" applyBorder="0" applyAlignment="0" applyProtection="0"/>
    <xf numFmtId="0" fontId="61" fillId="0" borderId="0"/>
    <xf numFmtId="9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61" fillId="0" borderId="0"/>
    <xf numFmtId="4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7" fontId="4" fillId="0" borderId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0" borderId="0"/>
    <xf numFmtId="0" fontId="2" fillId="0" borderId="0"/>
    <xf numFmtId="0" fontId="26" fillId="0" borderId="0"/>
    <xf numFmtId="9" fontId="3" fillId="0" borderId="0" applyFont="0" applyFill="0" applyBorder="0" applyAlignment="0" applyProtection="0"/>
    <xf numFmtId="0" fontId="71" fillId="0" borderId="0" applyNumberFormat="0" applyBorder="0" applyAlignment="0"/>
    <xf numFmtId="0" fontId="18" fillId="9" borderId="33">
      <alignment horizontal="center" vertical="center"/>
    </xf>
    <xf numFmtId="3" fontId="72" fillId="10" borderId="0" applyBorder="0">
      <alignment horizontal="right"/>
      <protection locked="0"/>
    </xf>
    <xf numFmtId="0" fontId="7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5" fillId="0" borderId="0">
      <alignment horizontal="left" vertical="center" indent="1"/>
    </xf>
    <xf numFmtId="8" fontId="76" fillId="0" borderId="34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73" fillId="0" borderId="0"/>
    <xf numFmtId="0" fontId="73" fillId="0" borderId="35"/>
    <xf numFmtId="6" fontId="77" fillId="0" borderId="0">
      <protection locked="0"/>
    </xf>
    <xf numFmtId="0" fontId="78" fillId="0" borderId="0" applyNumberFormat="0">
      <protection locked="0"/>
    </xf>
    <xf numFmtId="192" fontId="18" fillId="11" borderId="0" applyFill="0" applyBorder="0" applyProtection="0"/>
    <xf numFmtId="0" fontId="26" fillId="0" borderId="0">
      <protection locked="0"/>
    </xf>
    <xf numFmtId="38" fontId="78" fillId="12" borderId="0" applyNumberFormat="0" applyBorder="0" applyAlignment="0" applyProtection="0"/>
    <xf numFmtId="0" fontId="79" fillId="0" borderId="0" applyNumberFormat="0" applyFill="0" applyBorder="0" applyAlignment="0" applyProtection="0"/>
    <xf numFmtId="0" fontId="21" fillId="0" borderId="36" applyNumberFormat="0" applyAlignment="0" applyProtection="0">
      <alignment horizontal="left" vertical="center"/>
    </xf>
    <xf numFmtId="0" fontId="21" fillId="0" borderId="19">
      <alignment horizontal="left" vertical="center"/>
    </xf>
    <xf numFmtId="0" fontId="80" fillId="0" borderId="0">
      <alignment horizontal="center"/>
    </xf>
    <xf numFmtId="0" fontId="26" fillId="0" borderId="0">
      <protection locked="0"/>
    </xf>
    <xf numFmtId="0" fontId="26" fillId="0" borderId="0">
      <protection locked="0"/>
    </xf>
    <xf numFmtId="0" fontId="81" fillId="0" borderId="37" applyNumberFormat="0" applyFill="0" applyAlignment="0" applyProtection="0"/>
    <xf numFmtId="10" fontId="78" fillId="3" borderId="22" applyNumberFormat="0" applyBorder="0" applyAlignment="0" applyProtection="0"/>
    <xf numFmtId="0" fontId="82" fillId="13" borderId="35"/>
    <xf numFmtId="0" fontId="83" fillId="0" borderId="0" applyNumberFormat="0">
      <alignment horizontal="left"/>
    </xf>
    <xf numFmtId="37" fontId="84" fillId="0" borderId="0"/>
    <xf numFmtId="3" fontId="78" fillId="12" borderId="0" applyNumberFormat="0"/>
    <xf numFmtId="0" fontId="73" fillId="0" borderId="0"/>
    <xf numFmtId="164" fontId="3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6" fillId="0" borderId="0">
      <alignment vertical="center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 applyNumberFormat="0" applyBorder="0" applyAlignment="0"/>
    <xf numFmtId="0" fontId="26" fillId="0" borderId="0"/>
    <xf numFmtId="37" fontId="4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5" fillId="0" borderId="0"/>
    <xf numFmtId="4" fontId="31" fillId="2" borderId="0">
      <alignment horizontal="right"/>
    </xf>
    <xf numFmtId="40" fontId="31" fillId="2" borderId="0">
      <alignment horizontal="right"/>
    </xf>
    <xf numFmtId="0" fontId="86" fillId="2" borderId="0">
      <alignment horizontal="right"/>
    </xf>
    <xf numFmtId="0" fontId="32" fillId="3" borderId="0">
      <alignment horizontal="center"/>
    </xf>
    <xf numFmtId="0" fontId="33" fillId="0" borderId="0" applyBorder="0">
      <alignment horizontal="centerContinuous"/>
    </xf>
    <xf numFmtId="0" fontId="34" fillId="0" borderId="0" applyBorder="0">
      <alignment horizontal="centerContinuous"/>
    </xf>
    <xf numFmtId="0" fontId="87" fillId="0" borderId="0" applyBorder="0">
      <alignment horizontal="centerContinuous"/>
    </xf>
    <xf numFmtId="0" fontId="35" fillId="0" borderId="0" applyBorder="0">
      <alignment horizontal="centerContinuous"/>
    </xf>
    <xf numFmtId="10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88" fillId="0" borderId="0" applyNumberFormat="0" applyFont="0" applyFill="0" applyBorder="0" applyAlignment="0" applyProtection="0">
      <alignment horizontal="left"/>
    </xf>
    <xf numFmtId="0" fontId="73" fillId="0" borderId="0"/>
    <xf numFmtId="0" fontId="89" fillId="0" borderId="0" applyNumberFormat="0">
      <alignment horizontal="left"/>
    </xf>
    <xf numFmtId="0" fontId="73" fillId="0" borderId="35"/>
    <xf numFmtId="0" fontId="90" fillId="14" borderId="0"/>
    <xf numFmtId="193" fontId="91" fillId="0" borderId="0">
      <alignment horizontal="center"/>
    </xf>
    <xf numFmtId="0" fontId="82" fillId="0" borderId="38"/>
    <xf numFmtId="0" fontId="82" fillId="0" borderId="35"/>
    <xf numFmtId="37" fontId="78" fillId="15" borderId="0" applyNumberFormat="0" applyBorder="0" applyAlignment="0" applyProtection="0"/>
    <xf numFmtId="37" fontId="78" fillId="0" borderId="0"/>
    <xf numFmtId="3" fontId="92" fillId="0" borderId="37" applyProtection="0"/>
    <xf numFmtId="0" fontId="93" fillId="0" borderId="0"/>
  </cellStyleXfs>
  <cellXfs count="1220">
    <xf numFmtId="37" fontId="0" fillId="0" borderId="0" xfId="0"/>
    <xf numFmtId="37" fontId="4" fillId="0" borderId="0" xfId="0" applyFont="1"/>
    <xf numFmtId="37" fontId="4" fillId="0" borderId="0" xfId="0" applyFont="1" applyAlignment="1" applyProtection="1">
      <alignment horizontal="center"/>
    </xf>
    <xf numFmtId="164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2" xfId="0" applyFont="1" applyBorder="1" applyAlignment="1" applyProtection="1">
      <alignment horizontal="left"/>
    </xf>
    <xf numFmtId="37" fontId="4" fillId="0" borderId="2" xfId="0" applyFont="1" applyBorder="1"/>
    <xf numFmtId="165" fontId="4" fillId="0" borderId="2" xfId="0" applyNumberFormat="1" applyFont="1" applyBorder="1" applyProtection="1"/>
    <xf numFmtId="165" fontId="4" fillId="0" borderId="0" xfId="0" applyNumberFormat="1" applyFont="1" applyProtection="1"/>
    <xf numFmtId="37" fontId="4" fillId="0" borderId="2" xfId="0" applyFont="1" applyBorder="1" applyAlignment="1" applyProtection="1">
      <alignment horizontal="center"/>
    </xf>
    <xf numFmtId="37" fontId="4" fillId="0" borderId="0" xfId="0" applyNumberFormat="1" applyFont="1" applyProtection="1"/>
    <xf numFmtId="10" fontId="4" fillId="0" borderId="0" xfId="0" applyNumberFormat="1" applyFont="1" applyProtection="1"/>
    <xf numFmtId="37" fontId="5" fillId="0" borderId="0" xfId="0" applyFont="1"/>
    <xf numFmtId="37" fontId="4" fillId="0" borderId="3" xfId="0" applyFont="1" applyBorder="1"/>
    <xf numFmtId="168" fontId="4" fillId="0" borderId="0" xfId="0" applyNumberFormat="1" applyFont="1" applyProtection="1"/>
    <xf numFmtId="37" fontId="6" fillId="0" borderId="0" xfId="0" applyFont="1"/>
    <xf numFmtId="37" fontId="6" fillId="0" borderId="0" xfId="0" applyFont="1" applyAlignment="1" applyProtection="1">
      <alignment horizontal="left"/>
    </xf>
    <xf numFmtId="37" fontId="4" fillId="0" borderId="2" xfId="0" applyNumberFormat="1" applyFont="1" applyBorder="1" applyProtection="1"/>
    <xf numFmtId="10" fontId="7" fillId="0" borderId="0" xfId="0" applyNumberFormat="1" applyFont="1" applyProtection="1"/>
    <xf numFmtId="37" fontId="4" fillId="0" borderId="0" xfId="0" applyNumberFormat="1" applyFont="1" applyAlignment="1" applyProtection="1">
      <alignment horizontal="right"/>
    </xf>
    <xf numFmtId="173" fontId="4" fillId="0" borderId="0" xfId="0" applyNumberFormat="1" applyFont="1" applyProtection="1"/>
    <xf numFmtId="37" fontId="4" fillId="0" borderId="0" xfId="0" applyNumberFormat="1" applyFont="1" applyAlignment="1" applyProtection="1">
      <alignment horizontal="center"/>
    </xf>
    <xf numFmtId="37" fontId="6" fillId="0" borderId="0" xfId="0" applyFont="1" applyAlignment="1" applyProtection="1">
      <alignment horizontal="center"/>
    </xf>
    <xf numFmtId="10" fontId="4" fillId="0" borderId="2" xfId="0" applyNumberFormat="1" applyFont="1" applyBorder="1" applyProtection="1"/>
    <xf numFmtId="174" fontId="4" fillId="0" borderId="0" xfId="0" applyNumberFormat="1" applyFont="1" applyProtection="1"/>
    <xf numFmtId="174" fontId="4" fillId="0" borderId="2" xfId="0" applyNumberFormat="1" applyFont="1" applyBorder="1" applyProtection="1"/>
    <xf numFmtId="37" fontId="8" fillId="0" borderId="0" xfId="0" applyFont="1" applyProtection="1">
      <protection locked="0"/>
    </xf>
    <xf numFmtId="37" fontId="5" fillId="0" borderId="0" xfId="0" applyFont="1" applyAlignment="1" applyProtection="1">
      <alignment horizontal="left"/>
    </xf>
    <xf numFmtId="5" fontId="4" fillId="0" borderId="0" xfId="0" applyNumberFormat="1" applyFont="1" applyProtection="1"/>
    <xf numFmtId="171" fontId="4" fillId="0" borderId="0" xfId="0" applyNumberFormat="1" applyFont="1" applyProtection="1"/>
    <xf numFmtId="37" fontId="4" fillId="0" borderId="0" xfId="0" applyFont="1" applyAlignment="1">
      <alignment horizontal="centerContinuous"/>
    </xf>
    <xf numFmtId="37" fontId="4" fillId="0" borderId="0" xfId="0" applyFont="1" applyAlignment="1" applyProtection="1">
      <alignment horizontal="centerContinuous"/>
    </xf>
    <xf numFmtId="37" fontId="4" fillId="0" borderId="5" xfId="0" applyFont="1" applyBorder="1" applyAlignment="1" applyProtection="1">
      <alignment horizontal="center"/>
    </xf>
    <xf numFmtId="37" fontId="4" fillId="0" borderId="5" xfId="0" applyFont="1" applyBorder="1"/>
    <xf numFmtId="37" fontId="4" fillId="0" borderId="0" xfId="0" applyFont="1" applyBorder="1" applyAlignment="1" applyProtection="1">
      <alignment horizontal="center"/>
    </xf>
    <xf numFmtId="37" fontId="4" fillId="0" borderId="0" xfId="0" applyFont="1" applyBorder="1"/>
    <xf numFmtId="37" fontId="4" fillId="0" borderId="0" xfId="0" applyFont="1" applyAlignment="1"/>
    <xf numFmtId="37" fontId="4" fillId="0" borderId="0" xfId="0" applyFont="1" applyAlignment="1" applyProtection="1"/>
    <xf numFmtId="37" fontId="4" fillId="0" borderId="2" xfId="0" applyFont="1" applyBorder="1" applyAlignment="1"/>
    <xf numFmtId="37" fontId="4" fillId="0" borderId="2" xfId="0" applyFont="1" applyBorder="1" applyAlignment="1" applyProtection="1"/>
    <xf numFmtId="37" fontId="9" fillId="0" borderId="0" xfId="0" applyFont="1"/>
    <xf numFmtId="37" fontId="6" fillId="0" borderId="0" xfId="0" applyFont="1" applyAlignment="1" applyProtection="1">
      <alignment horizontal="left"/>
      <protection locked="0"/>
    </xf>
    <xf numFmtId="37" fontId="4" fillId="0" borderId="0" xfId="0" applyNumberFormat="1" applyFont="1" applyBorder="1" applyProtection="1"/>
    <xf numFmtId="176" fontId="4" fillId="0" borderId="0" xfId="0" applyNumberFormat="1" applyFont="1" applyProtection="1"/>
    <xf numFmtId="10" fontId="4" fillId="0" borderId="0" xfId="13" applyNumberFormat="1" applyFont="1" applyProtection="1"/>
    <xf numFmtId="10" fontId="4" fillId="0" borderId="2" xfId="13" applyNumberFormat="1" applyFont="1" applyBorder="1" applyProtection="1"/>
    <xf numFmtId="10" fontId="4" fillId="0" borderId="0" xfId="13" applyNumberFormat="1" applyFont="1"/>
    <xf numFmtId="10" fontId="7" fillId="0" borderId="0" xfId="13" applyNumberFormat="1" applyFont="1" applyProtection="1"/>
    <xf numFmtId="37" fontId="4" fillId="0" borderId="0" xfId="0" applyFont="1" applyBorder="1" applyAlignment="1" applyProtection="1">
      <alignment horizontal="left"/>
    </xf>
    <xf numFmtId="37" fontId="4" fillId="0" borderId="0" xfId="0" applyFont="1" applyBorder="1" applyAlignment="1" applyProtection="1"/>
    <xf numFmtId="37" fontId="4" fillId="0" borderId="0" xfId="0" applyFont="1" applyBorder="1" applyAlignment="1"/>
    <xf numFmtId="37" fontId="4" fillId="0" borderId="5" xfId="0" applyFont="1" applyBorder="1" applyAlignment="1" applyProtection="1">
      <alignment horizontal="left"/>
    </xf>
    <xf numFmtId="37" fontId="0" fillId="0" borderId="5" xfId="0" applyBorder="1"/>
    <xf numFmtId="37" fontId="0" fillId="0" borderId="0" xfId="0" applyAlignment="1">
      <alignment horizontal="center"/>
    </xf>
    <xf numFmtId="37" fontId="4" fillId="0" borderId="0" xfId="0" applyFont="1" applyAlignment="1">
      <alignment horizontal="center"/>
    </xf>
    <xf numFmtId="10" fontId="0" fillId="0" borderId="0" xfId="13" applyNumberFormat="1" applyFont="1"/>
    <xf numFmtId="37" fontId="4" fillId="0" borderId="5" xfId="0" applyFont="1" applyBorder="1" applyAlignment="1">
      <alignment horizontal="center"/>
    </xf>
    <xf numFmtId="37" fontId="0" fillId="0" borderId="0" xfId="0" applyBorder="1"/>
    <xf numFmtId="37" fontId="0" fillId="0" borderId="5" xfId="0" applyBorder="1" applyAlignment="1">
      <alignment horizontal="center"/>
    </xf>
    <xf numFmtId="37" fontId="4" fillId="0" borderId="7" xfId="0" applyFont="1" applyBorder="1"/>
    <xf numFmtId="37" fontId="9" fillId="0" borderId="5" xfId="0" applyFont="1" applyBorder="1"/>
    <xf numFmtId="37" fontId="12" fillId="0" borderId="0" xfId="0" applyNumberFormat="1" applyFont="1" applyProtection="1"/>
    <xf numFmtId="37" fontId="13" fillId="0" borderId="0" xfId="0" applyFont="1"/>
    <xf numFmtId="37" fontId="13" fillId="0" borderId="0" xfId="0" applyNumberFormat="1" applyFont="1" applyProtection="1"/>
    <xf numFmtId="37" fontId="0" fillId="0" borderId="0" xfId="0" applyBorder="1" applyAlignment="1">
      <alignment horizontal="center"/>
    </xf>
    <xf numFmtId="37" fontId="13" fillId="0" borderId="0" xfId="0" applyFont="1" applyAlignment="1" applyProtection="1">
      <alignment horizontal="centerContinuous"/>
      <protection locked="0"/>
    </xf>
    <xf numFmtId="37" fontId="13" fillId="0" borderId="0" xfId="0" applyFont="1" applyAlignment="1" applyProtection="1">
      <alignment horizontal="left"/>
    </xf>
    <xf numFmtId="10" fontId="12" fillId="0" borderId="0" xfId="0" applyNumberFormat="1" applyFont="1" applyProtection="1"/>
    <xf numFmtId="9" fontId="12" fillId="0" borderId="0" xfId="13" applyFont="1"/>
    <xf numFmtId="174" fontId="13" fillId="0" borderId="2" xfId="0" applyNumberFormat="1" applyFont="1" applyBorder="1" applyProtection="1"/>
    <xf numFmtId="10" fontId="13" fillId="0" borderId="0" xfId="13" applyNumberFormat="1" applyFont="1" applyAlignment="1" applyProtection="1">
      <alignment horizontal="center"/>
    </xf>
    <xf numFmtId="37" fontId="12" fillId="0" borderId="0" xfId="0" applyNumberFormat="1" applyFont="1" applyFill="1" applyProtection="1"/>
    <xf numFmtId="37" fontId="4" fillId="0" borderId="0" xfId="0" applyNumberFormat="1" applyFont="1" applyBorder="1" applyAlignment="1" applyProtection="1">
      <alignment horizontal="right"/>
    </xf>
    <xf numFmtId="37" fontId="4" fillId="0" borderId="0" xfId="0" applyNumberFormat="1" applyFont="1" applyFill="1" applyProtection="1"/>
    <xf numFmtId="37" fontId="4" fillId="0" borderId="0" xfId="0" applyFont="1" applyFill="1" applyBorder="1"/>
    <xf numFmtId="37" fontId="4" fillId="0" borderId="0" xfId="0" applyFont="1" applyFill="1" applyBorder="1" applyAlignment="1" applyProtection="1">
      <alignment horizontal="center"/>
    </xf>
    <xf numFmtId="37" fontId="4" fillId="0" borderId="0" xfId="0" applyFont="1" applyFill="1" applyBorder="1" applyAlignment="1">
      <alignment horizontal="center"/>
    </xf>
    <xf numFmtId="37" fontId="4" fillId="0" borderId="0" xfId="0" applyNumberFormat="1" applyFont="1" applyFill="1" applyBorder="1" applyProtection="1"/>
    <xf numFmtId="37" fontId="9" fillId="0" borderId="0" xfId="0" applyFont="1" applyAlignment="1">
      <alignment horizontal="center"/>
    </xf>
    <xf numFmtId="39" fontId="0" fillId="0" borderId="0" xfId="0" applyNumberFormat="1"/>
    <xf numFmtId="37" fontId="0" fillId="0" borderId="0" xfId="0" applyFill="1"/>
    <xf numFmtId="37" fontId="4" fillId="0" borderId="0" xfId="0" applyFont="1" applyFill="1"/>
    <xf numFmtId="37" fontId="4" fillId="0" borderId="5" xfId="0" applyFont="1" applyFill="1" applyBorder="1"/>
    <xf numFmtId="37" fontId="4" fillId="0" borderId="5" xfId="0" applyNumberFormat="1" applyFont="1" applyFill="1" applyBorder="1" applyProtection="1"/>
    <xf numFmtId="37" fontId="13" fillId="0" borderId="0" xfId="0" applyNumberFormat="1" applyFont="1" applyBorder="1" applyProtection="1"/>
    <xf numFmtId="37" fontId="4" fillId="0" borderId="2" xfId="0" applyNumberFormat="1" applyFont="1" applyFill="1" applyBorder="1" applyProtection="1"/>
    <xf numFmtId="37" fontId="13" fillId="0" borderId="0" xfId="0" applyNumberFormat="1" applyFont="1" applyFill="1" applyProtection="1"/>
    <xf numFmtId="37" fontId="13" fillId="0" borderId="0" xfId="0" applyNumberFormat="1" applyFont="1" applyFill="1" applyBorder="1" applyProtection="1"/>
    <xf numFmtId="37" fontId="4" fillId="0" borderId="0" xfId="0" applyFont="1" applyFill="1" applyAlignment="1" applyProtection="1">
      <alignment horizontal="left"/>
    </xf>
    <xf numFmtId="37" fontId="0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left"/>
    </xf>
    <xf numFmtId="37" fontId="0" fillId="0" borderId="2" xfId="0" applyFont="1" applyBorder="1" applyAlignment="1" applyProtection="1">
      <alignment horizontal="left"/>
    </xf>
    <xf numFmtId="37" fontId="0" fillId="0" borderId="0" xfId="0" applyFont="1"/>
    <xf numFmtId="37" fontId="0" fillId="0" borderId="0" xfId="0" applyFont="1" applyBorder="1"/>
    <xf numFmtId="37" fontId="13" fillId="0" borderId="0" xfId="0" applyFont="1" applyBorder="1"/>
    <xf numFmtId="37" fontId="0" fillId="0" borderId="5" xfId="0" applyFont="1" applyBorder="1"/>
    <xf numFmtId="37" fontId="13" fillId="0" borderId="0" xfId="0" applyFont="1" applyFill="1"/>
    <xf numFmtId="37" fontId="0" fillId="0" borderId="2" xfId="0" applyFont="1" applyBorder="1"/>
    <xf numFmtId="37" fontId="0" fillId="0" borderId="0" xfId="0" applyFont="1" applyAlignment="1">
      <alignment horizontal="centerContinuous"/>
    </xf>
    <xf numFmtId="37" fontId="0" fillId="0" borderId="0" xfId="0" applyFont="1" applyAlignment="1">
      <alignment horizontal="center"/>
    </xf>
    <xf numFmtId="37" fontId="0" fillId="0" borderId="0" xfId="0" applyFont="1" applyAlignment="1" applyProtection="1">
      <alignment horizontal="center"/>
    </xf>
    <xf numFmtId="37" fontId="0" fillId="0" borderId="2" xfId="0" applyFont="1" applyBorder="1" applyAlignment="1" applyProtection="1">
      <alignment horizontal="center"/>
    </xf>
    <xf numFmtId="37" fontId="15" fillId="0" borderId="0" xfId="0" applyFont="1"/>
    <xf numFmtId="37" fontId="0" fillId="0" borderId="0" xfId="0" applyFont="1" applyFill="1"/>
    <xf numFmtId="37" fontId="0" fillId="0" borderId="0" xfId="0" applyFont="1" applyProtection="1"/>
    <xf numFmtId="10" fontId="0" fillId="0" borderId="0" xfId="0" applyNumberFormat="1" applyFont="1" applyProtection="1"/>
    <xf numFmtId="37" fontId="0" fillId="0" borderId="0" xfId="0" applyNumberFormat="1" applyFont="1" applyProtection="1"/>
    <xf numFmtId="37" fontId="13" fillId="0" borderId="0" xfId="0" applyFont="1" applyFill="1" applyBorder="1"/>
    <xf numFmtId="37" fontId="0" fillId="0" borderId="0" xfId="0" applyNumberFormat="1" applyFont="1" applyFill="1" applyProtection="1"/>
    <xf numFmtId="37" fontId="0" fillId="0" borderId="2" xfId="0" applyNumberFormat="1" applyFont="1" applyFill="1" applyBorder="1" applyProtection="1"/>
    <xf numFmtId="164" fontId="4" fillId="0" borderId="0" xfId="0" applyNumberFormat="1" applyFont="1" applyFill="1" applyProtection="1"/>
    <xf numFmtId="10" fontId="13" fillId="0" borderId="0" xfId="13" applyNumberFormat="1" applyFont="1" applyProtection="1"/>
    <xf numFmtId="10" fontId="4" fillId="0" borderId="0" xfId="0" applyNumberFormat="1" applyFont="1" applyFill="1" applyProtection="1"/>
    <xf numFmtId="37" fontId="7" fillId="0" borderId="0" xfId="0" applyNumberFormat="1" applyFont="1" applyFill="1" applyProtection="1"/>
    <xf numFmtId="10" fontId="7" fillId="0" borderId="0" xfId="0" applyNumberFormat="1" applyFont="1" applyFill="1" applyProtection="1"/>
    <xf numFmtId="37" fontId="17" fillId="0" borderId="0" xfId="0" applyFont="1"/>
    <xf numFmtId="37" fontId="12" fillId="0" borderId="0" xfId="0" applyFont="1" applyFill="1" applyAlignment="1" applyProtection="1">
      <alignment horizontal="left"/>
    </xf>
    <xf numFmtId="37" fontId="4" fillId="0" borderId="0" xfId="0" applyFont="1" applyFill="1" applyAlignment="1" applyProtection="1">
      <alignment horizontal="center"/>
    </xf>
    <xf numFmtId="37" fontId="0" fillId="0" borderId="0" xfId="0" applyNumberFormat="1"/>
    <xf numFmtId="37" fontId="0" fillId="0" borderId="3" xfId="0" applyFont="1" applyBorder="1"/>
    <xf numFmtId="37" fontId="0" fillId="0" borderId="3" xfId="0" applyFont="1" applyBorder="1" applyAlignment="1" applyProtection="1">
      <alignment horizontal="center"/>
    </xf>
    <xf numFmtId="37" fontId="0" fillId="0" borderId="0" xfId="0" applyFont="1" applyFill="1" applyAlignment="1" applyProtection="1">
      <alignment horizontal="center"/>
    </xf>
    <xf numFmtId="37" fontId="0" fillId="0" borderId="0" xfId="0" quotePrefix="1" applyFont="1" applyAlignment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Fill="1" applyProtection="1">
      <protection locked="0"/>
    </xf>
    <xf numFmtId="37" fontId="13" fillId="0" borderId="2" xfId="0" applyNumberFormat="1" applyFont="1" applyFill="1" applyBorder="1" applyProtection="1"/>
    <xf numFmtId="37" fontId="0" fillId="0" borderId="0" xfId="0" applyAlignment="1" applyProtection="1">
      <alignment horizontal="left"/>
    </xf>
    <xf numFmtId="37" fontId="17" fillId="0" borderId="0" xfId="0" applyFont="1" applyFill="1"/>
    <xf numFmtId="10" fontId="0" fillId="0" borderId="0" xfId="0" applyNumberFormat="1" applyFont="1" applyAlignment="1" applyProtection="1">
      <alignment horizontal="center"/>
    </xf>
    <xf numFmtId="10" fontId="0" fillId="0" borderId="0" xfId="0" applyNumberFormat="1" applyFont="1" applyAlignment="1" applyProtection="1">
      <alignment horizontal="left"/>
    </xf>
    <xf numFmtId="37" fontId="0" fillId="0" borderId="2" xfId="0" applyFont="1" applyBorder="1" applyAlignment="1" applyProtection="1">
      <alignment horizontal="left"/>
      <protection locked="0"/>
    </xf>
    <xf numFmtId="37" fontId="0" fillId="0" borderId="0" xfId="0" applyNumberFormat="1" applyFont="1" applyFill="1" applyProtection="1">
      <protection locked="0"/>
    </xf>
    <xf numFmtId="169" fontId="7" fillId="0" borderId="0" xfId="0" applyNumberFormat="1" applyFont="1" applyFill="1" applyProtection="1"/>
    <xf numFmtId="37" fontId="7" fillId="0" borderId="0" xfId="0" applyFont="1" applyFill="1" applyProtection="1"/>
    <xf numFmtId="37" fontId="0" fillId="0" borderId="0" xfId="0" applyNumberFormat="1" applyFont="1" applyFill="1" applyAlignment="1" applyProtection="1">
      <alignment horizontal="left"/>
    </xf>
    <xf numFmtId="164" fontId="0" fillId="0" borderId="0" xfId="0" applyNumberFormat="1" applyFont="1" applyFill="1" applyProtection="1"/>
    <xf numFmtId="3" fontId="0" fillId="0" borderId="0" xfId="0" applyNumberFormat="1"/>
    <xf numFmtId="181" fontId="0" fillId="0" borderId="0" xfId="0" applyNumberFormat="1"/>
    <xf numFmtId="3" fontId="19" fillId="0" borderId="0" xfId="0" applyNumberFormat="1" applyFont="1"/>
    <xf numFmtId="3" fontId="0" fillId="0" borderId="0" xfId="1" applyNumberFormat="1" applyFont="1"/>
    <xf numFmtId="181" fontId="18" fillId="0" borderId="0" xfId="0" applyNumberFormat="1" applyFont="1"/>
    <xf numFmtId="37" fontId="20" fillId="0" borderId="0" xfId="0" applyNumberFormat="1" applyFont="1"/>
    <xf numFmtId="37" fontId="20" fillId="0" borderId="0" xfId="1" applyNumberFormat="1" applyFont="1"/>
    <xf numFmtId="37" fontId="20" fillId="0" borderId="0" xfId="0" applyFont="1"/>
    <xf numFmtId="182" fontId="20" fillId="0" borderId="0" xfId="2" applyNumberFormat="1" applyFont="1"/>
    <xf numFmtId="37" fontId="20" fillId="0" borderId="5" xfId="0" applyNumberFormat="1" applyFont="1" applyBorder="1"/>
    <xf numFmtId="182" fontId="20" fillId="0" borderId="6" xfId="2" applyNumberFormat="1" applyFont="1" applyBorder="1"/>
    <xf numFmtId="37" fontId="21" fillId="0" borderId="0" xfId="0" applyFont="1"/>
    <xf numFmtId="37" fontId="22" fillId="0" borderId="0" xfId="0" applyFont="1"/>
    <xf numFmtId="37" fontId="20" fillId="0" borderId="0" xfId="0" quotePrefix="1" applyFont="1" applyAlignment="1">
      <alignment horizontal="left" indent="3"/>
    </xf>
    <xf numFmtId="37" fontId="4" fillId="0" borderId="0" xfId="0" applyFont="1" applyFill="1" applyAlignment="1">
      <alignment horizontal="centerContinuous"/>
    </xf>
    <xf numFmtId="37" fontId="4" fillId="0" borderId="2" xfId="0" applyFont="1" applyFill="1" applyBorder="1"/>
    <xf numFmtId="10" fontId="4" fillId="0" borderId="0" xfId="0" applyNumberFormat="1" applyFont="1"/>
    <xf numFmtId="37" fontId="13" fillId="0" borderId="0" xfId="0" applyNumberFormat="1" applyFont="1" applyFill="1" applyBorder="1" applyProtection="1">
      <protection locked="0"/>
    </xf>
    <xf numFmtId="37" fontId="4" fillId="0" borderId="5" xfId="0" applyFont="1" applyBorder="1" applyAlignment="1"/>
    <xf numFmtId="37" fontId="4" fillId="0" borderId="0" xfId="0" applyNumberFormat="1" applyFont="1" applyAlignment="1">
      <alignment horizontal="right"/>
    </xf>
    <xf numFmtId="37" fontId="4" fillId="0" borderId="0" xfId="0" applyFont="1" applyAlignment="1">
      <alignment horizontal="left" indent="2"/>
    </xf>
    <xf numFmtId="37" fontId="4" fillId="0" borderId="0" xfId="0" applyFont="1" applyAlignment="1">
      <alignment horizontal="left" indent="3"/>
    </xf>
    <xf numFmtId="10" fontId="4" fillId="0" borderId="5" xfId="13" applyNumberFormat="1" applyFont="1" applyBorder="1"/>
    <xf numFmtId="37" fontId="4" fillId="0" borderId="5" xfId="0" applyNumberFormat="1" applyFont="1" applyBorder="1" applyAlignment="1" applyProtection="1">
      <alignment horizontal="right"/>
    </xf>
    <xf numFmtId="169" fontId="4" fillId="0" borderId="5" xfId="13" applyNumberFormat="1" applyFont="1" applyBorder="1" applyAlignment="1" applyProtection="1">
      <alignment horizontal="right"/>
    </xf>
    <xf numFmtId="37" fontId="15" fillId="0" borderId="0" xfId="0" applyFont="1" applyAlignment="1">
      <alignment horizontal="left" indent="1"/>
    </xf>
    <xf numFmtId="37" fontId="15" fillId="0" borderId="0" xfId="0" applyNumberFormat="1" applyFont="1" applyBorder="1" applyAlignment="1" applyProtection="1">
      <alignment horizontal="right"/>
    </xf>
    <xf numFmtId="37" fontId="14" fillId="0" borderId="0" xfId="0" applyFont="1" applyAlignment="1"/>
    <xf numFmtId="10" fontId="4" fillId="0" borderId="0" xfId="13" applyNumberFormat="1" applyFont="1" applyAlignment="1"/>
    <xf numFmtId="37" fontId="4" fillId="0" borderId="0" xfId="0" applyFont="1" applyAlignment="1" applyProtection="1">
      <alignment horizontal="left" indent="2"/>
    </xf>
    <xf numFmtId="173" fontId="4" fillId="0" borderId="0" xfId="0" applyNumberFormat="1" applyFont="1" applyFill="1" applyProtection="1"/>
    <xf numFmtId="37" fontId="4" fillId="0" borderId="0" xfId="0" applyFont="1" applyFill="1" applyAlignment="1" applyProtection="1">
      <alignment horizontal="centerContinuous"/>
    </xf>
    <xf numFmtId="37" fontId="4" fillId="0" borderId="0" xfId="0" applyNumberFormat="1" applyFont="1" applyBorder="1" applyAlignment="1" applyProtection="1">
      <alignment horizontal="center"/>
    </xf>
    <xf numFmtId="37" fontId="4" fillId="0" borderId="0" xfId="0" applyFont="1" applyFill="1" applyAlignment="1">
      <alignment horizontal="center"/>
    </xf>
    <xf numFmtId="37" fontId="4" fillId="0" borderId="0" xfId="0" applyFont="1" applyFill="1" applyAlignment="1">
      <alignment horizontal="right"/>
    </xf>
    <xf numFmtId="37" fontId="0" fillId="0" borderId="0" xfId="0" applyAlignment="1">
      <alignment horizontal="left"/>
    </xf>
    <xf numFmtId="37" fontId="0" fillId="0" borderId="0" xfId="0" applyFont="1" applyFill="1" applyAlignment="1" applyProtection="1">
      <alignment horizontal="centerContinuous"/>
    </xf>
    <xf numFmtId="37" fontId="13" fillId="0" borderId="0" xfId="0" applyFont="1" applyFill="1" applyAlignment="1" applyProtection="1">
      <alignment horizontal="centerContinuous"/>
      <protection locked="0"/>
    </xf>
    <xf numFmtId="37" fontId="25" fillId="0" borderId="0" xfId="0" applyFont="1" applyAlignment="1" applyProtection="1">
      <alignment horizontal="centerContinuous"/>
    </xf>
    <xf numFmtId="37" fontId="11" fillId="0" borderId="0" xfId="0" applyFont="1" applyFill="1" applyAlignment="1" applyProtection="1">
      <alignment horizontal="left"/>
    </xf>
    <xf numFmtId="37" fontId="0" fillId="0" borderId="0" xfId="0" applyFill="1" applyAlignment="1">
      <alignment horizontal="center"/>
    </xf>
    <xf numFmtId="43" fontId="28" fillId="0" borderId="0" xfId="1" applyFont="1"/>
    <xf numFmtId="43" fontId="28" fillId="0" borderId="0" xfId="1" applyFont="1" applyFill="1"/>
    <xf numFmtId="9" fontId="0" fillId="0" borderId="0" xfId="13" applyFont="1"/>
    <xf numFmtId="37" fontId="9" fillId="0" borderId="0" xfId="0" applyFont="1" applyAlignment="1" applyProtection="1">
      <alignment horizontal="left"/>
    </xf>
    <xf numFmtId="10" fontId="13" fillId="0" borderId="0" xfId="0" applyNumberFormat="1" applyFont="1" applyAlignment="1" applyProtection="1">
      <alignment horizontal="center"/>
    </xf>
    <xf numFmtId="185" fontId="4" fillId="0" borderId="0" xfId="1" applyNumberFormat="1" applyFont="1" applyProtection="1"/>
    <xf numFmtId="0" fontId="26" fillId="0" borderId="0" xfId="7"/>
    <xf numFmtId="9" fontId="4" fillId="0" borderId="0" xfId="13" applyFont="1" applyProtection="1"/>
    <xf numFmtId="37" fontId="4" fillId="0" borderId="5" xfId="0" applyFont="1" applyFill="1" applyBorder="1" applyAlignment="1" applyProtection="1">
      <alignment horizontal="center"/>
    </xf>
    <xf numFmtId="37" fontId="4" fillId="0" borderId="0" xfId="0" applyFont="1" applyAlignment="1" applyProtection="1">
      <alignment horizontal="centerContinuous"/>
      <protection locked="0"/>
    </xf>
    <xf numFmtId="37" fontId="9" fillId="0" borderId="0" xfId="0" applyNumberFormat="1" applyFont="1" applyProtection="1"/>
    <xf numFmtId="37" fontId="9" fillId="0" borderId="0" xfId="0" applyFont="1" applyAlignment="1" applyProtection="1">
      <alignment horizontal="center"/>
    </xf>
    <xf numFmtId="37" fontId="9" fillId="0" borderId="5" xfId="0" applyNumberFormat="1" applyFont="1" applyBorder="1" applyProtection="1"/>
    <xf numFmtId="37" fontId="9" fillId="0" borderId="2" xfId="0" applyFont="1" applyBorder="1"/>
    <xf numFmtId="37" fontId="9" fillId="0" borderId="0" xfId="0" applyFont="1" applyBorder="1"/>
    <xf numFmtId="37" fontId="9" fillId="0" borderId="2" xfId="0" applyNumberFormat="1" applyFont="1" applyBorder="1" applyProtection="1"/>
    <xf numFmtId="37" fontId="9" fillId="0" borderId="5" xfId="0" applyFont="1" applyBorder="1" applyAlignment="1" applyProtection="1">
      <alignment horizontal="left"/>
    </xf>
    <xf numFmtId="37" fontId="9" fillId="0" borderId="0" xfId="0" applyNumberFormat="1" applyFont="1" applyFill="1" applyBorder="1" applyProtection="1"/>
    <xf numFmtId="37" fontId="9" fillId="0" borderId="0" xfId="0" applyFont="1" applyFill="1"/>
    <xf numFmtId="37" fontId="37" fillId="0" borderId="0" xfId="0" applyFont="1" applyAlignment="1" applyProtection="1">
      <alignment horizontal="left"/>
    </xf>
    <xf numFmtId="173" fontId="4" fillId="0" borderId="5" xfId="0" applyNumberFormat="1" applyFont="1" applyFill="1" applyBorder="1" applyProtection="1"/>
    <xf numFmtId="173" fontId="4" fillId="0" borderId="0" xfId="0" applyNumberFormat="1" applyFont="1" applyFill="1"/>
    <xf numFmtId="173" fontId="7" fillId="0" borderId="0" xfId="0" applyNumberFormat="1" applyFont="1" applyProtection="1"/>
    <xf numFmtId="37" fontId="13" fillId="0" borderId="0" xfId="0" applyFont="1" applyAlignment="1">
      <alignment horizontal="centerContinuous"/>
    </xf>
    <xf numFmtId="37" fontId="9" fillId="0" borderId="0" xfId="0" applyFont="1" applyFill="1" applyAlignment="1">
      <alignment horizontal="centerContinuous"/>
    </xf>
    <xf numFmtId="37" fontId="9" fillId="0" borderId="2" xfId="0" applyFont="1" applyBorder="1" applyAlignment="1" applyProtection="1">
      <alignment horizontal="left"/>
    </xf>
    <xf numFmtId="37" fontId="9" fillId="0" borderId="2" xfId="0" applyFont="1" applyFill="1" applyBorder="1" applyAlignment="1" applyProtection="1">
      <alignment horizontal="left"/>
      <protection locked="0"/>
    </xf>
    <xf numFmtId="37" fontId="9" fillId="0" borderId="0" xfId="0" applyFont="1" applyAlignment="1" applyProtection="1">
      <alignment horizontal="left"/>
      <protection locked="0"/>
    </xf>
    <xf numFmtId="37" fontId="9" fillId="0" borderId="0" xfId="0" applyFont="1" applyAlignment="1" applyProtection="1">
      <alignment horizontal="center"/>
      <protection locked="0"/>
    </xf>
    <xf numFmtId="37" fontId="9" fillId="0" borderId="2" xfId="0" applyFont="1" applyBorder="1" applyAlignment="1" applyProtection="1">
      <alignment horizontal="left"/>
      <protection locked="0"/>
    </xf>
    <xf numFmtId="17" fontId="9" fillId="0" borderId="22" xfId="0" applyNumberFormat="1" applyFont="1" applyFill="1" applyBorder="1" applyAlignment="1">
      <alignment horizontal="center"/>
    </xf>
    <xf numFmtId="37" fontId="9" fillId="0" borderId="0" xfId="0" applyFont="1" applyBorder="1" applyAlignment="1">
      <alignment horizontal="center"/>
    </xf>
    <xf numFmtId="37" fontId="9" fillId="0" borderId="0" xfId="0" applyFont="1" applyFill="1" applyAlignment="1" applyProtection="1">
      <alignment horizontal="center"/>
    </xf>
    <xf numFmtId="37" fontId="22" fillId="0" borderId="0" xfId="0" applyFont="1" applyFill="1"/>
    <xf numFmtId="183" fontId="22" fillId="0" borderId="0" xfId="0" applyNumberFormat="1" applyFont="1" applyAlignment="1" applyProtection="1">
      <alignment horizontal="left"/>
      <protection locked="0"/>
    </xf>
    <xf numFmtId="37" fontId="38" fillId="0" borderId="0" xfId="0" applyFont="1"/>
    <xf numFmtId="37" fontId="38" fillId="2" borderId="0" xfId="0" applyFont="1" applyFill="1"/>
    <xf numFmtId="5" fontId="38" fillId="0" borderId="10" xfId="0" applyNumberFormat="1" applyFont="1" applyBorder="1"/>
    <xf numFmtId="5" fontId="38" fillId="0" borderId="0" xfId="0" applyNumberFormat="1" applyFont="1" applyBorder="1"/>
    <xf numFmtId="37" fontId="38" fillId="0" borderId="0" xfId="0" applyFont="1" applyFill="1"/>
    <xf numFmtId="10" fontId="38" fillId="0" borderId="0" xfId="13" applyNumberFormat="1" applyFont="1"/>
    <xf numFmtId="37" fontId="38" fillId="0" borderId="0" xfId="0" applyFont="1" applyBorder="1"/>
    <xf numFmtId="37" fontId="38" fillId="0" borderId="0" xfId="0" applyFont="1" applyFill="1" applyBorder="1"/>
    <xf numFmtId="37" fontId="9" fillId="0" borderId="0" xfId="0" applyFont="1" applyProtection="1">
      <protection locked="0"/>
    </xf>
    <xf numFmtId="37" fontId="4" fillId="0" borderId="0" xfId="0" applyFont="1" applyBorder="1" applyAlignment="1">
      <alignment horizontal="center"/>
    </xf>
    <xf numFmtId="37" fontId="9" fillId="0" borderId="5" xfId="0" applyFont="1" applyBorder="1" applyAlignment="1">
      <alignment horizontal="center"/>
    </xf>
    <xf numFmtId="37" fontId="9" fillId="0" borderId="0" xfId="0" applyNumberFormat="1" applyFont="1" applyFill="1" applyProtection="1"/>
    <xf numFmtId="37" fontId="9" fillId="0" borderId="0" xfId="0" quotePrefix="1" applyFont="1" applyBorder="1" applyAlignment="1">
      <alignment horizontal="left"/>
    </xf>
    <xf numFmtId="10" fontId="9" fillId="0" borderId="0" xfId="13" applyNumberFormat="1" applyFont="1" applyBorder="1" applyAlignment="1">
      <alignment horizontal="left"/>
    </xf>
    <xf numFmtId="37" fontId="9" fillId="0" borderId="0" xfId="0" applyFont="1" applyAlignment="1">
      <alignment horizontal="left" indent="1"/>
    </xf>
    <xf numFmtId="10" fontId="9" fillId="0" borderId="0" xfId="0" applyNumberFormat="1" applyFont="1" applyProtection="1"/>
    <xf numFmtId="37" fontId="9" fillId="0" borderId="2" xfId="0" applyFont="1" applyBorder="1" applyAlignment="1" applyProtection="1">
      <alignment horizontal="center"/>
    </xf>
    <xf numFmtId="37" fontId="9" fillId="0" borderId="0" xfId="0" applyNumberFormat="1" applyFont="1" applyAlignment="1" applyProtection="1">
      <alignment horizontal="center"/>
    </xf>
    <xf numFmtId="37" fontId="9" fillId="0" borderId="0" xfId="0" applyFont="1" applyFill="1" applyBorder="1"/>
    <xf numFmtId="37" fontId="9" fillId="0" borderId="5" xfId="0" applyNumberFormat="1" applyFont="1" applyFill="1" applyBorder="1" applyProtection="1"/>
    <xf numFmtId="37" fontId="9" fillId="0" borderId="0" xfId="0" applyFont="1" applyAlignment="1"/>
    <xf numFmtId="37" fontId="9" fillId="0" borderId="0" xfId="0" applyFont="1" applyFill="1" applyAlignment="1" applyProtection="1">
      <alignment horizontal="left"/>
    </xf>
    <xf numFmtId="180" fontId="9" fillId="0" borderId="0" xfId="0" applyNumberFormat="1" applyFont="1" applyAlignment="1">
      <alignment horizontal="center"/>
    </xf>
    <xf numFmtId="37" fontId="40" fillId="0" borderId="0" xfId="0" applyFont="1"/>
    <xf numFmtId="37" fontId="9" fillId="0" borderId="2" xfId="0" applyFont="1" applyFill="1" applyBorder="1"/>
    <xf numFmtId="37" fontId="9" fillId="0" borderId="5" xfId="0" applyFont="1" applyFill="1" applyBorder="1"/>
    <xf numFmtId="37" fontId="9" fillId="0" borderId="0" xfId="0" applyNumberFormat="1" applyFont="1" applyFill="1" applyAlignment="1" applyProtection="1">
      <alignment horizontal="center"/>
    </xf>
    <xf numFmtId="37" fontId="13" fillId="0" borderId="2" xfId="0" applyFont="1" applyBorder="1" applyAlignment="1" applyProtection="1">
      <alignment horizontal="left"/>
    </xf>
    <xf numFmtId="37" fontId="13" fillId="0" borderId="2" xfId="0" applyFont="1" applyBorder="1"/>
    <xf numFmtId="37" fontId="13" fillId="0" borderId="0" xfId="0" applyFont="1" applyAlignment="1" applyProtection="1">
      <alignment horizontal="center"/>
    </xf>
    <xf numFmtId="37" fontId="13" fillId="0" borderId="0" xfId="0" applyFont="1" applyBorder="1" applyAlignment="1" applyProtection="1">
      <alignment horizontal="center"/>
    </xf>
    <xf numFmtId="10" fontId="13" fillId="0" borderId="0" xfId="0" applyNumberFormat="1" applyFont="1" applyBorder="1" applyProtection="1"/>
    <xf numFmtId="10" fontId="13" fillId="0" borderId="0" xfId="0" applyNumberFormat="1" applyFont="1" applyProtection="1"/>
    <xf numFmtId="37" fontId="9" fillId="0" borderId="0" xfId="0" applyFont="1" applyAlignment="1" applyProtection="1">
      <alignment horizontal="left" indent="2"/>
    </xf>
    <xf numFmtId="37" fontId="9" fillId="0" borderId="0" xfId="0" applyFont="1" applyAlignment="1">
      <alignment horizontal="left" indent="2"/>
    </xf>
    <xf numFmtId="37" fontId="22" fillId="0" borderId="0" xfId="0" applyFont="1" applyAlignment="1">
      <alignment horizontal="center"/>
    </xf>
    <xf numFmtId="37" fontId="4" fillId="0" borderId="23" xfId="0" applyFont="1" applyBorder="1"/>
    <xf numFmtId="37" fontId="9" fillId="0" borderId="0" xfId="0" applyFont="1" applyAlignment="1" applyProtection="1">
      <alignment horizontal="left" indent="1"/>
    </xf>
    <xf numFmtId="37" fontId="4" fillId="0" borderId="0" xfId="0" applyFont="1" applyProtection="1">
      <protection locked="0"/>
    </xf>
    <xf numFmtId="37" fontId="4" fillId="0" borderId="0" xfId="0" applyFont="1" applyAlignment="1" applyProtection="1">
      <alignment horizontal="left"/>
      <protection locked="0"/>
    </xf>
    <xf numFmtId="37" fontId="4" fillId="0" borderId="2" xfId="0" applyFont="1" applyBorder="1" applyAlignment="1" applyProtection="1">
      <alignment horizontal="left"/>
      <protection locked="0"/>
    </xf>
    <xf numFmtId="37" fontId="6" fillId="0" borderId="0" xfId="0" applyFont="1" applyProtection="1">
      <protection locked="0"/>
    </xf>
    <xf numFmtId="37" fontId="9" fillId="0" borderId="2" xfId="0" applyFont="1" applyBorder="1" applyAlignment="1" applyProtection="1">
      <alignment horizontal="center"/>
      <protection locked="0"/>
    </xf>
    <xf numFmtId="37" fontId="9" fillId="0" borderId="2" xfId="0" applyFont="1" applyBorder="1" applyAlignment="1">
      <alignment horizontal="center"/>
    </xf>
    <xf numFmtId="180" fontId="9" fillId="0" borderId="0" xfId="0" applyNumberFormat="1" applyFont="1" applyAlignment="1" applyProtection="1">
      <alignment horizontal="center"/>
      <protection locked="0"/>
    </xf>
    <xf numFmtId="37" fontId="9" fillId="0" borderId="0" xfId="0" applyNumberFormat="1" applyFont="1" applyProtection="1">
      <protection locked="0"/>
    </xf>
    <xf numFmtId="37" fontId="9" fillId="0" borderId="0" xfId="0" applyNumberFormat="1" applyFont="1" applyAlignment="1" applyProtection="1">
      <alignment horizontal="center"/>
      <protection locked="0"/>
    </xf>
    <xf numFmtId="37" fontId="9" fillId="0" borderId="0" xfId="0" applyNumberFormat="1" applyFont="1" applyFill="1" applyProtection="1">
      <protection locked="0"/>
    </xf>
    <xf numFmtId="37" fontId="9" fillId="0" borderId="0" xfId="0" applyNumberFormat="1" applyFont="1"/>
    <xf numFmtId="37" fontId="9" fillId="0" borderId="0" xfId="0" applyFont="1" applyAlignment="1" applyProtection="1">
      <alignment horizontal="left" indent="1"/>
      <protection locked="0"/>
    </xf>
    <xf numFmtId="169" fontId="9" fillId="0" borderId="0" xfId="0" applyNumberFormat="1" applyFont="1" applyProtection="1"/>
    <xf numFmtId="37" fontId="9" fillId="0" borderId="0" xfId="0" applyFont="1" applyFill="1" applyAlignment="1" applyProtection="1">
      <alignment horizontal="left" indent="1"/>
      <protection locked="0"/>
    </xf>
    <xf numFmtId="37" fontId="9" fillId="0" borderId="0" xfId="0" applyNumberFormat="1" applyFont="1" applyFill="1" applyAlignment="1" applyProtection="1">
      <alignment horizontal="center"/>
      <protection locked="0"/>
    </xf>
    <xf numFmtId="37" fontId="9" fillId="0" borderId="2" xfId="0" applyNumberFormat="1" applyFont="1" applyBorder="1" applyProtection="1">
      <protection locked="0"/>
    </xf>
    <xf numFmtId="37" fontId="9" fillId="0" borderId="5" xfId="0" applyNumberFormat="1" applyFont="1" applyBorder="1" applyProtection="1">
      <protection locked="0"/>
    </xf>
    <xf numFmtId="37" fontId="9" fillId="0" borderId="0" xfId="0" quotePrefix="1" applyNumberFormat="1" applyFont="1" applyProtection="1"/>
    <xf numFmtId="37" fontId="41" fillId="0" borderId="0" xfId="0" quotePrefix="1" applyFont="1"/>
    <xf numFmtId="37" fontId="42" fillId="0" borderId="0" xfId="0" applyFont="1"/>
    <xf numFmtId="37" fontId="42" fillId="0" borderId="0" xfId="0" applyNumberFormat="1" applyFont="1" applyProtection="1"/>
    <xf numFmtId="180" fontId="42" fillId="0" borderId="0" xfId="0" applyNumberFormat="1" applyFont="1" applyAlignment="1" applyProtection="1">
      <alignment horizontal="center"/>
      <protection locked="0"/>
    </xf>
    <xf numFmtId="37" fontId="39" fillId="0" borderId="0" xfId="0" quotePrefix="1" applyFont="1"/>
    <xf numFmtId="10" fontId="42" fillId="0" borderId="0" xfId="0" applyNumberFormat="1" applyFont="1" applyProtection="1"/>
    <xf numFmtId="169" fontId="42" fillId="0" borderId="0" xfId="0" applyNumberFormat="1" applyFont="1" applyProtection="1"/>
    <xf numFmtId="37" fontId="13" fillId="0" borderId="0" xfId="0" applyFont="1" applyAlignment="1" applyProtection="1">
      <alignment horizontal="center"/>
      <protection locked="0"/>
    </xf>
    <xf numFmtId="37" fontId="13" fillId="0" borderId="0" xfId="0" applyFont="1" applyAlignment="1" applyProtection="1">
      <alignment horizontal="left"/>
      <protection locked="0"/>
    </xf>
    <xf numFmtId="37" fontId="13" fillId="0" borderId="2" xfId="0" applyFont="1" applyBorder="1" applyAlignment="1" applyProtection="1">
      <alignment horizontal="left"/>
      <protection locked="0"/>
    </xf>
    <xf numFmtId="37" fontId="13" fillId="0" borderId="2" xfId="0" applyFont="1" applyBorder="1" applyAlignment="1" applyProtection="1">
      <alignment horizontal="center"/>
      <protection locked="0"/>
    </xf>
    <xf numFmtId="37" fontId="13" fillId="0" borderId="0" xfId="0" applyFont="1" applyProtection="1">
      <protection locked="0"/>
    </xf>
    <xf numFmtId="37" fontId="14" fillId="0" borderId="0" xfId="0" applyFont="1" applyAlignment="1" applyProtection="1">
      <alignment horizontal="left"/>
      <protection locked="0"/>
    </xf>
    <xf numFmtId="37" fontId="13" fillId="0" borderId="0" xfId="0" applyFont="1" applyAlignment="1" applyProtection="1">
      <alignment horizontal="left" indent="2"/>
      <protection locked="0"/>
    </xf>
    <xf numFmtId="37" fontId="13" fillId="0" borderId="0" xfId="0" applyFont="1" applyAlignment="1" applyProtection="1">
      <protection locked="0"/>
    </xf>
    <xf numFmtId="37" fontId="13" fillId="0" borderId="0" xfId="0" applyFont="1" applyAlignment="1"/>
    <xf numFmtId="37" fontId="13" fillId="0" borderId="0" xfId="0" applyFont="1" applyBorder="1" applyAlignment="1" applyProtection="1">
      <alignment horizontal="left" indent="2"/>
      <protection locked="0"/>
    </xf>
    <xf numFmtId="37" fontId="16" fillId="0" borderId="0" xfId="0" applyNumberFormat="1" applyFont="1" applyFill="1" applyProtection="1"/>
    <xf numFmtId="37" fontId="14" fillId="0" borderId="0" xfId="0" applyFont="1" applyAlignment="1" applyProtection="1">
      <alignment horizontal="left" indent="1"/>
      <protection locked="0"/>
    </xf>
    <xf numFmtId="37" fontId="13" fillId="0" borderId="0" xfId="0" applyFont="1" applyAlignment="1" applyProtection="1">
      <alignment horizontal="left" indent="1"/>
      <protection locked="0"/>
    </xf>
    <xf numFmtId="37" fontId="13" fillId="0" borderId="0" xfId="0" applyFont="1" applyAlignment="1" applyProtection="1">
      <alignment horizontal="left" indent="2"/>
    </xf>
    <xf numFmtId="37" fontId="14" fillId="0" borderId="0" xfId="0" applyFont="1" applyBorder="1" applyAlignment="1" applyProtection="1">
      <alignment horizontal="left" indent="1"/>
      <protection locked="0"/>
    </xf>
    <xf numFmtId="37" fontId="13" fillId="0" borderId="0" xfId="0" applyFont="1" applyAlignment="1" applyProtection="1"/>
    <xf numFmtId="37" fontId="9" fillId="0" borderId="0" xfId="0" applyFont="1" applyAlignment="1" applyProtection="1">
      <alignment horizontal="left" indent="2"/>
      <protection locked="0"/>
    </xf>
    <xf numFmtId="37" fontId="9" fillId="0" borderId="0" xfId="0" applyFont="1" applyAlignment="1" applyProtection="1">
      <protection locked="0"/>
    </xf>
    <xf numFmtId="37" fontId="9" fillId="0" borderId="0" xfId="0" applyFont="1" applyBorder="1" applyAlignment="1" applyProtection="1">
      <alignment horizontal="left" indent="2"/>
      <protection locked="0"/>
    </xf>
    <xf numFmtId="37" fontId="6" fillId="0" borderId="0" xfId="0" applyFont="1" applyAlignment="1" applyProtection="1">
      <alignment horizontal="left" indent="1"/>
      <protection locked="0"/>
    </xf>
    <xf numFmtId="37" fontId="9" fillId="0" borderId="0" xfId="0" applyFont="1" applyFill="1" applyAlignment="1" applyProtection="1">
      <alignment horizontal="center"/>
      <protection locked="0"/>
    </xf>
    <xf numFmtId="37" fontId="9" fillId="0" borderId="0" xfId="0" applyFont="1" applyAlignment="1" applyProtection="1"/>
    <xf numFmtId="37" fontId="5" fillId="0" borderId="0" xfId="0" applyFont="1" applyFill="1" applyBorder="1" applyAlignment="1" applyProtection="1">
      <alignment horizontal="left"/>
    </xf>
    <xf numFmtId="37" fontId="0" fillId="0" borderId="0" xfId="0" applyFont="1" applyFill="1" applyAlignment="1" applyProtection="1">
      <alignment horizontal="centerContinuous"/>
      <protection locked="0"/>
    </xf>
    <xf numFmtId="37" fontId="15" fillId="0" borderId="0" xfId="0" applyFont="1" applyAlignment="1">
      <alignment horizontal="center"/>
    </xf>
    <xf numFmtId="177" fontId="9" fillId="0" borderId="0" xfId="1" applyNumberFormat="1" applyFont="1"/>
    <xf numFmtId="49" fontId="4" fillId="0" borderId="0" xfId="0" applyNumberFormat="1" applyFont="1" applyAlignment="1">
      <alignment horizontal="center"/>
    </xf>
    <xf numFmtId="37" fontId="15" fillId="0" borderId="5" xfId="0" applyFont="1" applyBorder="1" applyAlignment="1">
      <alignment horizontal="center"/>
    </xf>
    <xf numFmtId="10" fontId="4" fillId="0" borderId="0" xfId="0" applyNumberFormat="1" applyFont="1" applyBorder="1" applyProtection="1"/>
    <xf numFmtId="37" fontId="43" fillId="0" borderId="0" xfId="3" applyNumberFormat="1" applyFont="1" applyAlignment="1" applyProtection="1"/>
    <xf numFmtId="182" fontId="4" fillId="0" borderId="0" xfId="2" applyNumberFormat="1" applyFont="1"/>
    <xf numFmtId="182" fontId="4" fillId="0" borderId="0" xfId="2" applyNumberFormat="1" applyFont="1" applyFill="1" applyProtection="1"/>
    <xf numFmtId="182" fontId="9" fillId="0" borderId="0" xfId="2" applyNumberFormat="1" applyFont="1" applyFill="1" applyProtection="1"/>
    <xf numFmtId="182" fontId="4" fillId="0" borderId="6" xfId="2" applyNumberFormat="1" applyFont="1" applyBorder="1" applyProtection="1"/>
    <xf numFmtId="185" fontId="9" fillId="0" borderId="0" xfId="1" applyNumberFormat="1" applyFont="1" applyFill="1" applyProtection="1"/>
    <xf numFmtId="185" fontId="9" fillId="0" borderId="5" xfId="1" applyNumberFormat="1" applyFont="1" applyFill="1" applyBorder="1" applyProtection="1"/>
    <xf numFmtId="185" fontId="4" fillId="0" borderId="0" xfId="1" applyNumberFormat="1" applyFont="1"/>
    <xf numFmtId="0" fontId="9" fillId="0" borderId="0" xfId="0" applyNumberFormat="1" applyFont="1" applyAlignment="1">
      <alignment horizontal="center"/>
    </xf>
    <xf numFmtId="37" fontId="9" fillId="0" borderId="5" xfId="0" applyFont="1" applyFill="1" applyBorder="1" applyAlignment="1" applyProtection="1">
      <alignment horizontal="left"/>
    </xf>
    <xf numFmtId="37" fontId="9" fillId="0" borderId="23" xfId="0" applyFont="1" applyFill="1" applyBorder="1"/>
    <xf numFmtId="37" fontId="9" fillId="0" borderId="21" xfId="0" applyFont="1" applyFill="1" applyBorder="1"/>
    <xf numFmtId="37" fontId="0" fillId="0" borderId="0" xfId="0" applyAlignment="1">
      <alignment horizontal="left" indent="1"/>
    </xf>
    <xf numFmtId="37" fontId="0" fillId="0" borderId="5" xfId="0" applyBorder="1" applyAlignment="1">
      <alignment horizontal="center" wrapText="1"/>
    </xf>
    <xf numFmtId="37" fontId="0" fillId="0" borderId="0" xfId="0" applyBorder="1" applyAlignment="1">
      <alignment horizontal="center" wrapText="1"/>
    </xf>
    <xf numFmtId="10" fontId="9" fillId="0" borderId="0" xfId="13" applyNumberFormat="1" applyFont="1" applyFill="1" applyBorder="1"/>
    <xf numFmtId="37" fontId="13" fillId="0" borderId="0" xfId="0" applyFont="1" applyAlignment="1" applyProtection="1">
      <alignment horizontal="left" indent="1"/>
    </xf>
    <xf numFmtId="182" fontId="0" fillId="0" borderId="0" xfId="2" applyNumberFormat="1" applyFont="1" applyBorder="1"/>
    <xf numFmtId="182" fontId="0" fillId="0" borderId="0" xfId="2" applyNumberFormat="1" applyFont="1" applyFill="1" applyBorder="1"/>
    <xf numFmtId="182" fontId="0" fillId="0" borderId="6" xfId="2" applyNumberFormat="1" applyFont="1" applyBorder="1"/>
    <xf numFmtId="10" fontId="0" fillId="0" borderId="0" xfId="13" applyNumberFormat="1" applyFont="1" applyFill="1" applyAlignment="1">
      <alignment horizontal="center"/>
    </xf>
    <xf numFmtId="10" fontId="0" fillId="0" borderId="0" xfId="13" applyNumberFormat="1" applyFont="1" applyAlignment="1">
      <alignment horizontal="center"/>
    </xf>
    <xf numFmtId="182" fontId="4" fillId="0" borderId="0" xfId="2" applyNumberFormat="1" applyFont="1" applyBorder="1"/>
    <xf numFmtId="182" fontId="4" fillId="0" borderId="10" xfId="2" applyNumberFormat="1" applyFont="1" applyBorder="1"/>
    <xf numFmtId="182" fontId="4" fillId="0" borderId="0" xfId="2" applyNumberFormat="1" applyFont="1" applyFill="1" applyBorder="1"/>
    <xf numFmtId="182" fontId="4" fillId="0" borderId="10" xfId="2" applyNumberFormat="1" applyFont="1" applyFill="1" applyBorder="1"/>
    <xf numFmtId="182" fontId="4" fillId="0" borderId="6" xfId="2" applyNumberFormat="1" applyFont="1" applyBorder="1"/>
    <xf numFmtId="37" fontId="4" fillId="0" borderId="1" xfId="0" applyFont="1" applyBorder="1" applyAlignment="1" applyProtection="1">
      <alignment horizontal="center"/>
    </xf>
    <xf numFmtId="37" fontId="4" fillId="0" borderId="21" xfId="0" applyFont="1" applyBorder="1" applyAlignment="1" applyProtection="1">
      <alignment horizontal="center"/>
    </xf>
    <xf numFmtId="37" fontId="4" fillId="0" borderId="25" xfId="0" applyFont="1" applyBorder="1" applyAlignment="1" applyProtection="1">
      <alignment horizontal="center"/>
    </xf>
    <xf numFmtId="37" fontId="4" fillId="0" borderId="8" xfId="0" applyFont="1" applyBorder="1" applyAlignment="1" applyProtection="1">
      <alignment horizontal="center"/>
    </xf>
    <xf numFmtId="37" fontId="4" fillId="0" borderId="8" xfId="0" applyFont="1" applyBorder="1" applyAlignment="1">
      <alignment horizontal="center"/>
    </xf>
    <xf numFmtId="9" fontId="0" fillId="0" borderId="0" xfId="13" applyFont="1" applyFill="1" applyAlignment="1">
      <alignment horizontal="center"/>
    </xf>
    <xf numFmtId="9" fontId="0" fillId="0" borderId="0" xfId="13" applyFont="1" applyAlignment="1">
      <alignment horizontal="center"/>
    </xf>
    <xf numFmtId="37" fontId="4" fillId="0" borderId="7" xfId="0" applyFont="1" applyBorder="1" applyAlignment="1">
      <alignment horizontal="center"/>
    </xf>
    <xf numFmtId="37" fontId="4" fillId="0" borderId="7" xfId="0" applyFont="1" applyBorder="1" applyAlignment="1" applyProtection="1">
      <alignment horizontal="center"/>
    </xf>
    <xf numFmtId="182" fontId="13" fillId="0" borderId="0" xfId="2" applyNumberFormat="1" applyFont="1" applyFill="1" applyProtection="1"/>
    <xf numFmtId="37" fontId="13" fillId="0" borderId="23" xfId="0" applyFont="1" applyBorder="1"/>
    <xf numFmtId="37" fontId="13" fillId="0" borderId="9" xfId="0" applyFont="1" applyBorder="1"/>
    <xf numFmtId="37" fontId="13" fillId="0" borderId="1" xfId="0" applyFont="1" applyBorder="1" applyAlignment="1" applyProtection="1">
      <alignment horizontal="center"/>
    </xf>
    <xf numFmtId="37" fontId="13" fillId="0" borderId="25" xfId="0" applyFont="1" applyBorder="1" applyAlignment="1" applyProtection="1">
      <alignment horizontal="center"/>
    </xf>
    <xf numFmtId="9" fontId="13" fillId="0" borderId="0" xfId="13" applyFont="1" applyAlignment="1" applyProtection="1">
      <alignment horizontal="center"/>
    </xf>
    <xf numFmtId="182" fontId="4" fillId="0" borderId="0" xfId="2" applyNumberFormat="1" applyFont="1" applyFill="1"/>
    <xf numFmtId="182" fontId="13" fillId="0" borderId="6" xfId="2" applyNumberFormat="1" applyFont="1" applyBorder="1" applyProtection="1"/>
    <xf numFmtId="186" fontId="0" fillId="0" borderId="5" xfId="0" applyNumberFormat="1" applyBorder="1" applyAlignment="1">
      <alignment horizontal="center"/>
    </xf>
    <xf numFmtId="43" fontId="13" fillId="0" borderId="0" xfId="1" applyFont="1" applyFill="1" applyProtection="1"/>
    <xf numFmtId="43" fontId="13" fillId="0" borderId="5" xfId="1" applyFont="1" applyFill="1" applyBorder="1" applyProtection="1"/>
    <xf numFmtId="182" fontId="13" fillId="0" borderId="0" xfId="2" applyNumberFormat="1" applyFont="1" applyProtection="1"/>
    <xf numFmtId="185" fontId="13" fillId="0" borderId="0" xfId="1" applyNumberFormat="1" applyFont="1" applyProtection="1"/>
    <xf numFmtId="185" fontId="13" fillId="0" borderId="0" xfId="1" applyNumberFormat="1" applyFont="1" applyFill="1" applyProtection="1"/>
    <xf numFmtId="185" fontId="13" fillId="0" borderId="5" xfId="1" applyNumberFormat="1" applyFont="1" applyFill="1" applyBorder="1" applyProtection="1"/>
    <xf numFmtId="185" fontId="13" fillId="0" borderId="5" xfId="1" applyNumberFormat="1" applyFont="1" applyBorder="1" applyProtection="1"/>
    <xf numFmtId="185" fontId="4" fillId="0" borderId="0" xfId="1" applyNumberFormat="1" applyFont="1" applyFill="1" applyProtection="1"/>
    <xf numFmtId="185" fontId="13" fillId="0" borderId="0" xfId="1" applyNumberFormat="1" applyFont="1" applyBorder="1" applyProtection="1"/>
    <xf numFmtId="9" fontId="13" fillId="0" borderId="0" xfId="13" applyFont="1" applyFill="1" applyAlignment="1" applyProtection="1">
      <alignment horizontal="center"/>
    </xf>
    <xf numFmtId="10" fontId="13" fillId="0" borderId="0" xfId="13" applyNumberFormat="1" applyFont="1" applyFill="1" applyAlignment="1" applyProtection="1">
      <alignment horizontal="center"/>
    </xf>
    <xf numFmtId="182" fontId="0" fillId="0" borderId="0" xfId="2" applyNumberFormat="1" applyFont="1" applyFill="1"/>
    <xf numFmtId="37" fontId="4" fillId="0" borderId="2" xfId="0" applyFont="1" applyFill="1" applyBorder="1" applyAlignment="1" applyProtection="1">
      <alignment horizontal="left"/>
      <protection locked="0"/>
    </xf>
    <xf numFmtId="183" fontId="4" fillId="0" borderId="0" xfId="0" applyNumberFormat="1" applyFont="1" applyFill="1" applyAlignment="1">
      <alignment horizontal="left"/>
    </xf>
    <xf numFmtId="17" fontId="4" fillId="0" borderId="22" xfId="0" applyNumberFormat="1" applyFont="1" applyFill="1" applyBorder="1" applyAlignment="1">
      <alignment horizontal="center"/>
    </xf>
    <xf numFmtId="185" fontId="9" fillId="0" borderId="0" xfId="1" applyNumberFormat="1" applyFont="1" applyFill="1" applyBorder="1" applyProtection="1"/>
    <xf numFmtId="0" fontId="22" fillId="0" borderId="0" xfId="0" applyNumberFormat="1" applyFont="1" applyFill="1" applyAlignment="1">
      <alignment horizontal="center"/>
    </xf>
    <xf numFmtId="185" fontId="22" fillId="0" borderId="0" xfId="1" applyNumberFormat="1" applyFont="1" applyFill="1" applyAlignment="1">
      <alignment horizontal="center"/>
    </xf>
    <xf numFmtId="37" fontId="38" fillId="0" borderId="0" xfId="0" applyFont="1" applyFill="1" applyAlignment="1">
      <alignment horizontal="left" indent="1"/>
    </xf>
    <xf numFmtId="0" fontId="22" fillId="0" borderId="0" xfId="0" applyNumberFormat="1" applyFont="1" applyFill="1" applyAlignment="1">
      <alignment horizontal="left"/>
    </xf>
    <xf numFmtId="37" fontId="4" fillId="0" borderId="2" xfId="0" applyFont="1" applyBorder="1" applyAlignment="1">
      <alignment horizontal="center"/>
    </xf>
    <xf numFmtId="37" fontId="4" fillId="0" borderId="0" xfId="0" applyFont="1" applyFill="1" applyBorder="1" applyAlignment="1">
      <alignment horizontal="centerContinuous"/>
    </xf>
    <xf numFmtId="180" fontId="4" fillId="0" borderId="0" xfId="0" applyNumberFormat="1" applyFont="1" applyProtection="1"/>
    <xf numFmtId="180" fontId="4" fillId="0" borderId="0" xfId="0" applyNumberFormat="1" applyFont="1"/>
    <xf numFmtId="180" fontId="4" fillId="0" borderId="0" xfId="0" quotePrefix="1" applyNumberFormat="1" applyFont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/>
    </xf>
    <xf numFmtId="37" fontId="4" fillId="0" borderId="0" xfId="0" applyFont="1" applyAlignment="1">
      <alignment horizontal="right"/>
    </xf>
    <xf numFmtId="185" fontId="4" fillId="0" borderId="0" xfId="1" applyNumberFormat="1" applyFont="1" applyFill="1" applyBorder="1" applyProtection="1"/>
    <xf numFmtId="43" fontId="4" fillId="0" borderId="0" xfId="1" applyFont="1" applyFill="1" applyBorder="1" applyProtection="1"/>
    <xf numFmtId="185" fontId="4" fillId="0" borderId="0" xfId="1" applyNumberFormat="1" applyFont="1" applyBorder="1" applyProtection="1"/>
    <xf numFmtId="185" fontId="4" fillId="0" borderId="0" xfId="1" applyNumberFormat="1" applyFont="1" applyBorder="1"/>
    <xf numFmtId="185" fontId="4" fillId="0" borderId="0" xfId="1" applyNumberFormat="1" applyFont="1" applyFill="1" applyBorder="1"/>
    <xf numFmtId="185" fontId="4" fillId="0" borderId="0" xfId="1" applyNumberFormat="1" applyFont="1" applyFill="1" applyBorder="1" applyAlignment="1" applyProtection="1">
      <alignment horizontal="center"/>
    </xf>
    <xf numFmtId="185" fontId="4" fillId="0" borderId="0" xfId="1" applyNumberFormat="1" applyFont="1" applyFill="1" applyBorder="1" applyAlignment="1">
      <alignment horizontal="center"/>
    </xf>
    <xf numFmtId="37" fontId="0" fillId="0" borderId="0" xfId="0" applyAlignment="1">
      <alignment horizontal="left" indent="2"/>
    </xf>
    <xf numFmtId="37" fontId="15" fillId="0" borderId="5" xfId="0" applyFont="1" applyBorder="1"/>
    <xf numFmtId="10" fontId="38" fillId="0" borderId="5" xfId="13" applyNumberFormat="1" applyFont="1" applyFill="1" applyBorder="1"/>
    <xf numFmtId="37" fontId="38" fillId="0" borderId="0" xfId="0" applyFont="1" applyFill="1" applyAlignment="1">
      <alignment horizontal="right"/>
    </xf>
    <xf numFmtId="37" fontId="4" fillId="0" borderId="0" xfId="0" applyFont="1" applyFill="1" applyBorder="1" applyAlignment="1">
      <alignment horizontal="right"/>
    </xf>
    <xf numFmtId="37" fontId="4" fillId="0" borderId="9" xfId="0" applyFont="1" applyBorder="1"/>
    <xf numFmtId="0" fontId="4" fillId="0" borderId="0" xfId="0" applyNumberFormat="1" applyFont="1" applyFill="1"/>
    <xf numFmtId="37" fontId="4" fillId="0" borderId="5" xfId="0" applyFont="1" applyFill="1" applyBorder="1" applyAlignment="1" applyProtection="1">
      <alignment horizontal="left"/>
    </xf>
    <xf numFmtId="37" fontId="4" fillId="0" borderId="23" xfId="0" applyFont="1" applyFill="1" applyBorder="1"/>
    <xf numFmtId="37" fontId="4" fillId="0" borderId="21" xfId="0" applyFont="1" applyFill="1" applyBorder="1"/>
    <xf numFmtId="186" fontId="4" fillId="0" borderId="22" xfId="0" applyNumberFormat="1" applyFont="1" applyFill="1" applyBorder="1" applyAlignment="1" applyProtection="1">
      <alignment horizontal="center"/>
      <protection locked="0"/>
    </xf>
    <xf numFmtId="182" fontId="5" fillId="0" borderId="0" xfId="2" applyNumberFormat="1" applyFont="1" applyFill="1" applyProtection="1"/>
    <xf numFmtId="37" fontId="15" fillId="0" borderId="0" xfId="0" applyFont="1" applyBorder="1"/>
    <xf numFmtId="185" fontId="9" fillId="0" borderId="0" xfId="1" applyNumberFormat="1" applyFont="1" applyFill="1" applyProtection="1">
      <protection locked="0"/>
    </xf>
    <xf numFmtId="185" fontId="13" fillId="0" borderId="0" xfId="1" applyNumberFormat="1" applyFont="1" applyFill="1"/>
    <xf numFmtId="10" fontId="4" fillId="0" borderId="0" xfId="13" applyNumberFormat="1" applyFont="1" applyAlignment="1" applyProtection="1">
      <alignment horizontal="center"/>
    </xf>
    <xf numFmtId="37" fontId="0" fillId="0" borderId="0" xfId="0" applyFont="1" applyBorder="1" applyAlignment="1" applyProtection="1">
      <alignment horizontal="center"/>
    </xf>
    <xf numFmtId="37" fontId="0" fillId="0" borderId="0" xfId="0" applyFont="1" applyFill="1" applyBorder="1" applyProtection="1"/>
    <xf numFmtId="37" fontId="13" fillId="0" borderId="0" xfId="0" applyFont="1" applyAlignment="1">
      <alignment horizontal="left" indent="1"/>
    </xf>
    <xf numFmtId="10" fontId="4" fillId="0" borderId="0" xfId="13" applyNumberFormat="1" applyFont="1" applyBorder="1" applyAlignment="1" applyProtection="1">
      <alignment horizontal="center"/>
    </xf>
    <xf numFmtId="37" fontId="0" fillId="0" borderId="5" xfId="0" applyFont="1" applyBorder="1" applyAlignment="1" applyProtection="1">
      <alignment horizontal="center"/>
    </xf>
    <xf numFmtId="37" fontId="0" fillId="0" borderId="0" xfId="0" applyFont="1" applyFill="1" applyBorder="1" applyAlignment="1">
      <alignment horizontal="left" indent="2"/>
    </xf>
    <xf numFmtId="185" fontId="9" fillId="0" borderId="0" xfId="1" applyNumberFormat="1" applyFont="1"/>
    <xf numFmtId="185" fontId="4" fillId="0" borderId="5" xfId="1" applyNumberFormat="1" applyFont="1" applyBorder="1" applyProtection="1"/>
    <xf numFmtId="5" fontId="13" fillId="0" borderId="0" xfId="0" applyNumberFormat="1" applyFont="1" applyFill="1" applyProtection="1"/>
    <xf numFmtId="10" fontId="13" fillId="0" borderId="0" xfId="13" applyNumberFormat="1" applyFont="1"/>
    <xf numFmtId="37" fontId="4" fillId="0" borderId="5" xfId="0" applyNumberFormat="1" applyFont="1" applyBorder="1" applyAlignment="1" applyProtection="1">
      <alignment horizontal="left"/>
    </xf>
    <xf numFmtId="166" fontId="4" fillId="0" borderId="0" xfId="0" applyNumberFormat="1" applyFont="1" applyProtection="1"/>
    <xf numFmtId="185" fontId="4" fillId="0" borderId="0" xfId="1" applyNumberFormat="1" applyFont="1" applyBorder="1" applyAlignment="1">
      <alignment horizontal="center"/>
    </xf>
    <xf numFmtId="9" fontId="4" fillId="0" borderId="0" xfId="13" applyFont="1" applyBorder="1" applyAlignment="1">
      <alignment horizontal="center"/>
    </xf>
    <xf numFmtId="10" fontId="4" fillId="0" borderId="0" xfId="13" applyNumberFormat="1" applyFont="1" applyBorder="1" applyAlignment="1">
      <alignment horizontal="center"/>
    </xf>
    <xf numFmtId="10" fontId="4" fillId="0" borderId="0" xfId="13" applyNumberFormat="1" applyFont="1" applyAlignment="1">
      <alignment horizontal="center"/>
    </xf>
    <xf numFmtId="37" fontId="15" fillId="0" borderId="0" xfId="0" applyFont="1" applyAlignment="1"/>
    <xf numFmtId="10" fontId="0" fillId="0" borderId="0" xfId="13" applyNumberFormat="1" applyFont="1" applyBorder="1" applyAlignment="1" applyProtection="1">
      <alignment horizontal="center"/>
    </xf>
    <xf numFmtId="37" fontId="0" fillId="0" borderId="0" xfId="0" applyFill="1" applyAlignment="1">
      <alignment horizontal="left" indent="2"/>
    </xf>
    <xf numFmtId="37" fontId="0" fillId="0" borderId="0" xfId="0" applyFill="1" applyAlignment="1">
      <alignment horizontal="left" indent="3"/>
    </xf>
    <xf numFmtId="185" fontId="4" fillId="0" borderId="5" xfId="1" applyNumberFormat="1" applyFont="1" applyFill="1" applyBorder="1" applyProtection="1"/>
    <xf numFmtId="37" fontId="15" fillId="0" borderId="0" xfId="0" applyFont="1" applyFill="1" applyAlignment="1">
      <alignment horizontal="left" indent="1"/>
    </xf>
    <xf numFmtId="9" fontId="4" fillId="0" borderId="0" xfId="13" applyFont="1" applyFill="1" applyBorder="1" applyAlignment="1">
      <alignment horizontal="center"/>
    </xf>
    <xf numFmtId="10" fontId="4" fillId="0" borderId="0" xfId="13" applyNumberFormat="1" applyFont="1" applyFill="1" applyBorder="1" applyAlignment="1">
      <alignment horizontal="center"/>
    </xf>
    <xf numFmtId="10" fontId="0" fillId="0" borderId="0" xfId="13" applyNumberFormat="1" applyFont="1" applyFill="1"/>
    <xf numFmtId="173" fontId="13" fillId="0" borderId="0" xfId="13" applyNumberFormat="1" applyFont="1" applyFill="1"/>
    <xf numFmtId="188" fontId="13" fillId="0" borderId="0" xfId="13" applyNumberFormat="1" applyFont="1" applyFill="1"/>
    <xf numFmtId="37" fontId="0" fillId="0" borderId="5" xfId="0" applyNumberFormat="1" applyFont="1" applyFill="1" applyBorder="1" applyProtection="1"/>
    <xf numFmtId="9" fontId="0" fillId="0" borderId="0" xfId="13" applyFont="1" applyFill="1"/>
    <xf numFmtId="37" fontId="0" fillId="0" borderId="0" xfId="0" applyFont="1" applyFill="1" applyBorder="1" applyAlignment="1" applyProtection="1">
      <alignment horizontal="center"/>
    </xf>
    <xf numFmtId="185" fontId="4" fillId="0" borderId="0" xfId="1" applyNumberFormat="1" applyFont="1" applyFill="1"/>
    <xf numFmtId="185" fontId="4" fillId="0" borderId="2" xfId="1" applyNumberFormat="1" applyFont="1" applyFill="1" applyBorder="1" applyProtection="1"/>
    <xf numFmtId="182" fontId="4" fillId="0" borderId="0" xfId="2" applyNumberFormat="1" applyFont="1" applyBorder="1" applyProtection="1"/>
    <xf numFmtId="37" fontId="4" fillId="0" borderId="2" xfId="0" applyFont="1" applyFill="1" applyBorder="1" applyAlignment="1" applyProtection="1">
      <alignment horizontal="left"/>
    </xf>
    <xf numFmtId="37" fontId="0" fillId="0" borderId="5" xfId="0" applyFont="1" applyFill="1" applyBorder="1" applyAlignment="1" applyProtection="1">
      <alignment horizontal="center"/>
    </xf>
    <xf numFmtId="37" fontId="4" fillId="0" borderId="2" xfId="0" applyFont="1" applyFill="1" applyBorder="1" applyAlignment="1" applyProtection="1">
      <alignment horizontal="center"/>
    </xf>
    <xf numFmtId="37" fontId="4" fillId="0" borderId="0" xfId="0" applyNumberFormat="1" applyFont="1" applyAlignment="1" applyProtection="1">
      <alignment horizontal="center"/>
      <protection locked="0"/>
    </xf>
    <xf numFmtId="37" fontId="4" fillId="0" borderId="0" xfId="5" applyFont="1"/>
    <xf numFmtId="37" fontId="5" fillId="0" borderId="0" xfId="5" applyFont="1"/>
    <xf numFmtId="37" fontId="4" fillId="0" borderId="0" xfId="5" applyFont="1" applyAlignment="1" applyProtection="1">
      <alignment horizontal="left"/>
    </xf>
    <xf numFmtId="37" fontId="4" fillId="0" borderId="0" xfId="5" applyAlignment="1" applyProtection="1">
      <alignment horizontal="left"/>
    </xf>
    <xf numFmtId="37" fontId="4" fillId="0" borderId="0" xfId="5" applyFont="1" applyBorder="1"/>
    <xf numFmtId="37" fontId="4" fillId="0" borderId="3" xfId="5" applyFont="1" applyBorder="1" applyAlignment="1" applyProtection="1">
      <alignment horizontal="center"/>
    </xf>
    <xf numFmtId="37" fontId="4" fillId="0" borderId="3" xfId="5" applyFont="1" applyBorder="1"/>
    <xf numFmtId="37" fontId="4" fillId="0" borderId="2" xfId="5" applyFont="1" applyBorder="1" applyAlignment="1" applyProtection="1">
      <alignment horizontal="center"/>
    </xf>
    <xf numFmtId="37" fontId="4" fillId="0" borderId="0" xfId="5" applyFont="1" applyProtection="1"/>
    <xf numFmtId="37" fontId="4" fillId="0" borderId="0" xfId="5" applyFont="1" applyAlignment="1" applyProtection="1">
      <alignment horizontal="center"/>
    </xf>
    <xf numFmtId="37" fontId="7" fillId="0" borderId="0" xfId="5" applyFont="1" applyAlignment="1" applyProtection="1">
      <alignment horizontal="center"/>
    </xf>
    <xf numFmtId="37" fontId="4" fillId="0" borderId="3" xfId="5" applyFont="1" applyBorder="1" applyProtection="1"/>
    <xf numFmtId="37" fontId="4" fillId="0" borderId="0" xfId="5"/>
    <xf numFmtId="37" fontId="4" fillId="0" borderId="0" xfId="5" applyAlignment="1" applyProtection="1">
      <alignment horizontal="center"/>
    </xf>
    <xf numFmtId="179" fontId="4" fillId="0" borderId="0" xfId="5" applyNumberFormat="1" applyFont="1"/>
    <xf numFmtId="37" fontId="5" fillId="0" borderId="0" xfId="5" applyFont="1" applyAlignment="1" applyProtection="1">
      <alignment horizontal="right"/>
    </xf>
    <xf numFmtId="37" fontId="4" fillId="0" borderId="0" xfId="5" applyFont="1" applyBorder="1" applyAlignment="1" applyProtection="1">
      <alignment horizontal="center"/>
    </xf>
    <xf numFmtId="37" fontId="15" fillId="0" borderId="0" xfId="5" applyFont="1" applyBorder="1" applyAlignment="1" applyProtection="1">
      <alignment horizontal="left"/>
    </xf>
    <xf numFmtId="37" fontId="15" fillId="0" borderId="5" xfId="5" applyFont="1" applyBorder="1" applyAlignment="1" applyProtection="1">
      <alignment horizontal="left"/>
    </xf>
    <xf numFmtId="10" fontId="4" fillId="0" borderId="0" xfId="5" applyNumberFormat="1" applyFont="1"/>
    <xf numFmtId="185" fontId="13" fillId="0" borderId="0" xfId="1" applyNumberFormat="1" applyFont="1" applyFill="1" applyProtection="1">
      <protection locked="0"/>
    </xf>
    <xf numFmtId="185" fontId="13" fillId="0" borderId="0" xfId="1" applyNumberFormat="1" applyFont="1" applyFill="1" applyBorder="1" applyProtection="1"/>
    <xf numFmtId="44" fontId="0" fillId="0" borderId="0" xfId="2" applyFont="1" applyFill="1"/>
    <xf numFmtId="37" fontId="15" fillId="0" borderId="5" xfId="0" applyFont="1" applyFill="1" applyBorder="1" applyAlignment="1">
      <alignment horizontal="center"/>
    </xf>
    <xf numFmtId="37" fontId="9" fillId="0" borderId="0" xfId="0" applyFont="1" applyFill="1" applyAlignment="1">
      <alignment horizontal="center"/>
    </xf>
    <xf numFmtId="37" fontId="13" fillId="0" borderId="5" xfId="0" applyNumberFormat="1" applyFont="1" applyFill="1" applyBorder="1" applyProtection="1"/>
    <xf numFmtId="37" fontId="38" fillId="0" borderId="0" xfId="0" applyFont="1" applyAlignment="1">
      <alignment horizontal="right"/>
    </xf>
    <xf numFmtId="37" fontId="4" fillId="0" borderId="0" xfId="5" applyFont="1" applyBorder="1" applyProtection="1"/>
    <xf numFmtId="37" fontId="9" fillId="0" borderId="0" xfId="0" applyNumberFormat="1" applyFont="1" applyFill="1"/>
    <xf numFmtId="9" fontId="4" fillId="0" borderId="0" xfId="13" applyFont="1" applyFill="1" applyAlignment="1">
      <alignment horizontal="center"/>
    </xf>
    <xf numFmtId="10" fontId="4" fillId="0" borderId="0" xfId="13" applyNumberFormat="1" applyFont="1" applyFill="1" applyAlignment="1">
      <alignment horizontal="center"/>
    </xf>
    <xf numFmtId="182" fontId="4" fillId="0" borderId="6" xfId="2" applyNumberFormat="1" applyFont="1" applyFill="1" applyBorder="1"/>
    <xf numFmtId="182" fontId="4" fillId="0" borderId="0" xfId="2" applyNumberFormat="1" applyFont="1" applyProtection="1"/>
    <xf numFmtId="37" fontId="13" fillId="0" borderId="0" xfId="0" applyFont="1" applyBorder="1" applyAlignment="1" applyProtection="1">
      <alignment horizontal="left"/>
    </xf>
    <xf numFmtId="37" fontId="13" fillId="0" borderId="8" xfId="0" applyFont="1" applyBorder="1"/>
    <xf numFmtId="37" fontId="13" fillId="0" borderId="1" xfId="0" applyFont="1" applyBorder="1"/>
    <xf numFmtId="37" fontId="13" fillId="0" borderId="8" xfId="0" applyFont="1" applyBorder="1" applyAlignment="1" applyProtection="1">
      <alignment horizontal="center"/>
    </xf>
    <xf numFmtId="37" fontId="13" fillId="0" borderId="21" xfId="0" applyFont="1" applyBorder="1" applyAlignment="1" applyProtection="1">
      <alignment horizontal="center"/>
    </xf>
    <xf numFmtId="37" fontId="13" fillId="0" borderId="25" xfId="0" applyFont="1" applyBorder="1" applyAlignment="1" applyProtection="1">
      <alignment horizontal="left"/>
    </xf>
    <xf numFmtId="182" fontId="9" fillId="0" borderId="0" xfId="2" applyNumberFormat="1" applyFont="1" applyProtection="1"/>
    <xf numFmtId="182" fontId="9" fillId="0" borderId="6" xfId="2" applyNumberFormat="1" applyFont="1" applyBorder="1" applyProtection="1"/>
    <xf numFmtId="9" fontId="4" fillId="0" borderId="0" xfId="0" applyNumberFormat="1" applyFont="1" applyAlignment="1" applyProtection="1">
      <alignment horizontal="center"/>
    </xf>
    <xf numFmtId="9" fontId="4" fillId="0" borderId="0" xfId="13" applyFont="1" applyAlignment="1" applyProtection="1">
      <alignment horizontal="center"/>
    </xf>
    <xf numFmtId="9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 applyProtection="1">
      <alignment horizontal="center"/>
    </xf>
    <xf numFmtId="37" fontId="4" fillId="0" borderId="23" xfId="0" applyFont="1" applyBorder="1" applyAlignment="1">
      <alignment horizontal="center"/>
    </xf>
    <xf numFmtId="37" fontId="4" fillId="0" borderId="9" xfId="0" applyFont="1" applyBorder="1" applyAlignment="1" applyProtection="1">
      <alignment horizontal="center"/>
    </xf>
    <xf numFmtId="37" fontId="4" fillId="0" borderId="21" xfId="0" applyFont="1" applyBorder="1" applyAlignment="1">
      <alignment horizontal="center"/>
    </xf>
    <xf numFmtId="37" fontId="4" fillId="0" borderId="23" xfId="0" applyFont="1" applyBorder="1" applyAlignment="1" applyProtection="1">
      <alignment horizontal="center"/>
    </xf>
    <xf numFmtId="37" fontId="4" fillId="0" borderId="1" xfId="0" applyFont="1" applyFill="1" applyBorder="1" applyAlignment="1" applyProtection="1">
      <alignment horizontal="center"/>
    </xf>
    <xf numFmtId="37" fontId="4" fillId="0" borderId="25" xfId="0" applyFont="1" applyBorder="1" applyAlignment="1">
      <alignment horizontal="center"/>
    </xf>
    <xf numFmtId="178" fontId="4" fillId="0" borderId="0" xfId="1" applyNumberFormat="1" applyFont="1" applyFill="1" applyProtection="1"/>
    <xf numFmtId="37" fontId="4" fillId="0" borderId="0" xfId="0" applyFont="1" applyAlignment="1" applyProtection="1">
      <alignment horizontal="right"/>
    </xf>
    <xf numFmtId="37" fontId="4" fillId="0" borderId="2" xfId="0" applyFont="1" applyBorder="1" applyAlignment="1" applyProtection="1">
      <alignment horizontal="right"/>
    </xf>
    <xf numFmtId="37" fontId="4" fillId="0" borderId="0" xfId="0" applyFont="1" applyAlignment="1" applyProtection="1">
      <alignment horizontal="right"/>
      <protection locked="0"/>
    </xf>
    <xf numFmtId="37" fontId="4" fillId="0" borderId="2" xfId="0" applyFont="1" applyBorder="1" applyAlignment="1" applyProtection="1">
      <alignment horizontal="right"/>
      <protection locked="0"/>
    </xf>
    <xf numFmtId="182" fontId="13" fillId="0" borderId="5" xfId="2" applyNumberFormat="1" applyFont="1" applyFill="1" applyBorder="1" applyProtection="1"/>
    <xf numFmtId="182" fontId="13" fillId="0" borderId="0" xfId="2" applyNumberFormat="1" applyFont="1" applyFill="1" applyBorder="1" applyProtection="1"/>
    <xf numFmtId="182" fontId="13" fillId="0" borderId="0" xfId="2" applyNumberFormat="1" applyFont="1" applyFill="1" applyProtection="1">
      <protection locked="0"/>
    </xf>
    <xf numFmtId="182" fontId="16" fillId="0" borderId="0" xfId="2" applyNumberFormat="1" applyFont="1" applyFill="1" applyProtection="1"/>
    <xf numFmtId="37" fontId="13" fillId="0" borderId="0" xfId="0" applyFont="1" applyAlignment="1">
      <alignment horizontal="right"/>
    </xf>
    <xf numFmtId="37" fontId="13" fillId="0" borderId="0" xfId="0" applyFont="1" applyBorder="1" applyAlignment="1" applyProtection="1">
      <alignment horizontal="right"/>
      <protection locked="0"/>
    </xf>
    <xf numFmtId="37" fontId="13" fillId="0" borderId="5" xfId="0" applyFont="1" applyBorder="1" applyAlignment="1">
      <alignment horizontal="right"/>
    </xf>
    <xf numFmtId="37" fontId="9" fillId="0" borderId="5" xfId="0" applyFont="1" applyBorder="1" applyAlignment="1">
      <alignment horizontal="right"/>
    </xf>
    <xf numFmtId="182" fontId="4" fillId="0" borderId="0" xfId="2" applyNumberFormat="1" applyFont="1" applyFill="1" applyBorder="1" applyProtection="1"/>
    <xf numFmtId="182" fontId="4" fillId="0" borderId="5" xfId="2" applyNumberFormat="1" applyFont="1" applyFill="1" applyBorder="1" applyProtection="1"/>
    <xf numFmtId="182" fontId="4" fillId="0" borderId="0" xfId="2" applyNumberFormat="1" applyFont="1" applyFill="1" applyProtection="1">
      <protection locked="0"/>
    </xf>
    <xf numFmtId="37" fontId="9" fillId="0" borderId="0" xfId="0" applyFont="1" applyBorder="1" applyAlignment="1"/>
    <xf numFmtId="37" fontId="9" fillId="0" borderId="0" xfId="0" applyFont="1" applyBorder="1" applyAlignment="1" applyProtection="1"/>
    <xf numFmtId="37" fontId="9" fillId="0" borderId="0" xfId="0" applyFont="1" applyFill="1" applyAlignment="1">
      <alignment horizontal="right"/>
    </xf>
    <xf numFmtId="37" fontId="9" fillId="0" borderId="0" xfId="0" applyFont="1" applyFill="1" applyAlignment="1" applyProtection="1">
      <alignment horizontal="right"/>
      <protection locked="0"/>
    </xf>
    <xf numFmtId="37" fontId="9" fillId="0" borderId="2" xfId="0" applyFont="1" applyFill="1" applyBorder="1" applyAlignment="1" applyProtection="1">
      <alignment horizontal="right"/>
      <protection locked="0"/>
    </xf>
    <xf numFmtId="37" fontId="4" fillId="0" borderId="0" xfId="0" applyFont="1" applyFill="1" applyAlignment="1" applyProtection="1">
      <alignment horizontal="right"/>
      <protection locked="0"/>
    </xf>
    <xf numFmtId="37" fontId="4" fillId="0" borderId="2" xfId="0" applyFont="1" applyFill="1" applyBorder="1" applyAlignment="1" applyProtection="1">
      <alignment horizontal="right"/>
      <protection locked="0"/>
    </xf>
    <xf numFmtId="37" fontId="9" fillId="0" borderId="0" xfId="0" applyFont="1" applyAlignment="1">
      <alignment horizontal="right"/>
    </xf>
    <xf numFmtId="182" fontId="0" fillId="0" borderId="6" xfId="2" applyNumberFormat="1" applyFont="1" applyFill="1" applyBorder="1"/>
    <xf numFmtId="185" fontId="9" fillId="0" borderId="0" xfId="1" applyNumberFormat="1" applyFont="1" applyFill="1"/>
    <xf numFmtId="0" fontId="4" fillId="0" borderId="0" xfId="0" applyNumberFormat="1" applyFont="1" applyFill="1" applyAlignment="1" applyProtection="1">
      <alignment horizontal="center"/>
    </xf>
    <xf numFmtId="37" fontId="15" fillId="0" borderId="0" xfId="0" applyFont="1" applyFill="1" applyAlignment="1" applyProtection="1">
      <alignment horizontal="left"/>
    </xf>
    <xf numFmtId="9" fontId="4" fillId="0" borderId="0" xfId="0" applyNumberFormat="1" applyFont="1" applyBorder="1" applyAlignment="1" applyProtection="1">
      <alignment horizontal="center"/>
    </xf>
    <xf numFmtId="10" fontId="4" fillId="0" borderId="0" xfId="0" applyNumberFormat="1" applyFont="1" applyBorder="1" applyAlignment="1" applyProtection="1">
      <alignment horizontal="center"/>
    </xf>
    <xf numFmtId="9" fontId="4" fillId="0" borderId="0" xfId="13" applyFont="1" applyBorder="1" applyAlignment="1" applyProtection="1">
      <alignment horizontal="center"/>
    </xf>
    <xf numFmtId="37" fontId="4" fillId="0" borderId="27" xfId="0" applyFont="1" applyBorder="1" applyAlignment="1">
      <alignment horizontal="center"/>
    </xf>
    <xf numFmtId="37" fontId="4" fillId="0" borderId="27" xfId="0" applyFont="1" applyBorder="1" applyAlignment="1" applyProtection="1">
      <alignment horizontal="center"/>
    </xf>
    <xf numFmtId="37" fontId="4" fillId="0" borderId="5" xfId="0" applyFont="1" applyFill="1" applyBorder="1" applyAlignment="1">
      <alignment horizontal="center"/>
    </xf>
    <xf numFmtId="182" fontId="9" fillId="0" borderId="10" xfId="2" applyNumberFormat="1" applyFont="1" applyBorder="1" applyProtection="1"/>
    <xf numFmtId="182" fontId="9" fillId="0" borderId="10" xfId="2" applyNumberFormat="1" applyFont="1" applyFill="1" applyBorder="1" applyProtection="1"/>
    <xf numFmtId="185" fontId="9" fillId="0" borderId="0" xfId="1" applyNumberFormat="1" applyFont="1" applyProtection="1"/>
    <xf numFmtId="185" fontId="9" fillId="0" borderId="2" xfId="1" applyNumberFormat="1" applyFont="1" applyFill="1" applyBorder="1" applyProtection="1"/>
    <xf numFmtId="185" fontId="9" fillId="0" borderId="5" xfId="1" applyNumberFormat="1" applyFont="1" applyBorder="1" applyProtection="1"/>
    <xf numFmtId="182" fontId="9" fillId="0" borderId="0" xfId="2" applyNumberFormat="1" applyFont="1" applyFill="1" applyProtection="1">
      <protection locked="0"/>
    </xf>
    <xf numFmtId="185" fontId="9" fillId="0" borderId="0" xfId="1" quotePrefix="1" applyNumberFormat="1" applyFont="1" applyFill="1" applyProtection="1"/>
    <xf numFmtId="185" fontId="9" fillId="0" borderId="0" xfId="1" quotePrefix="1" applyNumberFormat="1" applyFont="1" applyFill="1" applyProtection="1">
      <protection locked="0"/>
    </xf>
    <xf numFmtId="183" fontId="13" fillId="0" borderId="0" xfId="0" applyNumberFormat="1" applyFont="1" applyAlignment="1" applyProtection="1">
      <alignment horizontal="center"/>
      <protection locked="0"/>
    </xf>
    <xf numFmtId="37" fontId="13" fillId="0" borderId="0" xfId="0" applyFont="1" applyAlignment="1">
      <alignment horizontal="center"/>
    </xf>
    <xf numFmtId="183" fontId="13" fillId="0" borderId="0" xfId="0" applyNumberFormat="1" applyFont="1" applyBorder="1" applyAlignment="1" applyProtection="1">
      <alignment horizontal="center"/>
      <protection locked="0"/>
    </xf>
    <xf numFmtId="183" fontId="13" fillId="0" borderId="0" xfId="0" applyNumberFormat="1" applyFont="1" applyAlignment="1" applyProtection="1">
      <alignment horizontal="center"/>
    </xf>
    <xf numFmtId="183" fontId="13" fillId="0" borderId="0" xfId="0" applyNumberFormat="1" applyFont="1" applyAlignment="1">
      <alignment horizontal="center"/>
    </xf>
    <xf numFmtId="37" fontId="13" fillId="0" borderId="0" xfId="0" quotePrefix="1" applyFont="1" applyAlignment="1">
      <alignment horizontal="center"/>
    </xf>
    <xf numFmtId="184" fontId="13" fillId="0" borderId="0" xfId="0" applyNumberFormat="1" applyFont="1" applyAlignment="1" applyProtection="1">
      <alignment horizontal="center"/>
      <protection locked="0"/>
    </xf>
    <xf numFmtId="183" fontId="9" fillId="0" borderId="0" xfId="0" applyNumberFormat="1" applyFont="1" applyAlignment="1" applyProtection="1">
      <alignment horizontal="center"/>
      <protection locked="0"/>
    </xf>
    <xf numFmtId="183" fontId="9" fillId="0" borderId="0" xfId="0" applyNumberFormat="1" applyFont="1" applyBorder="1" applyAlignment="1" applyProtection="1">
      <alignment horizontal="center"/>
      <protection locked="0"/>
    </xf>
    <xf numFmtId="183" fontId="9" fillId="0" borderId="0" xfId="0" applyNumberFormat="1" applyFont="1" applyAlignment="1" applyProtection="1">
      <alignment horizontal="center"/>
    </xf>
    <xf numFmtId="183" fontId="9" fillId="0" borderId="0" xfId="0" applyNumberFormat="1" applyFont="1" applyAlignment="1">
      <alignment horizontal="center"/>
    </xf>
    <xf numFmtId="37" fontId="9" fillId="0" borderId="0" xfId="0" quotePrefix="1" applyFont="1" applyAlignment="1">
      <alignment horizontal="center"/>
    </xf>
    <xf numFmtId="183" fontId="9" fillId="0" borderId="0" xfId="0" quotePrefix="1" applyNumberFormat="1" applyFont="1" applyAlignment="1" applyProtection="1">
      <alignment horizontal="center"/>
      <protection locked="0"/>
    </xf>
    <xf numFmtId="184" fontId="9" fillId="0" borderId="0" xfId="0" applyNumberFormat="1" applyFont="1" applyAlignment="1" applyProtection="1">
      <alignment horizontal="center"/>
      <protection locked="0"/>
    </xf>
    <xf numFmtId="182" fontId="4" fillId="0" borderId="6" xfId="2" applyNumberFormat="1" applyFont="1" applyFill="1" applyBorder="1" applyProtection="1"/>
    <xf numFmtId="182" fontId="9" fillId="0" borderId="19" xfId="2" applyNumberFormat="1" applyFont="1" applyFill="1" applyBorder="1"/>
    <xf numFmtId="182" fontId="4" fillId="0" borderId="19" xfId="2" applyNumberFormat="1" applyFont="1" applyFill="1" applyBorder="1"/>
    <xf numFmtId="182" fontId="4" fillId="0" borderId="19" xfId="2" applyNumberFormat="1" applyFont="1" applyBorder="1"/>
    <xf numFmtId="37" fontId="4" fillId="0" borderId="0" xfId="0" applyFont="1" applyBorder="1" applyAlignment="1">
      <alignment horizontal="right"/>
    </xf>
    <xf numFmtId="37" fontId="13" fillId="0" borderId="5" xfId="0" applyFont="1" applyBorder="1" applyAlignment="1" applyProtection="1">
      <alignment horizontal="right"/>
      <protection locked="0"/>
    </xf>
    <xf numFmtId="37" fontId="4" fillId="0" borderId="2" xfId="0" applyFont="1" applyFill="1" applyBorder="1" applyAlignment="1" applyProtection="1">
      <alignment horizontal="right"/>
    </xf>
    <xf numFmtId="182" fontId="4" fillId="0" borderId="0" xfId="2" applyNumberFormat="1" applyFont="1" applyAlignment="1" applyProtection="1">
      <alignment horizontal="right"/>
    </xf>
    <xf numFmtId="182" fontId="4" fillId="0" borderId="6" xfId="2" applyNumberFormat="1" applyFont="1" applyBorder="1" applyAlignment="1" applyProtection="1">
      <alignment horizontal="right"/>
    </xf>
    <xf numFmtId="182" fontId="15" fillId="0" borderId="6" xfId="2" applyNumberFormat="1" applyFont="1" applyBorder="1" applyAlignment="1" applyProtection="1">
      <alignment horizontal="right"/>
    </xf>
    <xf numFmtId="182" fontId="4" fillId="0" borderId="0" xfId="2" applyNumberFormat="1" applyFont="1" applyFill="1" applyAlignment="1">
      <alignment horizontal="right"/>
    </xf>
    <xf numFmtId="182" fontId="4" fillId="0" borderId="0" xfId="2" applyNumberFormat="1" applyFont="1" applyAlignment="1">
      <alignment horizontal="right"/>
    </xf>
    <xf numFmtId="37" fontId="13" fillId="0" borderId="0" xfId="5" applyFont="1" applyAlignment="1" applyProtection="1">
      <alignment horizontal="left"/>
    </xf>
    <xf numFmtId="37" fontId="4" fillId="0" borderId="0" xfId="5" applyFont="1" applyAlignment="1">
      <alignment horizontal="right"/>
    </xf>
    <xf numFmtId="37" fontId="4" fillId="0" borderId="0" xfId="5" applyFont="1" applyAlignment="1" applyProtection="1">
      <alignment horizontal="right"/>
    </xf>
    <xf numFmtId="37" fontId="4" fillId="0" borderId="0" xfId="5" applyAlignment="1" applyProtection="1">
      <alignment horizontal="right"/>
    </xf>
    <xf numFmtId="182" fontId="4" fillId="0" borderId="3" xfId="2" applyNumberFormat="1" applyFont="1" applyBorder="1" applyProtection="1"/>
    <xf numFmtId="37" fontId="0" fillId="0" borderId="0" xfId="0" applyFont="1" applyAlignment="1" applyProtection="1">
      <alignment horizontal="right"/>
    </xf>
    <xf numFmtId="37" fontId="0" fillId="0" borderId="0" xfId="0" applyAlignment="1" applyProtection="1">
      <alignment horizontal="right"/>
    </xf>
    <xf numFmtId="182" fontId="0" fillId="0" borderId="0" xfId="2" applyNumberFormat="1" applyFont="1" applyProtection="1"/>
    <xf numFmtId="182" fontId="4" fillId="0" borderId="28" xfId="2" applyNumberFormat="1" applyFont="1" applyBorder="1" applyProtection="1"/>
    <xf numFmtId="37" fontId="0" fillId="0" borderId="29" xfId="0" applyFont="1" applyBorder="1"/>
    <xf numFmtId="37" fontId="5" fillId="0" borderId="19" xfId="0" applyFont="1" applyBorder="1" applyAlignment="1" applyProtection="1">
      <alignment horizontal="center"/>
    </xf>
    <xf numFmtId="37" fontId="0" fillId="0" borderId="24" xfId="0" applyFont="1" applyBorder="1"/>
    <xf numFmtId="37" fontId="20" fillId="0" borderId="0" xfId="0" applyFont="1" applyAlignment="1">
      <alignment horizontal="right"/>
    </xf>
    <xf numFmtId="37" fontId="13" fillId="0" borderId="5" xfId="0" applyFont="1" applyBorder="1" applyAlignment="1" applyProtection="1">
      <alignment horizontal="left"/>
    </xf>
    <xf numFmtId="182" fontId="13" fillId="0" borderId="19" xfId="2" applyNumberFormat="1" applyFont="1" applyFill="1" applyBorder="1" applyProtection="1"/>
    <xf numFmtId="182" fontId="13" fillId="0" borderId="6" xfId="2" applyNumberFormat="1" applyFont="1" applyFill="1" applyBorder="1"/>
    <xf numFmtId="182" fontId="0" fillId="0" borderId="0" xfId="2" applyNumberFormat="1" applyFont="1" applyFill="1" applyProtection="1"/>
    <xf numFmtId="182" fontId="4" fillId="0" borderId="2" xfId="2" applyNumberFormat="1" applyFont="1" applyBorder="1" applyProtection="1"/>
    <xf numFmtId="182" fontId="13" fillId="0" borderId="2" xfId="2" applyNumberFormat="1" applyFont="1" applyBorder="1" applyProtection="1"/>
    <xf numFmtId="182" fontId="4" fillId="0" borderId="19" xfId="2" applyNumberFormat="1" applyFont="1" applyFill="1" applyBorder="1" applyProtection="1"/>
    <xf numFmtId="174" fontId="12" fillId="0" borderId="0" xfId="0" applyNumberFormat="1" applyFont="1" applyFill="1" applyProtection="1"/>
    <xf numFmtId="10" fontId="0" fillId="0" borderId="0" xfId="0" applyNumberFormat="1" applyFont="1" applyFill="1" applyProtection="1"/>
    <xf numFmtId="169" fontId="13" fillId="0" borderId="0" xfId="13" applyNumberFormat="1" applyFont="1"/>
    <xf numFmtId="10" fontId="9" fillId="0" borderId="0" xfId="13" applyNumberFormat="1" applyFont="1" applyBorder="1"/>
    <xf numFmtId="10" fontId="9" fillId="0" borderId="0" xfId="13" applyNumberFormat="1" applyFont="1" applyFill="1"/>
    <xf numFmtId="5" fontId="4" fillId="0" borderId="0" xfId="0" applyNumberFormat="1" applyFont="1" applyFill="1" applyProtection="1"/>
    <xf numFmtId="173" fontId="4" fillId="0" borderId="0" xfId="13" applyNumberFormat="1" applyFont="1" applyFill="1" applyProtection="1"/>
    <xf numFmtId="37" fontId="0" fillId="0" borderId="0" xfId="0" applyFont="1" applyFill="1" applyAlignment="1" applyProtection="1"/>
    <xf numFmtId="37" fontId="0" fillId="0" borderId="0" xfId="0" applyFont="1" applyFill="1" applyAlignment="1" applyProtection="1">
      <alignment horizontal="left"/>
    </xf>
    <xf numFmtId="185" fontId="4" fillId="0" borderId="0" xfId="0" applyNumberFormat="1" applyFont="1" applyFill="1" applyProtection="1"/>
    <xf numFmtId="185" fontId="4" fillId="0" borderId="5" xfId="0" applyNumberFormat="1" applyFont="1" applyFill="1" applyBorder="1" applyProtection="1"/>
    <xf numFmtId="5" fontId="4" fillId="0" borderId="7" xfId="0" applyNumberFormat="1" applyFont="1" applyFill="1" applyBorder="1" applyProtection="1"/>
    <xf numFmtId="37" fontId="4" fillId="0" borderId="27" xfId="0" applyFont="1" applyBorder="1"/>
    <xf numFmtId="37" fontId="4" fillId="0" borderId="30" xfId="0" applyFont="1" applyBorder="1" applyAlignment="1" applyProtection="1">
      <alignment horizontal="center"/>
    </xf>
    <xf numFmtId="37" fontId="4" fillId="0" borderId="31" xfId="0" applyFont="1" applyBorder="1" applyAlignment="1" applyProtection="1">
      <alignment horizontal="center"/>
    </xf>
    <xf numFmtId="37" fontId="4" fillId="0" borderId="31" xfId="0" applyFont="1" applyBorder="1" applyAlignment="1">
      <alignment horizontal="center"/>
    </xf>
    <xf numFmtId="37" fontId="44" fillId="0" borderId="0" xfId="0" applyFont="1"/>
    <xf numFmtId="37" fontId="45" fillId="0" borderId="0" xfId="0" applyFont="1"/>
    <xf numFmtId="14" fontId="15" fillId="0" borderId="8" xfId="0" applyNumberFormat="1" applyFont="1" applyFill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37" fontId="4" fillId="0" borderId="0" xfId="0" applyFont="1" applyFill="1" applyAlignment="1" applyProtection="1">
      <alignment horizontal="center"/>
      <protection locked="0"/>
    </xf>
    <xf numFmtId="37" fontId="13" fillId="0" borderId="0" xfId="0" applyFont="1" applyFill="1" applyAlignment="1">
      <alignment horizontal="right"/>
    </xf>
    <xf numFmtId="37" fontId="46" fillId="0" borderId="0" xfId="0" applyFont="1"/>
    <xf numFmtId="37" fontId="9" fillId="0" borderId="0" xfId="0" applyFont="1" applyBorder="1" applyAlignment="1">
      <alignment horizontal="right"/>
    </xf>
    <xf numFmtId="37" fontId="9" fillId="0" borderId="0" xfId="0" applyFont="1" applyBorder="1" applyAlignment="1" applyProtection="1">
      <alignment horizontal="center"/>
      <protection locked="0"/>
    </xf>
    <xf numFmtId="37" fontId="37" fillId="0" borderId="0" xfId="0" applyFont="1" applyFill="1" applyAlignment="1" applyProtection="1">
      <alignment horizontal="left"/>
    </xf>
    <xf numFmtId="37" fontId="0" fillId="0" borderId="0" xfId="0" applyAlignment="1">
      <alignment horizontal="center"/>
    </xf>
    <xf numFmtId="37" fontId="15" fillId="0" borderId="0" xfId="0" applyFont="1" applyFill="1" applyAlignment="1">
      <alignment horizontal="center"/>
    </xf>
    <xf numFmtId="37" fontId="0" fillId="0" borderId="5" xfId="0" applyFont="1" applyBorder="1" applyAlignment="1">
      <alignment horizontal="center"/>
    </xf>
    <xf numFmtId="37" fontId="15" fillId="0" borderId="0" xfId="0" applyFont="1" applyBorder="1" applyAlignment="1"/>
    <xf numFmtId="37" fontId="0" fillId="0" borderId="5" xfId="0" applyBorder="1" applyAlignment="1" applyProtection="1">
      <alignment horizontal="right"/>
    </xf>
    <xf numFmtId="37" fontId="47" fillId="0" borderId="0" xfId="0" applyFont="1"/>
    <xf numFmtId="37" fontId="4" fillId="0" borderId="0" xfId="0" applyNumberFormat="1" applyFont="1" applyFill="1" applyBorder="1" applyAlignment="1" applyProtection="1">
      <alignment horizontal="right"/>
    </xf>
    <xf numFmtId="185" fontId="4" fillId="0" borderId="0" xfId="1" applyNumberFormat="1" applyFont="1" applyFill="1" applyBorder="1" applyAlignment="1" applyProtection="1">
      <alignment horizontal="right"/>
    </xf>
    <xf numFmtId="185" fontId="4" fillId="0" borderId="0" xfId="1" applyNumberFormat="1" applyFont="1" applyFill="1" applyAlignment="1">
      <alignment horizontal="right"/>
    </xf>
    <xf numFmtId="37" fontId="0" fillId="0" borderId="0" xfId="0" applyAlignment="1">
      <alignment horizontal="center"/>
    </xf>
    <xf numFmtId="37" fontId="4" fillId="0" borderId="0" xfId="0" applyFont="1" applyAlignment="1">
      <alignment horizontal="center"/>
    </xf>
    <xf numFmtId="186" fontId="0" fillId="0" borderId="5" xfId="0" applyNumberFormat="1" applyFill="1" applyBorder="1" applyAlignment="1">
      <alignment horizontal="center"/>
    </xf>
    <xf numFmtId="37" fontId="9" fillId="0" borderId="0" xfId="0" applyFont="1" applyFill="1" applyAlignment="1" applyProtection="1">
      <alignment horizontal="left" wrapText="1"/>
    </xf>
    <xf numFmtId="37" fontId="4" fillId="0" borderId="0" xfId="0" applyFont="1" applyFill="1" applyAlignment="1" applyProtection="1">
      <alignment horizontal="left" wrapText="1"/>
    </xf>
    <xf numFmtId="9" fontId="0" fillId="0" borderId="0" xfId="13" applyFont="1" applyFill="1" applyBorder="1" applyAlignment="1">
      <alignment horizontal="center"/>
    </xf>
    <xf numFmtId="185" fontId="0" fillId="0" borderId="0" xfId="1" applyNumberFormat="1" applyFont="1" applyFill="1"/>
    <xf numFmtId="43" fontId="0" fillId="0" borderId="0" xfId="1" applyFont="1" applyFill="1"/>
    <xf numFmtId="37" fontId="0" fillId="0" borderId="7" xfId="0" applyFill="1" applyBorder="1"/>
    <xf numFmtId="37" fontId="6" fillId="0" borderId="0" xfId="0" applyFont="1" applyFill="1" applyAlignment="1" applyProtection="1">
      <alignment horizontal="left"/>
    </xf>
    <xf numFmtId="187" fontId="0" fillId="0" borderId="0" xfId="1" applyNumberFormat="1" applyFont="1" applyFill="1"/>
    <xf numFmtId="187" fontId="4" fillId="0" borderId="0" xfId="1" applyNumberFormat="1" applyFont="1" applyFill="1"/>
    <xf numFmtId="43" fontId="4" fillId="0" borderId="0" xfId="1" applyFont="1" applyFill="1"/>
    <xf numFmtId="9" fontId="4" fillId="0" borderId="0" xfId="1" applyNumberFormat="1" applyFont="1" applyFill="1" applyAlignment="1">
      <alignment horizontal="center"/>
    </xf>
    <xf numFmtId="183" fontId="45" fillId="0" borderId="0" xfId="0" applyNumberFormat="1" applyFont="1" applyAlignment="1" applyProtection="1">
      <alignment horizontal="left"/>
      <protection locked="0"/>
    </xf>
    <xf numFmtId="0" fontId="45" fillId="0" borderId="0" xfId="0" applyNumberFormat="1" applyFont="1" applyAlignment="1">
      <alignment horizontal="center"/>
    </xf>
    <xf numFmtId="185" fontId="44" fillId="0" borderId="0" xfId="1" applyNumberFormat="1" applyFont="1" applyFill="1"/>
    <xf numFmtId="185" fontId="0" fillId="0" borderId="0" xfId="1" applyNumberFormat="1" applyFont="1" applyFill="1" applyProtection="1"/>
    <xf numFmtId="185" fontId="0" fillId="0" borderId="5" xfId="1" applyNumberFormat="1" applyFont="1" applyFill="1" applyBorder="1" applyProtection="1"/>
    <xf numFmtId="185" fontId="9" fillId="0" borderId="0" xfId="1" applyNumberFormat="1" applyFont="1" applyFill="1" applyAlignment="1">
      <alignment horizontal="right"/>
    </xf>
    <xf numFmtId="37" fontId="38" fillId="0" borderId="0" xfId="0" applyFont="1" applyFill="1" applyBorder="1" applyAlignment="1">
      <alignment horizontal="right"/>
    </xf>
    <xf numFmtId="37" fontId="0" fillId="0" borderId="0" xfId="0" applyFill="1" applyAlignment="1" applyProtection="1">
      <alignment horizontal="left"/>
    </xf>
    <xf numFmtId="37" fontId="49" fillId="0" borderId="0" xfId="0" applyFont="1"/>
    <xf numFmtId="180" fontId="0" fillId="0" borderId="0" xfId="0" applyNumberFormat="1" applyFont="1" applyFill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37" fontId="0" fillId="0" borderId="0" xfId="0" applyNumberFormat="1" applyFont="1" applyFill="1"/>
    <xf numFmtId="37" fontId="0" fillId="0" borderId="7" xfId="0" applyNumberFormat="1" applyFont="1" applyFill="1" applyBorder="1"/>
    <xf numFmtId="37" fontId="0" fillId="0" borderId="19" xfId="0" applyNumberFormat="1" applyFont="1" applyFill="1" applyBorder="1"/>
    <xf numFmtId="37" fontId="0" fillId="0" borderId="10" xfId="0" applyNumberFormat="1" applyFont="1" applyFill="1" applyBorder="1"/>
    <xf numFmtId="180" fontId="0" fillId="0" borderId="2" xfId="0" applyNumberFormat="1" applyFont="1" applyFill="1" applyBorder="1" applyAlignment="1" applyProtection="1">
      <alignment horizontal="center"/>
    </xf>
    <xf numFmtId="37" fontId="13" fillId="0" borderId="2" xfId="0" applyFont="1" applyFill="1" applyBorder="1"/>
    <xf numFmtId="37" fontId="0" fillId="0" borderId="0" xfId="0" quotePrefix="1"/>
    <xf numFmtId="10" fontId="44" fillId="0" borderId="0" xfId="13" applyNumberFormat="1" applyFont="1"/>
    <xf numFmtId="37" fontId="0" fillId="0" borderId="5" xfId="0" applyNumberFormat="1" applyFont="1" applyFill="1" applyBorder="1"/>
    <xf numFmtId="37" fontId="0" fillId="0" borderId="2" xfId="0" applyNumberFormat="1" applyFont="1" applyFill="1" applyBorder="1" applyProtection="1">
      <protection locked="0"/>
    </xf>
    <xf numFmtId="37" fontId="0" fillId="0" borderId="0" xfId="0" quotePrefix="1" applyFont="1" applyAlignment="1">
      <alignment horizontal="center"/>
    </xf>
    <xf numFmtId="37" fontId="0" fillId="0" borderId="7" xfId="0" applyFont="1" applyBorder="1"/>
    <xf numFmtId="37" fontId="52" fillId="0" borderId="0" xfId="0" applyFont="1"/>
    <xf numFmtId="37" fontId="0" fillId="0" borderId="2" xfId="0" applyFont="1" applyFill="1" applyBorder="1" applyAlignment="1" applyProtection="1">
      <alignment horizontal="center"/>
    </xf>
    <xf numFmtId="169" fontId="29" fillId="0" borderId="0" xfId="13" applyNumberFormat="1" applyFont="1" applyFill="1"/>
    <xf numFmtId="5" fontId="38" fillId="0" borderId="10" xfId="0" applyNumberFormat="1" applyFont="1" applyFill="1" applyBorder="1"/>
    <xf numFmtId="5" fontId="38" fillId="0" borderId="0" xfId="0" applyNumberFormat="1" applyFont="1" applyFill="1" applyBorder="1"/>
    <xf numFmtId="37" fontId="4" fillId="0" borderId="0" xfId="0" applyFont="1" applyFill="1" applyAlignment="1">
      <alignment horizontal="left" indent="2"/>
    </xf>
    <xf numFmtId="37" fontId="4" fillId="0" borderId="0" xfId="0" applyFont="1" applyFill="1" applyAlignment="1"/>
    <xf numFmtId="10" fontId="4" fillId="0" borderId="0" xfId="13" applyNumberFormat="1" applyFont="1" applyFill="1" applyAlignment="1"/>
    <xf numFmtId="37" fontId="14" fillId="0" borderId="0" xfId="0" applyFont="1" applyFill="1"/>
    <xf numFmtId="37" fontId="0" fillId="0" borderId="0" xfId="0" applyAlignment="1">
      <alignment horizontal="center"/>
    </xf>
    <xf numFmtId="10" fontId="0" fillId="0" borderId="0" xfId="0" applyNumberFormat="1" applyFont="1" applyFill="1" applyAlignment="1" applyProtection="1">
      <alignment horizontal="center"/>
    </xf>
    <xf numFmtId="37" fontId="0" fillId="0" borderId="0" xfId="0" quotePrefix="1" applyFont="1" applyFill="1"/>
    <xf numFmtId="37" fontId="44" fillId="0" borderId="0" xfId="0" applyNumberFormat="1" applyFont="1" applyProtection="1"/>
    <xf numFmtId="10" fontId="44" fillId="0" borderId="0" xfId="13" applyNumberFormat="1" applyFont="1" applyFill="1" applyAlignment="1">
      <alignment horizontal="center"/>
    </xf>
    <xf numFmtId="37" fontId="5" fillId="0" borderId="5" xfId="0" applyFont="1" applyBorder="1"/>
    <xf numFmtId="182" fontId="0" fillId="0" borderId="0" xfId="13" applyNumberFormat="1" applyFont="1" applyBorder="1" applyAlignment="1" applyProtection="1">
      <alignment horizontal="center"/>
    </xf>
    <xf numFmtId="182" fontId="0" fillId="0" borderId="7" xfId="13" applyNumberFormat="1" applyFont="1" applyBorder="1" applyAlignment="1" applyProtection="1">
      <alignment horizontal="center"/>
    </xf>
    <xf numFmtId="37" fontId="14" fillId="0" borderId="0" xfId="0" applyFont="1" applyAlignment="1" applyProtection="1">
      <alignment horizontal="left"/>
    </xf>
    <xf numFmtId="37" fontId="53" fillId="0" borderId="0" xfId="0" applyFont="1"/>
    <xf numFmtId="37" fontId="53" fillId="0" borderId="0" xfId="0" applyNumberFormat="1" applyFont="1" applyProtection="1"/>
    <xf numFmtId="37" fontId="53" fillId="0" borderId="0" xfId="0" applyNumberFormat="1" applyFont="1" applyFill="1" applyProtection="1"/>
    <xf numFmtId="185" fontId="53" fillId="0" borderId="0" xfId="1" applyNumberFormat="1" applyFont="1" applyFill="1" applyProtection="1"/>
    <xf numFmtId="37" fontId="0" fillId="0" borderId="0" xfId="0" applyAlignment="1">
      <alignment horizontal="center"/>
    </xf>
    <xf numFmtId="37" fontId="44" fillId="0" borderId="0" xfId="0" applyFont="1" applyFill="1"/>
    <xf numFmtId="37" fontId="55" fillId="0" borderId="0" xfId="0" applyFont="1" applyAlignment="1">
      <alignment horizontal="right"/>
    </xf>
    <xf numFmtId="37" fontId="55" fillId="0" borderId="0" xfId="0" applyFont="1"/>
    <xf numFmtId="37" fontId="0" fillId="0" borderId="0" xfId="0" applyFont="1" applyBorder="1" applyAlignment="1" applyProtection="1">
      <alignment horizontal="left" indent="1"/>
      <protection locked="0"/>
    </xf>
    <xf numFmtId="182" fontId="4" fillId="0" borderId="7" xfId="2" applyNumberFormat="1" applyFont="1" applyFill="1" applyBorder="1" applyProtection="1"/>
    <xf numFmtId="182" fontId="13" fillId="0" borderId="6" xfId="2" applyNumberFormat="1" applyFont="1" applyFill="1" applyBorder="1" applyProtection="1"/>
    <xf numFmtId="37" fontId="0" fillId="0" borderId="0" xfId="0" applyFill="1" applyAlignment="1">
      <alignment horizontal="center"/>
    </xf>
    <xf numFmtId="37" fontId="9" fillId="0" borderId="0" xfId="0" applyFont="1" applyAlignment="1" applyProtection="1">
      <alignment horizontal="right"/>
    </xf>
    <xf numFmtId="37" fontId="9" fillId="0" borderId="2" xfId="0" applyFont="1" applyBorder="1" applyAlignment="1" applyProtection="1">
      <alignment horizontal="right"/>
    </xf>
    <xf numFmtId="37" fontId="13" fillId="0" borderId="0" xfId="0" applyFont="1" applyAlignment="1" applyProtection="1">
      <alignment horizontal="centerContinuous"/>
    </xf>
    <xf numFmtId="169" fontId="44" fillId="0" borderId="0" xfId="0" applyNumberFormat="1" applyFont="1" applyProtection="1"/>
    <xf numFmtId="37" fontId="44" fillId="0" borderId="0" xfId="0" applyNumberFormat="1" applyFont="1" applyProtection="1">
      <protection locked="0"/>
    </xf>
    <xf numFmtId="10" fontId="44" fillId="0" borderId="0" xfId="0" applyNumberFormat="1" applyFont="1" applyProtection="1"/>
    <xf numFmtId="37" fontId="0" fillId="0" borderId="0" xfId="0" applyNumberFormat="1" applyFont="1" applyFill="1" applyBorder="1" applyProtection="1"/>
    <xf numFmtId="37" fontId="0" fillId="0" borderId="0" xfId="0" applyNumberFormat="1" applyFont="1" applyFill="1" applyAlignment="1" applyProtection="1">
      <alignment horizontal="right"/>
    </xf>
    <xf numFmtId="39" fontId="0" fillId="0" borderId="0" xfId="0" applyNumberFormat="1" applyFont="1" applyFill="1" applyProtection="1"/>
    <xf numFmtId="9" fontId="0" fillId="0" borderId="0" xfId="13" applyFont="1" applyFill="1" applyProtection="1"/>
    <xf numFmtId="173" fontId="0" fillId="0" borderId="0" xfId="0" applyNumberFormat="1" applyFont="1" applyFill="1" applyProtection="1"/>
    <xf numFmtId="173" fontId="0" fillId="0" borderId="0" xfId="0" applyNumberFormat="1" applyFont="1" applyFill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/>
    </xf>
    <xf numFmtId="37" fontId="47" fillId="0" borderId="0" xfId="0" applyFont="1" applyFill="1"/>
    <xf numFmtId="37" fontId="44" fillId="0" borderId="0" xfId="0" applyFont="1" applyAlignment="1"/>
    <xf numFmtId="39" fontId="44" fillId="0" borderId="0" xfId="0" applyNumberFormat="1" applyFont="1"/>
    <xf numFmtId="175" fontId="4" fillId="0" borderId="0" xfId="0" applyNumberFormat="1" applyFont="1" applyAlignment="1"/>
    <xf numFmtId="37" fontId="13" fillId="0" borderId="0" xfId="0" applyFont="1" applyFill="1" applyAlignment="1" applyProtection="1">
      <alignment horizontal="left"/>
    </xf>
    <xf numFmtId="37" fontId="13" fillId="0" borderId="0" xfId="0" applyFont="1" applyAlignment="1" applyProtection="1">
      <alignment horizontal="right"/>
    </xf>
    <xf numFmtId="37" fontId="13" fillId="0" borderId="0" xfId="0" applyFont="1" applyBorder="1" applyAlignment="1" applyProtection="1">
      <alignment horizontal="right"/>
    </xf>
    <xf numFmtId="37" fontId="13" fillId="0" borderId="5" xfId="0" applyFont="1" applyBorder="1"/>
    <xf numFmtId="37" fontId="5" fillId="0" borderId="0" xfId="0" applyFont="1" applyFill="1" applyAlignment="1"/>
    <xf numFmtId="37" fontId="4" fillId="0" borderId="0" xfId="0" applyFont="1" applyFill="1" applyAlignment="1" applyProtection="1"/>
    <xf numFmtId="180" fontId="9" fillId="0" borderId="0" xfId="0" applyNumberFormat="1" applyFont="1"/>
    <xf numFmtId="182" fontId="0" fillId="0" borderId="7" xfId="2" applyNumberFormat="1" applyFont="1" applyFill="1" applyBorder="1" applyProtection="1"/>
    <xf numFmtId="37" fontId="4" fillId="0" borderId="0" xfId="0" quotePrefix="1" applyFont="1" applyFill="1"/>
    <xf numFmtId="182" fontId="0" fillId="0" borderId="6" xfId="2" applyNumberFormat="1" applyFont="1" applyFill="1" applyBorder="1" applyProtection="1"/>
    <xf numFmtId="37" fontId="4" fillId="0" borderId="0" xfId="0" applyFont="1" applyAlignment="1" applyProtection="1">
      <alignment horizontal="center"/>
    </xf>
    <xf numFmtId="37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83" fontId="13" fillId="0" borderId="0" xfId="0" applyNumberFormat="1" applyFont="1" applyFill="1" applyAlignment="1" applyProtection="1">
      <alignment horizontal="center"/>
      <protection locked="0"/>
    </xf>
    <xf numFmtId="37" fontId="13" fillId="0" borderId="0" xfId="0" applyFont="1" applyFill="1" applyAlignment="1" applyProtection="1">
      <alignment horizontal="left" indent="2"/>
      <protection locked="0"/>
    </xf>
    <xf numFmtId="37" fontId="0" fillId="0" borderId="0" xfId="0" applyAlignment="1">
      <alignment horizontal="center"/>
    </xf>
    <xf numFmtId="182" fontId="4" fillId="0" borderId="0" xfId="2" applyNumberFormat="1" applyFont="1" applyFill="1" applyAlignment="1">
      <alignment horizontal="center"/>
    </xf>
    <xf numFmtId="185" fontId="4" fillId="0" borderId="0" xfId="1" applyNumberFormat="1" applyFont="1" applyFill="1" applyAlignment="1">
      <alignment horizontal="center"/>
    </xf>
    <xf numFmtId="3" fontId="0" fillId="0" borderId="0" xfId="0" quotePrefix="1" applyNumberFormat="1" applyFill="1" applyAlignment="1">
      <alignment horizontal="left"/>
    </xf>
    <xf numFmtId="3" fontId="0" fillId="0" borderId="0" xfId="0" quotePrefix="1" applyNumberFormat="1" applyFill="1" applyAlignment="1">
      <alignment horizontal="right"/>
    </xf>
    <xf numFmtId="10" fontId="0" fillId="0" borderId="0" xfId="13" quotePrefix="1" applyNumberFormat="1" applyFont="1" applyFill="1" applyAlignment="1">
      <alignment horizontal="right"/>
    </xf>
    <xf numFmtId="3" fontId="0" fillId="0" borderId="0" xfId="0" quotePrefix="1" applyNumberFormat="1" applyFill="1"/>
    <xf numFmtId="37" fontId="44" fillId="0" borderId="0" xfId="0" applyFont="1" applyFill="1" applyBorder="1" applyAlignment="1">
      <alignment horizontal="center"/>
    </xf>
    <xf numFmtId="10" fontId="44" fillId="5" borderId="0" xfId="0" applyNumberFormat="1" applyFont="1" applyFill="1" applyAlignment="1" applyProtection="1">
      <alignment horizontal="center"/>
    </xf>
    <xf numFmtId="37" fontId="38" fillId="4" borderId="0" xfId="0" applyFont="1" applyFill="1"/>
    <xf numFmtId="37" fontId="0" fillId="4" borderId="0" xfId="0" applyFill="1"/>
    <xf numFmtId="37" fontId="44" fillId="0" borderId="0" xfId="0" applyFont="1" applyBorder="1"/>
    <xf numFmtId="37" fontId="4" fillId="0" borderId="0" xfId="0" applyFont="1" applyAlignment="1" applyProtection="1">
      <alignment horizontal="center"/>
    </xf>
    <xf numFmtId="10" fontId="44" fillId="4" borderId="0" xfId="13" applyNumberFormat="1" applyFont="1" applyFill="1" applyAlignment="1">
      <alignment horizontal="center"/>
    </xf>
    <xf numFmtId="182" fontId="0" fillId="0" borderId="7" xfId="2" applyNumberFormat="1" applyFont="1" applyFill="1" applyBorder="1"/>
    <xf numFmtId="182" fontId="4" fillId="0" borderId="7" xfId="2" applyNumberFormat="1" applyFont="1" applyFill="1" applyBorder="1"/>
    <xf numFmtId="37" fontId="57" fillId="0" borderId="0" xfId="0" applyFont="1"/>
    <xf numFmtId="37" fontId="53" fillId="0" borderId="0" xfId="0" applyFont="1" applyAlignment="1" applyProtection="1">
      <alignment horizontal="center"/>
    </xf>
    <xf numFmtId="37" fontId="53" fillId="0" borderId="0" xfId="0" applyFont="1" applyFill="1"/>
    <xf numFmtId="182" fontId="53" fillId="0" borderId="0" xfId="2" applyNumberFormat="1" applyFont="1" applyBorder="1" applyProtection="1"/>
    <xf numFmtId="182" fontId="13" fillId="0" borderId="7" xfId="2" applyNumberFormat="1" applyFont="1" applyFill="1" applyBorder="1" applyProtection="1"/>
    <xf numFmtId="183" fontId="22" fillId="0" borderId="0" xfId="0" applyNumberFormat="1" applyFont="1" applyFill="1" applyAlignment="1">
      <alignment horizontal="left"/>
    </xf>
    <xf numFmtId="37" fontId="46" fillId="0" borderId="0" xfId="0" applyFont="1" applyFill="1"/>
    <xf numFmtId="37" fontId="44" fillId="0" borderId="0" xfId="0" quotePrefix="1" applyFont="1" applyFill="1"/>
    <xf numFmtId="37" fontId="13" fillId="0" borderId="7" xfId="0" applyNumberFormat="1" applyFont="1" applyFill="1" applyBorder="1" applyProtection="1"/>
    <xf numFmtId="37" fontId="53" fillId="0" borderId="0" xfId="0" applyFont="1" applyAlignment="1" applyProtection="1">
      <alignment horizontal="left"/>
    </xf>
    <xf numFmtId="37" fontId="58" fillId="0" borderId="0" xfId="0" applyFont="1"/>
    <xf numFmtId="37" fontId="58" fillId="0" borderId="0" xfId="0" quotePrefix="1" applyFont="1" applyAlignment="1">
      <alignment horizontal="center"/>
    </xf>
    <xf numFmtId="37" fontId="58" fillId="0" borderId="0" xfId="0" applyFont="1" applyAlignment="1" applyProtection="1">
      <alignment horizontal="center"/>
    </xf>
    <xf numFmtId="165" fontId="58" fillId="0" borderId="0" xfId="0" applyNumberFormat="1" applyFont="1" applyProtection="1"/>
    <xf numFmtId="10" fontId="58" fillId="0" borderId="0" xfId="0" applyNumberFormat="1" applyFont="1" applyFill="1" applyProtection="1"/>
    <xf numFmtId="37" fontId="59" fillId="0" borderId="0" xfId="0" applyNumberFormat="1" applyFont="1" applyBorder="1" applyProtection="1"/>
    <xf numFmtId="170" fontId="54" fillId="0" borderId="0" xfId="0" applyNumberFormat="1" applyFont="1" applyFill="1" applyProtection="1"/>
    <xf numFmtId="170" fontId="9" fillId="0" borderId="0" xfId="0" applyNumberFormat="1" applyFont="1" applyProtection="1"/>
    <xf numFmtId="37" fontId="6" fillId="0" borderId="0" xfId="0" applyFont="1" applyAlignment="1">
      <alignment horizontal="center"/>
    </xf>
    <xf numFmtId="37" fontId="53" fillId="0" borderId="0" xfId="0" applyFont="1" applyAlignment="1">
      <alignment horizontal="center"/>
    </xf>
    <xf numFmtId="37" fontId="58" fillId="0" borderId="0" xfId="0" applyFont="1" applyAlignment="1">
      <alignment horizontal="center"/>
    </xf>
    <xf numFmtId="37" fontId="58" fillId="0" borderId="0" xfId="0" applyFont="1" applyAlignment="1">
      <alignment horizontal="left"/>
    </xf>
    <xf numFmtId="185" fontId="58" fillId="0" borderId="0" xfId="1" applyNumberFormat="1" applyFont="1" applyFill="1" applyProtection="1"/>
    <xf numFmtId="37" fontId="58" fillId="0" borderId="0" xfId="0" applyFont="1" applyFill="1"/>
    <xf numFmtId="37" fontId="58" fillId="0" borderId="0" xfId="0" applyNumberFormat="1" applyFont="1" applyFill="1" applyProtection="1"/>
    <xf numFmtId="185" fontId="58" fillId="0" borderId="0" xfId="1" applyNumberFormat="1" applyFont="1" applyFill="1"/>
    <xf numFmtId="185" fontId="58" fillId="0" borderId="0" xfId="1" applyNumberFormat="1" applyFont="1"/>
    <xf numFmtId="185" fontId="58" fillId="0" borderId="0" xfId="1" applyNumberFormat="1" applyFont="1" applyProtection="1"/>
    <xf numFmtId="37" fontId="58" fillId="0" borderId="0" xfId="0" applyNumberFormat="1" applyFont="1" applyProtection="1"/>
    <xf numFmtId="10" fontId="58" fillId="0" borderId="0" xfId="0" applyNumberFormat="1" applyFont="1" applyBorder="1" applyProtection="1"/>
    <xf numFmtId="37" fontId="5" fillId="0" borderId="0" xfId="0" applyFont="1" applyFill="1" applyAlignment="1">
      <alignment horizontal="center"/>
    </xf>
    <xf numFmtId="3" fontId="44" fillId="0" borderId="0" xfId="0" applyNumberFormat="1" applyFont="1"/>
    <xf numFmtId="37" fontId="60" fillId="0" borderId="0" xfId="0" applyFont="1" applyFill="1"/>
    <xf numFmtId="37" fontId="0" fillId="5" borderId="0" xfId="0" applyFill="1" applyAlignment="1">
      <alignment horizontal="left" indent="1"/>
    </xf>
    <xf numFmtId="173" fontId="58" fillId="0" borderId="0" xfId="13" applyNumberFormat="1" applyFont="1" applyProtection="1"/>
    <xf numFmtId="37" fontId="44" fillId="0" borderId="0" xfId="0" applyFont="1" applyFill="1" applyBorder="1"/>
    <xf numFmtId="10" fontId="0" fillId="4" borderId="0" xfId="13" applyNumberFormat="1" applyFont="1" applyFill="1" applyAlignment="1">
      <alignment horizontal="center"/>
    </xf>
    <xf numFmtId="37" fontId="4" fillId="0" borderId="0" xfId="0" applyFont="1" applyAlignment="1">
      <alignment horizontal="center"/>
    </xf>
    <xf numFmtId="37" fontId="9" fillId="0" borderId="7" xfId="0" applyFont="1" applyBorder="1" applyAlignment="1" applyProtection="1">
      <alignment horizontal="center"/>
    </xf>
    <xf numFmtId="37" fontId="0" fillId="0" borderId="0" xfId="0" applyFont="1" applyFill="1" applyAlignment="1">
      <alignment horizontal="center"/>
    </xf>
    <xf numFmtId="37" fontId="53" fillId="0" borderId="0" xfId="0" applyFont="1" applyAlignment="1">
      <alignment horizontal="right"/>
    </xf>
    <xf numFmtId="37" fontId="53" fillId="0" borderId="0" xfId="0" quotePrefix="1" applyNumberFormat="1" applyFont="1" applyProtection="1"/>
    <xf numFmtId="37" fontId="4" fillId="6" borderId="0" xfId="0" applyFont="1" applyFill="1"/>
    <xf numFmtId="37" fontId="4" fillId="6" borderId="0" xfId="0" applyFont="1" applyFill="1" applyBorder="1"/>
    <xf numFmtId="37" fontId="4" fillId="6" borderId="0" xfId="0" applyNumberFormat="1" applyFont="1" applyFill="1" applyProtection="1"/>
    <xf numFmtId="37" fontId="4" fillId="6" borderId="0" xfId="0" applyNumberFormat="1" applyFont="1" applyFill="1" applyBorder="1" applyProtection="1"/>
    <xf numFmtId="10" fontId="4" fillId="6" borderId="0" xfId="0" applyNumberFormat="1" applyFont="1" applyFill="1" applyBorder="1" applyProtection="1"/>
    <xf numFmtId="10" fontId="4" fillId="6" borderId="0" xfId="13" applyNumberFormat="1" applyFont="1" applyFill="1" applyBorder="1"/>
    <xf numFmtId="166" fontId="4" fillId="6" borderId="0" xfId="0" applyNumberFormat="1" applyFont="1" applyFill="1" applyBorder="1" applyProtection="1"/>
    <xf numFmtId="182" fontId="5" fillId="6" borderId="0" xfId="2" applyNumberFormat="1" applyFont="1" applyFill="1" applyProtection="1"/>
    <xf numFmtId="37" fontId="9" fillId="6" borderId="0" xfId="0" applyFont="1" applyFill="1" applyBorder="1"/>
    <xf numFmtId="37" fontId="4" fillId="5" borderId="0" xfId="5" applyFont="1" applyFill="1" applyAlignment="1" applyProtection="1">
      <alignment horizontal="left"/>
    </xf>
    <xf numFmtId="182" fontId="4" fillId="5" borderId="0" xfId="2" applyNumberFormat="1" applyFont="1" applyFill="1" applyProtection="1"/>
    <xf numFmtId="37" fontId="4" fillId="5" borderId="0" xfId="5" applyFont="1" applyFill="1" applyProtection="1"/>
    <xf numFmtId="37" fontId="4" fillId="5" borderId="0" xfId="5" applyFill="1" applyAlignment="1" applyProtection="1">
      <alignment horizontal="left"/>
    </xf>
    <xf numFmtId="37" fontId="0" fillId="5" borderId="0" xfId="0" applyFont="1" applyFill="1" applyAlignment="1" applyProtection="1">
      <alignment horizontal="left"/>
    </xf>
    <xf numFmtId="182" fontId="0" fillId="5" borderId="0" xfId="2" applyNumberFormat="1" applyFont="1" applyFill="1" applyProtection="1"/>
    <xf numFmtId="37" fontId="0" fillId="5" borderId="0" xfId="0" applyFont="1" applyFill="1" applyProtection="1"/>
    <xf numFmtId="37" fontId="0" fillId="0" borderId="0" xfId="0" applyFont="1" applyFill="1" applyAlignment="1" applyProtection="1">
      <alignment horizontal="left"/>
      <protection locked="0"/>
    </xf>
    <xf numFmtId="37" fontId="4" fillId="0" borderId="0" xfId="0" applyFont="1" applyAlignment="1" applyProtection="1">
      <alignment horizontal="center"/>
    </xf>
    <xf numFmtId="185" fontId="38" fillId="0" borderId="10" xfId="0" applyNumberFormat="1" applyFont="1" applyBorder="1"/>
    <xf numFmtId="37" fontId="0" fillId="0" borderId="0" xfId="0" applyAlignment="1">
      <alignment horizontal="center"/>
    </xf>
    <xf numFmtId="0" fontId="26" fillId="0" borderId="0" xfId="0" applyNumberFormat="1" applyFont="1" applyFill="1" applyBorder="1"/>
    <xf numFmtId="37" fontId="0" fillId="0" borderId="0" xfId="0"/>
    <xf numFmtId="37" fontId="0" fillId="0" borderId="0" xfId="0"/>
    <xf numFmtId="37" fontId="0" fillId="0" borderId="0" xfId="0"/>
    <xf numFmtId="37" fontId="0" fillId="0" borderId="0" xfId="0"/>
    <xf numFmtId="37" fontId="0" fillId="0" borderId="0" xfId="0"/>
    <xf numFmtId="37" fontId="47" fillId="0" borderId="0" xfId="0" applyFont="1"/>
    <xf numFmtId="37" fontId="0" fillId="0" borderId="0" xfId="0" applyAlignment="1">
      <alignment horizontal="center"/>
    </xf>
    <xf numFmtId="37" fontId="47" fillId="0" borderId="0" xfId="0" applyFont="1" applyFill="1" applyBorder="1" applyAlignment="1">
      <alignment horizontal="centerContinuous"/>
    </xf>
    <xf numFmtId="37" fontId="62" fillId="0" borderId="0" xfId="0" applyFont="1"/>
    <xf numFmtId="37" fontId="47" fillId="0" borderId="0" xfId="0" applyFont="1" applyBorder="1"/>
    <xf numFmtId="37" fontId="0" fillId="5" borderId="0" xfId="5" applyFont="1" applyFill="1" applyProtection="1"/>
    <xf numFmtId="37" fontId="47" fillId="0" borderId="0" xfId="0" applyNumberFormat="1" applyFont="1" applyProtection="1"/>
    <xf numFmtId="190" fontId="4" fillId="0" borderId="0" xfId="0" applyNumberFormat="1" applyFont="1"/>
    <xf numFmtId="37" fontId="0" fillId="0" borderId="0" xfId="0" applyFont="1" applyFill="1" applyBorder="1"/>
    <xf numFmtId="37" fontId="4" fillId="0" borderId="0" xfId="0" applyFont="1" applyAlignment="1" applyProtection="1">
      <alignment horizontal="center"/>
    </xf>
    <xf numFmtId="37" fontId="0" fillId="0" borderId="32" xfId="0" applyBorder="1"/>
    <xf numFmtId="37" fontId="4" fillId="0" borderId="32" xfId="0" applyFont="1" applyBorder="1" applyAlignment="1">
      <alignment horizontal="center"/>
    </xf>
    <xf numFmtId="37" fontId="4" fillId="0" borderId="32" xfId="0" applyFont="1" applyBorder="1"/>
    <xf numFmtId="37" fontId="0" fillId="0" borderId="0" xfId="0" applyFill="1" applyBorder="1"/>
    <xf numFmtId="37" fontId="13" fillId="0" borderId="0" xfId="0" applyFont="1" applyFill="1" applyAlignment="1" applyProtection="1">
      <alignment horizontal="left" indent="1"/>
    </xf>
    <xf numFmtId="37" fontId="62" fillId="0" borderId="0" xfId="0" applyNumberFormat="1" applyFont="1" applyFill="1" applyBorder="1" applyProtection="1">
      <protection locked="0"/>
    </xf>
    <xf numFmtId="37" fontId="4" fillId="0" borderId="0" xfId="0" applyFont="1" applyAlignment="1" applyProtection="1">
      <alignment horizontal="center"/>
    </xf>
    <xf numFmtId="37" fontId="4" fillId="0" borderId="0" xfId="0" applyFont="1" applyAlignment="1">
      <alignment horizontal="center"/>
    </xf>
    <xf numFmtId="37" fontId="15" fillId="0" borderId="0" xfId="0" applyFont="1" applyAlignment="1">
      <alignment horizontal="center"/>
    </xf>
    <xf numFmtId="37" fontId="4" fillId="0" borderId="32" xfId="0" applyFont="1" applyBorder="1" applyAlignment="1" applyProtection="1">
      <alignment horizontal="center"/>
    </xf>
    <xf numFmtId="37" fontId="4" fillId="0" borderId="32" xfId="0" applyFont="1" applyFill="1" applyBorder="1"/>
    <xf numFmtId="10" fontId="64" fillId="0" borderId="0" xfId="13" applyNumberFormat="1" applyFont="1" applyAlignment="1" applyProtection="1">
      <alignment horizontal="center"/>
    </xf>
    <xf numFmtId="37" fontId="64" fillId="0" borderId="0" xfId="0" applyFont="1"/>
    <xf numFmtId="37" fontId="4" fillId="0" borderId="19" xfId="0" applyFont="1" applyBorder="1"/>
    <xf numFmtId="10" fontId="64" fillId="0" borderId="0" xfId="13" applyNumberFormat="1" applyFont="1" applyFill="1" applyAlignment="1" applyProtection="1">
      <alignment horizontal="center"/>
    </xf>
    <xf numFmtId="37" fontId="64" fillId="0" borderId="0" xfId="0" applyFont="1" applyFill="1"/>
    <xf numFmtId="37" fontId="15" fillId="0" borderId="32" xfId="0" applyFont="1" applyBorder="1"/>
    <xf numFmtId="37" fontId="15" fillId="0" borderId="6" xfId="0" applyFont="1" applyBorder="1"/>
    <xf numFmtId="37" fontId="15" fillId="0" borderId="0" xfId="0" applyFont="1" applyFill="1" applyBorder="1"/>
    <xf numFmtId="37" fontId="15" fillId="0" borderId="10" xfId="0" applyFont="1" applyBorder="1"/>
    <xf numFmtId="37" fontId="66" fillId="0" borderId="0" xfId="0" applyFont="1"/>
    <xf numFmtId="10" fontId="4" fillId="0" borderId="0" xfId="13" applyNumberFormat="1" applyFont="1" applyFill="1"/>
    <xf numFmtId="37" fontId="15" fillId="0" borderId="7" xfId="0" applyFont="1" applyBorder="1"/>
    <xf numFmtId="37" fontId="4" fillId="0" borderId="7" xfId="0" applyFont="1" applyFill="1" applyBorder="1"/>
    <xf numFmtId="37" fontId="15" fillId="0" borderId="0" xfId="0" applyFont="1" applyBorder="1" applyAlignment="1">
      <alignment horizontal="left"/>
    </xf>
    <xf numFmtId="37" fontId="64" fillId="0" borderId="0" xfId="0" applyFont="1" applyAlignment="1">
      <alignment horizontal="center"/>
    </xf>
    <xf numFmtId="0" fontId="9" fillId="0" borderId="0" xfId="0" applyNumberFormat="1" applyFont="1" applyFill="1" applyAlignment="1">
      <alignment horizontal="center"/>
    </xf>
    <xf numFmtId="37" fontId="44" fillId="0" borderId="0" xfId="0" applyFont="1" applyFill="1" applyAlignment="1">
      <alignment horizontal="center"/>
    </xf>
    <xf numFmtId="37" fontId="26" fillId="0" borderId="0" xfId="0" applyFont="1" applyFill="1" applyBorder="1" applyAlignment="1">
      <alignment horizontal="left"/>
    </xf>
    <xf numFmtId="37" fontId="57" fillId="0" borderId="0" xfId="0" applyFont="1" applyFill="1"/>
    <xf numFmtId="37" fontId="9" fillId="0" borderId="0" xfId="0" applyFont="1" applyFill="1" applyAlignment="1" applyProtection="1">
      <alignment horizontal="left"/>
      <protection locked="0"/>
    </xf>
    <xf numFmtId="37" fontId="9" fillId="0" borderId="19" xfId="0" applyFont="1" applyFill="1" applyBorder="1" applyAlignment="1" applyProtection="1">
      <alignment horizontal="center"/>
      <protection locked="0"/>
    </xf>
    <xf numFmtId="37" fontId="0" fillId="0" borderId="0" xfId="0" applyFont="1" applyFill="1" applyBorder="1" applyAlignment="1" applyProtection="1">
      <alignment horizontal="left"/>
    </xf>
    <xf numFmtId="37" fontId="0" fillId="0" borderId="0" xfId="0" applyFont="1" applyFill="1" applyBorder="1" applyAlignment="1" applyProtection="1">
      <alignment horizontal="left" indent="2"/>
    </xf>
    <xf numFmtId="37" fontId="0" fillId="0" borderId="0" xfId="0" applyFont="1" applyFill="1" applyBorder="1" applyAlignment="1" applyProtection="1">
      <alignment horizontal="left" indent="5"/>
    </xf>
    <xf numFmtId="37" fontId="0" fillId="0" borderId="0" xfId="0" applyFill="1" applyAlignment="1">
      <alignment horizontal="center"/>
    </xf>
    <xf numFmtId="37" fontId="53" fillId="0" borderId="0" xfId="0" applyNumberFormat="1" applyFont="1" applyBorder="1" applyProtection="1"/>
    <xf numFmtId="37" fontId="68" fillId="0" borderId="0" xfId="0" applyFont="1" applyAlignment="1" applyProtection="1">
      <alignment horizontal="left" wrapText="1"/>
    </xf>
    <xf numFmtId="37" fontId="4" fillId="0" borderId="0" xfId="0" applyFont="1" applyAlignment="1">
      <alignment horizontal="center"/>
    </xf>
    <xf numFmtId="37" fontId="0" fillId="0" borderId="0" xfId="0" applyAlignment="1">
      <alignment horizontal="center"/>
    </xf>
    <xf numFmtId="37" fontId="0" fillId="0" borderId="0" xfId="0" applyAlignment="1">
      <alignment horizontal="center"/>
    </xf>
    <xf numFmtId="37" fontId="15" fillId="0" borderId="0" xfId="0" applyFont="1" applyFill="1" applyBorder="1" applyAlignment="1"/>
    <xf numFmtId="182" fontId="13" fillId="0" borderId="7" xfId="0" applyNumberFormat="1" applyFont="1" applyFill="1" applyBorder="1" applyProtection="1"/>
    <xf numFmtId="186" fontId="0" fillId="0" borderId="0" xfId="0" quotePrefix="1" applyNumberFormat="1"/>
    <xf numFmtId="37" fontId="0" fillId="0" borderId="0" xfId="0" applyFill="1" applyAlignment="1">
      <alignment horizontal="center"/>
    </xf>
    <xf numFmtId="37" fontId="4" fillId="0" borderId="0" xfId="0" applyFont="1" applyFill="1" applyAlignment="1" applyProtection="1">
      <alignment horizontal="center"/>
    </xf>
    <xf numFmtId="37" fontId="13" fillId="0" borderId="0" xfId="0" applyFont="1" applyFill="1" applyAlignment="1" applyProtection="1">
      <alignment horizontal="center"/>
    </xf>
    <xf numFmtId="37" fontId="4" fillId="0" borderId="0" xfId="0" applyFont="1" applyFill="1" applyAlignment="1">
      <alignment horizontal="center"/>
    </xf>
    <xf numFmtId="37" fontId="4" fillId="0" borderId="0" xfId="0" applyFont="1" applyFill="1" applyAlignment="1" applyProtection="1">
      <alignment horizontal="center"/>
      <protection locked="0"/>
    </xf>
    <xf numFmtId="37" fontId="13" fillId="0" borderId="0" xfId="0" applyFont="1" applyFill="1" applyAlignment="1">
      <alignment horizontal="center"/>
    </xf>
    <xf numFmtId="37" fontId="0" fillId="0" borderId="0" xfId="0" applyFill="1" applyAlignment="1">
      <alignment horizontal="center"/>
    </xf>
    <xf numFmtId="37" fontId="4" fillId="0" borderId="0" xfId="0" applyFont="1" applyFill="1" applyAlignment="1" applyProtection="1">
      <alignment horizontal="center"/>
    </xf>
    <xf numFmtId="37" fontId="13" fillId="0" borderId="0" xfId="0" applyFont="1" applyFill="1" applyAlignment="1" applyProtection="1">
      <alignment horizontal="center"/>
    </xf>
    <xf numFmtId="37" fontId="4" fillId="0" borderId="0" xfId="0" applyFont="1" applyFill="1" applyAlignment="1">
      <alignment horizontal="center"/>
    </xf>
    <xf numFmtId="37" fontId="6" fillId="0" borderId="0" xfId="0" applyFont="1" applyFill="1" applyAlignment="1" applyProtection="1">
      <alignment horizontal="center"/>
    </xf>
    <xf numFmtId="37" fontId="13" fillId="0" borderId="0" xfId="0" applyFont="1" applyFill="1" applyAlignment="1">
      <alignment horizontal="center"/>
    </xf>
    <xf numFmtId="37" fontId="45" fillId="0" borderId="0" xfId="0" applyFont="1" applyFill="1" applyAlignment="1">
      <alignment horizontal="left"/>
    </xf>
    <xf numFmtId="37" fontId="9" fillId="0" borderId="23" xfId="0" applyFont="1" applyFill="1" applyBorder="1" applyAlignment="1">
      <alignment horizontal="center"/>
    </xf>
    <xf numFmtId="37" fontId="9" fillId="0" borderId="7" xfId="0" applyFont="1" applyFill="1" applyBorder="1" applyAlignment="1">
      <alignment horizontal="center"/>
    </xf>
    <xf numFmtId="37" fontId="9" fillId="0" borderId="7" xfId="0" applyFont="1" applyFill="1" applyBorder="1" applyAlignment="1" applyProtection="1">
      <alignment horizontal="center"/>
      <protection locked="0"/>
    </xf>
    <xf numFmtId="37" fontId="9" fillId="0" borderId="21" xfId="0" applyFont="1" applyFill="1" applyBorder="1" applyAlignment="1">
      <alignment horizontal="center"/>
    </xf>
    <xf numFmtId="37" fontId="9" fillId="0" borderId="5" xfId="0" applyFont="1" applyFill="1" applyBorder="1" applyAlignment="1">
      <alignment horizontal="center"/>
    </xf>
    <xf numFmtId="37" fontId="9" fillId="0" borderId="5" xfId="0" applyFont="1" applyFill="1" applyBorder="1" applyAlignment="1" applyProtection="1">
      <alignment horizontal="center"/>
      <protection locked="0"/>
    </xf>
    <xf numFmtId="37" fontId="9" fillId="0" borderId="22" xfId="0" applyFont="1" applyFill="1" applyBorder="1" applyAlignment="1">
      <alignment horizontal="center"/>
    </xf>
    <xf numFmtId="37" fontId="22" fillId="0" borderId="0" xfId="0" applyFont="1" applyFill="1" applyAlignment="1">
      <alignment horizontal="center"/>
    </xf>
    <xf numFmtId="37" fontId="22" fillId="0" borderId="0" xfId="0" quotePrefix="1" applyFont="1" applyFill="1"/>
    <xf numFmtId="37" fontId="6" fillId="0" borderId="0" xfId="0" applyFont="1" applyFill="1" applyAlignment="1">
      <alignment horizontal="centerContinuous"/>
    </xf>
    <xf numFmtId="37" fontId="56" fillId="0" borderId="0" xfId="0" applyFont="1" applyFill="1"/>
    <xf numFmtId="37" fontId="44" fillId="0" borderId="0" xfId="0" applyFont="1" applyFill="1" applyAlignment="1">
      <alignment horizontal="left"/>
    </xf>
    <xf numFmtId="37" fontId="9" fillId="0" borderId="2" xfId="0" applyFont="1" applyFill="1" applyBorder="1" applyAlignment="1" applyProtection="1">
      <alignment horizontal="left"/>
    </xf>
    <xf numFmtId="37" fontId="9" fillId="0" borderId="24" xfId="0" applyFont="1" applyFill="1" applyBorder="1" applyAlignment="1" applyProtection="1">
      <alignment horizontal="center"/>
      <protection locked="0"/>
    </xf>
    <xf numFmtId="0" fontId="28" fillId="0" borderId="0" xfId="6" applyFont="1" applyFill="1"/>
    <xf numFmtId="43" fontId="38" fillId="0" borderId="0" xfId="1" applyFont="1" applyFill="1"/>
    <xf numFmtId="37" fontId="38" fillId="0" borderId="0" xfId="0" applyFont="1" applyFill="1" applyAlignment="1">
      <alignment horizontal="center"/>
    </xf>
    <xf numFmtId="185" fontId="38" fillId="0" borderId="0" xfId="1" applyNumberFormat="1" applyFont="1" applyFill="1"/>
    <xf numFmtId="10" fontId="38" fillId="0" borderId="0" xfId="13" applyNumberFormat="1" applyFont="1" applyFill="1"/>
    <xf numFmtId="37" fontId="9" fillId="0" borderId="0" xfId="0" applyFont="1" applyFill="1" applyBorder="1" applyAlignment="1">
      <alignment horizontal="center"/>
    </xf>
    <xf numFmtId="5" fontId="29" fillId="0" borderId="0" xfId="1" applyNumberFormat="1" applyFont="1" applyFill="1" applyBorder="1"/>
    <xf numFmtId="183" fontId="22" fillId="0" borderId="0" xfId="0" applyNumberFormat="1" applyFont="1" applyFill="1" applyAlignment="1" applyProtection="1">
      <alignment horizontal="left"/>
      <protection locked="0"/>
    </xf>
    <xf numFmtId="0" fontId="22" fillId="0" borderId="0" xfId="0" quotePrefix="1" applyNumberFormat="1" applyFont="1" applyFill="1" applyAlignment="1">
      <alignment horizontal="center"/>
    </xf>
    <xf numFmtId="39" fontId="4" fillId="0" borderId="0" xfId="0" applyNumberFormat="1" applyFont="1" applyFill="1" applyAlignment="1">
      <alignment horizontal="center"/>
    </xf>
    <xf numFmtId="39" fontId="0" fillId="0" borderId="0" xfId="0" applyNumberFormat="1" applyFill="1"/>
    <xf numFmtId="39" fontId="4" fillId="0" borderId="0" xfId="0" applyNumberFormat="1" applyFont="1" applyFill="1"/>
    <xf numFmtId="39" fontId="44" fillId="0" borderId="0" xfId="0" applyNumberFormat="1" applyFont="1" applyFill="1"/>
    <xf numFmtId="37" fontId="4" fillId="0" borderId="23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7" xfId="0" applyFont="1" applyFill="1" applyBorder="1" applyAlignment="1" applyProtection="1">
      <alignment horizontal="center"/>
      <protection locked="0"/>
    </xf>
    <xf numFmtId="37" fontId="0" fillId="0" borderId="7" xfId="0" applyFill="1" applyBorder="1" applyAlignment="1">
      <alignment horizontal="center"/>
    </xf>
    <xf numFmtId="37" fontId="4" fillId="0" borderId="26" xfId="0" applyFont="1" applyFill="1" applyBorder="1" applyAlignment="1">
      <alignment horizontal="center"/>
    </xf>
    <xf numFmtId="37" fontId="4" fillId="0" borderId="21" xfId="0" applyFont="1" applyFill="1" applyBorder="1" applyAlignment="1">
      <alignment horizontal="center"/>
    </xf>
    <xf numFmtId="37" fontId="4" fillId="0" borderId="5" xfId="0" applyFont="1" applyFill="1" applyBorder="1" applyAlignment="1" applyProtection="1">
      <alignment horizontal="center"/>
      <protection locked="0"/>
    </xf>
    <xf numFmtId="37" fontId="4" fillId="0" borderId="22" xfId="0" applyFont="1" applyFill="1" applyBorder="1" applyAlignment="1">
      <alignment horizontal="center"/>
    </xf>
    <xf numFmtId="37" fontId="48" fillId="0" borderId="0" xfId="0" applyFont="1" applyFill="1"/>
    <xf numFmtId="180" fontId="0" fillId="0" borderId="0" xfId="0" applyNumberFormat="1" applyFill="1"/>
    <xf numFmtId="183" fontId="4" fillId="0" borderId="0" xfId="0" applyNumberFormat="1" applyFont="1" applyFill="1" applyAlignment="1" applyProtection="1">
      <alignment horizontal="left"/>
      <protection locked="0"/>
    </xf>
    <xf numFmtId="5" fontId="4" fillId="0" borderId="10" xfId="0" applyNumberFormat="1" applyFont="1" applyFill="1" applyBorder="1"/>
    <xf numFmtId="5" fontId="4" fillId="0" borderId="0" xfId="0" applyNumberFormat="1" applyFont="1" applyFill="1" applyBorder="1"/>
    <xf numFmtId="37" fontId="0" fillId="0" borderId="0" xfId="0" applyFill="1" applyAlignment="1">
      <alignment horizontal="right"/>
    </xf>
    <xf numFmtId="37" fontId="45" fillId="0" borderId="0" xfId="0" applyFont="1" applyFill="1"/>
    <xf numFmtId="37" fontId="4" fillId="0" borderId="7" xfId="0" applyFont="1" applyFill="1" applyBorder="1" applyAlignment="1" applyProtection="1">
      <alignment horizontal="left"/>
      <protection locked="0"/>
    </xf>
    <xf numFmtId="37" fontId="4" fillId="0" borderId="24" xfId="0" applyFont="1" applyFill="1" applyBorder="1" applyAlignment="1" applyProtection="1">
      <alignment horizontal="center"/>
      <protection locked="0"/>
    </xf>
    <xf numFmtId="37" fontId="4" fillId="0" borderId="5" xfId="0" applyFont="1" applyFill="1" applyBorder="1" applyAlignment="1" applyProtection="1">
      <alignment horizontal="left"/>
      <protection locked="0"/>
    </xf>
    <xf numFmtId="10" fontId="4" fillId="0" borderId="5" xfId="13" applyNumberFormat="1" applyFont="1" applyFill="1" applyBorder="1"/>
    <xf numFmtId="170" fontId="4" fillId="0" borderId="0" xfId="13" applyNumberFormat="1" applyFont="1" applyFill="1"/>
    <xf numFmtId="174" fontId="4" fillId="0" borderId="0" xfId="13" applyNumberFormat="1" applyFont="1" applyFill="1"/>
    <xf numFmtId="0" fontId="4" fillId="0" borderId="0" xfId="0" quotePrefix="1" applyNumberFormat="1" applyFont="1" applyFill="1" applyAlignment="1">
      <alignment horizontal="center"/>
    </xf>
    <xf numFmtId="10" fontId="4" fillId="0" borderId="0" xfId="13" applyNumberFormat="1" applyFont="1" applyFill="1" applyBorder="1"/>
    <xf numFmtId="182" fontId="9" fillId="0" borderId="0" xfId="2" applyNumberFormat="1" applyFont="1" applyFill="1"/>
    <xf numFmtId="9" fontId="9" fillId="0" borderId="0" xfId="13" applyFont="1" applyFill="1"/>
    <xf numFmtId="170" fontId="9" fillId="0" borderId="0" xfId="13" applyNumberFormat="1" applyFont="1" applyFill="1"/>
    <xf numFmtId="37" fontId="4" fillId="0" borderId="0" xfId="0" applyFont="1" applyFill="1" applyAlignment="1" applyProtection="1">
      <alignment horizontal="left"/>
      <protection locked="0"/>
    </xf>
    <xf numFmtId="37" fontId="4" fillId="0" borderId="2" xfId="0" applyFont="1" applyFill="1" applyBorder="1" applyAlignment="1" applyProtection="1">
      <protection locked="0"/>
    </xf>
    <xf numFmtId="9" fontId="4" fillId="0" borderId="0" xfId="13" applyFont="1" applyFill="1"/>
    <xf numFmtId="9" fontId="44" fillId="0" borderId="0" xfId="13" applyFont="1" applyFill="1"/>
    <xf numFmtId="170" fontId="44" fillId="0" borderId="0" xfId="13" applyNumberFormat="1" applyFont="1" applyFill="1"/>
    <xf numFmtId="185" fontId="4" fillId="0" borderId="19" xfId="1" applyNumberFormat="1" applyFont="1" applyFill="1" applyBorder="1"/>
    <xf numFmtId="40" fontId="33" fillId="0" borderId="0" xfId="8" applyFont="1" applyFill="1" applyBorder="1" applyAlignment="1">
      <alignment horizontal="left"/>
    </xf>
    <xf numFmtId="37" fontId="5" fillId="0" borderId="0" xfId="0" applyFont="1" applyFill="1"/>
    <xf numFmtId="37" fontId="0" fillId="0" borderId="0" xfId="0" applyFont="1" applyFill="1" applyAlignment="1" applyProtection="1">
      <alignment horizontal="right"/>
    </xf>
    <xf numFmtId="37" fontId="0" fillId="0" borderId="5" xfId="0" applyFill="1" applyBorder="1"/>
    <xf numFmtId="37" fontId="0" fillId="0" borderId="0" xfId="0" applyFill="1" applyAlignment="1" applyProtection="1">
      <alignment horizontal="right"/>
    </xf>
    <xf numFmtId="37" fontId="0" fillId="0" borderId="3" xfId="0" applyFont="1" applyFill="1" applyBorder="1"/>
    <xf numFmtId="37" fontId="0" fillId="0" borderId="29" xfId="0" applyFont="1" applyFill="1" applyBorder="1"/>
    <xf numFmtId="37" fontId="5" fillId="0" borderId="19" xfId="0" applyFont="1" applyFill="1" applyBorder="1" applyAlignment="1" applyProtection="1">
      <alignment horizontal="center"/>
    </xf>
    <xf numFmtId="37" fontId="0" fillId="0" borderId="24" xfId="0" applyFont="1" applyFill="1" applyBorder="1"/>
    <xf numFmtId="37" fontId="0" fillId="0" borderId="5" xfId="0" applyFill="1" applyBorder="1" applyAlignment="1">
      <alignment horizontal="center"/>
    </xf>
    <xf numFmtId="37" fontId="0" fillId="0" borderId="2" xfId="0" applyFont="1" applyFill="1" applyBorder="1"/>
    <xf numFmtId="37" fontId="15" fillId="0" borderId="0" xfId="0" applyFont="1" applyFill="1" applyBorder="1" applyAlignment="1" applyProtection="1">
      <alignment horizontal="left"/>
    </xf>
    <xf numFmtId="37" fontId="24" fillId="0" borderId="0" xfId="0" applyFont="1" applyFill="1" applyBorder="1" applyProtection="1"/>
    <xf numFmtId="37" fontId="0" fillId="0" borderId="0" xfId="0" applyFont="1" applyFill="1" applyBorder="1" applyAlignment="1">
      <alignment horizontal="center"/>
    </xf>
    <xf numFmtId="37" fontId="0" fillId="0" borderId="0" xfId="0" applyFont="1" applyFill="1" applyBorder="1" applyAlignment="1">
      <alignment horizontal="left" indent="1"/>
    </xf>
    <xf numFmtId="37" fontId="63" fillId="0" borderId="0" xfId="0" applyFont="1" applyFill="1"/>
    <xf numFmtId="9" fontId="0" fillId="0" borderId="0" xfId="13" applyFont="1" applyFill="1" applyBorder="1" applyAlignment="1" applyProtection="1">
      <alignment horizontal="center"/>
    </xf>
    <xf numFmtId="185" fontId="7" fillId="0" borderId="0" xfId="1" applyNumberFormat="1" applyFont="1" applyFill="1" applyBorder="1" applyProtection="1"/>
    <xf numFmtId="37" fontId="7" fillId="0" borderId="0" xfId="0" applyFont="1" applyFill="1" applyBorder="1" applyAlignment="1" applyProtection="1">
      <alignment horizontal="center"/>
    </xf>
    <xf numFmtId="37" fontId="7" fillId="0" borderId="0" xfId="0" applyFont="1" applyFill="1" applyBorder="1" applyProtection="1"/>
    <xf numFmtId="37" fontId="7" fillId="0" borderId="0" xfId="0" applyFont="1" applyFill="1" applyBorder="1" applyAlignment="1" applyProtection="1">
      <alignment horizontal="left"/>
    </xf>
    <xf numFmtId="10" fontId="0" fillId="0" borderId="0" xfId="13" applyNumberFormat="1" applyFont="1" applyFill="1" applyBorder="1" applyAlignment="1">
      <alignment horizontal="center"/>
    </xf>
    <xf numFmtId="37" fontId="15" fillId="0" borderId="0" xfId="0" applyFont="1" applyFill="1"/>
    <xf numFmtId="37" fontId="0" fillId="0" borderId="0" xfId="0" applyFont="1" applyFill="1" applyAlignment="1">
      <alignment horizontal="centerContinuous"/>
    </xf>
    <xf numFmtId="167" fontId="0" fillId="0" borderId="0" xfId="0" applyNumberFormat="1" applyFont="1" applyFill="1" applyAlignment="1" applyProtection="1">
      <alignment horizontal="centerContinuous"/>
    </xf>
    <xf numFmtId="168" fontId="0" fillId="0" borderId="0" xfId="0" applyNumberFormat="1" applyFont="1" applyFill="1" applyAlignment="1" applyProtection="1">
      <alignment horizontal="centerContinuous"/>
    </xf>
    <xf numFmtId="37" fontId="6" fillId="0" borderId="0" xfId="0" applyFont="1" applyFill="1" applyAlignment="1" applyProtection="1">
      <alignment horizontal="center"/>
      <protection locked="0"/>
    </xf>
    <xf numFmtId="37" fontId="0" fillId="0" borderId="2" xfId="0" applyFont="1" applyFill="1" applyBorder="1" applyAlignment="1" applyProtection="1">
      <alignment horizontal="left"/>
      <protection locked="0"/>
    </xf>
    <xf numFmtId="37" fontId="6" fillId="0" borderId="0" xfId="0" applyFont="1" applyFill="1" applyAlignment="1" applyProtection="1">
      <alignment horizontal="left"/>
      <protection locked="0"/>
    </xf>
    <xf numFmtId="169" fontId="0" fillId="0" borderId="0" xfId="0" applyNumberFormat="1" applyFont="1" applyFill="1" applyProtection="1"/>
    <xf numFmtId="37" fontId="0" fillId="0" borderId="0" xfId="0" applyFont="1" applyFill="1" applyAlignment="1">
      <alignment horizontal="right"/>
    </xf>
    <xf numFmtId="37" fontId="0" fillId="0" borderId="2" xfId="0" applyFont="1" applyFill="1" applyBorder="1" applyAlignment="1" applyProtection="1">
      <alignment horizontal="left"/>
    </xf>
    <xf numFmtId="37" fontId="0" fillId="0" borderId="5" xfId="0" applyFont="1" applyFill="1" applyBorder="1" applyAlignment="1" applyProtection="1">
      <alignment horizontal="right"/>
    </xf>
    <xf numFmtId="180" fontId="0" fillId="0" borderId="2" xfId="0" applyNumberFormat="1" applyFont="1" applyFill="1" applyBorder="1" applyAlignment="1" applyProtection="1">
      <alignment horizontal="center"/>
      <protection locked="0"/>
    </xf>
    <xf numFmtId="37" fontId="0" fillId="0" borderId="0" xfId="0" applyFont="1" applyFill="1" applyProtection="1"/>
    <xf numFmtId="37" fontId="36" fillId="0" borderId="0" xfId="0" applyFont="1" applyFill="1"/>
    <xf numFmtId="37" fontId="0" fillId="0" borderId="0" xfId="0" applyFont="1" applyFill="1" applyAlignment="1">
      <alignment horizontal="center"/>
    </xf>
    <xf numFmtId="37" fontId="0" fillId="0" borderId="0" xfId="0" applyFont="1" applyFill="1" applyAlignment="1" applyProtection="1">
      <alignment horizontal="right"/>
      <protection locked="0"/>
    </xf>
    <xf numFmtId="37" fontId="0" fillId="0" borderId="5" xfId="0" applyFont="1" applyFill="1" applyBorder="1"/>
    <xf numFmtId="37" fontId="0" fillId="0" borderId="5" xfId="0" applyFont="1" applyFill="1" applyBorder="1" applyAlignment="1">
      <alignment horizontal="right"/>
    </xf>
    <xf numFmtId="37" fontId="0" fillId="0" borderId="20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Continuous"/>
    </xf>
    <xf numFmtId="189" fontId="0" fillId="0" borderId="0" xfId="0" applyNumberFormat="1" applyFont="1" applyFill="1" applyBorder="1" applyAlignment="1">
      <alignment horizontal="center"/>
    </xf>
    <xf numFmtId="189" fontId="0" fillId="0" borderId="0" xfId="0" applyNumberFormat="1" applyFont="1" applyFill="1"/>
    <xf numFmtId="49" fontId="0" fillId="0" borderId="0" xfId="0" applyNumberFormat="1" applyFont="1" applyFill="1" applyAlignment="1">
      <alignment horizontal="center"/>
    </xf>
    <xf numFmtId="14" fontId="0" fillId="0" borderId="5" xfId="0" applyNumberFormat="1" applyFont="1" applyFill="1" applyBorder="1" applyAlignment="1">
      <alignment horizontal="center"/>
    </xf>
    <xf numFmtId="189" fontId="0" fillId="0" borderId="5" xfId="0" applyNumberFormat="1" applyFont="1" applyFill="1" applyBorder="1"/>
    <xf numFmtId="180" fontId="0" fillId="0" borderId="2" xfId="0" applyNumberFormat="1" applyFont="1" applyFill="1" applyBorder="1"/>
    <xf numFmtId="49" fontId="0" fillId="0" borderId="2" xfId="0" applyNumberFormat="1" applyFont="1" applyFill="1" applyBorder="1" applyAlignment="1" applyProtection="1">
      <alignment horizontal="center"/>
    </xf>
    <xf numFmtId="37" fontId="13" fillId="0" borderId="2" xfId="0" applyFont="1" applyFill="1" applyBorder="1" applyAlignment="1" applyProtection="1">
      <alignment horizontal="left"/>
    </xf>
    <xf numFmtId="37" fontId="13" fillId="0" borderId="5" xfId="0" applyFont="1" applyFill="1" applyBorder="1"/>
    <xf numFmtId="37" fontId="13" fillId="0" borderId="5" xfId="0" applyFont="1" applyFill="1" applyBorder="1" applyAlignment="1" applyProtection="1">
      <alignment horizontal="center"/>
    </xf>
    <xf numFmtId="37" fontId="14" fillId="0" borderId="5" xfId="0" applyFont="1" applyFill="1" applyBorder="1"/>
    <xf numFmtId="37" fontId="13" fillId="0" borderId="2" xfId="0" applyFont="1" applyFill="1" applyBorder="1" applyAlignment="1" applyProtection="1">
      <alignment horizontal="center"/>
    </xf>
    <xf numFmtId="180" fontId="13" fillId="0" borderId="2" xfId="0" applyNumberFormat="1" applyFont="1" applyFill="1" applyBorder="1" applyAlignment="1" applyProtection="1">
      <alignment horizontal="center"/>
    </xf>
    <xf numFmtId="180" fontId="13" fillId="0" borderId="2" xfId="0" applyNumberFormat="1" applyFont="1" applyFill="1" applyBorder="1"/>
    <xf numFmtId="14" fontId="13" fillId="0" borderId="5" xfId="0" applyNumberFormat="1" applyFont="1" applyFill="1" applyBorder="1" applyAlignment="1">
      <alignment horizontal="center"/>
    </xf>
    <xf numFmtId="189" fontId="13" fillId="0" borderId="5" xfId="0" applyNumberFormat="1" applyFont="1" applyFill="1" applyBorder="1"/>
    <xf numFmtId="49" fontId="13" fillId="0" borderId="2" xfId="0" applyNumberFormat="1" applyFont="1" applyFill="1" applyBorder="1" applyAlignment="1" applyProtection="1">
      <alignment horizontal="center"/>
    </xf>
    <xf numFmtId="37" fontId="4" fillId="0" borderId="0" xfId="0" applyFont="1" applyFill="1" applyAlignment="1" applyProtection="1">
      <alignment horizontal="right"/>
    </xf>
    <xf numFmtId="37" fontId="47" fillId="0" borderId="0" xfId="0" applyNumberFormat="1" applyFont="1" applyFill="1" applyProtection="1"/>
    <xf numFmtId="10" fontId="15" fillId="0" borderId="6" xfId="13" applyNumberFormat="1" applyFont="1" applyFill="1" applyBorder="1"/>
    <xf numFmtId="37" fontId="0" fillId="0" borderId="2" xfId="0" applyFont="1" applyFill="1" applyBorder="1" applyAlignment="1" applyProtection="1">
      <alignment horizontal="right"/>
    </xf>
    <xf numFmtId="37" fontId="0" fillId="0" borderId="0" xfId="0" applyFont="1" applyFill="1" applyBorder="1" applyAlignment="1" applyProtection="1">
      <alignment horizontal="right"/>
    </xf>
    <xf numFmtId="10" fontId="69" fillId="0" borderId="0" xfId="13" applyNumberFormat="1" applyFont="1" applyFill="1"/>
    <xf numFmtId="5" fontId="0" fillId="0" borderId="0" xfId="0" applyNumberFormat="1" applyFont="1" applyFill="1" applyProtection="1"/>
    <xf numFmtId="7" fontId="0" fillId="0" borderId="10" xfId="0" applyNumberFormat="1" applyFont="1" applyFill="1" applyBorder="1" applyProtection="1"/>
    <xf numFmtId="37" fontId="0" fillId="0" borderId="10" xfId="0" applyFont="1" applyFill="1" applyBorder="1"/>
    <xf numFmtId="37" fontId="6" fillId="0" borderId="0" xfId="0" applyFont="1" applyFill="1"/>
    <xf numFmtId="49" fontId="5" fillId="0" borderId="0" xfId="0" applyNumberFormat="1" applyFont="1" applyFill="1" applyBorder="1" applyAlignment="1">
      <alignment horizontal="centerContinuous"/>
    </xf>
    <xf numFmtId="49" fontId="0" fillId="0" borderId="0" xfId="0" applyNumberFormat="1" applyFont="1" applyFill="1" applyBorder="1" applyAlignment="1">
      <alignment horizontal="centerContinuous"/>
    </xf>
    <xf numFmtId="0" fontId="5" fillId="0" borderId="11" xfId="0" applyNumberFormat="1" applyFont="1" applyFill="1" applyBorder="1" applyAlignment="1">
      <alignment horizontal="centerContinuous"/>
    </xf>
    <xf numFmtId="0" fontId="0" fillId="0" borderId="12" xfId="0" applyNumberFormat="1" applyFont="1" applyFill="1" applyBorder="1" applyAlignment="1">
      <alignment horizontal="centerContinuous"/>
    </xf>
    <xf numFmtId="0" fontId="0" fillId="0" borderId="13" xfId="0" applyNumberFormat="1" applyFont="1" applyFill="1" applyBorder="1" applyAlignment="1">
      <alignment horizontal="centerContinuous"/>
    </xf>
    <xf numFmtId="37" fontId="0" fillId="0" borderId="14" xfId="0" applyFont="1" applyFill="1" applyBorder="1"/>
    <xf numFmtId="37" fontId="0" fillId="0" borderId="15" xfId="0" applyFont="1" applyFill="1" applyBorder="1" applyAlignment="1" applyProtection="1">
      <alignment horizontal="center"/>
    </xf>
    <xf numFmtId="37" fontId="0" fillId="0" borderId="16" xfId="0" applyFont="1" applyFill="1" applyBorder="1" applyAlignment="1" applyProtection="1">
      <alignment horizontal="center"/>
    </xf>
    <xf numFmtId="37" fontId="0" fillId="0" borderId="17" xfId="0" applyFont="1" applyFill="1" applyBorder="1"/>
    <xf numFmtId="37" fontId="0" fillId="0" borderId="17" xfId="0" applyFont="1" applyFill="1" applyBorder="1" applyAlignment="1" applyProtection="1">
      <alignment horizontal="center"/>
    </xf>
    <xf numFmtId="37" fontId="0" fillId="0" borderId="18" xfId="0" applyFont="1" applyFill="1" applyBorder="1" applyAlignment="1" applyProtection="1">
      <alignment horizontal="center"/>
    </xf>
    <xf numFmtId="10" fontId="0" fillId="0" borderId="0" xfId="13" applyNumberFormat="1" applyFont="1" applyFill="1" applyProtection="1"/>
    <xf numFmtId="10" fontId="0" fillId="0" borderId="5" xfId="0" applyNumberFormat="1" applyFont="1" applyFill="1" applyBorder="1" applyProtection="1"/>
    <xf numFmtId="10" fontId="0" fillId="0" borderId="5" xfId="13" applyNumberFormat="1" applyFont="1" applyFill="1" applyBorder="1" applyProtection="1"/>
    <xf numFmtId="10" fontId="0" fillId="0" borderId="0" xfId="0" applyNumberFormat="1" applyFont="1" applyFill="1"/>
    <xf numFmtId="10" fontId="0" fillId="0" borderId="2" xfId="0" applyNumberFormat="1" applyFont="1" applyFill="1" applyBorder="1" applyProtection="1"/>
    <xf numFmtId="10" fontId="0" fillId="0" borderId="2" xfId="13" applyNumberFormat="1" applyFont="1" applyFill="1" applyBorder="1" applyProtection="1"/>
    <xf numFmtId="37" fontId="0" fillId="0" borderId="6" xfId="0" applyNumberFormat="1" applyFont="1" applyFill="1" applyBorder="1" applyProtection="1"/>
    <xf numFmtId="170" fontId="0" fillId="0" borderId="0" xfId="13" applyNumberFormat="1" applyFont="1" applyFill="1" applyProtection="1"/>
    <xf numFmtId="10" fontId="13" fillId="0" borderId="0" xfId="0" applyNumberFormat="1" applyFont="1" applyFill="1" applyProtection="1"/>
    <xf numFmtId="9" fontId="0" fillId="0" borderId="0" xfId="0" applyNumberFormat="1" applyFont="1" applyFill="1"/>
    <xf numFmtId="182" fontId="0" fillId="0" borderId="10" xfId="2" applyNumberFormat="1" applyFont="1" applyFill="1" applyBorder="1"/>
    <xf numFmtId="10" fontId="0" fillId="0" borderId="6" xfId="13" applyNumberFormat="1" applyFont="1" applyFill="1" applyBorder="1"/>
    <xf numFmtId="37" fontId="50" fillId="0" borderId="0" xfId="0" applyFont="1" applyFill="1"/>
    <xf numFmtId="167" fontId="4" fillId="0" borderId="0" xfId="0" applyNumberFormat="1" applyFont="1" applyFill="1" applyProtection="1"/>
    <xf numFmtId="168" fontId="4" fillId="0" borderId="0" xfId="0" applyNumberFormat="1" applyFont="1" applyFill="1" applyProtection="1"/>
    <xf numFmtId="37" fontId="4" fillId="0" borderId="5" xfId="0" applyFont="1" applyFill="1" applyBorder="1" applyAlignment="1" applyProtection="1">
      <alignment horizontal="right"/>
    </xf>
    <xf numFmtId="37" fontId="0" fillId="0" borderId="7" xfId="0" applyNumberFormat="1" applyFont="1" applyFill="1" applyBorder="1" applyProtection="1"/>
    <xf numFmtId="37" fontId="0" fillId="0" borderId="2" xfId="0" applyFont="1" applyFill="1" applyBorder="1" applyProtection="1"/>
    <xf numFmtId="37" fontId="0" fillId="0" borderId="5" xfId="0" applyNumberFormat="1" applyFont="1" applyFill="1" applyBorder="1" applyProtection="1">
      <protection locked="0"/>
    </xf>
    <xf numFmtId="37" fontId="0" fillId="0" borderId="2" xfId="0" applyNumberFormat="1" applyFont="1" applyFill="1" applyBorder="1" applyAlignment="1" applyProtection="1">
      <alignment horizontal="right"/>
    </xf>
    <xf numFmtId="9" fontId="0" fillId="0" borderId="0" xfId="0" applyNumberFormat="1" applyFont="1" applyFill="1" applyAlignment="1" applyProtection="1">
      <alignment horizontal="right"/>
    </xf>
    <xf numFmtId="175" fontId="0" fillId="0" borderId="0" xfId="0" applyNumberFormat="1" applyFont="1" applyFill="1" applyProtection="1"/>
    <xf numFmtId="37" fontId="4" fillId="0" borderId="0" xfId="0" applyFont="1" applyFill="1" applyAlignment="1">
      <alignment horizontal="left" indent="1"/>
    </xf>
    <xf numFmtId="165" fontId="4" fillId="0" borderId="2" xfId="0" applyNumberFormat="1" applyFont="1" applyFill="1" applyBorder="1" applyProtection="1"/>
    <xf numFmtId="37" fontId="4" fillId="0" borderId="0" xfId="0" quotePrefix="1" applyFont="1" applyFill="1" applyAlignment="1">
      <alignment horizontal="center"/>
    </xf>
    <xf numFmtId="165" fontId="4" fillId="0" borderId="0" xfId="0" applyNumberFormat="1" applyFont="1" applyFill="1" applyProtection="1"/>
    <xf numFmtId="37" fontId="0" fillId="0" borderId="0" xfId="0" applyFill="1" applyBorder="1" applyAlignment="1">
      <alignment horizontal="center"/>
    </xf>
    <xf numFmtId="37" fontId="4" fillId="0" borderId="0" xfId="0" applyFont="1" applyFill="1" applyBorder="1" applyAlignment="1" applyProtection="1">
      <alignment horizontal="left"/>
    </xf>
    <xf numFmtId="37" fontId="4" fillId="0" borderId="0" xfId="0" applyFont="1" applyFill="1" applyBorder="1" applyAlignment="1" applyProtection="1">
      <alignment horizontal="right"/>
    </xf>
    <xf numFmtId="37" fontId="4" fillId="0" borderId="23" xfId="0" applyFont="1" applyFill="1" applyBorder="1" applyAlignment="1" applyProtection="1">
      <alignment horizontal="left"/>
    </xf>
    <xf numFmtId="37" fontId="4" fillId="0" borderId="7" xfId="0" applyFont="1" applyFill="1" applyBorder="1" applyAlignment="1" applyProtection="1">
      <alignment horizontal="center"/>
    </xf>
    <xf numFmtId="37" fontId="4" fillId="0" borderId="9" xfId="0" applyFont="1" applyFill="1" applyBorder="1" applyAlignment="1" applyProtection="1">
      <alignment horizontal="left"/>
    </xf>
    <xf numFmtId="37" fontId="0" fillId="0" borderId="9" xfId="0" applyFill="1" applyBorder="1"/>
    <xf numFmtId="37" fontId="4" fillId="0" borderId="8" xfId="0" applyFont="1" applyFill="1" applyBorder="1" applyAlignment="1" applyProtection="1">
      <alignment horizontal="left"/>
    </xf>
    <xf numFmtId="37" fontId="4" fillId="0" borderId="1" xfId="0" applyFont="1" applyFill="1" applyBorder="1" applyAlignment="1" applyProtection="1">
      <alignment horizontal="left"/>
    </xf>
    <xf numFmtId="37" fontId="4" fillId="0" borderId="8" xfId="0" applyFont="1" applyFill="1" applyBorder="1"/>
    <xf numFmtId="37" fontId="15" fillId="0" borderId="8" xfId="0" applyFont="1" applyFill="1" applyBorder="1" applyAlignment="1" applyProtection="1">
      <alignment horizontal="center"/>
    </xf>
    <xf numFmtId="37" fontId="4" fillId="0" borderId="21" xfId="0" applyFont="1" applyFill="1" applyBorder="1" applyAlignment="1" applyProtection="1">
      <alignment horizontal="center"/>
    </xf>
    <xf numFmtId="37" fontId="4" fillId="0" borderId="25" xfId="0" applyFont="1" applyFill="1" applyBorder="1" applyAlignment="1" applyProtection="1">
      <alignment horizontal="center"/>
    </xf>
    <xf numFmtId="0" fontId="0" fillId="0" borderId="0" xfId="0" applyNumberFormat="1" applyFill="1"/>
    <xf numFmtId="44" fontId="4" fillId="0" borderId="0" xfId="2" applyFont="1" applyFill="1"/>
    <xf numFmtId="43" fontId="4" fillId="0" borderId="0" xfId="1" applyFont="1" applyFill="1" applyAlignment="1" applyProtection="1">
      <alignment horizontal="left"/>
    </xf>
    <xf numFmtId="182" fontId="4" fillId="0" borderId="0" xfId="13" applyNumberFormat="1" applyFont="1" applyFill="1" applyAlignment="1">
      <alignment horizontal="center"/>
    </xf>
    <xf numFmtId="185" fontId="4" fillId="0" borderId="5" xfId="1" applyNumberFormat="1" applyFont="1" applyFill="1" applyBorder="1"/>
    <xf numFmtId="43" fontId="15" fillId="0" borderId="0" xfId="1" applyFont="1" applyFill="1" applyAlignment="1" applyProtection="1">
      <alignment horizontal="left"/>
    </xf>
    <xf numFmtId="0" fontId="4" fillId="0" borderId="0" xfId="1" applyNumberFormat="1" applyFont="1" applyFill="1" applyAlignment="1" applyProtection="1">
      <alignment horizontal="right"/>
    </xf>
    <xf numFmtId="185" fontId="0" fillId="0" borderId="5" xfId="1" applyNumberFormat="1" applyFont="1" applyFill="1" applyBorder="1"/>
    <xf numFmtId="0" fontId="9" fillId="0" borderId="0" xfId="1" applyNumberFormat="1" applyFont="1" applyFill="1" applyAlignment="1" applyProtection="1">
      <alignment horizontal="right"/>
    </xf>
    <xf numFmtId="43" fontId="9" fillId="0" borderId="0" xfId="1" applyFont="1" applyFill="1" applyAlignment="1" applyProtection="1">
      <alignment horizontal="left"/>
    </xf>
    <xf numFmtId="37" fontId="0" fillId="0" borderId="6" xfId="0" applyFill="1" applyBorder="1"/>
    <xf numFmtId="37" fontId="4" fillId="0" borderId="9" xfId="0" applyFont="1" applyFill="1" applyBorder="1"/>
    <xf numFmtId="37" fontId="4" fillId="0" borderId="1" xfId="0" applyFont="1" applyFill="1" applyBorder="1"/>
    <xf numFmtId="182" fontId="0" fillId="0" borderId="0" xfId="13" applyNumberFormat="1" applyFont="1" applyFill="1" applyAlignment="1">
      <alignment horizontal="center"/>
    </xf>
    <xf numFmtId="185" fontId="0" fillId="0" borderId="0" xfId="1" applyNumberFormat="1" applyFont="1" applyFill="1" applyBorder="1"/>
    <xf numFmtId="37" fontId="0" fillId="0" borderId="0" xfId="0" applyFill="1" applyAlignment="1">
      <alignment horizontal="left"/>
    </xf>
    <xf numFmtId="37" fontId="15" fillId="0" borderId="8" xfId="0" applyFont="1" applyFill="1" applyBorder="1" applyAlignment="1">
      <alignment horizontal="center"/>
    </xf>
    <xf numFmtId="37" fontId="15" fillId="0" borderId="21" xfId="0" applyFont="1" applyFill="1" applyBorder="1" applyAlignment="1" applyProtection="1">
      <alignment horizontal="center"/>
    </xf>
    <xf numFmtId="185" fontId="4" fillId="0" borderId="7" xfId="1" applyNumberFormat="1" applyFont="1" applyFill="1" applyBorder="1"/>
    <xf numFmtId="0" fontId="4" fillId="0" borderId="0" xfId="0" applyNumberFormat="1" applyFont="1" applyFill="1" applyAlignment="1" applyProtection="1">
      <alignment horizontal="left"/>
    </xf>
    <xf numFmtId="0" fontId="0" fillId="0" borderId="0" xfId="0" applyNumberFormat="1" applyFill="1" applyAlignment="1">
      <alignment horizontal="center"/>
    </xf>
    <xf numFmtId="187" fontId="4" fillId="0" borderId="0" xfId="1" applyNumberFormat="1" applyFont="1" applyFill="1" applyBorder="1"/>
    <xf numFmtId="185" fontId="0" fillId="0" borderId="7" xfId="1" applyNumberFormat="1" applyFont="1" applyFill="1" applyBorder="1"/>
    <xf numFmtId="37" fontId="0" fillId="0" borderId="19" xfId="0" applyFill="1" applyBorder="1"/>
    <xf numFmtId="37" fontId="4" fillId="0" borderId="2" xfId="0" applyFont="1" applyFill="1" applyBorder="1" applyAlignment="1">
      <alignment horizontal="center"/>
    </xf>
    <xf numFmtId="14" fontId="4" fillId="0" borderId="5" xfId="0" applyNumberFormat="1" applyFont="1" applyFill="1" applyBorder="1" applyAlignment="1" applyProtection="1">
      <alignment horizontal="center"/>
    </xf>
    <xf numFmtId="10" fontId="0" fillId="0" borderId="0" xfId="13" quotePrefix="1" applyNumberFormat="1" applyFont="1" applyFill="1" applyAlignment="1">
      <alignment horizontal="center"/>
    </xf>
    <xf numFmtId="182" fontId="4" fillId="0" borderId="0" xfId="2" applyNumberFormat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37" fontId="13" fillId="0" borderId="0" xfId="0" applyFont="1" applyFill="1" applyAlignment="1" applyProtection="1">
      <alignment horizontal="left" indent="2"/>
    </xf>
    <xf numFmtId="182" fontId="0" fillId="0" borderId="0" xfId="2" applyNumberFormat="1" applyFont="1" applyFill="1" applyAlignment="1">
      <alignment horizontal="right"/>
    </xf>
    <xf numFmtId="182" fontId="4" fillId="0" borderId="0" xfId="2" applyNumberFormat="1" applyFont="1" applyFill="1" applyBorder="1" applyAlignment="1">
      <alignment horizontal="right"/>
    </xf>
    <xf numFmtId="180" fontId="4" fillId="0" borderId="0" xfId="0" quotePrefix="1" applyNumberFormat="1" applyFont="1" applyFill="1" applyAlignment="1" applyProtection="1">
      <alignment horizontal="center"/>
    </xf>
    <xf numFmtId="190" fontId="4" fillId="0" borderId="0" xfId="0" applyNumberFormat="1" applyFont="1" applyFill="1"/>
    <xf numFmtId="10" fontId="4" fillId="0" borderId="0" xfId="0" applyNumberFormat="1" applyFont="1" applyFill="1"/>
    <xf numFmtId="167" fontId="13" fillId="0" borderId="0" xfId="0" applyNumberFormat="1" applyFont="1" applyAlignment="1" applyProtection="1">
      <alignment horizontal="centerContinuous"/>
    </xf>
    <xf numFmtId="168" fontId="13" fillId="0" borderId="0" xfId="0" applyNumberFormat="1" applyFont="1" applyAlignment="1" applyProtection="1">
      <alignment horizontal="centerContinuous"/>
    </xf>
    <xf numFmtId="37" fontId="13" fillId="0" borderId="0" xfId="0" applyFont="1" applyBorder="1" applyAlignment="1">
      <alignment horizontal="right"/>
    </xf>
    <xf numFmtId="37" fontId="13" fillId="0" borderId="2" xfId="0" applyFont="1" applyFill="1" applyBorder="1" applyAlignment="1">
      <alignment horizontal="right"/>
    </xf>
    <xf numFmtId="37" fontId="13" fillId="0" borderId="3" xfId="0" applyFont="1" applyBorder="1" applyAlignment="1" applyProtection="1">
      <alignment horizontal="center"/>
    </xf>
    <xf numFmtId="37" fontId="13" fillId="0" borderId="3" xfId="0" applyFont="1" applyBorder="1"/>
    <xf numFmtId="37" fontId="13" fillId="0" borderId="3" xfId="0" applyFont="1" applyBorder="1" applyProtection="1">
      <protection locked="0"/>
    </xf>
    <xf numFmtId="37" fontId="13" fillId="0" borderId="3" xfId="0" applyFont="1" applyFill="1" applyBorder="1" applyAlignment="1" applyProtection="1">
      <alignment horizontal="center"/>
    </xf>
    <xf numFmtId="37" fontId="13" fillId="0" borderId="3" xfId="0" applyFont="1" applyFill="1" applyBorder="1" applyProtection="1">
      <protection locked="0"/>
    </xf>
    <xf numFmtId="37" fontId="13" fillId="0" borderId="2" xfId="0" applyFont="1" applyBorder="1" applyAlignment="1" applyProtection="1">
      <alignment horizontal="center"/>
    </xf>
    <xf numFmtId="37" fontId="13" fillId="0" borderId="3" xfId="0" applyFont="1" applyFill="1" applyBorder="1"/>
    <xf numFmtId="0" fontId="13" fillId="0" borderId="0" xfId="0" applyNumberFormat="1" applyFont="1" applyAlignment="1" applyProtection="1">
      <alignment horizontal="left"/>
      <protection locked="0"/>
    </xf>
    <xf numFmtId="37" fontId="13" fillId="0" borderId="0" xfId="0" applyNumberFormat="1" applyFont="1" applyFill="1" applyProtection="1"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37" fontId="13" fillId="0" borderId="0" xfId="0" applyFont="1" applyFill="1" applyAlignment="1" applyProtection="1">
      <alignment horizontal="left"/>
      <protection locked="0"/>
    </xf>
    <xf numFmtId="0" fontId="13" fillId="0" borderId="0" xfId="0" quotePrefix="1" applyNumberFormat="1" applyFont="1" applyAlignment="1" applyProtection="1">
      <alignment horizontal="left"/>
      <protection locked="0"/>
    </xf>
    <xf numFmtId="37" fontId="13" fillId="0" borderId="0" xfId="0" applyFont="1" applyFill="1" applyProtection="1">
      <protection locked="0"/>
    </xf>
    <xf numFmtId="172" fontId="13" fillId="0" borderId="0" xfId="0" applyNumberFormat="1" applyFont="1" applyFill="1" applyProtection="1"/>
    <xf numFmtId="172" fontId="13" fillId="0" borderId="0" xfId="0" applyNumberFormat="1" applyFont="1" applyFill="1" applyProtection="1">
      <protection locked="0"/>
    </xf>
    <xf numFmtId="37" fontId="13" fillId="0" borderId="2" xfId="0" applyNumberFormat="1" applyFont="1" applyFill="1" applyBorder="1" applyProtection="1">
      <protection locked="0"/>
    </xf>
    <xf numFmtId="37" fontId="16" fillId="0" borderId="0" xfId="0" applyNumberFormat="1" applyFont="1" applyFill="1" applyProtection="1">
      <protection locked="0"/>
    </xf>
    <xf numFmtId="10" fontId="13" fillId="0" borderId="0" xfId="0" applyNumberFormat="1" applyFont="1" applyFill="1" applyProtection="1">
      <protection locked="0"/>
    </xf>
    <xf numFmtId="37" fontId="16" fillId="0" borderId="0" xfId="0" applyFont="1" applyFill="1"/>
    <xf numFmtId="37" fontId="13" fillId="0" borderId="0" xfId="0" applyNumberFormat="1" applyFont="1" applyProtection="1">
      <protection locked="0"/>
    </xf>
    <xf numFmtId="37" fontId="16" fillId="0" borderId="0" xfId="0" applyNumberFormat="1" applyFont="1" applyProtection="1"/>
    <xf numFmtId="172" fontId="13" fillId="0" borderId="0" xfId="0" applyNumberFormat="1" applyFont="1" applyProtection="1">
      <protection locked="0"/>
    </xf>
    <xf numFmtId="37" fontId="5" fillId="0" borderId="0" xfId="0" applyFont="1" applyFill="1" applyAlignment="1" applyProtection="1">
      <alignment horizontal="center"/>
    </xf>
    <xf numFmtId="37" fontId="15" fillId="0" borderId="5" xfId="0" applyFont="1" applyFill="1" applyBorder="1" applyAlignment="1" applyProtection="1">
      <alignment horizontal="left"/>
    </xf>
    <xf numFmtId="37" fontId="7" fillId="0" borderId="0" xfId="0" applyFont="1" applyFill="1" applyAlignment="1" applyProtection="1">
      <alignment horizontal="center"/>
    </xf>
    <xf numFmtId="37" fontId="0" fillId="0" borderId="0" xfId="0" applyFont="1" applyFill="1" applyAlignment="1" applyProtection="1">
      <alignment horizontal="left" indent="1"/>
    </xf>
    <xf numFmtId="9" fontId="0" fillId="0" borderId="0" xfId="13" quotePrefix="1" applyFont="1" applyFill="1" applyAlignment="1">
      <alignment horizontal="center"/>
    </xf>
    <xf numFmtId="0" fontId="0" fillId="0" borderId="0" xfId="0" applyNumberFormat="1" applyFont="1" applyFill="1" applyAlignment="1" applyProtection="1">
      <alignment horizontal="center"/>
    </xf>
    <xf numFmtId="37" fontId="13" fillId="0" borderId="0" xfId="0" applyFont="1" applyFill="1" applyBorder="1" applyAlignment="1" applyProtection="1">
      <alignment horizontal="left" indent="2"/>
    </xf>
    <xf numFmtId="10" fontId="4" fillId="0" borderId="0" xfId="13" applyNumberFormat="1" applyFont="1" applyFill="1" applyAlignment="1" applyProtection="1">
      <alignment horizontal="center"/>
    </xf>
    <xf numFmtId="37" fontId="0" fillId="0" borderId="0" xfId="0" applyFont="1" applyFill="1" applyAlignment="1" applyProtection="1">
      <alignment horizontal="left" indent="2"/>
    </xf>
    <xf numFmtId="37" fontId="0" fillId="0" borderId="0" xfId="0" applyFill="1" applyAlignment="1" applyProtection="1">
      <alignment horizontal="center"/>
    </xf>
    <xf numFmtId="37" fontId="5" fillId="0" borderId="0" xfId="0" applyFont="1" applyFill="1" applyBorder="1" applyAlignment="1" applyProtection="1">
      <alignment horizontal="center"/>
    </xf>
    <xf numFmtId="37" fontId="15" fillId="0" borderId="0" xfId="0" applyFont="1" applyFill="1" applyAlignment="1" applyProtection="1">
      <alignment horizontal="left" indent="1"/>
    </xf>
    <xf numFmtId="37" fontId="13" fillId="0" borderId="0" xfId="0" applyFont="1" applyFill="1" applyAlignment="1" applyProtection="1">
      <alignment horizontal="left" indent="3"/>
    </xf>
    <xf numFmtId="37" fontId="13" fillId="0" borderId="0" xfId="0" applyFont="1" applyFill="1" applyAlignment="1">
      <alignment horizontal="left" indent="1"/>
    </xf>
    <xf numFmtId="37" fontId="10" fillId="0" borderId="0" xfId="0" applyFont="1" applyFill="1" applyAlignment="1" applyProtection="1">
      <alignment horizontal="left"/>
    </xf>
    <xf numFmtId="37" fontId="45" fillId="0" borderId="0" xfId="0" applyFont="1" applyFill="1" applyAlignment="1" applyProtection="1">
      <alignment horizontal="left"/>
    </xf>
    <xf numFmtId="182" fontId="0" fillId="0" borderId="0" xfId="2" applyNumberFormat="1" applyFont="1" applyFill="1" applyBorder="1" applyAlignment="1" applyProtection="1">
      <alignment horizontal="center"/>
    </xf>
    <xf numFmtId="185" fontId="0" fillId="0" borderId="5" xfId="1" applyNumberFormat="1" applyFont="1" applyFill="1" applyBorder="1" applyAlignment="1" applyProtection="1">
      <alignment horizontal="center"/>
    </xf>
    <xf numFmtId="182" fontId="0" fillId="0" borderId="7" xfId="2" applyNumberFormat="1" applyFont="1" applyFill="1" applyBorder="1" applyAlignment="1" applyProtection="1">
      <alignment horizontal="center"/>
    </xf>
    <xf numFmtId="185" fontId="0" fillId="0" borderId="0" xfId="1" applyNumberFormat="1" applyFont="1" applyFill="1" applyBorder="1" applyAlignment="1">
      <alignment horizontal="center"/>
    </xf>
    <xf numFmtId="10" fontId="4" fillId="0" borderId="0" xfId="13" applyNumberFormat="1" applyFont="1" applyFill="1" applyBorder="1" applyAlignment="1" applyProtection="1">
      <alignment horizontal="center"/>
    </xf>
    <xf numFmtId="182" fontId="4" fillId="0" borderId="0" xfId="2" applyNumberFormat="1" applyFont="1" applyFill="1" applyBorder="1" applyAlignment="1" applyProtection="1">
      <alignment horizontal="center"/>
    </xf>
    <xf numFmtId="185" fontId="4" fillId="0" borderId="5" xfId="1" applyNumberFormat="1" applyFont="1" applyFill="1" applyBorder="1" applyAlignment="1" applyProtection="1">
      <alignment horizontal="center"/>
    </xf>
    <xf numFmtId="10" fontId="0" fillId="0" borderId="0" xfId="13" applyNumberFormat="1" applyFont="1" applyFill="1" applyBorder="1" applyAlignment="1" applyProtection="1">
      <alignment horizontal="center"/>
    </xf>
    <xf numFmtId="10" fontId="7" fillId="0" borderId="0" xfId="0" applyNumberFormat="1" applyFont="1" applyFill="1" applyBorder="1" applyProtection="1"/>
    <xf numFmtId="10" fontId="0" fillId="0" borderId="0" xfId="0" applyNumberFormat="1" applyFont="1" applyFill="1" applyBorder="1"/>
    <xf numFmtId="185" fontId="0" fillId="0" borderId="5" xfId="1" applyNumberFormat="1" applyFont="1" applyFill="1" applyBorder="1" applyAlignment="1">
      <alignment horizontal="center"/>
    </xf>
    <xf numFmtId="10" fontId="0" fillId="0" borderId="0" xfId="0" applyNumberFormat="1" applyFill="1"/>
    <xf numFmtId="43" fontId="0" fillId="0" borderId="5" xfId="1" applyFont="1" applyFill="1" applyBorder="1"/>
    <xf numFmtId="37" fontId="0" fillId="0" borderId="4" xfId="0" applyFont="1" applyFill="1" applyBorder="1"/>
    <xf numFmtId="37" fontId="5" fillId="0" borderId="4" xfId="0" applyFont="1" applyFill="1" applyBorder="1" applyAlignment="1" applyProtection="1">
      <alignment horizontal="center"/>
    </xf>
    <xf numFmtId="37" fontId="5" fillId="0" borderId="2" xfId="0" applyFont="1" applyFill="1" applyBorder="1" applyAlignment="1" applyProtection="1">
      <alignment horizontal="center"/>
    </xf>
    <xf numFmtId="37" fontId="49" fillId="0" borderId="0" xfId="0" applyFont="1" applyFill="1"/>
    <xf numFmtId="37" fontId="13" fillId="0" borderId="0" xfId="0" applyFont="1" applyFill="1" applyAlignment="1"/>
    <xf numFmtId="37" fontId="15" fillId="0" borderId="0" xfId="0" applyFont="1" applyFill="1" applyAlignment="1"/>
    <xf numFmtId="185" fontId="4" fillId="0" borderId="5" xfId="1" applyNumberFormat="1" applyFont="1" applyFill="1" applyBorder="1" applyAlignment="1">
      <alignment horizontal="center"/>
    </xf>
    <xf numFmtId="37" fontId="13" fillId="0" borderId="5" xfId="0" applyFont="1" applyBorder="1" applyAlignment="1" applyProtection="1">
      <alignment horizontal="right"/>
    </xf>
    <xf numFmtId="37" fontId="13" fillId="0" borderId="5" xfId="0" applyFont="1" applyBorder="1" applyAlignment="1">
      <alignment horizontal="center"/>
    </xf>
    <xf numFmtId="37" fontId="70" fillId="0" borderId="0" xfId="0" applyFont="1"/>
    <xf numFmtId="37" fontId="14" fillId="0" borderId="0" xfId="0" applyFont="1"/>
    <xf numFmtId="3" fontId="13" fillId="0" borderId="0" xfId="0" applyNumberFormat="1" applyFont="1"/>
    <xf numFmtId="10" fontId="13" fillId="0" borderId="0" xfId="0" applyNumberFormat="1" applyFont="1"/>
    <xf numFmtId="3" fontId="13" fillId="0" borderId="0" xfId="0" applyNumberFormat="1" applyFont="1" applyAlignment="1">
      <alignment horizontal="right"/>
    </xf>
    <xf numFmtId="3" fontId="13" fillId="0" borderId="7" xfId="0" applyNumberFormat="1" applyFont="1" applyBorder="1"/>
    <xf numFmtId="10" fontId="13" fillId="0" borderId="0" xfId="13" applyNumberFormat="1" applyFont="1" applyAlignment="1">
      <alignment horizontal="right"/>
    </xf>
    <xf numFmtId="3" fontId="13" fillId="0" borderId="10" xfId="0" applyNumberFormat="1" applyFont="1" applyBorder="1"/>
    <xf numFmtId="37" fontId="37" fillId="0" borderId="0" xfId="0" applyFont="1"/>
    <xf numFmtId="0" fontId="0" fillId="0" borderId="0" xfId="0" applyNumberFormat="1"/>
    <xf numFmtId="37" fontId="4" fillId="0" borderId="0" xfId="0" applyFont="1" applyAlignment="1" applyProtection="1">
      <alignment horizontal="center"/>
    </xf>
    <xf numFmtId="37" fontId="15" fillId="0" borderId="19" xfId="0" applyFont="1" applyFill="1" applyBorder="1"/>
    <xf numFmtId="37" fontId="15" fillId="0" borderId="10" xfId="0" applyFont="1" applyFill="1" applyBorder="1"/>
    <xf numFmtId="10" fontId="7" fillId="0" borderId="0" xfId="13" applyNumberFormat="1" applyFont="1" applyFill="1" applyProtection="1"/>
    <xf numFmtId="186" fontId="0" fillId="0" borderId="0" xfId="0" quotePrefix="1" applyNumberFormat="1" applyFill="1"/>
    <xf numFmtId="37" fontId="4" fillId="0" borderId="0" xfId="0" applyFont="1" applyFill="1" applyAlignment="1" applyProtection="1">
      <alignment horizontal="center"/>
    </xf>
    <xf numFmtId="37" fontId="4" fillId="0" borderId="0" xfId="0" applyFont="1" applyFill="1" applyAlignment="1" applyProtection="1">
      <alignment horizontal="center"/>
    </xf>
    <xf numFmtId="37" fontId="4" fillId="0" borderId="0" xfId="0" applyFont="1" applyFill="1" applyAlignment="1">
      <alignment horizontal="center"/>
    </xf>
    <xf numFmtId="37" fontId="4" fillId="0" borderId="0" xfId="0" applyFont="1" applyFill="1" applyAlignment="1">
      <alignment horizontal="center"/>
    </xf>
    <xf numFmtId="37" fontId="9" fillId="7" borderId="0" xfId="0" applyFont="1" applyFill="1" applyAlignment="1" applyProtection="1">
      <alignment horizontal="center"/>
      <protection locked="0"/>
    </xf>
    <xf numFmtId="17" fontId="9" fillId="7" borderId="22" xfId="0" applyNumberFormat="1" applyFont="1" applyFill="1" applyBorder="1" applyAlignment="1">
      <alignment horizontal="center"/>
    </xf>
    <xf numFmtId="37" fontId="9" fillId="7" borderId="0" xfId="0" applyFont="1" applyFill="1" applyAlignment="1" applyProtection="1">
      <alignment horizontal="center"/>
    </xf>
    <xf numFmtId="37" fontId="13" fillId="7" borderId="0" xfId="0" applyFont="1" applyFill="1" applyAlignment="1">
      <alignment horizontal="right"/>
    </xf>
    <xf numFmtId="174" fontId="12" fillId="0" borderId="2" xfId="0" applyNumberFormat="1" applyFont="1" applyFill="1" applyBorder="1" applyProtection="1"/>
    <xf numFmtId="37" fontId="0" fillId="0" borderId="32" xfId="0" applyFill="1" applyBorder="1"/>
    <xf numFmtId="37" fontId="13" fillId="0" borderId="32" xfId="0" applyFont="1" applyBorder="1" applyAlignment="1" applyProtection="1">
      <alignment horizontal="left"/>
    </xf>
    <xf numFmtId="37" fontId="0" fillId="0" borderId="32" xfId="0" applyBorder="1" applyAlignment="1">
      <alignment horizontal="center"/>
    </xf>
    <xf numFmtId="49" fontId="0" fillId="0" borderId="0" xfId="0" applyNumberFormat="1" applyAlignment="1">
      <alignment horizontal="center"/>
    </xf>
    <xf numFmtId="37" fontId="4" fillId="0" borderId="0" xfId="0" applyFont="1" applyAlignment="1" applyProtection="1">
      <alignment horizontal="center"/>
    </xf>
    <xf numFmtId="37" fontId="15" fillId="0" borderId="0" xfId="0" applyFont="1" applyAlignment="1" applyProtection="1">
      <alignment horizontal="left"/>
    </xf>
    <xf numFmtId="37" fontId="15" fillId="0" borderId="0" xfId="0" applyFont="1" applyAlignment="1" applyProtection="1">
      <alignment horizontal="center"/>
    </xf>
    <xf numFmtId="182" fontId="15" fillId="0" borderId="0" xfId="2" applyNumberFormat="1" applyFont="1" applyFill="1" applyProtection="1"/>
    <xf numFmtId="44" fontId="0" fillId="0" borderId="6" xfId="2" applyNumberFormat="1" applyFont="1" applyBorder="1"/>
    <xf numFmtId="169" fontId="13" fillId="0" borderId="0" xfId="0" applyNumberFormat="1" applyFont="1" applyFill="1" applyProtection="1"/>
    <xf numFmtId="3" fontId="13" fillId="0" borderId="0" xfId="0" applyNumberFormat="1" applyFont="1" applyFill="1"/>
    <xf numFmtId="173" fontId="0" fillId="0" borderId="6" xfId="0" applyNumberFormat="1" applyFont="1" applyFill="1" applyBorder="1" applyProtection="1"/>
    <xf numFmtId="191" fontId="44" fillId="0" borderId="0" xfId="13" applyNumberFormat="1" applyFont="1" applyFill="1" applyAlignment="1">
      <alignment horizontal="center"/>
    </xf>
    <xf numFmtId="43" fontId="44" fillId="0" borderId="0" xfId="1" applyFont="1" applyFill="1" applyAlignment="1">
      <alignment horizontal="center"/>
    </xf>
    <xf numFmtId="174" fontId="44" fillId="0" borderId="0" xfId="13" applyNumberFormat="1" applyFont="1" applyFill="1" applyAlignment="1">
      <alignment horizontal="center"/>
    </xf>
    <xf numFmtId="188" fontId="44" fillId="0" borderId="0" xfId="13" applyNumberFormat="1" applyFont="1" applyFill="1" applyAlignment="1">
      <alignment horizontal="center"/>
    </xf>
    <xf numFmtId="37" fontId="4" fillId="0" borderId="0" xfId="0" applyFont="1" applyFill="1" applyAlignment="1">
      <alignment horizontal="center"/>
    </xf>
    <xf numFmtId="37" fontId="36" fillId="0" borderId="0" xfId="0" applyFont="1" applyFill="1" applyAlignment="1" applyProtection="1">
      <alignment horizontal="left"/>
    </xf>
    <xf numFmtId="10" fontId="0" fillId="8" borderId="0" xfId="13" applyNumberFormat="1" applyFont="1" applyFill="1" applyAlignment="1">
      <alignment horizontal="center"/>
    </xf>
    <xf numFmtId="10" fontId="0" fillId="0" borderId="32" xfId="0" applyNumberFormat="1" applyFont="1" applyFill="1" applyBorder="1" applyProtection="1"/>
    <xf numFmtId="182" fontId="13" fillId="0" borderId="0" xfId="2" applyNumberFormat="1" applyFont="1"/>
    <xf numFmtId="37" fontId="13" fillId="8" borderId="0" xfId="0" applyNumberFormat="1" applyFont="1" applyFill="1" applyProtection="1"/>
    <xf numFmtId="10" fontId="69" fillId="8" borderId="0" xfId="13" applyNumberFormat="1" applyFont="1" applyFill="1"/>
    <xf numFmtId="37" fontId="0" fillId="8" borderId="0" xfId="0" applyFont="1" applyFill="1"/>
    <xf numFmtId="37" fontId="13" fillId="8" borderId="0" xfId="0" applyFont="1" applyFill="1" applyAlignment="1">
      <alignment horizontal="right"/>
    </xf>
    <xf numFmtId="37" fontId="9" fillId="8" borderId="0" xfId="0" applyFont="1" applyFill="1" applyAlignment="1" applyProtection="1">
      <alignment horizontal="center"/>
    </xf>
    <xf numFmtId="37" fontId="0" fillId="7" borderId="0" xfId="0" applyNumberFormat="1" applyFont="1" applyFill="1" applyProtection="1">
      <protection locked="0"/>
    </xf>
    <xf numFmtId="37" fontId="0" fillId="0" borderId="0" xfId="0" applyAlignment="1">
      <alignment horizontal="center"/>
    </xf>
    <xf numFmtId="37" fontId="0" fillId="0" borderId="0" xfId="0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37" fontId="15" fillId="0" borderId="0" xfId="0" applyFont="1" applyFill="1" applyAlignment="1">
      <alignment horizontal="center"/>
    </xf>
    <xf numFmtId="37" fontId="5" fillId="0" borderId="0" xfId="0" applyFont="1" applyAlignment="1">
      <alignment horizontal="center"/>
    </xf>
    <xf numFmtId="37" fontId="4" fillId="0" borderId="0" xfId="0" applyFont="1" applyFill="1" applyAlignment="1" applyProtection="1">
      <alignment horizontal="center"/>
    </xf>
    <xf numFmtId="37" fontId="15" fillId="0" borderId="0" xfId="0" applyFont="1" applyFill="1" applyAlignment="1" applyProtection="1">
      <alignment horizontal="center"/>
    </xf>
    <xf numFmtId="37" fontId="4" fillId="0" borderId="0" xfId="0" applyFont="1" applyAlignment="1" applyProtection="1">
      <alignment horizontal="center"/>
    </xf>
    <xf numFmtId="37" fontId="13" fillId="0" borderId="23" xfId="0" applyFont="1" applyBorder="1" applyAlignment="1">
      <alignment horizontal="center"/>
    </xf>
    <xf numFmtId="37" fontId="13" fillId="0" borderId="7" xfId="0" applyFont="1" applyBorder="1" applyAlignment="1">
      <alignment horizontal="center"/>
    </xf>
    <xf numFmtId="37" fontId="13" fillId="0" borderId="9" xfId="0" applyFont="1" applyBorder="1" applyAlignment="1">
      <alignment horizontal="center"/>
    </xf>
    <xf numFmtId="37" fontId="13" fillId="0" borderId="23" xfId="0" applyFont="1" applyBorder="1" applyAlignment="1" applyProtection="1">
      <alignment horizontal="center"/>
    </xf>
    <xf numFmtId="37" fontId="13" fillId="0" borderId="7" xfId="0" applyFont="1" applyBorder="1" applyAlignment="1" applyProtection="1">
      <alignment horizontal="center"/>
    </xf>
    <xf numFmtId="37" fontId="13" fillId="0" borderId="9" xfId="0" applyFont="1" applyBorder="1" applyAlignment="1" applyProtection="1">
      <alignment horizontal="center"/>
    </xf>
    <xf numFmtId="37" fontId="13" fillId="0" borderId="0" xfId="0" applyFont="1" applyFill="1" applyAlignment="1" applyProtection="1">
      <alignment horizontal="center"/>
    </xf>
    <xf numFmtId="37" fontId="4" fillId="0" borderId="0" xfId="0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37" fontId="4" fillId="0" borderId="0" xfId="0" applyNumberFormat="1" applyFont="1" applyAlignment="1" applyProtection="1">
      <alignment horizontal="center"/>
      <protection locked="0"/>
    </xf>
    <xf numFmtId="37" fontId="4" fillId="0" borderId="0" xfId="0" applyFont="1" applyAlignment="1">
      <alignment horizontal="center"/>
    </xf>
    <xf numFmtId="37" fontId="13" fillId="0" borderId="0" xfId="0" applyFont="1" applyFill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center"/>
      <protection locked="0"/>
    </xf>
    <xf numFmtId="37" fontId="15" fillId="0" borderId="0" xfId="0" applyFont="1" applyAlignment="1">
      <alignment horizontal="center"/>
    </xf>
    <xf numFmtId="37" fontId="15" fillId="0" borderId="0" xfId="5" applyFont="1" applyFill="1" applyAlignment="1">
      <alignment horizontal="center"/>
    </xf>
    <xf numFmtId="37" fontId="5" fillId="0" borderId="0" xfId="0" applyFont="1" applyFill="1" applyAlignment="1">
      <alignment horizontal="center"/>
    </xf>
    <xf numFmtId="37" fontId="5" fillId="0" borderId="29" xfId="0" applyFont="1" applyFill="1" applyBorder="1" applyAlignment="1" applyProtection="1">
      <alignment horizontal="center"/>
    </xf>
    <xf numFmtId="37" fontId="5" fillId="0" borderId="19" xfId="0" applyFont="1" applyFill="1" applyBorder="1" applyAlignment="1" applyProtection="1">
      <alignment horizontal="center"/>
    </xf>
    <xf numFmtId="37" fontId="5" fillId="0" borderId="24" xfId="0" applyFont="1" applyFill="1" applyBorder="1" applyAlignment="1" applyProtection="1">
      <alignment horizontal="center"/>
    </xf>
    <xf numFmtId="49" fontId="0" fillId="0" borderId="3" xfId="0" applyNumberFormat="1" applyFont="1" applyFill="1" applyBorder="1" applyAlignment="1">
      <alignment horizontal="center"/>
    </xf>
    <xf numFmtId="37" fontId="0" fillId="0" borderId="0" xfId="0" applyFont="1" applyFill="1" applyAlignment="1">
      <alignment horizontal="center"/>
    </xf>
    <xf numFmtId="37" fontId="6" fillId="0" borderId="0" xfId="0" applyFont="1" applyFill="1" applyAlignment="1" applyProtection="1">
      <alignment horizontal="center"/>
    </xf>
    <xf numFmtId="37" fontId="13" fillId="0" borderId="5" xfId="0" applyFont="1" applyFill="1" applyBorder="1" applyAlignment="1" applyProtection="1">
      <alignment horizontal="center"/>
    </xf>
    <xf numFmtId="37" fontId="13" fillId="0" borderId="0" xfId="0" applyFont="1" applyFill="1" applyAlignment="1">
      <alignment horizontal="center"/>
    </xf>
  </cellXfs>
  <cellStyles count="127">
    <cellStyle name="Actual Date" xfId="33"/>
    <cellStyle name="Affinity Input" xfId="34"/>
    <cellStyle name="Body" xfId="35"/>
    <cellStyle name="Comma" xfId="1" builtinId="3"/>
    <cellStyle name="Comma [0] 2" xfId="19"/>
    <cellStyle name="Comma 2" xfId="18"/>
    <cellStyle name="Comma 2 2" xfId="36"/>
    <cellStyle name="Comma 3" xfId="22"/>
    <cellStyle name="Comma 3 2" xfId="37"/>
    <cellStyle name="Comma 4" xfId="25"/>
    <cellStyle name="Comma 5" xfId="38"/>
    <cellStyle name="Comma 6" xfId="39"/>
    <cellStyle name="Comma 7" xfId="40"/>
    <cellStyle name="ContentsHyperlink" xfId="41"/>
    <cellStyle name="Currency" xfId="2" builtinId="4"/>
    <cellStyle name="Currency [0] 2" xfId="17"/>
    <cellStyle name="Currency [2]" xfId="42"/>
    <cellStyle name="Currency 2" xfId="16"/>
    <cellStyle name="Currency 3" xfId="21"/>
    <cellStyle name="Currency 4" xfId="26"/>
    <cellStyle name="Currency 5" xfId="43"/>
    <cellStyle name="Currency 6" xfId="44"/>
    <cellStyle name="Currency 7" xfId="45"/>
    <cellStyle name="Currency 8" xfId="46"/>
    <cellStyle name="Custom - Style1" xfId="47"/>
    <cellStyle name="Data   - Style2" xfId="48"/>
    <cellStyle name="Date" xfId="49"/>
    <cellStyle name="Edit" xfId="50"/>
    <cellStyle name="Engine" xfId="51"/>
    <cellStyle name="Fixed" xfId="52"/>
    <cellStyle name="Grey" xfId="53"/>
    <cellStyle name="HEADER" xfId="54"/>
    <cellStyle name="Header1" xfId="55"/>
    <cellStyle name="Header2" xfId="56"/>
    <cellStyle name="heading" xfId="57"/>
    <cellStyle name="Heading1" xfId="58"/>
    <cellStyle name="Heading2" xfId="59"/>
    <cellStyle name="HIGHLIGHT" xfId="60"/>
    <cellStyle name="Hyperlink" xfId="3" builtinId="8"/>
    <cellStyle name="Input [yellow]" xfId="61"/>
    <cellStyle name="Labels - Style3" xfId="62"/>
    <cellStyle name="Large Page Heading" xfId="63"/>
    <cellStyle name="no dec" xfId="64"/>
    <cellStyle name="No Edit" xfId="65"/>
    <cellStyle name="Normal" xfId="0" builtinId="0"/>
    <cellStyle name="Normal - Style1" xfId="4"/>
    <cellStyle name="Normal - Style1 2" xfId="67"/>
    <cellStyle name="Normal - Style1_G.2" xfId="66"/>
    <cellStyle name="Normal - Style2" xfId="68"/>
    <cellStyle name="Normal - Style3" xfId="69"/>
    <cellStyle name="Normal - Style4" xfId="70"/>
    <cellStyle name="Normal - Style5" xfId="71"/>
    <cellStyle name="Normal - Style6" xfId="72"/>
    <cellStyle name="Normal - Style7" xfId="73"/>
    <cellStyle name="Normal - Style8" xfId="74"/>
    <cellStyle name="Normal 10" xfId="75"/>
    <cellStyle name="Normal 11" xfId="76"/>
    <cellStyle name="Normal 12" xfId="77"/>
    <cellStyle name="Normal 13" xfId="78"/>
    <cellStyle name="Normal 14" xfId="79"/>
    <cellStyle name="Normal 15" xfId="80"/>
    <cellStyle name="Normal 16" xfId="81"/>
    <cellStyle name="Normal 17" xfId="82"/>
    <cellStyle name="Normal 18" xfId="83"/>
    <cellStyle name="Normal 19" xfId="84"/>
    <cellStyle name="Normal 2" xfId="14"/>
    <cellStyle name="Normal 2 2" xfId="28"/>
    <cellStyle name="Normal 2 2 2" xfId="86"/>
    <cellStyle name="Normal 2 3" xfId="87"/>
    <cellStyle name="Normal 2 4" xfId="32"/>
    <cellStyle name="Normal 2_G.2" xfId="85"/>
    <cellStyle name="Normal 20" xfId="88"/>
    <cellStyle name="Normal 21" xfId="89"/>
    <cellStyle name="Normal 22" xfId="90"/>
    <cellStyle name="Normal 23" xfId="91"/>
    <cellStyle name="Normal 24" xfId="92"/>
    <cellStyle name="Normal 25" xfId="93"/>
    <cellStyle name="Normal 3" xfId="20"/>
    <cellStyle name="Normal 3 2" xfId="30"/>
    <cellStyle name="Normal 3_G.2" xfId="94"/>
    <cellStyle name="Normal 4" xfId="23"/>
    <cellStyle name="Normal 4 2" xfId="95"/>
    <cellStyle name="Normal 4_4264 Div 9" xfId="96"/>
    <cellStyle name="Normal 5" xfId="24"/>
    <cellStyle name="Normal 5 2" xfId="97"/>
    <cellStyle name="Normal 5_4264 Div 9" xfId="98"/>
    <cellStyle name="Normal 6" xfId="29"/>
    <cellStyle name="Normal 7" xfId="99"/>
    <cellStyle name="Normal 8" xfId="100"/>
    <cellStyle name="Normal 9" xfId="101"/>
    <cellStyle name="Normal_Book1 (2) (3)" xfId="5"/>
    <cellStyle name="Normal_C.2.2 B" xfId="6"/>
    <cellStyle name="Normal_F.1" xfId="7"/>
    <cellStyle name="nPlosion" xfId="102"/>
    <cellStyle name="Output Amounts" xfId="8"/>
    <cellStyle name="Output Amounts 2" xfId="104"/>
    <cellStyle name="Output Amounts_G.2" xfId="103"/>
    <cellStyle name="Output Column Headings" xfId="9"/>
    <cellStyle name="Output Column Headings 2" xfId="106"/>
    <cellStyle name="Output Column Headings_G.2" xfId="105"/>
    <cellStyle name="Output Line Items" xfId="10"/>
    <cellStyle name="Output Report Heading" xfId="11"/>
    <cellStyle name="Output Report Heading 2" xfId="108"/>
    <cellStyle name="Output Report Heading_G.2" xfId="107"/>
    <cellStyle name="Output Report Title" xfId="12"/>
    <cellStyle name="Output Report Title 2" xfId="110"/>
    <cellStyle name="Output Report Title_G.2" xfId="109"/>
    <cellStyle name="Percent" xfId="13" builtinId="5"/>
    <cellStyle name="Percent [2]" xfId="111"/>
    <cellStyle name="Percent 2" xfId="15"/>
    <cellStyle name="Percent 2 2" xfId="112"/>
    <cellStyle name="Percent 3" xfId="27"/>
    <cellStyle name="Percent 4" xfId="113"/>
    <cellStyle name="Percent 5" xfId="114"/>
    <cellStyle name="Percent 7" xfId="31"/>
    <cellStyle name="PSChar" xfId="115"/>
    <cellStyle name="Reset  - Style4" xfId="116"/>
    <cellStyle name="Small Page Heading" xfId="117"/>
    <cellStyle name="Table  - Style5" xfId="118"/>
    <cellStyle name="Title  - Style6" xfId="119"/>
    <cellStyle name="title1" xfId="120"/>
    <cellStyle name="TotCol - Style7" xfId="121"/>
    <cellStyle name="TotRow - Style8" xfId="122"/>
    <cellStyle name="Unprot" xfId="123"/>
    <cellStyle name="Unprot$" xfId="124"/>
    <cellStyle name="Unprotect" xfId="125"/>
    <cellStyle name="一般_dept code" xfId="126"/>
  </cellStyles>
  <dxfs count="0"/>
  <tableStyles count="0" defaultTableStyle="TableStyleMedium2" defaultPivotStyle="PivotStyleLight16"/>
  <colors>
    <mruColors>
      <color rgb="FFCCFFCC"/>
      <color rgb="FFFFFFCC"/>
      <color rgb="FF0000FF"/>
      <color rgb="FFFF99FF"/>
      <color rgb="FF66FFFF"/>
      <color rgb="FFCC99FF"/>
      <color rgb="FFCCFFFF"/>
      <color rgb="FF99CC00"/>
      <color rgb="FFFF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0"/>
  <sheetViews>
    <sheetView workbookViewId="0">
      <selection activeCell="C28" sqref="C28"/>
    </sheetView>
  </sheetViews>
  <sheetFormatPr defaultRowHeight="15"/>
  <cols>
    <col min="1" max="1" width="12.33203125" customWidth="1"/>
    <col min="2" max="2" width="40.33203125" customWidth="1"/>
    <col min="3" max="3" width="17.21875" customWidth="1"/>
    <col min="7" max="7" width="11" bestFit="1" customWidth="1"/>
  </cols>
  <sheetData>
    <row r="1" spans="1:3">
      <c r="A1" s="1188" t="s">
        <v>346</v>
      </c>
      <c r="B1" s="1188"/>
      <c r="C1" s="1188"/>
    </row>
    <row r="2" spans="1:3">
      <c r="A2" s="1189" t="s">
        <v>1656</v>
      </c>
      <c r="B2" s="1189"/>
      <c r="C2" s="1189"/>
    </row>
    <row r="3" spans="1:3">
      <c r="A3" s="1190" t="s">
        <v>1612</v>
      </c>
      <c r="B3" s="1190"/>
      <c r="C3" s="1190"/>
    </row>
    <row r="4" spans="1:3">
      <c r="A4" s="1190" t="s">
        <v>1613</v>
      </c>
      <c r="B4" s="1190"/>
      <c r="C4" s="1190"/>
    </row>
    <row r="5" spans="1:3">
      <c r="A5" s="301"/>
      <c r="B5" s="301"/>
      <c r="C5" s="301"/>
    </row>
    <row r="6" spans="1:3">
      <c r="A6" s="301"/>
      <c r="B6" s="301"/>
      <c r="C6" s="301"/>
    </row>
    <row r="8" spans="1:3">
      <c r="A8" s="58" t="s">
        <v>58</v>
      </c>
      <c r="B8" s="58" t="s">
        <v>985</v>
      </c>
      <c r="C8" s="58" t="s">
        <v>685</v>
      </c>
    </row>
    <row r="10" spans="1:3">
      <c r="A10" s="53" t="s">
        <v>170</v>
      </c>
      <c r="B10" s="304" t="s">
        <v>813</v>
      </c>
      <c r="C10" s="171" t="s">
        <v>1402</v>
      </c>
    </row>
    <row r="11" spans="1:3">
      <c r="A11" s="53" t="s">
        <v>814</v>
      </c>
      <c r="B11" s="304" t="s">
        <v>271</v>
      </c>
      <c r="C11" s="171" t="s">
        <v>1403</v>
      </c>
    </row>
    <row r="12" spans="1:3">
      <c r="A12" s="53" t="s">
        <v>815</v>
      </c>
      <c r="B12" s="304" t="s">
        <v>816</v>
      </c>
      <c r="C12" s="171" t="s">
        <v>1404</v>
      </c>
    </row>
    <row r="13" spans="1:3">
      <c r="A13" s="53" t="s">
        <v>817</v>
      </c>
      <c r="B13" s="304" t="s">
        <v>818</v>
      </c>
      <c r="C13" s="171" t="s">
        <v>1405</v>
      </c>
    </row>
    <row r="14" spans="1:3">
      <c r="A14" s="53" t="s">
        <v>828</v>
      </c>
      <c r="B14" s="304" t="s">
        <v>463</v>
      </c>
      <c r="C14" s="171" t="s">
        <v>1406</v>
      </c>
    </row>
    <row r="15" spans="1:3">
      <c r="A15" s="53" t="s">
        <v>819</v>
      </c>
      <c r="B15" s="304" t="s">
        <v>820</v>
      </c>
      <c r="C15" s="171" t="s">
        <v>1407</v>
      </c>
    </row>
    <row r="16" spans="1:3">
      <c r="A16" s="53" t="s">
        <v>821</v>
      </c>
      <c r="B16" s="304" t="s">
        <v>822</v>
      </c>
      <c r="C16" s="171" t="s">
        <v>1408</v>
      </c>
    </row>
    <row r="17" spans="1:3">
      <c r="A17" s="53" t="s">
        <v>375</v>
      </c>
      <c r="B17" s="304" t="s">
        <v>126</v>
      </c>
      <c r="C17" s="171" t="s">
        <v>1409</v>
      </c>
    </row>
    <row r="18" spans="1:3">
      <c r="A18" s="53" t="s">
        <v>823</v>
      </c>
      <c r="B18" s="304" t="s">
        <v>824</v>
      </c>
      <c r="C18" s="171" t="s">
        <v>1410</v>
      </c>
    </row>
    <row r="19" spans="1:3">
      <c r="A19" s="53" t="s">
        <v>825</v>
      </c>
      <c r="B19" s="304" t="s">
        <v>826</v>
      </c>
      <c r="C19" s="171" t="s">
        <v>1411</v>
      </c>
    </row>
    <row r="20" spans="1:3">
      <c r="A20" s="53" t="s">
        <v>827</v>
      </c>
      <c r="B20" s="304" t="s">
        <v>25</v>
      </c>
      <c r="C20" s="171" t="s">
        <v>1412</v>
      </c>
    </row>
  </sheetData>
  <mergeCells count="4">
    <mergeCell ref="A1:C1"/>
    <mergeCell ref="A2:C2"/>
    <mergeCell ref="A3:C3"/>
    <mergeCell ref="A4:C4"/>
  </mergeCells>
  <phoneticPr fontId="23" type="noConversion"/>
  <hyperlinks>
    <hyperlink ref="B10" location="'Cover A'!A1" display="Summary"/>
    <hyperlink ref="B11" location="'Cover B'!A1" display="Rate Base"/>
    <hyperlink ref="B12" location="'Cover C'!A1" display="Operating Income (Revenues &amp; Expenses)"/>
    <hyperlink ref="B13" location="'Cover D'!A1" display="Adjustments to Operating Income by Account"/>
    <hyperlink ref="B14" location="'Cover E'!A1" display="Income Tax Calculation"/>
    <hyperlink ref="B15" location="'Cover F'!A1" display="Rule F Compliance Adjustments"/>
    <hyperlink ref="B16" location="G.1!A1" display="Payroll Analysis"/>
    <hyperlink ref="B17" location="H.1!A1" display="Gross Revenue Conversion Factor"/>
    <hyperlink ref="B18" location="I.1!A1" display="Comparative Income Statements"/>
    <hyperlink ref="B19" location="'J-1 Base'!A1" display="Cost of Capital"/>
    <hyperlink ref="B20" location="K!A1" display="Comparative Financial Data"/>
  </hyperlinks>
  <pageMargins left="0.91" right="0.75" top="1" bottom="1" header="0.5" footer="0.5"/>
  <pageSetup scale="9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265"/>
  <sheetViews>
    <sheetView view="pageBreakPreview" zoomScale="60" zoomScaleNormal="70" workbookViewId="0">
      <pane ySplit="12" topLeftCell="A163" activePane="bottomLeft" state="frozen"/>
      <selection activeCell="F59" sqref="F59:F60"/>
      <selection pane="bottomLeft" activeCell="E196" sqref="E196"/>
    </sheetView>
  </sheetViews>
  <sheetFormatPr defaultRowHeight="15"/>
  <cols>
    <col min="1" max="1" width="4.5546875" style="80" customWidth="1"/>
    <col min="2" max="2" width="9.33203125" style="80" customWidth="1"/>
    <col min="3" max="3" width="33.88671875" style="80" customWidth="1"/>
    <col min="4" max="4" width="14.6640625" style="80" customWidth="1"/>
    <col min="5" max="5" width="10.33203125" style="80" customWidth="1"/>
    <col min="6" max="6" width="14.21875" style="80" customWidth="1"/>
    <col min="7" max="7" width="12.6640625" style="853" bestFit="1" customWidth="1"/>
    <col min="8" max="8" width="13.5546875" style="853" customWidth="1"/>
    <col min="9" max="9" width="14" style="80" customWidth="1"/>
    <col min="10" max="10" width="3.21875" style="80" customWidth="1"/>
    <col min="11" max="11" width="15.77734375" style="80" customWidth="1"/>
    <col min="12" max="12" width="12.6640625" style="853" bestFit="1" customWidth="1"/>
    <col min="13" max="13" width="9.77734375" style="853" bestFit="1" customWidth="1"/>
    <col min="14" max="14" width="14.77734375" style="80" bestFit="1" customWidth="1"/>
    <col min="15" max="15" width="5" style="80" customWidth="1"/>
    <col min="16" max="17" width="12" style="80" bestFit="1" customWidth="1"/>
    <col min="18" max="16384" width="8.88671875" style="80"/>
  </cols>
  <sheetData>
    <row r="1" spans="1:17">
      <c r="A1" s="1193" t="str">
        <f>'Table of Contents'!A1:C1</f>
        <v>Atmos Energy Corporation, Kentucky/Mid-States Division</v>
      </c>
      <c r="B1" s="1193"/>
      <c r="C1" s="1193"/>
      <c r="D1" s="1193"/>
      <c r="E1" s="1193"/>
      <c r="F1" s="1193"/>
      <c r="G1" s="1193"/>
      <c r="H1" s="1193"/>
      <c r="I1" s="1193"/>
      <c r="J1" s="1193"/>
      <c r="K1" s="1193"/>
      <c r="L1" s="1193"/>
      <c r="M1" s="1193"/>
      <c r="N1" s="1193"/>
    </row>
    <row r="2" spans="1:17">
      <c r="A2" s="1193" t="str">
        <f>'Table of Contents'!A2:C2</f>
        <v>Kentucky Jurisdiction Case No. 2018-00281</v>
      </c>
      <c r="B2" s="1193"/>
      <c r="C2" s="1193"/>
      <c r="D2" s="1193"/>
      <c r="E2" s="1193"/>
      <c r="F2" s="1193"/>
      <c r="G2" s="1193"/>
      <c r="H2" s="1193"/>
      <c r="I2" s="1193"/>
      <c r="J2" s="1193"/>
      <c r="K2" s="1193"/>
      <c r="L2" s="1193"/>
      <c r="M2" s="1193"/>
      <c r="N2" s="1193"/>
    </row>
    <row r="3" spans="1:17">
      <c r="A3" s="1193" t="s">
        <v>1117</v>
      </c>
      <c r="B3" s="1193"/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3"/>
      <c r="N3" s="1193"/>
    </row>
    <row r="4" spans="1:17" ht="15.75">
      <c r="A4" s="1194" t="str">
        <f>'B.1 B'!A4</f>
        <v>as of December 31, 2018</v>
      </c>
      <c r="B4" s="1194"/>
      <c r="C4" s="1194"/>
      <c r="D4" s="1194"/>
      <c r="E4" s="1194"/>
      <c r="F4" s="1194"/>
      <c r="G4" s="1194"/>
      <c r="H4" s="1194"/>
      <c r="I4" s="1194"/>
      <c r="J4" s="1194"/>
      <c r="K4" s="1194"/>
      <c r="L4" s="1194"/>
      <c r="M4" s="1194"/>
      <c r="N4" s="1194"/>
    </row>
    <row r="5" spans="1:17" ht="15.75">
      <c r="A5" s="150"/>
      <c r="B5" s="150"/>
      <c r="C5" s="150"/>
      <c r="D5" s="731"/>
      <c r="E5" s="150"/>
      <c r="F5" s="150"/>
      <c r="G5" s="856"/>
      <c r="H5" s="856"/>
      <c r="I5" s="81"/>
      <c r="J5" s="81"/>
      <c r="K5" s="150"/>
      <c r="P5" s="901"/>
    </row>
    <row r="6" spans="1:17" ht="15.75">
      <c r="A6" s="88" t="str">
        <f>'B.1 B'!A6</f>
        <v>Data:__X___Base Period______Forecasted Period</v>
      </c>
      <c r="B6" s="81"/>
      <c r="C6" s="81"/>
      <c r="D6" s="81"/>
      <c r="E6" s="901"/>
      <c r="F6" s="81"/>
      <c r="G6" s="856"/>
      <c r="K6" s="81"/>
      <c r="N6" s="1053" t="s">
        <v>1416</v>
      </c>
    </row>
    <row r="7" spans="1:17">
      <c r="A7" s="88" t="str">
        <f>'B.1 B'!A7</f>
        <v>Type of Filing:___X____Original________Updated ________Revised</v>
      </c>
      <c r="B7" s="88"/>
      <c r="C7" s="81"/>
      <c r="D7" s="81"/>
      <c r="E7" s="81"/>
      <c r="F7" s="81"/>
      <c r="G7" s="856"/>
      <c r="I7" s="88"/>
      <c r="J7" s="88"/>
      <c r="K7" s="81"/>
      <c r="N7" s="1026" t="s">
        <v>1010</v>
      </c>
    </row>
    <row r="8" spans="1:17">
      <c r="A8" s="1026" t="str">
        <f>'B.1 B'!A8</f>
        <v>Workpaper Reference No(s).</v>
      </c>
      <c r="B8" s="74"/>
      <c r="C8" s="74"/>
      <c r="D8" s="74"/>
      <c r="E8" s="74"/>
      <c r="F8" s="74"/>
      <c r="G8" s="76"/>
      <c r="H8" s="1025"/>
      <c r="I8" s="1026"/>
      <c r="J8" s="1026"/>
      <c r="K8" s="74"/>
      <c r="L8" s="1025"/>
      <c r="M8" s="1025"/>
      <c r="N8" s="1026" t="str">
        <f>'B.2 B'!N8</f>
        <v>Witness: Waller</v>
      </c>
    </row>
    <row r="9" spans="1:17">
      <c r="A9" s="1028"/>
      <c r="B9" s="826"/>
      <c r="C9" s="1049"/>
      <c r="D9" s="391"/>
      <c r="E9" s="826"/>
      <c r="F9" s="826"/>
      <c r="G9" s="888"/>
      <c r="H9" s="1029"/>
      <c r="I9" s="1030"/>
      <c r="J9" s="1026"/>
      <c r="K9" s="391"/>
      <c r="L9" s="890"/>
      <c r="M9" s="890"/>
      <c r="N9" s="1031"/>
    </row>
    <row r="10" spans="1:17">
      <c r="A10" s="1032"/>
      <c r="B10" s="74"/>
      <c r="C10" s="1050"/>
      <c r="D10" s="1034"/>
      <c r="E10" s="74"/>
      <c r="F10" s="74"/>
      <c r="G10" s="76" t="s">
        <v>13</v>
      </c>
      <c r="H10" s="75" t="s">
        <v>11</v>
      </c>
      <c r="I10" s="1033"/>
      <c r="J10" s="1026"/>
      <c r="K10" s="1034"/>
      <c r="L10" s="76" t="s">
        <v>13</v>
      </c>
      <c r="M10" s="75" t="s">
        <v>11</v>
      </c>
      <c r="N10" s="1033"/>
    </row>
    <row r="11" spans="1:17" ht="15.75">
      <c r="A11" s="1032" t="s">
        <v>93</v>
      </c>
      <c r="B11" s="75" t="s">
        <v>268</v>
      </c>
      <c r="C11" s="485" t="s">
        <v>216</v>
      </c>
      <c r="D11" s="1054" t="s">
        <v>1325</v>
      </c>
      <c r="E11" s="75"/>
      <c r="F11" s="75" t="s">
        <v>10</v>
      </c>
      <c r="G11" s="75" t="s">
        <v>14</v>
      </c>
      <c r="H11" s="75" t="s">
        <v>594</v>
      </c>
      <c r="I11" s="485" t="s">
        <v>12</v>
      </c>
      <c r="J11" s="75"/>
      <c r="K11" s="1035" t="s">
        <v>45</v>
      </c>
      <c r="L11" s="75" t="s">
        <v>14</v>
      </c>
      <c r="M11" s="75" t="s">
        <v>594</v>
      </c>
      <c r="N11" s="485" t="s">
        <v>12</v>
      </c>
    </row>
    <row r="12" spans="1:17" ht="15.75">
      <c r="A12" s="1036" t="s">
        <v>99</v>
      </c>
      <c r="B12" s="185" t="s">
        <v>99</v>
      </c>
      <c r="C12" s="1037" t="s">
        <v>296</v>
      </c>
      <c r="D12" s="1055" t="s">
        <v>105</v>
      </c>
      <c r="E12" s="185" t="s">
        <v>987</v>
      </c>
      <c r="F12" s="185" t="s">
        <v>105</v>
      </c>
      <c r="G12" s="185" t="s">
        <v>627</v>
      </c>
      <c r="H12" s="185" t="s">
        <v>627</v>
      </c>
      <c r="I12" s="1037" t="s">
        <v>104</v>
      </c>
      <c r="J12" s="75"/>
      <c r="K12" s="1055" t="s">
        <v>98</v>
      </c>
      <c r="L12" s="185" t="s">
        <v>627</v>
      </c>
      <c r="M12" s="185" t="s">
        <v>627</v>
      </c>
      <c r="N12" s="1037" t="s">
        <v>104</v>
      </c>
      <c r="P12" s="428"/>
      <c r="Q12" s="428"/>
    </row>
    <row r="13" spans="1:17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7" ht="15.75">
      <c r="B14" s="941" t="s">
        <v>6</v>
      </c>
      <c r="J14" s="806"/>
    </row>
    <row r="15" spans="1:17">
      <c r="A15" s="854">
        <v>1</v>
      </c>
      <c r="B15" s="81"/>
      <c r="C15" s="619" t="s">
        <v>297</v>
      </c>
    </row>
    <row r="16" spans="1:17">
      <c r="A16" s="854">
        <f>A15+1</f>
        <v>2</v>
      </c>
      <c r="B16" s="513">
        <v>30100</v>
      </c>
      <c r="C16" s="88" t="s">
        <v>291</v>
      </c>
      <c r="D16" s="346">
        <v>8329.7199999999993</v>
      </c>
      <c r="E16" s="346">
        <v>0</v>
      </c>
      <c r="F16" s="346">
        <f>D16-E16</f>
        <v>8329.7199999999993</v>
      </c>
      <c r="G16" s="465">
        <v>1</v>
      </c>
      <c r="H16" s="465">
        <f>$G$16</f>
        <v>1</v>
      </c>
      <c r="I16" s="346">
        <f>F16*G16*H16</f>
        <v>8329.7199999999993</v>
      </c>
      <c r="J16" s="915"/>
      <c r="K16" s="346">
        <v>8329.7199999999993</v>
      </c>
      <c r="L16" s="465">
        <f t="shared" ref="L16:M17" si="0">$G$16</f>
        <v>1</v>
      </c>
      <c r="M16" s="465">
        <f t="shared" si="0"/>
        <v>1</v>
      </c>
      <c r="N16" s="346">
        <f>K16*L16*M16</f>
        <v>8329.7199999999993</v>
      </c>
    </row>
    <row r="17" spans="1:14">
      <c r="A17" s="854">
        <f t="shared" ref="A17:A83" si="1">A16+1</f>
        <v>3</v>
      </c>
      <c r="B17" s="513">
        <v>30200</v>
      </c>
      <c r="C17" s="88" t="s">
        <v>153</v>
      </c>
      <c r="D17" s="346">
        <v>119852.69</v>
      </c>
      <c r="E17" s="429">
        <v>0</v>
      </c>
      <c r="F17" s="429">
        <f>D17-E17</f>
        <v>119852.69</v>
      </c>
      <c r="G17" s="465">
        <f>$G$16</f>
        <v>1</v>
      </c>
      <c r="H17" s="465">
        <f>$G$16</f>
        <v>1</v>
      </c>
      <c r="I17" s="429">
        <f>F17*G17*H17</f>
        <v>119852.69</v>
      </c>
      <c r="K17" s="346">
        <v>119852.68999999996</v>
      </c>
      <c r="L17" s="465">
        <f t="shared" si="0"/>
        <v>1</v>
      </c>
      <c r="M17" s="465">
        <f t="shared" si="0"/>
        <v>1</v>
      </c>
      <c r="N17" s="429">
        <f>K17*L17*M17</f>
        <v>119852.68999999996</v>
      </c>
    </row>
    <row r="18" spans="1:14">
      <c r="A18" s="854">
        <f t="shared" si="1"/>
        <v>4</v>
      </c>
      <c r="B18" s="513"/>
      <c r="C18" s="88"/>
      <c r="D18" s="1056"/>
      <c r="E18" s="1056"/>
      <c r="F18" s="1056"/>
      <c r="G18" s="465"/>
      <c r="H18" s="465"/>
      <c r="I18" s="1056"/>
      <c r="K18" s="1056"/>
      <c r="N18" s="1056"/>
    </row>
    <row r="19" spans="1:14">
      <c r="A19" s="854">
        <f t="shared" si="1"/>
        <v>5</v>
      </c>
      <c r="B19" s="706"/>
      <c r="C19" s="88" t="s">
        <v>1383</v>
      </c>
      <c r="D19" s="346">
        <f>SUM(D16:D18)</f>
        <v>128182.41</v>
      </c>
      <c r="E19" s="346">
        <f>SUM(E16:E18)</f>
        <v>0</v>
      </c>
      <c r="F19" s="346">
        <f>SUM(F16:F18)</f>
        <v>128182.41</v>
      </c>
      <c r="G19" s="465"/>
      <c r="H19" s="465"/>
      <c r="I19" s="346">
        <f>SUM(I16:I18)</f>
        <v>128182.41</v>
      </c>
      <c r="K19" s="346">
        <f>SUM(K16:K18)</f>
        <v>128182.40999999996</v>
      </c>
      <c r="N19" s="346">
        <f>SUM(N16:N17)</f>
        <v>128182.40999999996</v>
      </c>
    </row>
    <row r="20" spans="1:14">
      <c r="A20" s="854">
        <f t="shared" si="1"/>
        <v>6</v>
      </c>
      <c r="B20" s="706"/>
      <c r="C20" s="81"/>
      <c r="D20" s="429"/>
      <c r="E20" s="429"/>
      <c r="F20" s="429"/>
      <c r="G20" s="465"/>
      <c r="H20" s="465"/>
      <c r="I20" s="429"/>
      <c r="K20" s="429"/>
      <c r="N20" s="429"/>
    </row>
    <row r="21" spans="1:14">
      <c r="A21" s="854">
        <f t="shared" si="1"/>
        <v>7</v>
      </c>
      <c r="B21" s="706"/>
      <c r="C21" s="619" t="s">
        <v>154</v>
      </c>
      <c r="D21" s="429"/>
      <c r="E21" s="429"/>
      <c r="F21" s="429"/>
      <c r="G21" s="465"/>
      <c r="H21" s="465"/>
      <c r="I21" s="429"/>
      <c r="K21" s="429"/>
      <c r="N21" s="429"/>
    </row>
    <row r="22" spans="1:14">
      <c r="A22" s="854">
        <f t="shared" si="1"/>
        <v>8</v>
      </c>
      <c r="B22" s="513">
        <v>32540</v>
      </c>
      <c r="C22" s="88" t="s">
        <v>161</v>
      </c>
      <c r="D22" s="346"/>
      <c r="E22" s="346">
        <v>0</v>
      </c>
      <c r="F22" s="346">
        <f t="shared" ref="F22:F24" si="2">D22-E22</f>
        <v>0</v>
      </c>
      <c r="G22" s="465">
        <f t="shared" ref="G22:H24" si="3">$G$16</f>
        <v>1</v>
      </c>
      <c r="H22" s="465">
        <f t="shared" si="3"/>
        <v>1</v>
      </c>
      <c r="I22" s="346">
        <f t="shared" ref="I22:I24" si="4">F22*G22*H22</f>
        <v>0</v>
      </c>
      <c r="K22" s="346"/>
      <c r="L22" s="465">
        <f t="shared" ref="L22:M24" si="5">$G$16</f>
        <v>1</v>
      </c>
      <c r="M22" s="465">
        <f t="shared" si="5"/>
        <v>1</v>
      </c>
      <c r="N22" s="346">
        <f t="shared" ref="N22:N24" si="6">K22*L22*M22</f>
        <v>0</v>
      </c>
    </row>
    <row r="23" spans="1:14">
      <c r="A23" s="854">
        <f t="shared" si="1"/>
        <v>9</v>
      </c>
      <c r="B23" s="513">
        <v>33202</v>
      </c>
      <c r="C23" s="88" t="s">
        <v>596</v>
      </c>
      <c r="D23" s="346"/>
      <c r="E23" s="429">
        <v>0</v>
      </c>
      <c r="F23" s="429">
        <f t="shared" si="2"/>
        <v>0</v>
      </c>
      <c r="G23" s="465">
        <f t="shared" si="3"/>
        <v>1</v>
      </c>
      <c r="H23" s="465">
        <f t="shared" si="3"/>
        <v>1</v>
      </c>
      <c r="I23" s="429">
        <f t="shared" si="4"/>
        <v>0</v>
      </c>
      <c r="K23" s="346"/>
      <c r="L23" s="465">
        <f t="shared" si="5"/>
        <v>1</v>
      </c>
      <c r="M23" s="465">
        <f t="shared" si="5"/>
        <v>1</v>
      </c>
      <c r="N23" s="429">
        <f t="shared" si="6"/>
        <v>0</v>
      </c>
    </row>
    <row r="24" spans="1:14">
      <c r="A24" s="854">
        <f t="shared" si="1"/>
        <v>10</v>
      </c>
      <c r="B24" s="513">
        <v>33400</v>
      </c>
      <c r="C24" s="88" t="s">
        <v>1119</v>
      </c>
      <c r="D24" s="346"/>
      <c r="E24" s="429">
        <v>0</v>
      </c>
      <c r="F24" s="429">
        <f t="shared" si="2"/>
        <v>0</v>
      </c>
      <c r="G24" s="465">
        <f t="shared" si="3"/>
        <v>1</v>
      </c>
      <c r="H24" s="465">
        <f t="shared" si="3"/>
        <v>1</v>
      </c>
      <c r="I24" s="429">
        <f t="shared" si="4"/>
        <v>0</v>
      </c>
      <c r="K24" s="346"/>
      <c r="L24" s="465">
        <f t="shared" si="5"/>
        <v>1</v>
      </c>
      <c r="M24" s="465">
        <f t="shared" si="5"/>
        <v>1</v>
      </c>
      <c r="N24" s="429">
        <f t="shared" si="6"/>
        <v>0</v>
      </c>
    </row>
    <row r="25" spans="1:14">
      <c r="A25" s="854">
        <f t="shared" si="1"/>
        <v>11</v>
      </c>
      <c r="B25" s="513"/>
      <c r="C25" s="81"/>
      <c r="D25" s="1056"/>
      <c r="E25" s="429"/>
      <c r="F25" s="429"/>
      <c r="G25" s="465"/>
      <c r="H25" s="465"/>
      <c r="I25" s="429"/>
      <c r="K25" s="1056"/>
      <c r="N25" s="429"/>
    </row>
    <row r="26" spans="1:14">
      <c r="A26" s="854">
        <f t="shared" si="1"/>
        <v>12</v>
      </c>
      <c r="B26" s="513"/>
      <c r="C26" s="81" t="s">
        <v>1382</v>
      </c>
      <c r="D26" s="346">
        <f>SUM(D22:D25)</f>
        <v>0</v>
      </c>
      <c r="E26" s="346">
        <f>SUM(E22:E25)</f>
        <v>0</v>
      </c>
      <c r="F26" s="346">
        <f>SUM(F22:F25)</f>
        <v>0</v>
      </c>
      <c r="G26" s="465"/>
      <c r="H26" s="465"/>
      <c r="I26" s="346">
        <f>SUM(I22:I25)</f>
        <v>0</v>
      </c>
      <c r="K26" s="346">
        <f>SUM(K22:K25)</f>
        <v>0</v>
      </c>
      <c r="N26" s="346">
        <f>SUM(N22:N25)</f>
        <v>0</v>
      </c>
    </row>
    <row r="27" spans="1:14">
      <c r="A27" s="854">
        <f t="shared" si="1"/>
        <v>13</v>
      </c>
      <c r="B27" s="513"/>
      <c r="C27" s="88"/>
      <c r="D27" s="429"/>
      <c r="E27" s="429"/>
      <c r="F27" s="429"/>
      <c r="G27" s="465"/>
      <c r="H27" s="465"/>
      <c r="I27" s="429"/>
      <c r="K27" s="429"/>
      <c r="N27" s="429"/>
    </row>
    <row r="28" spans="1:14">
      <c r="A28" s="854">
        <f t="shared" si="1"/>
        <v>14</v>
      </c>
      <c r="B28" s="513"/>
      <c r="C28" s="619" t="s">
        <v>279</v>
      </c>
      <c r="D28" s="429"/>
      <c r="E28" s="429"/>
      <c r="F28" s="429"/>
      <c r="G28" s="465"/>
      <c r="H28" s="465"/>
      <c r="I28" s="429"/>
      <c r="K28" s="429"/>
      <c r="N28" s="429"/>
    </row>
    <row r="29" spans="1:14">
      <c r="A29" s="854">
        <f t="shared" si="1"/>
        <v>15</v>
      </c>
      <c r="B29" s="513">
        <v>35010</v>
      </c>
      <c r="C29" s="88" t="s">
        <v>292</v>
      </c>
      <c r="D29" s="346"/>
      <c r="E29" s="346">
        <v>0</v>
      </c>
      <c r="F29" s="346">
        <f t="shared" ref="F29:F45" si="7">D29-E29</f>
        <v>0</v>
      </c>
      <c r="G29" s="465">
        <f t="shared" ref="G29:H45" si="8">$G$16</f>
        <v>1</v>
      </c>
      <c r="H29" s="465">
        <f t="shared" si="8"/>
        <v>1</v>
      </c>
      <c r="I29" s="346">
        <f t="shared" ref="I29:I45" si="9">F29*G29*H29</f>
        <v>0</v>
      </c>
      <c r="K29" s="346"/>
      <c r="L29" s="465">
        <f t="shared" ref="L29:M45" si="10">$G$16</f>
        <v>1</v>
      </c>
      <c r="M29" s="465">
        <f t="shared" si="10"/>
        <v>1</v>
      </c>
      <c r="N29" s="346">
        <f t="shared" ref="N29:N45" si="11">K29*L29*M29</f>
        <v>0</v>
      </c>
    </row>
    <row r="30" spans="1:14">
      <c r="A30" s="854">
        <f t="shared" si="1"/>
        <v>16</v>
      </c>
      <c r="B30" s="513">
        <v>35020</v>
      </c>
      <c r="C30" s="88" t="s">
        <v>792</v>
      </c>
      <c r="D30" s="346">
        <v>4439.4399999999996</v>
      </c>
      <c r="E30" s="429">
        <v>0</v>
      </c>
      <c r="F30" s="429">
        <f t="shared" si="7"/>
        <v>4439.4399999999996</v>
      </c>
      <c r="G30" s="465">
        <f t="shared" si="8"/>
        <v>1</v>
      </c>
      <c r="H30" s="465">
        <f t="shared" si="8"/>
        <v>1</v>
      </c>
      <c r="I30" s="429">
        <f t="shared" si="9"/>
        <v>4439.4399999999996</v>
      </c>
      <c r="K30" s="346">
        <v>4433.5599999999995</v>
      </c>
      <c r="L30" s="465">
        <f t="shared" si="10"/>
        <v>1</v>
      </c>
      <c r="M30" s="465">
        <f t="shared" si="10"/>
        <v>1</v>
      </c>
      <c r="N30" s="429">
        <f t="shared" si="11"/>
        <v>4433.5599999999995</v>
      </c>
    </row>
    <row r="31" spans="1:14">
      <c r="A31" s="854">
        <f t="shared" si="1"/>
        <v>17</v>
      </c>
      <c r="B31" s="513">
        <v>35100</v>
      </c>
      <c r="C31" s="88" t="s">
        <v>969</v>
      </c>
      <c r="D31" s="346">
        <v>6065.07</v>
      </c>
      <c r="E31" s="429">
        <v>0</v>
      </c>
      <c r="F31" s="429">
        <f t="shared" si="7"/>
        <v>6065.07</v>
      </c>
      <c r="G31" s="465">
        <f t="shared" si="8"/>
        <v>1</v>
      </c>
      <c r="H31" s="465">
        <f t="shared" si="8"/>
        <v>1</v>
      </c>
      <c r="I31" s="429">
        <f t="shared" si="9"/>
        <v>6065.07</v>
      </c>
      <c r="K31" s="346">
        <v>5915.49</v>
      </c>
      <c r="L31" s="465">
        <f t="shared" si="10"/>
        <v>1</v>
      </c>
      <c r="M31" s="465">
        <f t="shared" si="10"/>
        <v>1</v>
      </c>
      <c r="N31" s="429">
        <f t="shared" si="11"/>
        <v>5915.49</v>
      </c>
    </row>
    <row r="32" spans="1:14">
      <c r="A32" s="854">
        <f t="shared" si="1"/>
        <v>18</v>
      </c>
      <c r="B32" s="513">
        <v>35102</v>
      </c>
      <c r="C32" s="88" t="s">
        <v>280</v>
      </c>
      <c r="D32" s="346">
        <v>112303.84</v>
      </c>
      <c r="E32" s="429">
        <v>0</v>
      </c>
      <c r="F32" s="429">
        <f t="shared" si="7"/>
        <v>112303.84</v>
      </c>
      <c r="G32" s="465">
        <f t="shared" si="8"/>
        <v>1</v>
      </c>
      <c r="H32" s="465">
        <f t="shared" si="8"/>
        <v>1</v>
      </c>
      <c r="I32" s="429">
        <f t="shared" si="9"/>
        <v>112303.84</v>
      </c>
      <c r="K32" s="346">
        <v>111338.26</v>
      </c>
      <c r="L32" s="465">
        <f t="shared" si="10"/>
        <v>1</v>
      </c>
      <c r="M32" s="465">
        <f t="shared" si="10"/>
        <v>1</v>
      </c>
      <c r="N32" s="429">
        <f t="shared" si="11"/>
        <v>111338.26</v>
      </c>
    </row>
    <row r="33" spans="1:14">
      <c r="A33" s="854">
        <f t="shared" si="1"/>
        <v>19</v>
      </c>
      <c r="B33" s="513">
        <v>35103</v>
      </c>
      <c r="C33" s="88" t="s">
        <v>585</v>
      </c>
      <c r="D33" s="346">
        <v>20325.830000000002</v>
      </c>
      <c r="E33" s="429">
        <v>0</v>
      </c>
      <c r="F33" s="429">
        <f t="shared" si="7"/>
        <v>20325.830000000002</v>
      </c>
      <c r="G33" s="465">
        <f t="shared" si="8"/>
        <v>1</v>
      </c>
      <c r="H33" s="465">
        <f t="shared" si="8"/>
        <v>1</v>
      </c>
      <c r="I33" s="429">
        <f t="shared" si="9"/>
        <v>20325.830000000002</v>
      </c>
      <c r="K33" s="346">
        <v>20219.39</v>
      </c>
      <c r="L33" s="465">
        <f t="shared" si="10"/>
        <v>1</v>
      </c>
      <c r="M33" s="465">
        <f t="shared" si="10"/>
        <v>1</v>
      </c>
      <c r="N33" s="429">
        <f t="shared" si="11"/>
        <v>20219.39</v>
      </c>
    </row>
    <row r="34" spans="1:14">
      <c r="A34" s="854">
        <f t="shared" si="1"/>
        <v>20</v>
      </c>
      <c r="B34" s="513">
        <v>35104</v>
      </c>
      <c r="C34" s="88" t="s">
        <v>586</v>
      </c>
      <c r="D34" s="346">
        <v>98810.68</v>
      </c>
      <c r="E34" s="429">
        <v>0</v>
      </c>
      <c r="F34" s="429">
        <f t="shared" si="7"/>
        <v>98810.68</v>
      </c>
      <c r="G34" s="465">
        <f t="shared" si="8"/>
        <v>1</v>
      </c>
      <c r="H34" s="465">
        <f t="shared" si="8"/>
        <v>1</v>
      </c>
      <c r="I34" s="429">
        <f t="shared" si="9"/>
        <v>98810.68</v>
      </c>
      <c r="K34" s="346">
        <v>97917.34</v>
      </c>
      <c r="L34" s="465">
        <f t="shared" si="10"/>
        <v>1</v>
      </c>
      <c r="M34" s="465">
        <f t="shared" si="10"/>
        <v>1</v>
      </c>
      <c r="N34" s="429">
        <f t="shared" si="11"/>
        <v>97917.34</v>
      </c>
    </row>
    <row r="35" spans="1:14">
      <c r="A35" s="854">
        <f t="shared" si="1"/>
        <v>21</v>
      </c>
      <c r="B35" s="513">
        <v>35200</v>
      </c>
      <c r="C35" s="88" t="s">
        <v>441</v>
      </c>
      <c r="D35" s="346">
        <v>1069986.94</v>
      </c>
      <c r="E35" s="429">
        <v>0</v>
      </c>
      <c r="F35" s="429">
        <f t="shared" si="7"/>
        <v>1069986.94</v>
      </c>
      <c r="G35" s="465">
        <f t="shared" si="8"/>
        <v>1</v>
      </c>
      <c r="H35" s="465">
        <f t="shared" si="8"/>
        <v>1</v>
      </c>
      <c r="I35" s="429">
        <f t="shared" si="9"/>
        <v>1069986.94</v>
      </c>
      <c r="K35" s="346">
        <v>989386.71076923073</v>
      </c>
      <c r="L35" s="465">
        <f t="shared" si="10"/>
        <v>1</v>
      </c>
      <c r="M35" s="465">
        <f t="shared" si="10"/>
        <v>1</v>
      </c>
      <c r="N35" s="429">
        <f t="shared" si="11"/>
        <v>989386.71076923073</v>
      </c>
    </row>
    <row r="36" spans="1:14">
      <c r="A36" s="854">
        <f t="shared" si="1"/>
        <v>22</v>
      </c>
      <c r="B36" s="513">
        <v>35201</v>
      </c>
      <c r="C36" s="88" t="s">
        <v>587</v>
      </c>
      <c r="D36" s="346">
        <v>1400173.1</v>
      </c>
      <c r="E36" s="429">
        <v>0</v>
      </c>
      <c r="F36" s="429">
        <f t="shared" si="7"/>
        <v>1400173.1</v>
      </c>
      <c r="G36" s="465">
        <f t="shared" si="8"/>
        <v>1</v>
      </c>
      <c r="H36" s="465">
        <f t="shared" si="8"/>
        <v>1</v>
      </c>
      <c r="I36" s="429">
        <f t="shared" si="9"/>
        <v>1400173.1</v>
      </c>
      <c r="K36" s="346">
        <v>1387338.0799999998</v>
      </c>
      <c r="L36" s="465">
        <f t="shared" si="10"/>
        <v>1</v>
      </c>
      <c r="M36" s="465">
        <f t="shared" si="10"/>
        <v>1</v>
      </c>
      <c r="N36" s="429">
        <f t="shared" si="11"/>
        <v>1387338.0799999998</v>
      </c>
    </row>
    <row r="37" spans="1:14">
      <c r="A37" s="854">
        <f t="shared" si="1"/>
        <v>23</v>
      </c>
      <c r="B37" s="513">
        <v>35202</v>
      </c>
      <c r="C37" s="88" t="s">
        <v>588</v>
      </c>
      <c r="D37" s="346">
        <v>452684.37</v>
      </c>
      <c r="E37" s="429">
        <v>0</v>
      </c>
      <c r="F37" s="429">
        <f t="shared" si="7"/>
        <v>452684.37</v>
      </c>
      <c r="G37" s="465">
        <f t="shared" si="8"/>
        <v>1</v>
      </c>
      <c r="H37" s="465">
        <f t="shared" si="8"/>
        <v>1</v>
      </c>
      <c r="I37" s="429">
        <f t="shared" si="9"/>
        <v>452684.37</v>
      </c>
      <c r="K37" s="346">
        <v>450595.11000000004</v>
      </c>
      <c r="L37" s="465">
        <f t="shared" si="10"/>
        <v>1</v>
      </c>
      <c r="M37" s="465">
        <f t="shared" si="10"/>
        <v>1</v>
      </c>
      <c r="N37" s="429">
        <f t="shared" si="11"/>
        <v>450595.11000000004</v>
      </c>
    </row>
    <row r="38" spans="1:14">
      <c r="A38" s="854">
        <f t="shared" si="1"/>
        <v>24</v>
      </c>
      <c r="B38" s="513">
        <v>35203</v>
      </c>
      <c r="C38" s="88" t="s">
        <v>343</v>
      </c>
      <c r="D38" s="346">
        <v>739272.78</v>
      </c>
      <c r="E38" s="429">
        <v>0</v>
      </c>
      <c r="F38" s="429">
        <f t="shared" si="7"/>
        <v>739272.78</v>
      </c>
      <c r="G38" s="465">
        <f t="shared" si="8"/>
        <v>1</v>
      </c>
      <c r="H38" s="465">
        <f t="shared" si="8"/>
        <v>1</v>
      </c>
      <c r="I38" s="429">
        <f t="shared" si="9"/>
        <v>739272.78</v>
      </c>
      <c r="K38" s="346">
        <v>724019.28</v>
      </c>
      <c r="L38" s="465">
        <f t="shared" si="10"/>
        <v>1</v>
      </c>
      <c r="M38" s="465">
        <f t="shared" si="10"/>
        <v>1</v>
      </c>
      <c r="N38" s="429">
        <f t="shared" si="11"/>
        <v>724019.28</v>
      </c>
    </row>
    <row r="39" spans="1:14">
      <c r="A39" s="854">
        <f t="shared" si="1"/>
        <v>25</v>
      </c>
      <c r="B39" s="513">
        <v>35210</v>
      </c>
      <c r="C39" s="88" t="s">
        <v>589</v>
      </c>
      <c r="D39" s="346">
        <v>167628.76</v>
      </c>
      <c r="E39" s="429">
        <v>0</v>
      </c>
      <c r="F39" s="429">
        <f t="shared" si="7"/>
        <v>167628.76</v>
      </c>
      <c r="G39" s="465">
        <f t="shared" si="8"/>
        <v>1</v>
      </c>
      <c r="H39" s="465">
        <f t="shared" si="8"/>
        <v>1</v>
      </c>
      <c r="I39" s="429">
        <f t="shared" si="9"/>
        <v>167628.76</v>
      </c>
      <c r="K39" s="346">
        <v>167316.34</v>
      </c>
      <c r="L39" s="465">
        <f t="shared" si="10"/>
        <v>1</v>
      </c>
      <c r="M39" s="465">
        <f t="shared" si="10"/>
        <v>1</v>
      </c>
      <c r="N39" s="429">
        <f t="shared" si="11"/>
        <v>167316.34</v>
      </c>
    </row>
    <row r="40" spans="1:14">
      <c r="A40" s="854">
        <f t="shared" si="1"/>
        <v>26</v>
      </c>
      <c r="B40" s="513">
        <v>35211</v>
      </c>
      <c r="C40" s="88" t="s">
        <v>590</v>
      </c>
      <c r="D40" s="346">
        <v>43595.16</v>
      </c>
      <c r="E40" s="429">
        <v>0</v>
      </c>
      <c r="F40" s="429">
        <f t="shared" si="7"/>
        <v>43595.16</v>
      </c>
      <c r="G40" s="465">
        <f t="shared" si="8"/>
        <v>1</v>
      </c>
      <c r="H40" s="465">
        <f t="shared" si="8"/>
        <v>1</v>
      </c>
      <c r="I40" s="429">
        <f t="shared" si="9"/>
        <v>43595.16</v>
      </c>
      <c r="K40" s="346">
        <v>43354.86</v>
      </c>
      <c r="L40" s="465">
        <f t="shared" si="10"/>
        <v>1</v>
      </c>
      <c r="M40" s="465">
        <f t="shared" si="10"/>
        <v>1</v>
      </c>
      <c r="N40" s="429">
        <f t="shared" si="11"/>
        <v>43354.86</v>
      </c>
    </row>
    <row r="41" spans="1:14">
      <c r="A41" s="854">
        <f t="shared" si="1"/>
        <v>27</v>
      </c>
      <c r="B41" s="513">
        <v>35301</v>
      </c>
      <c r="C41" s="81" t="s">
        <v>162</v>
      </c>
      <c r="D41" s="346">
        <v>-89549.18</v>
      </c>
      <c r="E41" s="429">
        <v>0</v>
      </c>
      <c r="F41" s="429">
        <f t="shared" si="7"/>
        <v>-89549.18</v>
      </c>
      <c r="G41" s="465">
        <f t="shared" si="8"/>
        <v>1</v>
      </c>
      <c r="H41" s="465">
        <f t="shared" si="8"/>
        <v>1</v>
      </c>
      <c r="I41" s="429">
        <f t="shared" si="9"/>
        <v>-89549.18</v>
      </c>
      <c r="K41" s="346">
        <v>-90259.34</v>
      </c>
      <c r="L41" s="465">
        <f t="shared" si="10"/>
        <v>1</v>
      </c>
      <c r="M41" s="465">
        <f t="shared" si="10"/>
        <v>1</v>
      </c>
      <c r="N41" s="429">
        <f t="shared" si="11"/>
        <v>-90259.34</v>
      </c>
    </row>
    <row r="42" spans="1:14">
      <c r="A42" s="854">
        <f t="shared" si="1"/>
        <v>28</v>
      </c>
      <c r="B42" s="513">
        <v>35302</v>
      </c>
      <c r="C42" s="88" t="s">
        <v>596</v>
      </c>
      <c r="D42" s="346">
        <v>187800.43</v>
      </c>
      <c r="E42" s="429">
        <v>0</v>
      </c>
      <c r="F42" s="429">
        <f t="shared" si="7"/>
        <v>187800.43</v>
      </c>
      <c r="G42" s="465">
        <f t="shared" si="8"/>
        <v>1</v>
      </c>
      <c r="H42" s="465">
        <f t="shared" si="8"/>
        <v>1</v>
      </c>
      <c r="I42" s="429">
        <f t="shared" si="9"/>
        <v>187800.43</v>
      </c>
      <c r="K42" s="346">
        <v>186952.69</v>
      </c>
      <c r="L42" s="465">
        <f t="shared" si="10"/>
        <v>1</v>
      </c>
      <c r="M42" s="465">
        <f t="shared" si="10"/>
        <v>1</v>
      </c>
      <c r="N42" s="429">
        <f t="shared" si="11"/>
        <v>186952.69</v>
      </c>
    </row>
    <row r="43" spans="1:14">
      <c r="A43" s="854">
        <f t="shared" si="1"/>
        <v>29</v>
      </c>
      <c r="B43" s="513">
        <v>35400</v>
      </c>
      <c r="C43" s="88" t="s">
        <v>591</v>
      </c>
      <c r="D43" s="346">
        <v>485847.9</v>
      </c>
      <c r="E43" s="429">
        <v>0</v>
      </c>
      <c r="F43" s="429">
        <f t="shared" si="7"/>
        <v>485847.9</v>
      </c>
      <c r="G43" s="465">
        <f t="shared" si="8"/>
        <v>1</v>
      </c>
      <c r="H43" s="465">
        <f t="shared" si="8"/>
        <v>1</v>
      </c>
      <c r="I43" s="429">
        <f t="shared" si="9"/>
        <v>485847.9</v>
      </c>
      <c r="K43" s="346">
        <v>477536.87999999995</v>
      </c>
      <c r="L43" s="465">
        <f t="shared" si="10"/>
        <v>1</v>
      </c>
      <c r="M43" s="465">
        <f t="shared" si="10"/>
        <v>1</v>
      </c>
      <c r="N43" s="429">
        <f t="shared" si="11"/>
        <v>477536.87999999995</v>
      </c>
    </row>
    <row r="44" spans="1:14">
      <c r="A44" s="854">
        <f t="shared" si="1"/>
        <v>30</v>
      </c>
      <c r="B44" s="513">
        <v>35500</v>
      </c>
      <c r="C44" s="88" t="s">
        <v>992</v>
      </c>
      <c r="D44" s="346">
        <v>199915.11</v>
      </c>
      <c r="E44" s="429">
        <v>0</v>
      </c>
      <c r="F44" s="429">
        <f t="shared" si="7"/>
        <v>199915.11</v>
      </c>
      <c r="G44" s="465">
        <f t="shared" si="8"/>
        <v>1</v>
      </c>
      <c r="H44" s="465">
        <f t="shared" si="8"/>
        <v>1</v>
      </c>
      <c r="I44" s="429">
        <f t="shared" si="9"/>
        <v>199915.11</v>
      </c>
      <c r="K44" s="346">
        <v>199218.75</v>
      </c>
      <c r="L44" s="465">
        <f t="shared" si="10"/>
        <v>1</v>
      </c>
      <c r="M44" s="465">
        <f t="shared" si="10"/>
        <v>1</v>
      </c>
      <c r="N44" s="429">
        <f t="shared" si="11"/>
        <v>199218.75</v>
      </c>
    </row>
    <row r="45" spans="1:14">
      <c r="A45" s="854">
        <f t="shared" si="1"/>
        <v>31</v>
      </c>
      <c r="B45" s="513">
        <v>35600</v>
      </c>
      <c r="C45" s="88" t="s">
        <v>1040</v>
      </c>
      <c r="D45" s="346">
        <v>185567.15</v>
      </c>
      <c r="E45" s="1042">
        <v>0</v>
      </c>
      <c r="F45" s="1042">
        <f t="shared" si="7"/>
        <v>185567.15</v>
      </c>
      <c r="G45" s="465">
        <f t="shared" si="8"/>
        <v>1</v>
      </c>
      <c r="H45" s="465">
        <f t="shared" si="8"/>
        <v>1</v>
      </c>
      <c r="I45" s="1042">
        <f t="shared" si="9"/>
        <v>185567.15</v>
      </c>
      <c r="K45" s="346">
        <v>181316.86999999997</v>
      </c>
      <c r="L45" s="465">
        <f t="shared" si="10"/>
        <v>1</v>
      </c>
      <c r="M45" s="465">
        <f t="shared" si="10"/>
        <v>1</v>
      </c>
      <c r="N45" s="1042">
        <f t="shared" si="11"/>
        <v>181316.86999999997</v>
      </c>
    </row>
    <row r="46" spans="1:14">
      <c r="A46" s="854">
        <f t="shared" si="1"/>
        <v>32</v>
      </c>
      <c r="B46" s="513"/>
      <c r="C46" s="88"/>
      <c r="D46" s="1056"/>
      <c r="E46" s="429"/>
      <c r="F46" s="429"/>
      <c r="G46" s="465"/>
      <c r="H46" s="465"/>
      <c r="I46" s="429"/>
      <c r="K46" s="1056"/>
      <c r="N46" s="429"/>
    </row>
    <row r="47" spans="1:14">
      <c r="A47" s="854">
        <f t="shared" si="1"/>
        <v>33</v>
      </c>
      <c r="B47" s="513"/>
      <c r="C47" s="88" t="s">
        <v>1381</v>
      </c>
      <c r="D47" s="346">
        <f>SUM(D29:D46)</f>
        <v>5084867.3800000008</v>
      </c>
      <c r="E47" s="346">
        <f>SUM(E29:E46)</f>
        <v>0</v>
      </c>
      <c r="F47" s="346">
        <f>SUM(F29:F46)</f>
        <v>5084867.3800000008</v>
      </c>
      <c r="G47" s="465"/>
      <c r="H47" s="465"/>
      <c r="I47" s="346">
        <f>SUM(I29:I46)</f>
        <v>5084867.3800000008</v>
      </c>
      <c r="K47" s="346">
        <f>SUM(K29:K46)</f>
        <v>4956600.2707692301</v>
      </c>
      <c r="N47" s="346">
        <f>SUM(N29:N46)</f>
        <v>4956600.2707692301</v>
      </c>
    </row>
    <row r="48" spans="1:14">
      <c r="A48" s="854">
        <f t="shared" si="1"/>
        <v>34</v>
      </c>
      <c r="B48" s="513"/>
      <c r="C48" s="88"/>
      <c r="D48" s="429"/>
      <c r="E48" s="429"/>
      <c r="F48" s="429"/>
      <c r="G48" s="465"/>
      <c r="H48" s="465"/>
      <c r="I48" s="429"/>
      <c r="K48" s="429"/>
      <c r="N48" s="429"/>
    </row>
    <row r="49" spans="1:14">
      <c r="A49" s="854">
        <f t="shared" si="1"/>
        <v>35</v>
      </c>
      <c r="B49" s="513"/>
      <c r="C49" s="619" t="s">
        <v>993</v>
      </c>
      <c r="D49" s="429"/>
      <c r="E49" s="429"/>
      <c r="F49" s="429"/>
      <c r="G49" s="465"/>
      <c r="H49" s="465"/>
      <c r="I49" s="429"/>
      <c r="K49" s="429"/>
      <c r="N49" s="429"/>
    </row>
    <row r="50" spans="1:14">
      <c r="A50" s="854">
        <f t="shared" si="1"/>
        <v>36</v>
      </c>
      <c r="B50" s="513">
        <v>36510</v>
      </c>
      <c r="C50" s="88" t="s">
        <v>292</v>
      </c>
      <c r="D50" s="346"/>
      <c r="E50" s="346">
        <v>0</v>
      </c>
      <c r="F50" s="346">
        <f t="shared" ref="F50:F58" si="12">D50-E50</f>
        <v>0</v>
      </c>
      <c r="G50" s="465">
        <f t="shared" ref="G50:H58" si="13">$G$16</f>
        <v>1</v>
      </c>
      <c r="H50" s="465">
        <f t="shared" si="13"/>
        <v>1</v>
      </c>
      <c r="I50" s="346">
        <f t="shared" ref="I50:I58" si="14">F50*G50*H50</f>
        <v>0</v>
      </c>
      <c r="K50" s="346"/>
      <c r="L50" s="465">
        <f t="shared" ref="L50:M58" si="15">$G$16</f>
        <v>1</v>
      </c>
      <c r="M50" s="465">
        <f t="shared" si="15"/>
        <v>1</v>
      </c>
      <c r="N50" s="346">
        <f t="shared" ref="N50:N58" si="16">K50*L50*M50</f>
        <v>0</v>
      </c>
    </row>
    <row r="51" spans="1:14">
      <c r="A51" s="854">
        <f t="shared" si="1"/>
        <v>37</v>
      </c>
      <c r="B51" s="513">
        <v>36520</v>
      </c>
      <c r="C51" s="88" t="s">
        <v>792</v>
      </c>
      <c r="D51" s="346">
        <v>420654.42</v>
      </c>
      <c r="E51" s="429">
        <v>0</v>
      </c>
      <c r="F51" s="429">
        <f t="shared" si="12"/>
        <v>420654.42</v>
      </c>
      <c r="G51" s="465">
        <f t="shared" si="13"/>
        <v>1</v>
      </c>
      <c r="H51" s="465">
        <f t="shared" si="13"/>
        <v>1</v>
      </c>
      <c r="I51" s="429">
        <f t="shared" si="14"/>
        <v>420654.42</v>
      </c>
      <c r="K51" s="346">
        <v>414883.73999999993</v>
      </c>
      <c r="L51" s="465">
        <f t="shared" si="15"/>
        <v>1</v>
      </c>
      <c r="M51" s="465">
        <f t="shared" si="15"/>
        <v>1</v>
      </c>
      <c r="N51" s="429">
        <f t="shared" si="16"/>
        <v>414883.73999999993</v>
      </c>
    </row>
    <row r="52" spans="1:14">
      <c r="A52" s="854">
        <f t="shared" si="1"/>
        <v>38</v>
      </c>
      <c r="B52" s="513">
        <v>36602</v>
      </c>
      <c r="C52" s="88" t="s">
        <v>856</v>
      </c>
      <c r="D52" s="346">
        <v>16315.51</v>
      </c>
      <c r="E52" s="429">
        <v>0</v>
      </c>
      <c r="F52" s="429">
        <f t="shared" si="12"/>
        <v>16315.51</v>
      </c>
      <c r="G52" s="465">
        <f t="shared" si="13"/>
        <v>1</v>
      </c>
      <c r="H52" s="465">
        <f t="shared" si="13"/>
        <v>1</v>
      </c>
      <c r="I52" s="429">
        <f t="shared" si="14"/>
        <v>16315.51</v>
      </c>
      <c r="K52" s="346">
        <v>15879.429999999997</v>
      </c>
      <c r="L52" s="465">
        <f t="shared" si="15"/>
        <v>1</v>
      </c>
      <c r="M52" s="465">
        <f t="shared" si="15"/>
        <v>1</v>
      </c>
      <c r="N52" s="429">
        <f t="shared" si="16"/>
        <v>15879.429999999997</v>
      </c>
    </row>
    <row r="53" spans="1:14">
      <c r="A53" s="854">
        <f t="shared" si="1"/>
        <v>39</v>
      </c>
      <c r="B53" s="513">
        <v>36603</v>
      </c>
      <c r="C53" s="88" t="s">
        <v>994</v>
      </c>
      <c r="D53" s="346">
        <v>52418.13</v>
      </c>
      <c r="E53" s="429">
        <v>0</v>
      </c>
      <c r="F53" s="429">
        <f t="shared" si="12"/>
        <v>52418.13</v>
      </c>
      <c r="G53" s="465">
        <f t="shared" si="13"/>
        <v>1</v>
      </c>
      <c r="H53" s="465">
        <f t="shared" si="13"/>
        <v>1</v>
      </c>
      <c r="I53" s="429">
        <f t="shared" si="14"/>
        <v>52418.13</v>
      </c>
      <c r="K53" s="346">
        <v>51876.75</v>
      </c>
      <c r="L53" s="465">
        <f t="shared" si="15"/>
        <v>1</v>
      </c>
      <c r="M53" s="465">
        <f t="shared" si="15"/>
        <v>1</v>
      </c>
      <c r="N53" s="429">
        <f t="shared" si="16"/>
        <v>51876.75</v>
      </c>
    </row>
    <row r="54" spans="1:14">
      <c r="A54" s="854">
        <f t="shared" si="1"/>
        <v>40</v>
      </c>
      <c r="B54" s="513">
        <v>36700</v>
      </c>
      <c r="C54" s="88" t="s">
        <v>844</v>
      </c>
      <c r="D54" s="346">
        <v>86953.75</v>
      </c>
      <c r="E54" s="429">
        <v>0</v>
      </c>
      <c r="F54" s="429">
        <f t="shared" si="12"/>
        <v>86953.75</v>
      </c>
      <c r="G54" s="465">
        <f t="shared" si="13"/>
        <v>1</v>
      </c>
      <c r="H54" s="465">
        <f t="shared" si="13"/>
        <v>1</v>
      </c>
      <c r="I54" s="429">
        <f t="shared" si="14"/>
        <v>86953.75</v>
      </c>
      <c r="K54" s="346">
        <v>88801.69</v>
      </c>
      <c r="L54" s="465">
        <f t="shared" si="15"/>
        <v>1</v>
      </c>
      <c r="M54" s="465">
        <f t="shared" si="15"/>
        <v>1</v>
      </c>
      <c r="N54" s="429">
        <f t="shared" si="16"/>
        <v>88801.69</v>
      </c>
    </row>
    <row r="55" spans="1:14">
      <c r="A55" s="854">
        <f t="shared" si="1"/>
        <v>41</v>
      </c>
      <c r="B55" s="513">
        <v>36701</v>
      </c>
      <c r="C55" s="88" t="s">
        <v>16</v>
      </c>
      <c r="D55" s="346">
        <v>17765733.109999999</v>
      </c>
      <c r="E55" s="429">
        <v>0</v>
      </c>
      <c r="F55" s="429">
        <f t="shared" si="12"/>
        <v>17765733.109999999</v>
      </c>
      <c r="G55" s="465">
        <f t="shared" si="13"/>
        <v>1</v>
      </c>
      <c r="H55" s="465">
        <f t="shared" si="13"/>
        <v>1</v>
      </c>
      <c r="I55" s="429">
        <f t="shared" si="14"/>
        <v>17765733.109999999</v>
      </c>
      <c r="K55" s="346">
        <v>17796626.15076923</v>
      </c>
      <c r="L55" s="465">
        <f t="shared" si="15"/>
        <v>1</v>
      </c>
      <c r="M55" s="465">
        <f t="shared" si="15"/>
        <v>1</v>
      </c>
      <c r="N55" s="429">
        <f t="shared" si="16"/>
        <v>17796626.15076923</v>
      </c>
    </row>
    <row r="56" spans="1:14">
      <c r="A56" s="1152">
        <f t="shared" si="1"/>
        <v>42</v>
      </c>
      <c r="B56" s="513">
        <v>36703</v>
      </c>
      <c r="C56" s="88" t="s">
        <v>1640</v>
      </c>
      <c r="D56" s="346"/>
      <c r="E56" s="429">
        <v>0</v>
      </c>
      <c r="F56" s="429">
        <f t="shared" ref="F56" si="17">D56-E56</f>
        <v>0</v>
      </c>
      <c r="G56" s="465">
        <f t="shared" si="13"/>
        <v>1</v>
      </c>
      <c r="H56" s="465">
        <f t="shared" si="13"/>
        <v>1</v>
      </c>
      <c r="I56" s="429">
        <f t="shared" ref="I56" si="18">F56*G56*H56</f>
        <v>0</v>
      </c>
      <c r="K56" s="346"/>
      <c r="L56" s="465">
        <f t="shared" si="15"/>
        <v>1</v>
      </c>
      <c r="M56" s="465">
        <f t="shared" si="15"/>
        <v>1</v>
      </c>
      <c r="N56" s="429">
        <f t="shared" ref="N56" si="19">K56*L56*M56</f>
        <v>0</v>
      </c>
    </row>
    <row r="57" spans="1:14">
      <c r="A57" s="1152">
        <f t="shared" si="1"/>
        <v>43</v>
      </c>
      <c r="B57" s="513">
        <v>36900</v>
      </c>
      <c r="C57" s="88" t="s">
        <v>995</v>
      </c>
      <c r="D57" s="346">
        <v>344823.93</v>
      </c>
      <c r="E57" s="429">
        <v>0</v>
      </c>
      <c r="F57" s="429">
        <f t="shared" si="12"/>
        <v>344823.93</v>
      </c>
      <c r="G57" s="465">
        <f t="shared" si="13"/>
        <v>1</v>
      </c>
      <c r="H57" s="465">
        <f t="shared" si="13"/>
        <v>1</v>
      </c>
      <c r="I57" s="429">
        <f t="shared" si="14"/>
        <v>344823.93</v>
      </c>
      <c r="K57" s="346">
        <v>336327.86769230763</v>
      </c>
      <c r="L57" s="465">
        <f t="shared" si="15"/>
        <v>1</v>
      </c>
      <c r="M57" s="465">
        <f t="shared" si="15"/>
        <v>1</v>
      </c>
      <c r="N57" s="429">
        <f t="shared" si="16"/>
        <v>336327.86769230763</v>
      </c>
    </row>
    <row r="58" spans="1:14">
      <c r="A58" s="1152">
        <f t="shared" si="1"/>
        <v>44</v>
      </c>
      <c r="B58" s="513">
        <v>36901</v>
      </c>
      <c r="C58" s="88" t="s">
        <v>995</v>
      </c>
      <c r="D58" s="346">
        <v>1744584.06</v>
      </c>
      <c r="E58" s="1042">
        <v>0</v>
      </c>
      <c r="F58" s="1042">
        <f t="shared" si="12"/>
        <v>1744584.06</v>
      </c>
      <c r="G58" s="465">
        <f t="shared" si="13"/>
        <v>1</v>
      </c>
      <c r="H58" s="465">
        <f t="shared" si="13"/>
        <v>1</v>
      </c>
      <c r="I58" s="1042">
        <f t="shared" si="14"/>
        <v>1744584.06</v>
      </c>
      <c r="K58" s="346">
        <v>1720337.6376923076</v>
      </c>
      <c r="L58" s="465">
        <f t="shared" si="15"/>
        <v>1</v>
      </c>
      <c r="M58" s="465">
        <f t="shared" si="15"/>
        <v>1</v>
      </c>
      <c r="N58" s="1042">
        <f t="shared" si="16"/>
        <v>1720337.6376923076</v>
      </c>
    </row>
    <row r="59" spans="1:14">
      <c r="A59" s="1152">
        <f t="shared" si="1"/>
        <v>45</v>
      </c>
      <c r="B59" s="513"/>
      <c r="C59" s="88"/>
      <c r="D59" s="1056"/>
      <c r="E59" s="429"/>
      <c r="F59" s="429"/>
      <c r="G59" s="465"/>
      <c r="H59" s="465"/>
      <c r="I59" s="429"/>
      <c r="K59" s="1056"/>
      <c r="N59" s="429"/>
    </row>
    <row r="60" spans="1:14">
      <c r="A60" s="1152">
        <f t="shared" si="1"/>
        <v>46</v>
      </c>
      <c r="B60" s="706"/>
      <c r="C60" s="88" t="s">
        <v>1380</v>
      </c>
      <c r="D60" s="346">
        <f>SUM(D50:D59)</f>
        <v>20431482.909999996</v>
      </c>
      <c r="E60" s="346">
        <f>SUM(E50:E59)</f>
        <v>0</v>
      </c>
      <c r="F60" s="346">
        <f>SUM(F50:F59)</f>
        <v>20431482.909999996</v>
      </c>
      <c r="G60" s="465"/>
      <c r="H60" s="465"/>
      <c r="I60" s="346">
        <f>SUM(I50:I59)</f>
        <v>20431482.909999996</v>
      </c>
      <c r="K60" s="346">
        <f>SUM(K50:K59)</f>
        <v>20424733.266153842</v>
      </c>
      <c r="N60" s="346">
        <f>SUM(N50:N59)</f>
        <v>20424733.266153842</v>
      </c>
    </row>
    <row r="61" spans="1:14">
      <c r="A61" s="1152">
        <f t="shared" si="1"/>
        <v>47</v>
      </c>
      <c r="B61" s="706"/>
      <c r="C61" s="81"/>
      <c r="D61" s="429"/>
      <c r="E61" s="429"/>
      <c r="F61" s="429"/>
      <c r="G61" s="465"/>
      <c r="H61" s="465"/>
      <c r="I61" s="429"/>
      <c r="K61" s="429"/>
      <c r="N61" s="429"/>
    </row>
    <row r="62" spans="1:14">
      <c r="A62" s="1152">
        <f t="shared" si="1"/>
        <v>48</v>
      </c>
      <c r="B62" s="706"/>
      <c r="C62" s="619" t="s">
        <v>299</v>
      </c>
      <c r="D62" s="429"/>
      <c r="E62" s="429"/>
      <c r="F62" s="429"/>
      <c r="G62" s="465"/>
      <c r="H62" s="465"/>
      <c r="I62" s="429"/>
      <c r="K62" s="429"/>
      <c r="N62" s="429"/>
    </row>
    <row r="63" spans="1:14">
      <c r="A63" s="1152">
        <f t="shared" si="1"/>
        <v>49</v>
      </c>
      <c r="B63" s="513">
        <v>37400</v>
      </c>
      <c r="C63" s="88" t="s">
        <v>1147</v>
      </c>
      <c r="D63" s="346"/>
      <c r="E63" s="346">
        <v>0</v>
      </c>
      <c r="F63" s="346">
        <f t="shared" ref="F63:F84" si="20">D63-E63</f>
        <v>0</v>
      </c>
      <c r="G63" s="465">
        <f t="shared" ref="G63:H84" si="21">$G$16</f>
        <v>1</v>
      </c>
      <c r="H63" s="465">
        <f t="shared" si="21"/>
        <v>1</v>
      </c>
      <c r="I63" s="346">
        <f t="shared" ref="I63:I84" si="22">F63*G63*H63</f>
        <v>0</v>
      </c>
      <c r="K63" s="346"/>
      <c r="L63" s="465">
        <f t="shared" ref="L63:M84" si="23">$G$16</f>
        <v>1</v>
      </c>
      <c r="M63" s="465">
        <f t="shared" si="23"/>
        <v>1</v>
      </c>
      <c r="N63" s="346">
        <f t="shared" ref="N63:N84" si="24">K63*L63*M63</f>
        <v>0</v>
      </c>
    </row>
    <row r="64" spans="1:14">
      <c r="A64" s="1152">
        <f t="shared" si="1"/>
        <v>50</v>
      </c>
      <c r="B64" s="513">
        <v>37401</v>
      </c>
      <c r="C64" s="88" t="s">
        <v>292</v>
      </c>
      <c r="D64" s="346"/>
      <c r="E64" s="429">
        <v>0</v>
      </c>
      <c r="F64" s="429">
        <f t="shared" si="20"/>
        <v>0</v>
      </c>
      <c r="G64" s="465">
        <f t="shared" si="21"/>
        <v>1</v>
      </c>
      <c r="H64" s="465">
        <f t="shared" si="21"/>
        <v>1</v>
      </c>
      <c r="I64" s="429">
        <f t="shared" si="22"/>
        <v>0</v>
      </c>
      <c r="K64" s="346"/>
      <c r="L64" s="465">
        <f t="shared" si="23"/>
        <v>1</v>
      </c>
      <c r="M64" s="465">
        <f t="shared" si="23"/>
        <v>1</v>
      </c>
      <c r="N64" s="429">
        <f t="shared" si="24"/>
        <v>0</v>
      </c>
    </row>
    <row r="65" spans="1:14">
      <c r="A65" s="1152">
        <f t="shared" si="1"/>
        <v>51</v>
      </c>
      <c r="B65" s="513">
        <v>37402</v>
      </c>
      <c r="C65" s="88" t="s">
        <v>999</v>
      </c>
      <c r="D65" s="346">
        <v>202160.46</v>
      </c>
      <c r="E65" s="429">
        <v>0</v>
      </c>
      <c r="F65" s="429">
        <f t="shared" si="20"/>
        <v>202160.46</v>
      </c>
      <c r="G65" s="465">
        <f t="shared" si="21"/>
        <v>1</v>
      </c>
      <c r="H65" s="465">
        <f t="shared" si="21"/>
        <v>1</v>
      </c>
      <c r="I65" s="429">
        <f t="shared" si="22"/>
        <v>202160.46</v>
      </c>
      <c r="K65" s="346">
        <v>178054.36307692309</v>
      </c>
      <c r="L65" s="465">
        <f t="shared" si="23"/>
        <v>1</v>
      </c>
      <c r="M65" s="465">
        <f t="shared" si="23"/>
        <v>1</v>
      </c>
      <c r="N65" s="429">
        <f t="shared" si="24"/>
        <v>178054.36307692309</v>
      </c>
    </row>
    <row r="66" spans="1:14">
      <c r="A66" s="1152">
        <f t="shared" si="1"/>
        <v>52</v>
      </c>
      <c r="B66" s="513">
        <v>37403</v>
      </c>
      <c r="C66" s="88" t="s">
        <v>996</v>
      </c>
      <c r="D66" s="346"/>
      <c r="E66" s="429">
        <v>0</v>
      </c>
      <c r="F66" s="429">
        <f t="shared" si="20"/>
        <v>0</v>
      </c>
      <c r="G66" s="465">
        <f t="shared" si="21"/>
        <v>1</v>
      </c>
      <c r="H66" s="465">
        <f t="shared" si="21"/>
        <v>1</v>
      </c>
      <c r="I66" s="429">
        <f t="shared" si="22"/>
        <v>0</v>
      </c>
      <c r="K66" s="346"/>
      <c r="L66" s="465">
        <f t="shared" si="23"/>
        <v>1</v>
      </c>
      <c r="M66" s="465">
        <f t="shared" si="23"/>
        <v>1</v>
      </c>
      <c r="N66" s="429">
        <f t="shared" si="24"/>
        <v>0</v>
      </c>
    </row>
    <row r="67" spans="1:14">
      <c r="A67" s="1152">
        <f t="shared" si="1"/>
        <v>53</v>
      </c>
      <c r="B67" s="513">
        <v>37500</v>
      </c>
      <c r="C67" s="88" t="s">
        <v>856</v>
      </c>
      <c r="D67" s="346">
        <v>108955.2</v>
      </c>
      <c r="E67" s="429">
        <v>0</v>
      </c>
      <c r="F67" s="429">
        <f t="shared" si="20"/>
        <v>108955.2</v>
      </c>
      <c r="G67" s="465">
        <f t="shared" si="21"/>
        <v>1</v>
      </c>
      <c r="H67" s="465">
        <f t="shared" si="21"/>
        <v>1</v>
      </c>
      <c r="I67" s="429">
        <f t="shared" si="22"/>
        <v>108955.2</v>
      </c>
      <c r="K67" s="346">
        <v>105492.66</v>
      </c>
      <c r="L67" s="465">
        <f t="shared" si="23"/>
        <v>1</v>
      </c>
      <c r="M67" s="465">
        <f t="shared" si="23"/>
        <v>1</v>
      </c>
      <c r="N67" s="429">
        <f t="shared" si="24"/>
        <v>105492.66</v>
      </c>
    </row>
    <row r="68" spans="1:14">
      <c r="A68" s="1152">
        <f t="shared" si="1"/>
        <v>54</v>
      </c>
      <c r="B68" s="513">
        <v>37501</v>
      </c>
      <c r="C68" s="88" t="s">
        <v>997</v>
      </c>
      <c r="D68" s="346">
        <v>70041.440000000002</v>
      </c>
      <c r="E68" s="429">
        <v>0</v>
      </c>
      <c r="F68" s="429">
        <f t="shared" si="20"/>
        <v>70041.440000000002</v>
      </c>
      <c r="G68" s="465">
        <f t="shared" si="21"/>
        <v>1</v>
      </c>
      <c r="H68" s="465">
        <f t="shared" si="21"/>
        <v>1</v>
      </c>
      <c r="I68" s="429">
        <f t="shared" si="22"/>
        <v>70041.440000000002</v>
      </c>
      <c r="K68" s="346">
        <v>69013.34</v>
      </c>
      <c r="L68" s="465">
        <f t="shared" si="23"/>
        <v>1</v>
      </c>
      <c r="M68" s="465">
        <f t="shared" si="23"/>
        <v>1</v>
      </c>
      <c r="N68" s="429">
        <f t="shared" si="24"/>
        <v>69013.34</v>
      </c>
    </row>
    <row r="69" spans="1:14">
      <c r="A69" s="1152">
        <f t="shared" si="1"/>
        <v>55</v>
      </c>
      <c r="B69" s="513">
        <v>37502</v>
      </c>
      <c r="C69" s="88" t="s">
        <v>999</v>
      </c>
      <c r="D69" s="346">
        <v>34747.03</v>
      </c>
      <c r="E69" s="429">
        <v>0</v>
      </c>
      <c r="F69" s="429">
        <f t="shared" si="20"/>
        <v>34747.03</v>
      </c>
      <c r="G69" s="465">
        <f t="shared" si="21"/>
        <v>1</v>
      </c>
      <c r="H69" s="465">
        <f t="shared" si="21"/>
        <v>1</v>
      </c>
      <c r="I69" s="429">
        <f t="shared" si="22"/>
        <v>34747.03</v>
      </c>
      <c r="K69" s="346">
        <v>34270.51</v>
      </c>
      <c r="L69" s="465">
        <f t="shared" si="23"/>
        <v>1</v>
      </c>
      <c r="M69" s="465">
        <f t="shared" si="23"/>
        <v>1</v>
      </c>
      <c r="N69" s="429">
        <f t="shared" si="24"/>
        <v>34270.51</v>
      </c>
    </row>
    <row r="70" spans="1:14">
      <c r="A70" s="1152">
        <f t="shared" si="1"/>
        <v>56</v>
      </c>
      <c r="B70" s="513">
        <v>37503</v>
      </c>
      <c r="C70" s="88" t="s">
        <v>998</v>
      </c>
      <c r="D70" s="346">
        <v>1863.65</v>
      </c>
      <c r="E70" s="429">
        <v>0</v>
      </c>
      <c r="F70" s="429">
        <f t="shared" si="20"/>
        <v>1863.65</v>
      </c>
      <c r="G70" s="465">
        <f t="shared" si="21"/>
        <v>1</v>
      </c>
      <c r="H70" s="465">
        <f t="shared" si="21"/>
        <v>1</v>
      </c>
      <c r="I70" s="429">
        <f t="shared" si="22"/>
        <v>1863.65</v>
      </c>
      <c r="K70" s="346">
        <v>1822.43</v>
      </c>
      <c r="L70" s="465">
        <f t="shared" si="23"/>
        <v>1</v>
      </c>
      <c r="M70" s="465">
        <f t="shared" si="23"/>
        <v>1</v>
      </c>
      <c r="N70" s="429">
        <f t="shared" si="24"/>
        <v>1822.43</v>
      </c>
    </row>
    <row r="71" spans="1:14">
      <c r="A71" s="1152">
        <f t="shared" si="1"/>
        <v>57</v>
      </c>
      <c r="B71" s="513">
        <v>37600</v>
      </c>
      <c r="C71" s="88" t="s">
        <v>844</v>
      </c>
      <c r="D71" s="346">
        <v>9460082.0899999999</v>
      </c>
      <c r="E71" s="429">
        <v>0</v>
      </c>
      <c r="F71" s="429">
        <f t="shared" si="20"/>
        <v>9460082.0899999999</v>
      </c>
      <c r="G71" s="465">
        <f t="shared" si="21"/>
        <v>1</v>
      </c>
      <c r="H71" s="465">
        <f t="shared" si="21"/>
        <v>1</v>
      </c>
      <c r="I71" s="429">
        <f t="shared" si="22"/>
        <v>9460082.0899999999</v>
      </c>
      <c r="K71" s="346">
        <v>11165796.906923076</v>
      </c>
      <c r="L71" s="465">
        <f t="shared" si="23"/>
        <v>1</v>
      </c>
      <c r="M71" s="465">
        <f t="shared" si="23"/>
        <v>1</v>
      </c>
      <c r="N71" s="429">
        <f t="shared" si="24"/>
        <v>11165796.906923076</v>
      </c>
    </row>
    <row r="72" spans="1:14">
      <c r="A72" s="1152">
        <f t="shared" si="1"/>
        <v>58</v>
      </c>
      <c r="B72" s="513">
        <v>37601</v>
      </c>
      <c r="C72" s="88" t="s">
        <v>16</v>
      </c>
      <c r="D72" s="346">
        <v>30142777.77</v>
      </c>
      <c r="E72" s="429">
        <v>0</v>
      </c>
      <c r="F72" s="429">
        <f t="shared" si="20"/>
        <v>30142777.77</v>
      </c>
      <c r="G72" s="465">
        <f t="shared" si="21"/>
        <v>1</v>
      </c>
      <c r="H72" s="465">
        <f t="shared" si="21"/>
        <v>1</v>
      </c>
      <c r="I72" s="429">
        <f t="shared" si="22"/>
        <v>30142777.77</v>
      </c>
      <c r="K72" s="346">
        <v>29873951.840769231</v>
      </c>
      <c r="L72" s="465">
        <f t="shared" si="23"/>
        <v>1</v>
      </c>
      <c r="M72" s="465">
        <f t="shared" si="23"/>
        <v>1</v>
      </c>
      <c r="N72" s="429">
        <f t="shared" si="24"/>
        <v>29873951.840769231</v>
      </c>
    </row>
    <row r="73" spans="1:14">
      <c r="A73" s="1152">
        <f t="shared" si="1"/>
        <v>59</v>
      </c>
      <c r="B73" s="513">
        <v>37602</v>
      </c>
      <c r="C73" s="88" t="s">
        <v>845</v>
      </c>
      <c r="D73" s="346">
        <v>15541180.130000001</v>
      </c>
      <c r="E73" s="429">
        <v>0</v>
      </c>
      <c r="F73" s="429">
        <f t="shared" si="20"/>
        <v>15541180.130000001</v>
      </c>
      <c r="G73" s="465">
        <f t="shared" si="21"/>
        <v>1</v>
      </c>
      <c r="H73" s="465">
        <f t="shared" si="21"/>
        <v>1</v>
      </c>
      <c r="I73" s="429">
        <f t="shared" si="22"/>
        <v>15541180.130000001</v>
      </c>
      <c r="K73" s="346">
        <v>15457237.813076923</v>
      </c>
      <c r="L73" s="465">
        <f t="shared" si="23"/>
        <v>1</v>
      </c>
      <c r="M73" s="465">
        <f t="shared" si="23"/>
        <v>1</v>
      </c>
      <c r="N73" s="429">
        <f t="shared" si="24"/>
        <v>15457237.813076923</v>
      </c>
    </row>
    <row r="74" spans="1:14">
      <c r="A74" s="1152">
        <f t="shared" si="1"/>
        <v>60</v>
      </c>
      <c r="B74" s="513">
        <v>37603</v>
      </c>
      <c r="C74" s="88" t="s">
        <v>1640</v>
      </c>
      <c r="D74" s="346"/>
      <c r="E74" s="429">
        <v>0</v>
      </c>
      <c r="F74" s="429">
        <f t="shared" ref="F74:F75" si="25">D74-E74</f>
        <v>0</v>
      </c>
      <c r="G74" s="465">
        <f t="shared" si="21"/>
        <v>1</v>
      </c>
      <c r="H74" s="465">
        <f t="shared" si="21"/>
        <v>1</v>
      </c>
      <c r="I74" s="429">
        <f t="shared" ref="I74:I75" si="26">F74*G74*H74</f>
        <v>0</v>
      </c>
      <c r="K74" s="346"/>
      <c r="L74" s="465">
        <f t="shared" si="23"/>
        <v>1</v>
      </c>
      <c r="M74" s="465">
        <f t="shared" si="23"/>
        <v>1</v>
      </c>
      <c r="N74" s="429">
        <f t="shared" ref="N74:N75" si="27">K74*L74*M74</f>
        <v>0</v>
      </c>
    </row>
    <row r="75" spans="1:14">
      <c r="A75" s="1152">
        <f t="shared" si="1"/>
        <v>61</v>
      </c>
      <c r="B75" s="513">
        <v>37604</v>
      </c>
      <c r="C75" s="88" t="s">
        <v>1641</v>
      </c>
      <c r="D75" s="346"/>
      <c r="E75" s="429">
        <v>0</v>
      </c>
      <c r="F75" s="429">
        <f t="shared" si="25"/>
        <v>0</v>
      </c>
      <c r="G75" s="465">
        <f t="shared" si="21"/>
        <v>1</v>
      </c>
      <c r="H75" s="465">
        <f t="shared" si="21"/>
        <v>1</v>
      </c>
      <c r="I75" s="429">
        <f t="shared" si="26"/>
        <v>0</v>
      </c>
      <c r="K75" s="346"/>
      <c r="L75" s="465">
        <f t="shared" si="23"/>
        <v>1</v>
      </c>
      <c r="M75" s="465">
        <f t="shared" si="23"/>
        <v>1</v>
      </c>
      <c r="N75" s="429">
        <f t="shared" si="27"/>
        <v>0</v>
      </c>
    </row>
    <row r="76" spans="1:14">
      <c r="A76" s="1152">
        <f t="shared" si="1"/>
        <v>62</v>
      </c>
      <c r="B76" s="513">
        <v>37800</v>
      </c>
      <c r="C76" s="88" t="s">
        <v>229</v>
      </c>
      <c r="D76" s="346">
        <v>2117375.5</v>
      </c>
      <c r="E76" s="429">
        <v>0</v>
      </c>
      <c r="F76" s="429">
        <f t="shared" si="20"/>
        <v>2117375.5</v>
      </c>
      <c r="G76" s="465">
        <f t="shared" si="21"/>
        <v>1</v>
      </c>
      <c r="H76" s="465">
        <f t="shared" si="21"/>
        <v>1</v>
      </c>
      <c r="I76" s="429">
        <f t="shared" si="22"/>
        <v>2117375.5</v>
      </c>
      <c r="K76" s="346">
        <v>1990207.4869230771</v>
      </c>
      <c r="L76" s="465">
        <f t="shared" si="23"/>
        <v>1</v>
      </c>
      <c r="M76" s="465">
        <f t="shared" si="23"/>
        <v>1</v>
      </c>
      <c r="N76" s="429">
        <f t="shared" si="24"/>
        <v>1990207.4869230771</v>
      </c>
    </row>
    <row r="77" spans="1:14">
      <c r="A77" s="1152">
        <f t="shared" si="1"/>
        <v>63</v>
      </c>
      <c r="B77" s="513">
        <v>37900</v>
      </c>
      <c r="C77" s="88" t="s">
        <v>1190</v>
      </c>
      <c r="D77" s="346">
        <v>890630.06</v>
      </c>
      <c r="E77" s="429">
        <v>0</v>
      </c>
      <c r="F77" s="429">
        <f t="shared" si="20"/>
        <v>890630.06</v>
      </c>
      <c r="G77" s="465">
        <f t="shared" si="21"/>
        <v>1</v>
      </c>
      <c r="H77" s="465">
        <f t="shared" si="21"/>
        <v>1</v>
      </c>
      <c r="I77" s="429">
        <f t="shared" si="22"/>
        <v>890630.06</v>
      </c>
      <c r="K77" s="346">
        <v>871084.63000000012</v>
      </c>
      <c r="L77" s="465">
        <f t="shared" si="23"/>
        <v>1</v>
      </c>
      <c r="M77" s="465">
        <f t="shared" si="23"/>
        <v>1</v>
      </c>
      <c r="N77" s="429">
        <f t="shared" si="24"/>
        <v>871084.63000000012</v>
      </c>
    </row>
    <row r="78" spans="1:14">
      <c r="A78" s="1152">
        <f t="shared" si="1"/>
        <v>64</v>
      </c>
      <c r="B78" s="513">
        <v>37905</v>
      </c>
      <c r="C78" s="88" t="s">
        <v>725</v>
      </c>
      <c r="D78" s="346">
        <v>992004.81</v>
      </c>
      <c r="E78" s="429">
        <v>0</v>
      </c>
      <c r="F78" s="429">
        <f t="shared" si="20"/>
        <v>992004.81</v>
      </c>
      <c r="G78" s="465">
        <f t="shared" si="21"/>
        <v>1</v>
      </c>
      <c r="H78" s="465">
        <f t="shared" si="21"/>
        <v>1</v>
      </c>
      <c r="I78" s="429">
        <f t="shared" si="22"/>
        <v>992004.81</v>
      </c>
      <c r="K78" s="346">
        <v>977695.20461538481</v>
      </c>
      <c r="L78" s="465">
        <f t="shared" si="23"/>
        <v>1</v>
      </c>
      <c r="M78" s="465">
        <f t="shared" si="23"/>
        <v>1</v>
      </c>
      <c r="N78" s="429">
        <f t="shared" si="24"/>
        <v>977695.20461538481</v>
      </c>
    </row>
    <row r="79" spans="1:14">
      <c r="A79" s="1152">
        <f t="shared" si="1"/>
        <v>65</v>
      </c>
      <c r="B79" s="513">
        <v>38000</v>
      </c>
      <c r="C79" s="88" t="s">
        <v>1052</v>
      </c>
      <c r="D79" s="346">
        <v>35893125.170000002</v>
      </c>
      <c r="E79" s="429">
        <v>0</v>
      </c>
      <c r="F79" s="429">
        <f t="shared" si="20"/>
        <v>35893125.170000002</v>
      </c>
      <c r="G79" s="465">
        <f t="shared" si="21"/>
        <v>1</v>
      </c>
      <c r="H79" s="465">
        <f t="shared" si="21"/>
        <v>1</v>
      </c>
      <c r="I79" s="429">
        <f t="shared" si="22"/>
        <v>35893125.170000002</v>
      </c>
      <c r="K79" s="346">
        <v>35776602.315384619</v>
      </c>
      <c r="L79" s="465">
        <f t="shared" si="23"/>
        <v>1</v>
      </c>
      <c r="M79" s="465">
        <f t="shared" si="23"/>
        <v>1</v>
      </c>
      <c r="N79" s="429">
        <f t="shared" si="24"/>
        <v>35776602.315384619</v>
      </c>
    </row>
    <row r="80" spans="1:14">
      <c r="A80" s="1152">
        <f t="shared" si="1"/>
        <v>66</v>
      </c>
      <c r="B80" s="513">
        <v>38100</v>
      </c>
      <c r="C80" s="88" t="s">
        <v>846</v>
      </c>
      <c r="D80" s="346">
        <v>19513576.149999999</v>
      </c>
      <c r="E80" s="429">
        <v>0</v>
      </c>
      <c r="F80" s="429">
        <f t="shared" si="20"/>
        <v>19513576.149999999</v>
      </c>
      <c r="G80" s="465">
        <f t="shared" si="21"/>
        <v>1</v>
      </c>
      <c r="H80" s="465">
        <f t="shared" si="21"/>
        <v>1</v>
      </c>
      <c r="I80" s="429">
        <f t="shared" si="22"/>
        <v>19513576.149999999</v>
      </c>
      <c r="K80" s="346">
        <v>18283180.942307688</v>
      </c>
      <c r="L80" s="465">
        <f t="shared" si="23"/>
        <v>1</v>
      </c>
      <c r="M80" s="465">
        <f t="shared" si="23"/>
        <v>1</v>
      </c>
      <c r="N80" s="429">
        <f t="shared" si="24"/>
        <v>18283180.942307688</v>
      </c>
    </row>
    <row r="81" spans="1:14">
      <c r="A81" s="1152">
        <f t="shared" si="1"/>
        <v>67</v>
      </c>
      <c r="B81" s="513">
        <v>38200</v>
      </c>
      <c r="C81" s="88" t="s">
        <v>442</v>
      </c>
      <c r="D81" s="346">
        <v>25764183.280000001</v>
      </c>
      <c r="E81" s="429">
        <v>0</v>
      </c>
      <c r="F81" s="429">
        <f t="shared" si="20"/>
        <v>25764183.280000001</v>
      </c>
      <c r="G81" s="465">
        <f t="shared" si="21"/>
        <v>1</v>
      </c>
      <c r="H81" s="465">
        <f t="shared" si="21"/>
        <v>1</v>
      </c>
      <c r="I81" s="429">
        <f t="shared" si="22"/>
        <v>25764183.280000001</v>
      </c>
      <c r="K81" s="346">
        <v>25064929.483076923</v>
      </c>
      <c r="L81" s="465">
        <f t="shared" si="23"/>
        <v>1</v>
      </c>
      <c r="M81" s="465">
        <f t="shared" si="23"/>
        <v>1</v>
      </c>
      <c r="N81" s="429">
        <f t="shared" si="24"/>
        <v>25064929.483076923</v>
      </c>
    </row>
    <row r="82" spans="1:14">
      <c r="A82" s="1152">
        <f t="shared" si="1"/>
        <v>68</v>
      </c>
      <c r="B82" s="513">
        <v>38300</v>
      </c>
      <c r="C82" s="88" t="s">
        <v>1053</v>
      </c>
      <c r="D82" s="346">
        <v>3965783.31</v>
      </c>
      <c r="E82" s="429">
        <v>0</v>
      </c>
      <c r="F82" s="429">
        <f t="shared" si="20"/>
        <v>3965783.31</v>
      </c>
      <c r="G82" s="465">
        <f t="shared" si="21"/>
        <v>1</v>
      </c>
      <c r="H82" s="465">
        <f t="shared" si="21"/>
        <v>1</v>
      </c>
      <c r="I82" s="429">
        <f t="shared" si="22"/>
        <v>3965783.31</v>
      </c>
      <c r="K82" s="346">
        <v>3792720.3992307689</v>
      </c>
      <c r="L82" s="465">
        <f t="shared" si="23"/>
        <v>1</v>
      </c>
      <c r="M82" s="465">
        <f t="shared" si="23"/>
        <v>1</v>
      </c>
      <c r="N82" s="429">
        <f t="shared" si="24"/>
        <v>3792720.3992307689</v>
      </c>
    </row>
    <row r="83" spans="1:14">
      <c r="A83" s="1152">
        <f t="shared" si="1"/>
        <v>69</v>
      </c>
      <c r="B83" s="513">
        <v>38400</v>
      </c>
      <c r="C83" s="88" t="s">
        <v>443</v>
      </c>
      <c r="D83" s="346">
        <v>88617.44</v>
      </c>
      <c r="E83" s="429">
        <v>0</v>
      </c>
      <c r="F83" s="429">
        <f t="shared" si="20"/>
        <v>88617.44</v>
      </c>
      <c r="G83" s="465">
        <f t="shared" si="21"/>
        <v>1</v>
      </c>
      <c r="H83" s="465">
        <f t="shared" si="21"/>
        <v>1</v>
      </c>
      <c r="I83" s="429">
        <f t="shared" si="22"/>
        <v>88617.44</v>
      </c>
      <c r="K83" s="346">
        <v>86097.908461538449</v>
      </c>
      <c r="L83" s="465">
        <f t="shared" si="23"/>
        <v>1</v>
      </c>
      <c r="M83" s="465">
        <f t="shared" si="23"/>
        <v>1</v>
      </c>
      <c r="N83" s="429">
        <f t="shared" si="24"/>
        <v>86097.908461538449</v>
      </c>
    </row>
    <row r="84" spans="1:14">
      <c r="A84" s="1152">
        <f t="shared" ref="A84:A147" si="28">A83+1</f>
        <v>70</v>
      </c>
      <c r="B84" s="513">
        <v>38500</v>
      </c>
      <c r="C84" s="88" t="s">
        <v>444</v>
      </c>
      <c r="D84" s="346">
        <v>2867315.99</v>
      </c>
      <c r="E84" s="429">
        <v>0</v>
      </c>
      <c r="F84" s="429">
        <f t="shared" si="20"/>
        <v>2867315.99</v>
      </c>
      <c r="G84" s="465">
        <f t="shared" si="21"/>
        <v>1</v>
      </c>
      <c r="H84" s="465">
        <f t="shared" si="21"/>
        <v>1</v>
      </c>
      <c r="I84" s="429">
        <f t="shared" si="22"/>
        <v>2867315.99</v>
      </c>
      <c r="K84" s="346">
        <v>2861446.22</v>
      </c>
      <c r="L84" s="465">
        <f t="shared" si="23"/>
        <v>1</v>
      </c>
      <c r="M84" s="465">
        <f t="shared" si="23"/>
        <v>1</v>
      </c>
      <c r="N84" s="429">
        <f t="shared" si="24"/>
        <v>2861446.22</v>
      </c>
    </row>
    <row r="85" spans="1:14">
      <c r="A85" s="1152">
        <f t="shared" si="28"/>
        <v>71</v>
      </c>
      <c r="B85" s="513"/>
      <c r="C85" s="88"/>
      <c r="D85" s="1056"/>
      <c r="E85" s="1056"/>
      <c r="F85" s="1056"/>
      <c r="G85" s="465"/>
      <c r="H85" s="465"/>
      <c r="I85" s="1056"/>
      <c r="K85" s="1056"/>
      <c r="N85" s="1056"/>
    </row>
    <row r="86" spans="1:14">
      <c r="A86" s="1152">
        <f t="shared" si="28"/>
        <v>72</v>
      </c>
      <c r="B86" s="513"/>
      <c r="C86" s="88" t="s">
        <v>1379</v>
      </c>
      <c r="D86" s="346">
        <f>SUM(D63:D85)</f>
        <v>147654419.48000002</v>
      </c>
      <c r="E86" s="346">
        <f>SUM(E63:E85)</f>
        <v>0</v>
      </c>
      <c r="F86" s="346">
        <f>SUM(F63:F85)</f>
        <v>147654419.48000002</v>
      </c>
      <c r="G86" s="465"/>
      <c r="H86" s="465"/>
      <c r="I86" s="346">
        <f>SUM(I63:I85)</f>
        <v>147654419.48000002</v>
      </c>
      <c r="K86" s="346">
        <f>SUM(K63:K85)</f>
        <v>146589604.45384616</v>
      </c>
      <c r="N86" s="346">
        <f>SUM(N63:N85)</f>
        <v>146589604.45384616</v>
      </c>
    </row>
    <row r="87" spans="1:14">
      <c r="A87" s="1152">
        <f t="shared" si="28"/>
        <v>73</v>
      </c>
      <c r="B87" s="513"/>
      <c r="C87" s="88"/>
      <c r="D87" s="429"/>
      <c r="E87" s="429"/>
      <c r="F87" s="429"/>
      <c r="G87" s="465"/>
      <c r="H87" s="465"/>
      <c r="I87" s="429"/>
      <c r="K87" s="429"/>
      <c r="N87" s="429"/>
    </row>
    <row r="88" spans="1:14">
      <c r="A88" s="1152">
        <f t="shared" si="28"/>
        <v>74</v>
      </c>
      <c r="B88" s="706"/>
      <c r="C88" s="619" t="s">
        <v>301</v>
      </c>
      <c r="D88" s="429"/>
      <c r="E88" s="429"/>
      <c r="F88" s="429"/>
      <c r="G88" s="465"/>
      <c r="H88" s="465"/>
      <c r="I88" s="429"/>
      <c r="K88" s="429"/>
      <c r="N88" s="429"/>
    </row>
    <row r="89" spans="1:14">
      <c r="A89" s="1152">
        <f t="shared" si="28"/>
        <v>75</v>
      </c>
      <c r="B89" s="513">
        <v>38900</v>
      </c>
      <c r="C89" s="1057" t="s">
        <v>1523</v>
      </c>
      <c r="D89" s="346"/>
      <c r="E89" s="346">
        <v>0</v>
      </c>
      <c r="F89" s="346">
        <f t="shared" ref="F89:F115" si="29">D89-E89</f>
        <v>0</v>
      </c>
      <c r="G89" s="465">
        <f t="shared" ref="G89:H102" si="30">$G$16</f>
        <v>1</v>
      </c>
      <c r="H89" s="465">
        <f t="shared" si="30"/>
        <v>1</v>
      </c>
      <c r="I89" s="346">
        <f t="shared" ref="I89:I115" si="31">F89*G89*H89</f>
        <v>0</v>
      </c>
      <c r="K89" s="346"/>
      <c r="L89" s="465">
        <f t="shared" ref="L89:M102" si="32">$G$16</f>
        <v>1</v>
      </c>
      <c r="M89" s="465">
        <f t="shared" si="32"/>
        <v>1</v>
      </c>
      <c r="N89" s="346">
        <f t="shared" ref="N89:N114" si="33">K89*L89*M89</f>
        <v>0</v>
      </c>
    </row>
    <row r="90" spans="1:14">
      <c r="A90" s="1152">
        <f t="shared" si="28"/>
        <v>76</v>
      </c>
      <c r="B90" s="513">
        <v>39000</v>
      </c>
      <c r="C90" s="1057" t="s">
        <v>1524</v>
      </c>
      <c r="D90" s="346">
        <v>1078234.44</v>
      </c>
      <c r="E90" s="429">
        <v>0</v>
      </c>
      <c r="F90" s="429">
        <f t="shared" si="29"/>
        <v>1078234.44</v>
      </c>
      <c r="G90" s="465">
        <f t="shared" si="30"/>
        <v>1</v>
      </c>
      <c r="H90" s="465">
        <f t="shared" si="30"/>
        <v>1</v>
      </c>
      <c r="I90" s="429">
        <f t="shared" si="31"/>
        <v>1078234.44</v>
      </c>
      <c r="K90" s="346">
        <v>928137.43000000017</v>
      </c>
      <c r="L90" s="465">
        <f t="shared" si="32"/>
        <v>1</v>
      </c>
      <c r="M90" s="465">
        <f t="shared" si="32"/>
        <v>1</v>
      </c>
      <c r="N90" s="429">
        <f t="shared" si="33"/>
        <v>928137.43000000017</v>
      </c>
    </row>
    <row r="91" spans="1:14">
      <c r="A91" s="1152">
        <f t="shared" si="28"/>
        <v>77</v>
      </c>
      <c r="B91" s="513">
        <v>39002</v>
      </c>
      <c r="C91" s="1057" t="s">
        <v>1525</v>
      </c>
      <c r="D91" s="346">
        <v>103168.33</v>
      </c>
      <c r="E91" s="429">
        <v>0</v>
      </c>
      <c r="F91" s="429">
        <f t="shared" si="29"/>
        <v>103168.33</v>
      </c>
      <c r="G91" s="465">
        <f t="shared" si="30"/>
        <v>1</v>
      </c>
      <c r="H91" s="465">
        <f t="shared" si="30"/>
        <v>1</v>
      </c>
      <c r="I91" s="429">
        <f t="shared" si="31"/>
        <v>103168.33</v>
      </c>
      <c r="K91" s="346">
        <v>99913.750000000015</v>
      </c>
      <c r="L91" s="465">
        <f t="shared" si="32"/>
        <v>1</v>
      </c>
      <c r="M91" s="465">
        <f t="shared" si="32"/>
        <v>1</v>
      </c>
      <c r="N91" s="429">
        <f t="shared" si="33"/>
        <v>99913.750000000015</v>
      </c>
    </row>
    <row r="92" spans="1:14">
      <c r="A92" s="1152">
        <f t="shared" si="28"/>
        <v>78</v>
      </c>
      <c r="B92" s="513">
        <v>39003</v>
      </c>
      <c r="C92" s="1057" t="s">
        <v>1526</v>
      </c>
      <c r="D92" s="346">
        <v>274645.36</v>
      </c>
      <c r="E92" s="429">
        <v>0</v>
      </c>
      <c r="F92" s="429">
        <f t="shared" si="29"/>
        <v>274645.36</v>
      </c>
      <c r="G92" s="465">
        <f t="shared" si="30"/>
        <v>1</v>
      </c>
      <c r="H92" s="465">
        <f t="shared" si="30"/>
        <v>1</v>
      </c>
      <c r="I92" s="429">
        <f t="shared" si="31"/>
        <v>274645.36</v>
      </c>
      <c r="K92" s="346">
        <v>261312.39999999997</v>
      </c>
      <c r="L92" s="465">
        <f t="shared" si="32"/>
        <v>1</v>
      </c>
      <c r="M92" s="465">
        <f t="shared" si="32"/>
        <v>1</v>
      </c>
      <c r="N92" s="429">
        <f t="shared" si="33"/>
        <v>261312.39999999997</v>
      </c>
    </row>
    <row r="93" spans="1:14">
      <c r="A93" s="1152">
        <f t="shared" si="28"/>
        <v>79</v>
      </c>
      <c r="B93" s="513">
        <v>39004</v>
      </c>
      <c r="C93" s="1057" t="s">
        <v>1527</v>
      </c>
      <c r="D93" s="346">
        <v>4562.29</v>
      </c>
      <c r="E93" s="429">
        <v>0</v>
      </c>
      <c r="F93" s="429">
        <f t="shared" si="29"/>
        <v>4562.29</v>
      </c>
      <c r="G93" s="465">
        <f t="shared" si="30"/>
        <v>1</v>
      </c>
      <c r="H93" s="465">
        <f t="shared" si="30"/>
        <v>1</v>
      </c>
      <c r="I93" s="429">
        <f t="shared" si="31"/>
        <v>4562.29</v>
      </c>
      <c r="K93" s="346">
        <v>4318.7499999999991</v>
      </c>
      <c r="L93" s="465">
        <f t="shared" si="32"/>
        <v>1</v>
      </c>
      <c r="M93" s="465">
        <f t="shared" si="32"/>
        <v>1</v>
      </c>
      <c r="N93" s="429">
        <f t="shared" si="33"/>
        <v>4318.7499999999991</v>
      </c>
    </row>
    <row r="94" spans="1:14">
      <c r="A94" s="1152">
        <f t="shared" si="28"/>
        <v>80</v>
      </c>
      <c r="B94" s="513">
        <v>39009</v>
      </c>
      <c r="C94" s="1057" t="s">
        <v>1528</v>
      </c>
      <c r="D94" s="346">
        <v>1246194.18</v>
      </c>
      <c r="E94" s="429">
        <v>0</v>
      </c>
      <c r="F94" s="429">
        <f t="shared" si="29"/>
        <v>1246194.18</v>
      </c>
      <c r="G94" s="465">
        <f t="shared" si="30"/>
        <v>1</v>
      </c>
      <c r="H94" s="465">
        <f t="shared" si="30"/>
        <v>1</v>
      </c>
      <c r="I94" s="429">
        <f t="shared" si="31"/>
        <v>1246194.18</v>
      </c>
      <c r="K94" s="346">
        <v>1193566.2046153846</v>
      </c>
      <c r="L94" s="465">
        <f t="shared" si="32"/>
        <v>1</v>
      </c>
      <c r="M94" s="465">
        <f t="shared" si="32"/>
        <v>1</v>
      </c>
      <c r="N94" s="429">
        <f t="shared" si="33"/>
        <v>1193566.2046153846</v>
      </c>
    </row>
    <row r="95" spans="1:14">
      <c r="A95" s="1152">
        <f t="shared" si="28"/>
        <v>81</v>
      </c>
      <c r="B95" s="513">
        <v>39100</v>
      </c>
      <c r="C95" s="1057" t="s">
        <v>1529</v>
      </c>
      <c r="D95" s="346">
        <v>1082875.92</v>
      </c>
      <c r="E95" s="429">
        <v>0</v>
      </c>
      <c r="F95" s="429">
        <f t="shared" si="29"/>
        <v>1082875.92</v>
      </c>
      <c r="G95" s="465">
        <f t="shared" si="30"/>
        <v>1</v>
      </c>
      <c r="H95" s="465">
        <f t="shared" si="30"/>
        <v>1</v>
      </c>
      <c r="I95" s="429">
        <f t="shared" si="31"/>
        <v>1082875.92</v>
      </c>
      <c r="K95" s="346">
        <v>1073940.1099999999</v>
      </c>
      <c r="L95" s="465">
        <f t="shared" si="32"/>
        <v>1</v>
      </c>
      <c r="M95" s="465">
        <f t="shared" si="32"/>
        <v>1</v>
      </c>
      <c r="N95" s="429">
        <f t="shared" si="33"/>
        <v>1073940.1099999999</v>
      </c>
    </row>
    <row r="96" spans="1:14">
      <c r="A96" s="1152">
        <f t="shared" si="28"/>
        <v>82</v>
      </c>
      <c r="B96" s="513">
        <v>39103</v>
      </c>
      <c r="C96" s="1057" t="s">
        <v>780</v>
      </c>
      <c r="D96" s="346"/>
      <c r="E96" s="429">
        <v>0</v>
      </c>
      <c r="F96" s="429">
        <f t="shared" si="29"/>
        <v>0</v>
      </c>
      <c r="G96" s="465">
        <f t="shared" si="30"/>
        <v>1</v>
      </c>
      <c r="H96" s="465">
        <f t="shared" si="30"/>
        <v>1</v>
      </c>
      <c r="I96" s="429">
        <f t="shared" si="31"/>
        <v>0</v>
      </c>
      <c r="K96" s="346"/>
      <c r="L96" s="465">
        <f t="shared" si="32"/>
        <v>1</v>
      </c>
      <c r="M96" s="465">
        <f t="shared" si="32"/>
        <v>1</v>
      </c>
      <c r="N96" s="429">
        <f t="shared" si="33"/>
        <v>0</v>
      </c>
    </row>
    <row r="97" spans="1:14">
      <c r="A97" s="1152">
        <f t="shared" si="28"/>
        <v>83</v>
      </c>
      <c r="B97" s="513">
        <v>39200</v>
      </c>
      <c r="C97" s="1057" t="s">
        <v>1530</v>
      </c>
      <c r="D97" s="346">
        <v>101147.93</v>
      </c>
      <c r="E97" s="429">
        <v>0</v>
      </c>
      <c r="F97" s="429">
        <f t="shared" si="29"/>
        <v>101147.93</v>
      </c>
      <c r="G97" s="465">
        <f t="shared" si="30"/>
        <v>1</v>
      </c>
      <c r="H97" s="465">
        <f t="shared" si="30"/>
        <v>1</v>
      </c>
      <c r="I97" s="429">
        <f t="shared" si="31"/>
        <v>101147.93</v>
      </c>
      <c r="K97" s="346">
        <v>83221.902307692304</v>
      </c>
      <c r="L97" s="465">
        <f t="shared" si="32"/>
        <v>1</v>
      </c>
      <c r="M97" s="465">
        <f t="shared" si="32"/>
        <v>1</v>
      </c>
      <c r="N97" s="429">
        <f t="shared" si="33"/>
        <v>83221.902307692304</v>
      </c>
    </row>
    <row r="98" spans="1:14">
      <c r="A98" s="1152">
        <f t="shared" si="28"/>
        <v>84</v>
      </c>
      <c r="B98" s="513">
        <v>39202</v>
      </c>
      <c r="C98" s="1057" t="s">
        <v>1531</v>
      </c>
      <c r="D98" s="346">
        <v>-2333.4899999999998</v>
      </c>
      <c r="E98" s="429">
        <v>0</v>
      </c>
      <c r="F98" s="429">
        <f t="shared" si="29"/>
        <v>-2333.4899999999998</v>
      </c>
      <c r="G98" s="465">
        <f t="shared" si="30"/>
        <v>1</v>
      </c>
      <c r="H98" s="465">
        <f t="shared" si="30"/>
        <v>1</v>
      </c>
      <c r="I98" s="429">
        <f t="shared" si="31"/>
        <v>-2333.4899999999998</v>
      </c>
      <c r="K98" s="346">
        <v>-2499.2515384615381</v>
      </c>
      <c r="L98" s="465">
        <f t="shared" si="32"/>
        <v>1</v>
      </c>
      <c r="M98" s="465">
        <f t="shared" si="32"/>
        <v>1</v>
      </c>
      <c r="N98" s="429">
        <f t="shared" si="33"/>
        <v>-2499.2515384615381</v>
      </c>
    </row>
    <row r="99" spans="1:14">
      <c r="A99" s="1152">
        <f t="shared" si="28"/>
        <v>85</v>
      </c>
      <c r="B99" s="706">
        <v>39400</v>
      </c>
      <c r="C99" s="1057" t="s">
        <v>1532</v>
      </c>
      <c r="D99" s="346">
        <v>1171293.6000000001</v>
      </c>
      <c r="E99" s="429">
        <v>0</v>
      </c>
      <c r="F99" s="429">
        <f t="shared" si="29"/>
        <v>1171293.6000000001</v>
      </c>
      <c r="G99" s="465">
        <f t="shared" si="30"/>
        <v>1</v>
      </c>
      <c r="H99" s="465">
        <f t="shared" si="30"/>
        <v>1</v>
      </c>
      <c r="I99" s="429">
        <f t="shared" si="31"/>
        <v>1171293.6000000001</v>
      </c>
      <c r="K99" s="346">
        <v>1021921.7999999999</v>
      </c>
      <c r="L99" s="465">
        <f t="shared" si="32"/>
        <v>1</v>
      </c>
      <c r="M99" s="465">
        <f t="shared" si="32"/>
        <v>1</v>
      </c>
      <c r="N99" s="429">
        <f t="shared" si="33"/>
        <v>1021921.7999999999</v>
      </c>
    </row>
    <row r="100" spans="1:14">
      <c r="A100" s="1152">
        <f t="shared" si="28"/>
        <v>86</v>
      </c>
      <c r="B100" s="706">
        <v>39603</v>
      </c>
      <c r="C100" s="389" t="s">
        <v>1533</v>
      </c>
      <c r="D100" s="346">
        <v>36441.269999999997</v>
      </c>
      <c r="E100" s="429">
        <v>0</v>
      </c>
      <c r="F100" s="429">
        <f t="shared" si="29"/>
        <v>36441.269999999997</v>
      </c>
      <c r="G100" s="465">
        <f t="shared" si="30"/>
        <v>1</v>
      </c>
      <c r="H100" s="465">
        <f t="shared" si="30"/>
        <v>1</v>
      </c>
      <c r="I100" s="429">
        <f t="shared" si="31"/>
        <v>36441.269999999997</v>
      </c>
      <c r="K100" s="346">
        <v>36169.144615384619</v>
      </c>
      <c r="L100" s="465">
        <f t="shared" si="32"/>
        <v>1</v>
      </c>
      <c r="M100" s="465">
        <f t="shared" si="32"/>
        <v>1</v>
      </c>
      <c r="N100" s="429">
        <f t="shared" si="33"/>
        <v>36169.144615384619</v>
      </c>
    </row>
    <row r="101" spans="1:14">
      <c r="A101" s="1152">
        <f t="shared" si="28"/>
        <v>87</v>
      </c>
      <c r="B101" s="706">
        <v>39604</v>
      </c>
      <c r="C101" s="1057" t="s">
        <v>1534</v>
      </c>
      <c r="D101" s="346">
        <v>57727.51</v>
      </c>
      <c r="E101" s="429">
        <v>0</v>
      </c>
      <c r="F101" s="429">
        <f t="shared" si="29"/>
        <v>57727.51</v>
      </c>
      <c r="G101" s="465">
        <f t="shared" si="30"/>
        <v>1</v>
      </c>
      <c r="H101" s="465">
        <f t="shared" si="30"/>
        <v>1</v>
      </c>
      <c r="I101" s="429">
        <f t="shared" si="31"/>
        <v>57727.51</v>
      </c>
      <c r="K101" s="346">
        <v>57273.596153846156</v>
      </c>
      <c r="L101" s="465">
        <f t="shared" si="32"/>
        <v>1</v>
      </c>
      <c r="M101" s="465">
        <f t="shared" si="32"/>
        <v>1</v>
      </c>
      <c r="N101" s="429">
        <f t="shared" si="33"/>
        <v>57273.596153846156</v>
      </c>
    </row>
    <row r="102" spans="1:14">
      <c r="A102" s="1152">
        <f t="shared" si="28"/>
        <v>88</v>
      </c>
      <c r="B102" s="706">
        <v>39605</v>
      </c>
      <c r="C102" s="1057" t="s">
        <v>1535</v>
      </c>
      <c r="D102" s="346">
        <v>17873.05</v>
      </c>
      <c r="E102" s="429">
        <v>0</v>
      </c>
      <c r="F102" s="429">
        <f t="shared" si="29"/>
        <v>17873.05</v>
      </c>
      <c r="G102" s="465">
        <f t="shared" si="30"/>
        <v>1</v>
      </c>
      <c r="H102" s="465">
        <f t="shared" si="30"/>
        <v>1</v>
      </c>
      <c r="I102" s="429">
        <f t="shared" si="31"/>
        <v>17873.05</v>
      </c>
      <c r="K102" s="346">
        <v>17004.683846153839</v>
      </c>
      <c r="L102" s="465">
        <f t="shared" si="32"/>
        <v>1</v>
      </c>
      <c r="M102" s="465">
        <f t="shared" si="32"/>
        <v>1</v>
      </c>
      <c r="N102" s="429">
        <f t="shared" si="33"/>
        <v>17004.683846153839</v>
      </c>
    </row>
    <row r="103" spans="1:14">
      <c r="A103" s="1152">
        <f t="shared" si="28"/>
        <v>89</v>
      </c>
      <c r="B103" s="706">
        <v>39700</v>
      </c>
      <c r="C103" s="1057" t="s">
        <v>1536</v>
      </c>
      <c r="D103" s="346">
        <v>252812.01</v>
      </c>
      <c r="E103" s="429">
        <v>0</v>
      </c>
      <c r="F103" s="429">
        <f t="shared" si="29"/>
        <v>252812.01</v>
      </c>
      <c r="G103" s="465">
        <f t="shared" ref="G103:H116" si="34">$G$16</f>
        <v>1</v>
      </c>
      <c r="H103" s="465">
        <f t="shared" si="34"/>
        <v>1</v>
      </c>
      <c r="I103" s="429">
        <f t="shared" si="31"/>
        <v>252812.01</v>
      </c>
      <c r="K103" s="346">
        <v>225399.32076923078</v>
      </c>
      <c r="L103" s="465">
        <f t="shared" ref="L103:M116" si="35">$G$16</f>
        <v>1</v>
      </c>
      <c r="M103" s="465">
        <f t="shared" si="35"/>
        <v>1</v>
      </c>
      <c r="N103" s="429">
        <f t="shared" si="33"/>
        <v>225399.32076923078</v>
      </c>
    </row>
    <row r="104" spans="1:14">
      <c r="A104" s="1152">
        <f t="shared" si="28"/>
        <v>90</v>
      </c>
      <c r="B104" s="706">
        <v>39701</v>
      </c>
      <c r="C104" s="1057" t="s">
        <v>1496</v>
      </c>
      <c r="D104" s="346"/>
      <c r="E104" s="429">
        <v>0</v>
      </c>
      <c r="F104" s="429">
        <f t="shared" si="29"/>
        <v>0</v>
      </c>
      <c r="G104" s="465">
        <f t="shared" si="34"/>
        <v>1</v>
      </c>
      <c r="H104" s="465">
        <f t="shared" si="34"/>
        <v>1</v>
      </c>
      <c r="I104" s="429">
        <f t="shared" si="31"/>
        <v>0</v>
      </c>
      <c r="K104" s="346"/>
      <c r="L104" s="465">
        <f t="shared" si="35"/>
        <v>1</v>
      </c>
      <c r="M104" s="465">
        <f t="shared" si="35"/>
        <v>1</v>
      </c>
      <c r="N104" s="429">
        <f t="shared" si="33"/>
        <v>0</v>
      </c>
    </row>
    <row r="105" spans="1:14">
      <c r="A105" s="1152">
        <f t="shared" si="28"/>
        <v>91</v>
      </c>
      <c r="B105" s="706">
        <v>39702</v>
      </c>
      <c r="C105" s="1057" t="s">
        <v>1496</v>
      </c>
      <c r="D105" s="346"/>
      <c r="E105" s="429">
        <v>0</v>
      </c>
      <c r="F105" s="429">
        <f t="shared" si="29"/>
        <v>0</v>
      </c>
      <c r="G105" s="465">
        <f t="shared" si="34"/>
        <v>1</v>
      </c>
      <c r="H105" s="465">
        <f t="shared" si="34"/>
        <v>1</v>
      </c>
      <c r="I105" s="429">
        <f t="shared" si="31"/>
        <v>0</v>
      </c>
      <c r="K105" s="346"/>
      <c r="L105" s="465">
        <f t="shared" si="35"/>
        <v>1</v>
      </c>
      <c r="M105" s="465">
        <f t="shared" si="35"/>
        <v>1</v>
      </c>
      <c r="N105" s="429">
        <f t="shared" si="33"/>
        <v>0</v>
      </c>
    </row>
    <row r="106" spans="1:14">
      <c r="A106" s="1152">
        <f t="shared" si="28"/>
        <v>92</v>
      </c>
      <c r="B106" s="706">
        <v>39705</v>
      </c>
      <c r="C106" s="1057" t="s">
        <v>1537</v>
      </c>
      <c r="D106" s="346"/>
      <c r="E106" s="429">
        <v>0</v>
      </c>
      <c r="F106" s="429">
        <f t="shared" si="29"/>
        <v>0</v>
      </c>
      <c r="G106" s="465">
        <f t="shared" si="34"/>
        <v>1</v>
      </c>
      <c r="H106" s="465">
        <f t="shared" si="34"/>
        <v>1</v>
      </c>
      <c r="I106" s="429">
        <f t="shared" si="31"/>
        <v>0</v>
      </c>
      <c r="K106" s="346"/>
      <c r="L106" s="465">
        <f t="shared" si="35"/>
        <v>1</v>
      </c>
      <c r="M106" s="465">
        <f t="shared" si="35"/>
        <v>1</v>
      </c>
      <c r="N106" s="429">
        <f t="shared" si="33"/>
        <v>0</v>
      </c>
    </row>
    <row r="107" spans="1:14">
      <c r="A107" s="1152">
        <f t="shared" si="28"/>
        <v>93</v>
      </c>
      <c r="B107" s="706">
        <v>39800</v>
      </c>
      <c r="C107" s="1057" t="s">
        <v>1538</v>
      </c>
      <c r="D107" s="346">
        <v>2017425.88</v>
      </c>
      <c r="E107" s="429">
        <v>0</v>
      </c>
      <c r="F107" s="429">
        <f t="shared" si="29"/>
        <v>2017425.88</v>
      </c>
      <c r="G107" s="465">
        <f t="shared" si="34"/>
        <v>1</v>
      </c>
      <c r="H107" s="465">
        <f t="shared" si="34"/>
        <v>1</v>
      </c>
      <c r="I107" s="429">
        <f t="shared" si="31"/>
        <v>2017425.88</v>
      </c>
      <c r="K107" s="346">
        <v>1829577.0184615382</v>
      </c>
      <c r="L107" s="465">
        <f t="shared" si="35"/>
        <v>1</v>
      </c>
      <c r="M107" s="465">
        <f t="shared" si="35"/>
        <v>1</v>
      </c>
      <c r="N107" s="429">
        <f t="shared" si="33"/>
        <v>1829577.0184615382</v>
      </c>
    </row>
    <row r="108" spans="1:14">
      <c r="A108" s="1152">
        <f t="shared" si="28"/>
        <v>94</v>
      </c>
      <c r="B108" s="706">
        <v>39901</v>
      </c>
      <c r="C108" s="1057" t="s">
        <v>1497</v>
      </c>
      <c r="D108" s="346">
        <v>5401.25</v>
      </c>
      <c r="E108" s="429">
        <v>0</v>
      </c>
      <c r="F108" s="429">
        <f t="shared" si="29"/>
        <v>5401.25</v>
      </c>
      <c r="G108" s="465">
        <f t="shared" si="34"/>
        <v>1</v>
      </c>
      <c r="H108" s="465">
        <f t="shared" si="34"/>
        <v>1</v>
      </c>
      <c r="I108" s="429">
        <f t="shared" si="31"/>
        <v>5401.25</v>
      </c>
      <c r="K108" s="346">
        <v>4562.8100000000004</v>
      </c>
      <c r="L108" s="465">
        <f t="shared" si="35"/>
        <v>1</v>
      </c>
      <c r="M108" s="465">
        <f t="shared" si="35"/>
        <v>1</v>
      </c>
      <c r="N108" s="429">
        <f t="shared" si="33"/>
        <v>4562.8100000000004</v>
      </c>
    </row>
    <row r="109" spans="1:14">
      <c r="A109" s="1152">
        <f t="shared" si="28"/>
        <v>95</v>
      </c>
      <c r="B109" s="706">
        <v>39902</v>
      </c>
      <c r="C109" s="1057" t="s">
        <v>1498</v>
      </c>
      <c r="D109" s="346"/>
      <c r="E109" s="429">
        <v>0</v>
      </c>
      <c r="F109" s="429">
        <f t="shared" si="29"/>
        <v>0</v>
      </c>
      <c r="G109" s="465">
        <f t="shared" si="34"/>
        <v>1</v>
      </c>
      <c r="H109" s="465">
        <f t="shared" si="34"/>
        <v>1</v>
      </c>
      <c r="I109" s="429">
        <f t="shared" si="31"/>
        <v>0</v>
      </c>
      <c r="K109" s="346"/>
      <c r="L109" s="465">
        <f t="shared" si="35"/>
        <v>1</v>
      </c>
      <c r="M109" s="465">
        <f t="shared" si="35"/>
        <v>1</v>
      </c>
      <c r="N109" s="429">
        <f t="shared" si="33"/>
        <v>0</v>
      </c>
    </row>
    <row r="110" spans="1:14">
      <c r="A110" s="1152">
        <f t="shared" si="28"/>
        <v>96</v>
      </c>
      <c r="B110" s="706">
        <v>39903</v>
      </c>
      <c r="C110" s="1057" t="s">
        <v>1539</v>
      </c>
      <c r="D110" s="346">
        <v>55853.4</v>
      </c>
      <c r="E110" s="429">
        <v>0</v>
      </c>
      <c r="F110" s="429">
        <f t="shared" si="29"/>
        <v>55853.4</v>
      </c>
      <c r="G110" s="465">
        <f t="shared" si="34"/>
        <v>1</v>
      </c>
      <c r="H110" s="465">
        <f t="shared" si="34"/>
        <v>1</v>
      </c>
      <c r="I110" s="429">
        <f t="shared" si="31"/>
        <v>55853.4</v>
      </c>
      <c r="K110" s="346">
        <v>47819.64</v>
      </c>
      <c r="L110" s="465">
        <f t="shared" si="35"/>
        <v>1</v>
      </c>
      <c r="M110" s="465">
        <f t="shared" si="35"/>
        <v>1</v>
      </c>
      <c r="N110" s="429">
        <f t="shared" si="33"/>
        <v>47819.64</v>
      </c>
    </row>
    <row r="111" spans="1:14">
      <c r="A111" s="1152">
        <f t="shared" si="28"/>
        <v>97</v>
      </c>
      <c r="B111" s="706">
        <v>39906</v>
      </c>
      <c r="C111" s="1057" t="s">
        <v>1540</v>
      </c>
      <c r="D111" s="346">
        <v>630464.13</v>
      </c>
      <c r="E111" s="429">
        <v>0</v>
      </c>
      <c r="F111" s="429">
        <f t="shared" si="29"/>
        <v>630464.13</v>
      </c>
      <c r="G111" s="465">
        <f t="shared" si="34"/>
        <v>1</v>
      </c>
      <c r="H111" s="465">
        <f t="shared" si="34"/>
        <v>1</v>
      </c>
      <c r="I111" s="429">
        <f t="shared" si="31"/>
        <v>630464.13</v>
      </c>
      <c r="K111" s="346">
        <v>550861.81461538456</v>
      </c>
      <c r="L111" s="465">
        <f t="shared" si="35"/>
        <v>1</v>
      </c>
      <c r="M111" s="465">
        <f t="shared" si="35"/>
        <v>1</v>
      </c>
      <c r="N111" s="429">
        <f t="shared" si="33"/>
        <v>550861.81461538456</v>
      </c>
    </row>
    <row r="112" spans="1:14">
      <c r="A112" s="1152">
        <f t="shared" si="28"/>
        <v>98</v>
      </c>
      <c r="B112" s="706">
        <v>39907</v>
      </c>
      <c r="C112" s="1057" t="s">
        <v>1541</v>
      </c>
      <c r="D112" s="346"/>
      <c r="E112" s="429">
        <v>0</v>
      </c>
      <c r="F112" s="429">
        <f t="shared" si="29"/>
        <v>0</v>
      </c>
      <c r="G112" s="465">
        <f t="shared" si="34"/>
        <v>1</v>
      </c>
      <c r="H112" s="465">
        <f t="shared" si="34"/>
        <v>1</v>
      </c>
      <c r="I112" s="429">
        <f t="shared" si="31"/>
        <v>0</v>
      </c>
      <c r="K112" s="346"/>
      <c r="L112" s="465">
        <f t="shared" si="35"/>
        <v>1</v>
      </c>
      <c r="M112" s="465">
        <f t="shared" si="35"/>
        <v>1</v>
      </c>
      <c r="N112" s="429">
        <f t="shared" si="33"/>
        <v>0</v>
      </c>
    </row>
    <row r="113" spans="1:19">
      <c r="A113" s="1152">
        <f t="shared" si="28"/>
        <v>99</v>
      </c>
      <c r="B113" s="706">
        <v>39908</v>
      </c>
      <c r="C113" s="1057" t="s">
        <v>1542</v>
      </c>
      <c r="D113" s="346">
        <v>102178.66</v>
      </c>
      <c r="E113" s="429">
        <v>0</v>
      </c>
      <c r="F113" s="429">
        <f t="shared" si="29"/>
        <v>102178.66</v>
      </c>
      <c r="G113" s="465">
        <f t="shared" si="34"/>
        <v>1</v>
      </c>
      <c r="H113" s="465">
        <f t="shared" si="34"/>
        <v>1</v>
      </c>
      <c r="I113" s="429">
        <f t="shared" si="31"/>
        <v>102178.66</v>
      </c>
      <c r="K113" s="346">
        <v>106593.04000000001</v>
      </c>
      <c r="L113" s="465">
        <f t="shared" si="35"/>
        <v>1</v>
      </c>
      <c r="M113" s="465">
        <f t="shared" si="35"/>
        <v>1</v>
      </c>
      <c r="N113" s="429">
        <f t="shared" si="33"/>
        <v>106593.04000000001</v>
      </c>
    </row>
    <row r="114" spans="1:19">
      <c r="A114" s="1152">
        <f t="shared" si="28"/>
        <v>100</v>
      </c>
      <c r="B114" s="706"/>
      <c r="C114" s="88" t="s">
        <v>1143</v>
      </c>
      <c r="D114" s="346">
        <v>-5867802.8099999987</v>
      </c>
      <c r="E114" s="429">
        <v>0</v>
      </c>
      <c r="F114" s="429">
        <f t="shared" si="29"/>
        <v>-5867802.8099999987</v>
      </c>
      <c r="G114" s="465">
        <f t="shared" si="34"/>
        <v>1</v>
      </c>
      <c r="H114" s="465">
        <f t="shared" si="34"/>
        <v>1</v>
      </c>
      <c r="I114" s="429">
        <f t="shared" si="31"/>
        <v>-5867802.8099999987</v>
      </c>
      <c r="K114" s="346">
        <v>-5923158.9569230741</v>
      </c>
      <c r="L114" s="465">
        <f t="shared" si="35"/>
        <v>1</v>
      </c>
      <c r="M114" s="465">
        <f t="shared" si="35"/>
        <v>1</v>
      </c>
      <c r="N114" s="429">
        <f t="shared" si="33"/>
        <v>-5923158.9569230741</v>
      </c>
    </row>
    <row r="115" spans="1:19">
      <c r="A115" s="1152">
        <f t="shared" si="28"/>
        <v>101</v>
      </c>
      <c r="B115" s="706"/>
      <c r="C115" s="88" t="s">
        <v>1400</v>
      </c>
      <c r="D115" s="346"/>
      <c r="E115" s="429">
        <v>0</v>
      </c>
      <c r="F115" s="429">
        <f t="shared" si="29"/>
        <v>0</v>
      </c>
      <c r="G115" s="465">
        <f t="shared" si="34"/>
        <v>1</v>
      </c>
      <c r="H115" s="465">
        <f t="shared" si="34"/>
        <v>1</v>
      </c>
      <c r="I115" s="429">
        <f t="shared" si="31"/>
        <v>0</v>
      </c>
      <c r="K115" s="346"/>
      <c r="L115" s="465">
        <f t="shared" si="35"/>
        <v>1</v>
      </c>
      <c r="M115" s="465">
        <f t="shared" si="35"/>
        <v>1</v>
      </c>
      <c r="N115" s="429">
        <f t="shared" ref="N115" si="36">K115*L115*M115</f>
        <v>0</v>
      </c>
    </row>
    <row r="116" spans="1:19">
      <c r="A116" s="1152">
        <f t="shared" si="28"/>
        <v>102</v>
      </c>
      <c r="B116" s="706"/>
      <c r="C116" s="88" t="s">
        <v>1255</v>
      </c>
      <c r="D116" s="346"/>
      <c r="E116" s="429">
        <v>0</v>
      </c>
      <c r="F116" s="429">
        <f t="shared" ref="F116" si="37">D116-E116</f>
        <v>0</v>
      </c>
      <c r="G116" s="465">
        <f t="shared" si="34"/>
        <v>1</v>
      </c>
      <c r="H116" s="465">
        <f t="shared" si="34"/>
        <v>1</v>
      </c>
      <c r="I116" s="429">
        <f t="shared" ref="I116" si="38">F116*G116*H116</f>
        <v>0</v>
      </c>
      <c r="K116" s="346"/>
      <c r="L116" s="465">
        <f t="shared" si="35"/>
        <v>1</v>
      </c>
      <c r="M116" s="465">
        <f t="shared" si="35"/>
        <v>1</v>
      </c>
      <c r="N116" s="429">
        <f t="shared" ref="N116" si="39">K116*L116*M116</f>
        <v>0</v>
      </c>
      <c r="P116" s="690"/>
    </row>
    <row r="117" spans="1:19">
      <c r="A117" s="1152">
        <f t="shared" si="28"/>
        <v>103</v>
      </c>
      <c r="B117" s="706"/>
      <c r="C117" s="88"/>
      <c r="D117" s="1056"/>
      <c r="E117" s="429"/>
      <c r="F117" s="1056"/>
      <c r="G117" s="465"/>
      <c r="H117" s="465"/>
      <c r="I117" s="1056"/>
      <c r="K117" s="1056"/>
      <c r="L117" s="465"/>
      <c r="M117" s="465"/>
      <c r="N117" s="1056"/>
    </row>
    <row r="118" spans="1:19">
      <c r="A118" s="1152">
        <f t="shared" si="28"/>
        <v>104</v>
      </c>
      <c r="B118" s="389"/>
      <c r="C118" s="88" t="s">
        <v>1378</v>
      </c>
      <c r="D118" s="346">
        <f>SUM(D89:D117)</f>
        <v>2368162.91</v>
      </c>
      <c r="E118" s="346">
        <f>SUM(E89:E117)</f>
        <v>0</v>
      </c>
      <c r="F118" s="346">
        <f>SUM(F89:F117)</f>
        <v>2368162.91</v>
      </c>
      <c r="I118" s="346">
        <f>SUM(I89:I117)</f>
        <v>2368162.91</v>
      </c>
      <c r="K118" s="346">
        <f>SUM(K89:K117)</f>
        <v>1615935.2069230797</v>
      </c>
      <c r="N118" s="346">
        <f>SUM(N89:N117)</f>
        <v>1615935.2069230797</v>
      </c>
    </row>
    <row r="119" spans="1:19">
      <c r="A119" s="1152">
        <f t="shared" si="28"/>
        <v>105</v>
      </c>
      <c r="B119" s="389"/>
      <c r="C119" s="88"/>
      <c r="D119" s="429"/>
      <c r="E119" s="429"/>
      <c r="F119" s="429"/>
      <c r="I119" s="429"/>
      <c r="K119" s="429"/>
      <c r="N119" s="429"/>
    </row>
    <row r="120" spans="1:19">
      <c r="A120" s="1152">
        <f t="shared" si="28"/>
        <v>106</v>
      </c>
      <c r="B120" s="389"/>
      <c r="C120" s="233" t="s">
        <v>1321</v>
      </c>
      <c r="D120" s="346">
        <f>D118+D86+D60+D47+D26+D19</f>
        <v>175667115.09</v>
      </c>
      <c r="E120" s="346">
        <f>E118+E86+E60+E47+E26+E19</f>
        <v>0</v>
      </c>
      <c r="F120" s="346">
        <f>F118+F86+F60+F47+F26+F19</f>
        <v>175667115.09</v>
      </c>
      <c r="I120" s="346">
        <f>I118+I86+I60+I47+I26+I19</f>
        <v>175667115.09</v>
      </c>
      <c r="K120" s="346">
        <f>K118+K86+K60+K47+K26+K19</f>
        <v>173715055.6076923</v>
      </c>
      <c r="N120" s="346">
        <f>N118+N86+N60+N47+N26+N19</f>
        <v>173715055.6076923</v>
      </c>
      <c r="S120" s="690"/>
    </row>
    <row r="121" spans="1:19">
      <c r="A121" s="1152">
        <f t="shared" si="28"/>
        <v>107</v>
      </c>
      <c r="B121" s="1038"/>
      <c r="D121" s="429"/>
      <c r="K121" s="429"/>
    </row>
    <row r="122" spans="1:19" ht="15.75">
      <c r="A122" s="1152">
        <f t="shared" si="28"/>
        <v>108</v>
      </c>
      <c r="B122" s="1043" t="s">
        <v>7</v>
      </c>
      <c r="D122" s="429"/>
      <c r="K122" s="429"/>
    </row>
    <row r="123" spans="1:19">
      <c r="A123" s="1152">
        <f t="shared" si="28"/>
        <v>109</v>
      </c>
      <c r="B123" s="1038"/>
      <c r="D123" s="429"/>
      <c r="K123" s="429"/>
    </row>
    <row r="124" spans="1:19">
      <c r="A124" s="1152">
        <f t="shared" si="28"/>
        <v>110</v>
      </c>
      <c r="B124" s="389"/>
      <c r="C124" s="619" t="s">
        <v>297</v>
      </c>
      <c r="D124" s="429"/>
      <c r="K124" s="429"/>
    </row>
    <row r="125" spans="1:19">
      <c r="A125" s="1152">
        <f t="shared" si="28"/>
        <v>111</v>
      </c>
      <c r="B125" s="513">
        <v>30100</v>
      </c>
      <c r="C125" s="88" t="s">
        <v>291</v>
      </c>
      <c r="D125" s="346">
        <v>0</v>
      </c>
      <c r="E125" s="346">
        <v>0</v>
      </c>
      <c r="F125" s="346">
        <f>D125+E125</f>
        <v>0</v>
      </c>
      <c r="G125" s="465">
        <f>$G$16</f>
        <v>1</v>
      </c>
      <c r="H125" s="466">
        <f>Allocation!$H$17</f>
        <v>0.49780000000000002</v>
      </c>
      <c r="I125" s="346">
        <f>F125*G125*H125</f>
        <v>0</v>
      </c>
      <c r="K125" s="346">
        <v>0</v>
      </c>
      <c r="L125" s="465">
        <f t="shared" ref="L125:M126" si="40">G125</f>
        <v>1</v>
      </c>
      <c r="M125" s="466">
        <f t="shared" si="40"/>
        <v>0.49780000000000002</v>
      </c>
      <c r="N125" s="346">
        <f>K125*L125*M125</f>
        <v>0</v>
      </c>
    </row>
    <row r="126" spans="1:19">
      <c r="A126" s="1152">
        <f t="shared" si="28"/>
        <v>112</v>
      </c>
      <c r="B126" s="513">
        <v>30300</v>
      </c>
      <c r="C126" s="88" t="s">
        <v>542</v>
      </c>
      <c r="D126" s="346">
        <v>0</v>
      </c>
      <c r="E126" s="380">
        <v>0</v>
      </c>
      <c r="F126" s="380">
        <f>D126+E126</f>
        <v>0</v>
      </c>
      <c r="G126" s="465">
        <f>$G$16</f>
        <v>1</v>
      </c>
      <c r="H126" s="466">
        <f>$H$125</f>
        <v>0.49780000000000002</v>
      </c>
      <c r="I126" s="1042">
        <f>F126*G126*H126</f>
        <v>0</v>
      </c>
      <c r="K126" s="346">
        <v>0</v>
      </c>
      <c r="L126" s="465">
        <f t="shared" si="40"/>
        <v>1</v>
      </c>
      <c r="M126" s="466">
        <f t="shared" si="40"/>
        <v>0.49780000000000002</v>
      </c>
      <c r="N126" s="1042">
        <f>K126*L126*M126</f>
        <v>0</v>
      </c>
    </row>
    <row r="127" spans="1:19">
      <c r="A127" s="1152">
        <f t="shared" si="28"/>
        <v>113</v>
      </c>
      <c r="B127" s="513"/>
      <c r="C127" s="88"/>
      <c r="D127" s="618"/>
      <c r="E127" s="618"/>
      <c r="F127" s="618"/>
      <c r="K127" s="618"/>
    </row>
    <row r="128" spans="1:19">
      <c r="A128" s="1152">
        <f t="shared" si="28"/>
        <v>114</v>
      </c>
      <c r="B128" s="706"/>
      <c r="C128" s="88" t="s">
        <v>298</v>
      </c>
      <c r="D128" s="346">
        <f>SUM(D125:D127)</f>
        <v>0</v>
      </c>
      <c r="E128" s="346">
        <f>SUM(E125:E127)</f>
        <v>0</v>
      </c>
      <c r="F128" s="346">
        <f>SUM(F125:F127)</f>
        <v>0</v>
      </c>
      <c r="G128" s="465"/>
      <c r="H128" s="465"/>
      <c r="I128" s="346">
        <f>SUM(I125:I127)</f>
        <v>0</v>
      </c>
      <c r="K128" s="346">
        <f>SUM(K125:K127)</f>
        <v>0</v>
      </c>
      <c r="N128" s="346">
        <f>SUM(N125:N127)</f>
        <v>0</v>
      </c>
    </row>
    <row r="129" spans="1:14">
      <c r="A129" s="1152">
        <f t="shared" si="28"/>
        <v>115</v>
      </c>
      <c r="B129" s="1058"/>
    </row>
    <row r="130" spans="1:14">
      <c r="A130" s="1152">
        <f t="shared" si="28"/>
        <v>116</v>
      </c>
      <c r="B130" s="706"/>
      <c r="C130" s="619" t="s">
        <v>299</v>
      </c>
    </row>
    <row r="131" spans="1:14">
      <c r="A131" s="1152">
        <f t="shared" si="28"/>
        <v>117</v>
      </c>
      <c r="B131" s="513">
        <v>37400</v>
      </c>
      <c r="C131" s="88" t="s">
        <v>1147</v>
      </c>
      <c r="D131" s="346">
        <v>0</v>
      </c>
      <c r="E131" s="346">
        <v>0</v>
      </c>
      <c r="F131" s="346">
        <f t="shared" ref="F131:F151" si="41">D131+E131</f>
        <v>0</v>
      </c>
      <c r="G131" s="465">
        <f t="shared" ref="G131:G151" si="42">$G$16</f>
        <v>1</v>
      </c>
      <c r="H131" s="466">
        <f t="shared" ref="H131:H151" si="43">$H$125</f>
        <v>0.49780000000000002</v>
      </c>
      <c r="I131" s="346">
        <f t="shared" ref="I131:I151" si="44">F131*G131*H131</f>
        <v>0</v>
      </c>
      <c r="K131" s="346">
        <v>0</v>
      </c>
      <c r="L131" s="465">
        <f t="shared" ref="L131:L151" si="45">G131</f>
        <v>1</v>
      </c>
      <c r="M131" s="466">
        <f t="shared" ref="M131:M151" si="46">H131</f>
        <v>0.49780000000000002</v>
      </c>
      <c r="N131" s="346">
        <f t="shared" ref="N131:N151" si="47">K131*L131*M131</f>
        <v>0</v>
      </c>
    </row>
    <row r="132" spans="1:14">
      <c r="A132" s="1152">
        <f t="shared" si="28"/>
        <v>118</v>
      </c>
      <c r="B132" s="513">
        <v>35010</v>
      </c>
      <c r="C132" s="88" t="s">
        <v>292</v>
      </c>
      <c r="D132" s="429">
        <v>0</v>
      </c>
      <c r="E132" s="429">
        <v>0</v>
      </c>
      <c r="F132" s="429">
        <f t="shared" si="41"/>
        <v>0</v>
      </c>
      <c r="G132" s="465">
        <f t="shared" si="42"/>
        <v>1</v>
      </c>
      <c r="H132" s="466">
        <f t="shared" si="43"/>
        <v>0.49780000000000002</v>
      </c>
      <c r="I132" s="429">
        <f t="shared" si="44"/>
        <v>0</v>
      </c>
      <c r="K132" s="429">
        <v>0</v>
      </c>
      <c r="L132" s="465">
        <f t="shared" si="45"/>
        <v>1</v>
      </c>
      <c r="M132" s="466">
        <f t="shared" si="46"/>
        <v>0.49780000000000002</v>
      </c>
      <c r="N132" s="429">
        <f t="shared" si="47"/>
        <v>0</v>
      </c>
    </row>
    <row r="133" spans="1:14">
      <c r="A133" s="1152">
        <f t="shared" si="28"/>
        <v>119</v>
      </c>
      <c r="B133" s="513">
        <v>37402</v>
      </c>
      <c r="C133" s="88" t="s">
        <v>999</v>
      </c>
      <c r="D133" s="429">
        <v>0</v>
      </c>
      <c r="E133" s="429">
        <v>0</v>
      </c>
      <c r="F133" s="429">
        <f t="shared" si="41"/>
        <v>0</v>
      </c>
      <c r="G133" s="465">
        <f t="shared" si="42"/>
        <v>1</v>
      </c>
      <c r="H133" s="466">
        <f t="shared" si="43"/>
        <v>0.49780000000000002</v>
      </c>
      <c r="I133" s="429">
        <f t="shared" si="44"/>
        <v>0</v>
      </c>
      <c r="K133" s="429">
        <v>0</v>
      </c>
      <c r="L133" s="465">
        <f t="shared" si="45"/>
        <v>1</v>
      </c>
      <c r="M133" s="466">
        <f t="shared" si="46"/>
        <v>0.49780000000000002</v>
      </c>
      <c r="N133" s="429">
        <f t="shared" si="47"/>
        <v>0</v>
      </c>
    </row>
    <row r="134" spans="1:14">
      <c r="A134" s="1152">
        <f t="shared" si="28"/>
        <v>120</v>
      </c>
      <c r="B134" s="513">
        <v>37403</v>
      </c>
      <c r="C134" s="88" t="s">
        <v>996</v>
      </c>
      <c r="D134" s="429">
        <v>0</v>
      </c>
      <c r="E134" s="429">
        <v>0</v>
      </c>
      <c r="F134" s="429">
        <f t="shared" si="41"/>
        <v>0</v>
      </c>
      <c r="G134" s="465">
        <f t="shared" si="42"/>
        <v>1</v>
      </c>
      <c r="H134" s="466">
        <f t="shared" si="43"/>
        <v>0.49780000000000002</v>
      </c>
      <c r="I134" s="429">
        <f t="shared" si="44"/>
        <v>0</v>
      </c>
      <c r="K134" s="429">
        <v>0</v>
      </c>
      <c r="L134" s="465">
        <f t="shared" si="45"/>
        <v>1</v>
      </c>
      <c r="M134" s="466">
        <f t="shared" si="46"/>
        <v>0.49780000000000002</v>
      </c>
      <c r="N134" s="429">
        <f t="shared" si="47"/>
        <v>0</v>
      </c>
    </row>
    <row r="135" spans="1:14">
      <c r="A135" s="1152">
        <f t="shared" si="28"/>
        <v>121</v>
      </c>
      <c r="B135" s="513">
        <v>36602</v>
      </c>
      <c r="C135" s="88" t="s">
        <v>856</v>
      </c>
      <c r="D135" s="429">
        <v>0</v>
      </c>
      <c r="E135" s="429">
        <v>0</v>
      </c>
      <c r="F135" s="429">
        <f t="shared" si="41"/>
        <v>0</v>
      </c>
      <c r="G135" s="465">
        <f t="shared" si="42"/>
        <v>1</v>
      </c>
      <c r="H135" s="466">
        <f t="shared" si="43"/>
        <v>0.49780000000000002</v>
      </c>
      <c r="I135" s="429">
        <f t="shared" si="44"/>
        <v>0</v>
      </c>
      <c r="K135" s="429">
        <v>0</v>
      </c>
      <c r="L135" s="465">
        <f t="shared" si="45"/>
        <v>1</v>
      </c>
      <c r="M135" s="466">
        <f t="shared" si="46"/>
        <v>0.49780000000000002</v>
      </c>
      <c r="N135" s="429">
        <f t="shared" si="47"/>
        <v>0</v>
      </c>
    </row>
    <row r="136" spans="1:14">
      <c r="A136" s="1152">
        <f t="shared" si="28"/>
        <v>122</v>
      </c>
      <c r="B136" s="513">
        <v>37501</v>
      </c>
      <c r="C136" s="88" t="s">
        <v>997</v>
      </c>
      <c r="D136" s="429">
        <v>0</v>
      </c>
      <c r="E136" s="429">
        <v>0</v>
      </c>
      <c r="F136" s="429">
        <f t="shared" si="41"/>
        <v>0</v>
      </c>
      <c r="G136" s="465">
        <f t="shared" si="42"/>
        <v>1</v>
      </c>
      <c r="H136" s="466">
        <f t="shared" si="43"/>
        <v>0.49780000000000002</v>
      </c>
      <c r="I136" s="429">
        <f t="shared" si="44"/>
        <v>0</v>
      </c>
      <c r="K136" s="429">
        <v>0</v>
      </c>
      <c r="L136" s="465">
        <f t="shared" si="45"/>
        <v>1</v>
      </c>
      <c r="M136" s="466">
        <f t="shared" si="46"/>
        <v>0.49780000000000002</v>
      </c>
      <c r="N136" s="429">
        <f t="shared" si="47"/>
        <v>0</v>
      </c>
    </row>
    <row r="137" spans="1:14">
      <c r="A137" s="1152">
        <f t="shared" si="28"/>
        <v>123</v>
      </c>
      <c r="B137" s="513">
        <v>37402</v>
      </c>
      <c r="C137" s="88" t="s">
        <v>999</v>
      </c>
      <c r="D137" s="429">
        <v>0</v>
      </c>
      <c r="E137" s="429">
        <v>0</v>
      </c>
      <c r="F137" s="429">
        <f t="shared" si="41"/>
        <v>0</v>
      </c>
      <c r="G137" s="465">
        <f t="shared" si="42"/>
        <v>1</v>
      </c>
      <c r="H137" s="466">
        <f t="shared" si="43"/>
        <v>0.49780000000000002</v>
      </c>
      <c r="I137" s="429">
        <f t="shared" si="44"/>
        <v>0</v>
      </c>
      <c r="K137" s="429">
        <v>0</v>
      </c>
      <c r="L137" s="465">
        <f t="shared" si="45"/>
        <v>1</v>
      </c>
      <c r="M137" s="466">
        <f t="shared" si="46"/>
        <v>0.49780000000000002</v>
      </c>
      <c r="N137" s="429">
        <f t="shared" si="47"/>
        <v>0</v>
      </c>
    </row>
    <row r="138" spans="1:14">
      <c r="A138" s="1152">
        <f t="shared" si="28"/>
        <v>124</v>
      </c>
      <c r="B138" s="513">
        <v>37503</v>
      </c>
      <c r="C138" s="88" t="s">
        <v>998</v>
      </c>
      <c r="D138" s="429">
        <v>0</v>
      </c>
      <c r="E138" s="429">
        <v>0</v>
      </c>
      <c r="F138" s="429">
        <f t="shared" si="41"/>
        <v>0</v>
      </c>
      <c r="G138" s="465">
        <f t="shared" si="42"/>
        <v>1</v>
      </c>
      <c r="H138" s="466">
        <f t="shared" si="43"/>
        <v>0.49780000000000002</v>
      </c>
      <c r="I138" s="429">
        <f t="shared" si="44"/>
        <v>0</v>
      </c>
      <c r="K138" s="429">
        <v>0</v>
      </c>
      <c r="L138" s="465">
        <f t="shared" si="45"/>
        <v>1</v>
      </c>
      <c r="M138" s="466">
        <f t="shared" si="46"/>
        <v>0.49780000000000002</v>
      </c>
      <c r="N138" s="429">
        <f t="shared" si="47"/>
        <v>0</v>
      </c>
    </row>
    <row r="139" spans="1:14">
      <c r="A139" s="1152">
        <f t="shared" si="28"/>
        <v>125</v>
      </c>
      <c r="B139" s="513">
        <v>36700</v>
      </c>
      <c r="C139" s="88" t="s">
        <v>844</v>
      </c>
      <c r="D139" s="429">
        <v>0</v>
      </c>
      <c r="E139" s="429">
        <v>0</v>
      </c>
      <c r="F139" s="429">
        <f t="shared" si="41"/>
        <v>0</v>
      </c>
      <c r="G139" s="465">
        <f t="shared" si="42"/>
        <v>1</v>
      </c>
      <c r="H139" s="466">
        <f t="shared" si="43"/>
        <v>0.49780000000000002</v>
      </c>
      <c r="I139" s="429">
        <f t="shared" si="44"/>
        <v>0</v>
      </c>
      <c r="K139" s="429">
        <v>0</v>
      </c>
      <c r="L139" s="465">
        <f t="shared" si="45"/>
        <v>1</v>
      </c>
      <c r="M139" s="466">
        <f t="shared" si="46"/>
        <v>0.49780000000000002</v>
      </c>
      <c r="N139" s="429">
        <f t="shared" si="47"/>
        <v>0</v>
      </c>
    </row>
    <row r="140" spans="1:14">
      <c r="A140" s="1152">
        <f t="shared" si="28"/>
        <v>126</v>
      </c>
      <c r="B140" s="513">
        <v>36701</v>
      </c>
      <c r="C140" s="88" t="s">
        <v>16</v>
      </c>
      <c r="D140" s="429">
        <v>0</v>
      </c>
      <c r="E140" s="429">
        <v>0</v>
      </c>
      <c r="F140" s="429">
        <f t="shared" si="41"/>
        <v>0</v>
      </c>
      <c r="G140" s="465">
        <f t="shared" si="42"/>
        <v>1</v>
      </c>
      <c r="H140" s="466">
        <f t="shared" si="43"/>
        <v>0.49780000000000002</v>
      </c>
      <c r="I140" s="429">
        <f t="shared" si="44"/>
        <v>0</v>
      </c>
      <c r="K140" s="429">
        <v>0</v>
      </c>
      <c r="L140" s="465">
        <f t="shared" si="45"/>
        <v>1</v>
      </c>
      <c r="M140" s="466">
        <f t="shared" si="46"/>
        <v>0.49780000000000002</v>
      </c>
      <c r="N140" s="429">
        <f t="shared" si="47"/>
        <v>0</v>
      </c>
    </row>
    <row r="141" spans="1:14">
      <c r="A141" s="1152">
        <f t="shared" si="28"/>
        <v>127</v>
      </c>
      <c r="B141" s="513">
        <v>37602</v>
      </c>
      <c r="C141" s="88" t="s">
        <v>845</v>
      </c>
      <c r="D141" s="429">
        <v>0</v>
      </c>
      <c r="E141" s="429">
        <v>0</v>
      </c>
      <c r="F141" s="429">
        <f t="shared" si="41"/>
        <v>0</v>
      </c>
      <c r="G141" s="465">
        <f t="shared" si="42"/>
        <v>1</v>
      </c>
      <c r="H141" s="466">
        <f t="shared" si="43"/>
        <v>0.49780000000000002</v>
      </c>
      <c r="I141" s="429">
        <f t="shared" si="44"/>
        <v>0</v>
      </c>
      <c r="K141" s="429">
        <v>0</v>
      </c>
      <c r="L141" s="465">
        <f t="shared" si="45"/>
        <v>1</v>
      </c>
      <c r="M141" s="466">
        <f t="shared" si="46"/>
        <v>0.49780000000000002</v>
      </c>
      <c r="N141" s="429">
        <f t="shared" si="47"/>
        <v>0</v>
      </c>
    </row>
    <row r="142" spans="1:14">
      <c r="A142" s="1152">
        <f t="shared" si="28"/>
        <v>128</v>
      </c>
      <c r="B142" s="513">
        <v>37800</v>
      </c>
      <c r="C142" s="88" t="s">
        <v>229</v>
      </c>
      <c r="D142" s="429">
        <v>0</v>
      </c>
      <c r="E142" s="429">
        <v>0</v>
      </c>
      <c r="F142" s="429">
        <f t="shared" si="41"/>
        <v>0</v>
      </c>
      <c r="G142" s="465">
        <f t="shared" si="42"/>
        <v>1</v>
      </c>
      <c r="H142" s="466">
        <f t="shared" si="43"/>
        <v>0.49780000000000002</v>
      </c>
      <c r="I142" s="429">
        <f t="shared" si="44"/>
        <v>0</v>
      </c>
      <c r="K142" s="429">
        <v>0</v>
      </c>
      <c r="L142" s="465">
        <f t="shared" si="45"/>
        <v>1</v>
      </c>
      <c r="M142" s="466">
        <f t="shared" si="46"/>
        <v>0.49780000000000002</v>
      </c>
      <c r="N142" s="429">
        <f t="shared" si="47"/>
        <v>0</v>
      </c>
    </row>
    <row r="143" spans="1:14">
      <c r="A143" s="1152">
        <f t="shared" si="28"/>
        <v>129</v>
      </c>
      <c r="B143" s="513">
        <v>37900</v>
      </c>
      <c r="C143" s="88" t="s">
        <v>1190</v>
      </c>
      <c r="D143" s="429">
        <v>0</v>
      </c>
      <c r="E143" s="429">
        <v>0</v>
      </c>
      <c r="F143" s="429">
        <f t="shared" si="41"/>
        <v>0</v>
      </c>
      <c r="G143" s="465">
        <f t="shared" si="42"/>
        <v>1</v>
      </c>
      <c r="H143" s="466">
        <f t="shared" si="43"/>
        <v>0.49780000000000002</v>
      </c>
      <c r="I143" s="429">
        <f t="shared" si="44"/>
        <v>0</v>
      </c>
      <c r="K143" s="429">
        <v>0</v>
      </c>
      <c r="L143" s="465">
        <f t="shared" si="45"/>
        <v>1</v>
      </c>
      <c r="M143" s="466">
        <f t="shared" si="46"/>
        <v>0.49780000000000002</v>
      </c>
      <c r="N143" s="429">
        <f t="shared" si="47"/>
        <v>0</v>
      </c>
    </row>
    <row r="144" spans="1:14">
      <c r="A144" s="1152">
        <f t="shared" si="28"/>
        <v>130</v>
      </c>
      <c r="B144" s="513">
        <v>37905</v>
      </c>
      <c r="C144" s="88" t="s">
        <v>725</v>
      </c>
      <c r="D144" s="429">
        <v>0</v>
      </c>
      <c r="E144" s="429">
        <v>0</v>
      </c>
      <c r="F144" s="429">
        <f t="shared" si="41"/>
        <v>0</v>
      </c>
      <c r="G144" s="465">
        <f t="shared" si="42"/>
        <v>1</v>
      </c>
      <c r="H144" s="466">
        <f t="shared" si="43"/>
        <v>0.49780000000000002</v>
      </c>
      <c r="I144" s="429">
        <f t="shared" si="44"/>
        <v>0</v>
      </c>
      <c r="K144" s="429">
        <v>0</v>
      </c>
      <c r="L144" s="465">
        <f t="shared" si="45"/>
        <v>1</v>
      </c>
      <c r="M144" s="466">
        <f t="shared" si="46"/>
        <v>0.49780000000000002</v>
      </c>
      <c r="N144" s="429">
        <f t="shared" si="47"/>
        <v>0</v>
      </c>
    </row>
    <row r="145" spans="1:19">
      <c r="A145" s="1152">
        <f t="shared" si="28"/>
        <v>131</v>
      </c>
      <c r="B145" s="513">
        <v>38000</v>
      </c>
      <c r="C145" s="88" t="s">
        <v>1052</v>
      </c>
      <c r="D145" s="429">
        <v>0</v>
      </c>
      <c r="E145" s="429">
        <v>0</v>
      </c>
      <c r="F145" s="429">
        <f t="shared" si="41"/>
        <v>0</v>
      </c>
      <c r="G145" s="465">
        <f t="shared" si="42"/>
        <v>1</v>
      </c>
      <c r="H145" s="466">
        <f t="shared" si="43"/>
        <v>0.49780000000000002</v>
      </c>
      <c r="I145" s="429">
        <f t="shared" si="44"/>
        <v>0</v>
      </c>
      <c r="K145" s="429">
        <v>0</v>
      </c>
      <c r="L145" s="465">
        <f t="shared" si="45"/>
        <v>1</v>
      </c>
      <c r="M145" s="466">
        <f t="shared" si="46"/>
        <v>0.49780000000000002</v>
      </c>
      <c r="N145" s="429">
        <f t="shared" si="47"/>
        <v>0</v>
      </c>
    </row>
    <row r="146" spans="1:19">
      <c r="A146" s="1152">
        <f t="shared" si="28"/>
        <v>132</v>
      </c>
      <c r="B146" s="513">
        <v>38100</v>
      </c>
      <c r="C146" s="88" t="s">
        <v>846</v>
      </c>
      <c r="D146" s="429">
        <v>0</v>
      </c>
      <c r="E146" s="429">
        <v>0</v>
      </c>
      <c r="F146" s="429">
        <f t="shared" si="41"/>
        <v>0</v>
      </c>
      <c r="G146" s="465">
        <f t="shared" si="42"/>
        <v>1</v>
      </c>
      <c r="H146" s="466">
        <f t="shared" si="43"/>
        <v>0.49780000000000002</v>
      </c>
      <c r="I146" s="429">
        <f t="shared" si="44"/>
        <v>0</v>
      </c>
      <c r="K146" s="429">
        <v>0</v>
      </c>
      <c r="L146" s="465">
        <f t="shared" si="45"/>
        <v>1</v>
      </c>
      <c r="M146" s="466">
        <f t="shared" si="46"/>
        <v>0.49780000000000002</v>
      </c>
      <c r="N146" s="429">
        <f t="shared" si="47"/>
        <v>0</v>
      </c>
    </row>
    <row r="147" spans="1:19">
      <c r="A147" s="1152">
        <f t="shared" si="28"/>
        <v>133</v>
      </c>
      <c r="B147" s="513">
        <v>38200</v>
      </c>
      <c r="C147" s="88" t="s">
        <v>442</v>
      </c>
      <c r="D147" s="429">
        <v>0</v>
      </c>
      <c r="E147" s="429">
        <v>0</v>
      </c>
      <c r="F147" s="429">
        <f t="shared" si="41"/>
        <v>0</v>
      </c>
      <c r="G147" s="465">
        <f t="shared" si="42"/>
        <v>1</v>
      </c>
      <c r="H147" s="466">
        <f t="shared" si="43"/>
        <v>0.49780000000000002</v>
      </c>
      <c r="I147" s="429">
        <f t="shared" si="44"/>
        <v>0</v>
      </c>
      <c r="K147" s="429">
        <v>0</v>
      </c>
      <c r="L147" s="465">
        <f t="shared" si="45"/>
        <v>1</v>
      </c>
      <c r="M147" s="466">
        <f t="shared" si="46"/>
        <v>0.49780000000000002</v>
      </c>
      <c r="N147" s="429">
        <f t="shared" si="47"/>
        <v>0</v>
      </c>
    </row>
    <row r="148" spans="1:19">
      <c r="A148" s="1152">
        <f t="shared" ref="A148:A211" si="48">A147+1</f>
        <v>134</v>
      </c>
      <c r="B148" s="513">
        <v>38300</v>
      </c>
      <c r="C148" s="88" t="s">
        <v>1053</v>
      </c>
      <c r="D148" s="429">
        <v>0</v>
      </c>
      <c r="E148" s="429">
        <v>0</v>
      </c>
      <c r="F148" s="429">
        <f t="shared" si="41"/>
        <v>0</v>
      </c>
      <c r="G148" s="465">
        <f t="shared" si="42"/>
        <v>1</v>
      </c>
      <c r="H148" s="466">
        <f t="shared" si="43"/>
        <v>0.49780000000000002</v>
      </c>
      <c r="I148" s="429">
        <f t="shared" si="44"/>
        <v>0</v>
      </c>
      <c r="K148" s="429">
        <v>0</v>
      </c>
      <c r="L148" s="465">
        <f t="shared" si="45"/>
        <v>1</v>
      </c>
      <c r="M148" s="466">
        <f t="shared" si="46"/>
        <v>0.49780000000000002</v>
      </c>
      <c r="N148" s="429">
        <f t="shared" si="47"/>
        <v>0</v>
      </c>
    </row>
    <row r="149" spans="1:19">
      <c r="A149" s="1152">
        <f t="shared" si="48"/>
        <v>135</v>
      </c>
      <c r="B149" s="513">
        <v>38400</v>
      </c>
      <c r="C149" s="88" t="s">
        <v>443</v>
      </c>
      <c r="D149" s="429">
        <v>0</v>
      </c>
      <c r="E149" s="429">
        <v>0</v>
      </c>
      <c r="F149" s="429">
        <f t="shared" si="41"/>
        <v>0</v>
      </c>
      <c r="G149" s="465">
        <f t="shared" si="42"/>
        <v>1</v>
      </c>
      <c r="H149" s="466">
        <f t="shared" si="43"/>
        <v>0.49780000000000002</v>
      </c>
      <c r="I149" s="429">
        <f t="shared" si="44"/>
        <v>0</v>
      </c>
      <c r="K149" s="429">
        <v>0</v>
      </c>
      <c r="L149" s="465">
        <f t="shared" si="45"/>
        <v>1</v>
      </c>
      <c r="M149" s="466">
        <f t="shared" si="46"/>
        <v>0.49780000000000002</v>
      </c>
      <c r="N149" s="429">
        <f t="shared" si="47"/>
        <v>0</v>
      </c>
    </row>
    <row r="150" spans="1:19">
      <c r="A150" s="1152">
        <f t="shared" si="48"/>
        <v>136</v>
      </c>
      <c r="B150" s="513">
        <v>38500</v>
      </c>
      <c r="C150" s="88" t="s">
        <v>444</v>
      </c>
      <c r="D150" s="429">
        <v>0</v>
      </c>
      <c r="E150" s="429">
        <v>0</v>
      </c>
      <c r="F150" s="429">
        <f t="shared" si="41"/>
        <v>0</v>
      </c>
      <c r="G150" s="465">
        <f t="shared" si="42"/>
        <v>1</v>
      </c>
      <c r="H150" s="466">
        <f t="shared" si="43"/>
        <v>0.49780000000000002</v>
      </c>
      <c r="I150" s="429">
        <f t="shared" si="44"/>
        <v>0</v>
      </c>
      <c r="K150" s="429">
        <v>0</v>
      </c>
      <c r="L150" s="465">
        <f t="shared" si="45"/>
        <v>1</v>
      </c>
      <c r="M150" s="466">
        <f t="shared" si="46"/>
        <v>0.49780000000000002</v>
      </c>
      <c r="N150" s="429">
        <f t="shared" si="47"/>
        <v>0</v>
      </c>
    </row>
    <row r="151" spans="1:19">
      <c r="A151" s="1152">
        <f t="shared" si="48"/>
        <v>137</v>
      </c>
      <c r="B151" s="513">
        <v>38600</v>
      </c>
      <c r="C151" s="88" t="s">
        <v>106</v>
      </c>
      <c r="D151" s="1042">
        <v>0</v>
      </c>
      <c r="E151" s="1042">
        <v>0</v>
      </c>
      <c r="F151" s="1042">
        <f t="shared" si="41"/>
        <v>0</v>
      </c>
      <c r="G151" s="465">
        <f t="shared" si="42"/>
        <v>1</v>
      </c>
      <c r="H151" s="466">
        <f t="shared" si="43"/>
        <v>0.49780000000000002</v>
      </c>
      <c r="I151" s="1042">
        <f t="shared" si="44"/>
        <v>0</v>
      </c>
      <c r="K151" s="1042">
        <v>0</v>
      </c>
      <c r="L151" s="465">
        <f t="shared" si="45"/>
        <v>1</v>
      </c>
      <c r="M151" s="466">
        <f t="shared" si="46"/>
        <v>0.49780000000000002</v>
      </c>
      <c r="N151" s="1042">
        <f t="shared" si="47"/>
        <v>0</v>
      </c>
    </row>
    <row r="152" spans="1:19">
      <c r="A152" s="1152">
        <f t="shared" si="48"/>
        <v>138</v>
      </c>
      <c r="B152" s="513"/>
      <c r="C152" s="88"/>
      <c r="M152" s="466"/>
    </row>
    <row r="153" spans="1:19">
      <c r="A153" s="1152">
        <f t="shared" si="48"/>
        <v>139</v>
      </c>
      <c r="B153" s="513"/>
      <c r="C153" s="88" t="s">
        <v>300</v>
      </c>
      <c r="D153" s="346">
        <f>SUM(D131:D152)</f>
        <v>0</v>
      </c>
      <c r="E153" s="346">
        <f>SUM(E131:E152)</f>
        <v>0</v>
      </c>
      <c r="F153" s="346">
        <f>SUM(F131:F152)</f>
        <v>0</v>
      </c>
      <c r="I153" s="346">
        <f>SUM(I131:I152)</f>
        <v>0</v>
      </c>
      <c r="K153" s="346">
        <f>SUM(K131:K152)</f>
        <v>0</v>
      </c>
      <c r="M153" s="466"/>
      <c r="N153" s="346">
        <f>SUM(N131:N152)</f>
        <v>0</v>
      </c>
    </row>
    <row r="154" spans="1:19">
      <c r="A154" s="1152">
        <f t="shared" si="48"/>
        <v>140</v>
      </c>
      <c r="B154" s="513"/>
      <c r="C154" s="88"/>
      <c r="M154" s="466"/>
    </row>
    <row r="155" spans="1:19">
      <c r="A155" s="1152">
        <f t="shared" si="48"/>
        <v>141</v>
      </c>
      <c r="B155" s="706"/>
      <c r="C155" s="619" t="s">
        <v>301</v>
      </c>
      <c r="M155" s="466"/>
    </row>
    <row r="156" spans="1:19">
      <c r="A156" s="1152">
        <f t="shared" si="48"/>
        <v>142</v>
      </c>
      <c r="B156" s="513">
        <v>39001</v>
      </c>
      <c r="C156" s="88" t="s">
        <v>1543</v>
      </c>
      <c r="D156" s="360">
        <v>102168.83</v>
      </c>
      <c r="E156" s="621">
        <v>0</v>
      </c>
      <c r="F156" s="346">
        <f t="shared" ref="F156:F177" si="49">D156+E156</f>
        <v>102168.83</v>
      </c>
      <c r="G156" s="466">
        <f t="shared" ref="G156:G177" si="50">$G$16</f>
        <v>1</v>
      </c>
      <c r="H156" s="466">
        <f t="shared" ref="H156:H177" si="51">$H$125</f>
        <v>0.49780000000000002</v>
      </c>
      <c r="I156" s="429">
        <f t="shared" ref="I156:I177" si="52">F156*G156*H156</f>
        <v>50859.643574000002</v>
      </c>
      <c r="K156" s="360">
        <v>99765.709999999992</v>
      </c>
      <c r="L156" s="466">
        <f t="shared" ref="L156:L177" si="53">G156</f>
        <v>1</v>
      </c>
      <c r="M156" s="466">
        <f t="shared" ref="M156:M177" si="54">H156</f>
        <v>0.49780000000000002</v>
      </c>
      <c r="N156" s="346">
        <f t="shared" ref="N156:N177" si="55">K156*L156*M156</f>
        <v>49663.370437999998</v>
      </c>
      <c r="P156" s="513"/>
      <c r="R156" s="423"/>
      <c r="S156" s="423"/>
    </row>
    <row r="157" spans="1:19">
      <c r="A157" s="1152">
        <f t="shared" si="48"/>
        <v>143</v>
      </c>
      <c r="B157" s="513">
        <v>39004</v>
      </c>
      <c r="C157" s="88" t="s">
        <v>1527</v>
      </c>
      <c r="D157" s="360">
        <v>9378.6</v>
      </c>
      <c r="E157" s="429">
        <v>0</v>
      </c>
      <c r="F157" s="429">
        <f t="shared" si="49"/>
        <v>9378.6</v>
      </c>
      <c r="G157" s="465">
        <f t="shared" si="50"/>
        <v>1</v>
      </c>
      <c r="H157" s="466">
        <f t="shared" si="51"/>
        <v>0.49780000000000002</v>
      </c>
      <c r="I157" s="429">
        <f t="shared" si="52"/>
        <v>4668.6670800000002</v>
      </c>
      <c r="K157" s="360">
        <v>8814.7800000000007</v>
      </c>
      <c r="L157" s="465">
        <f t="shared" si="53"/>
        <v>1</v>
      </c>
      <c r="M157" s="466">
        <f t="shared" si="54"/>
        <v>0.49780000000000002</v>
      </c>
      <c r="N157" s="429">
        <f t="shared" si="55"/>
        <v>4387.9974840000004</v>
      </c>
      <c r="P157" s="513"/>
      <c r="R157" s="423"/>
      <c r="S157" s="423"/>
    </row>
    <row r="158" spans="1:19">
      <c r="A158" s="1152">
        <f t="shared" si="48"/>
        <v>144</v>
      </c>
      <c r="B158" s="513">
        <v>39009</v>
      </c>
      <c r="C158" s="88" t="s">
        <v>1528</v>
      </c>
      <c r="D158" s="360">
        <v>38834</v>
      </c>
      <c r="E158" s="429">
        <v>0</v>
      </c>
      <c r="F158" s="429">
        <f t="shared" si="49"/>
        <v>38834</v>
      </c>
      <c r="G158" s="465">
        <f t="shared" si="50"/>
        <v>1</v>
      </c>
      <c r="H158" s="466">
        <f t="shared" si="51"/>
        <v>0.49780000000000002</v>
      </c>
      <c r="I158" s="429">
        <f t="shared" si="52"/>
        <v>19331.565200000001</v>
      </c>
      <c r="K158" s="360">
        <v>38834</v>
      </c>
      <c r="L158" s="465">
        <f t="shared" si="53"/>
        <v>1</v>
      </c>
      <c r="M158" s="466">
        <f t="shared" si="54"/>
        <v>0.49780000000000002</v>
      </c>
      <c r="N158" s="429">
        <f t="shared" si="55"/>
        <v>19331.565200000001</v>
      </c>
      <c r="P158" s="513"/>
      <c r="R158" s="423"/>
      <c r="S158" s="423"/>
    </row>
    <row r="159" spans="1:19">
      <c r="A159" s="1152">
        <f t="shared" si="48"/>
        <v>145</v>
      </c>
      <c r="B159" s="513">
        <v>39100</v>
      </c>
      <c r="C159" s="88" t="s">
        <v>1529</v>
      </c>
      <c r="D159" s="360">
        <v>40147.43</v>
      </c>
      <c r="E159" s="429">
        <v>0</v>
      </c>
      <c r="F159" s="429">
        <f t="shared" si="49"/>
        <v>40147.43</v>
      </c>
      <c r="G159" s="465">
        <f t="shared" si="50"/>
        <v>1</v>
      </c>
      <c r="H159" s="466">
        <f t="shared" si="51"/>
        <v>0.49780000000000002</v>
      </c>
      <c r="I159" s="429">
        <f t="shared" si="52"/>
        <v>19985.390654000003</v>
      </c>
      <c r="K159" s="360">
        <v>40035.445</v>
      </c>
      <c r="L159" s="465">
        <f t="shared" ref="L159:L164" si="56">G159</f>
        <v>1</v>
      </c>
      <c r="M159" s="466">
        <f t="shared" ref="M159:M164" si="57">H159</f>
        <v>0.49780000000000002</v>
      </c>
      <c r="N159" s="429">
        <f t="shared" si="55"/>
        <v>19929.644521000002</v>
      </c>
      <c r="P159" s="513"/>
      <c r="R159" s="423"/>
      <c r="S159" s="423"/>
    </row>
    <row r="160" spans="1:19">
      <c r="A160" s="1152">
        <f t="shared" si="48"/>
        <v>146</v>
      </c>
      <c r="B160" s="513">
        <v>39101</v>
      </c>
      <c r="C160" s="88" t="s">
        <v>1499</v>
      </c>
      <c r="D160" s="360"/>
      <c r="E160" s="429">
        <v>0</v>
      </c>
      <c r="F160" s="429">
        <f t="shared" si="49"/>
        <v>0</v>
      </c>
      <c r="G160" s="465">
        <f t="shared" si="50"/>
        <v>1</v>
      </c>
      <c r="H160" s="466">
        <f t="shared" si="51"/>
        <v>0.49780000000000002</v>
      </c>
      <c r="I160" s="429">
        <f t="shared" si="52"/>
        <v>0</v>
      </c>
      <c r="K160" s="360"/>
      <c r="L160" s="465">
        <f t="shared" si="56"/>
        <v>1</v>
      </c>
      <c r="M160" s="466">
        <f t="shared" si="57"/>
        <v>0.49780000000000002</v>
      </c>
      <c r="N160" s="429">
        <f t="shared" si="55"/>
        <v>0</v>
      </c>
      <c r="P160" s="513"/>
      <c r="R160" s="423"/>
      <c r="S160" s="423"/>
    </row>
    <row r="161" spans="1:19">
      <c r="A161" s="1152">
        <f t="shared" si="48"/>
        <v>147</v>
      </c>
      <c r="B161" s="513">
        <v>39103</v>
      </c>
      <c r="C161" s="88" t="s">
        <v>780</v>
      </c>
      <c r="D161" s="360"/>
      <c r="E161" s="429">
        <v>0</v>
      </c>
      <c r="F161" s="429">
        <f t="shared" si="49"/>
        <v>0</v>
      </c>
      <c r="G161" s="465">
        <f t="shared" si="50"/>
        <v>1</v>
      </c>
      <c r="H161" s="466">
        <f t="shared" si="51"/>
        <v>0.49780000000000002</v>
      </c>
      <c r="I161" s="429">
        <f t="shared" si="52"/>
        <v>0</v>
      </c>
      <c r="K161" s="360"/>
      <c r="L161" s="465">
        <f t="shared" si="56"/>
        <v>1</v>
      </c>
      <c r="M161" s="466">
        <f t="shared" si="57"/>
        <v>0.49780000000000002</v>
      </c>
      <c r="N161" s="429">
        <f t="shared" si="55"/>
        <v>0</v>
      </c>
      <c r="P161" s="513"/>
      <c r="R161" s="423"/>
      <c r="S161" s="423"/>
    </row>
    <row r="162" spans="1:19">
      <c r="A162" s="1152">
        <f t="shared" si="48"/>
        <v>148</v>
      </c>
      <c r="B162" s="513">
        <v>39200</v>
      </c>
      <c r="C162" s="88" t="s">
        <v>1544</v>
      </c>
      <c r="D162" s="360">
        <v>16534.240000000002</v>
      </c>
      <c r="E162" s="429">
        <v>0</v>
      </c>
      <c r="F162" s="429">
        <f t="shared" si="49"/>
        <v>16534.240000000002</v>
      </c>
      <c r="G162" s="465">
        <f t="shared" si="50"/>
        <v>1</v>
      </c>
      <c r="H162" s="466">
        <f t="shared" si="51"/>
        <v>0.49780000000000002</v>
      </c>
      <c r="I162" s="429">
        <f t="shared" si="52"/>
        <v>8230.7446720000007</v>
      </c>
      <c r="K162" s="360">
        <v>15624.28</v>
      </c>
      <c r="L162" s="465">
        <f t="shared" si="56"/>
        <v>1</v>
      </c>
      <c r="M162" s="466">
        <f t="shared" si="57"/>
        <v>0.49780000000000002</v>
      </c>
      <c r="N162" s="429">
        <f t="shared" si="55"/>
        <v>7777.7665840000009</v>
      </c>
      <c r="P162" s="513"/>
      <c r="R162" s="423"/>
      <c r="S162" s="423"/>
    </row>
    <row r="163" spans="1:19">
      <c r="A163" s="1152">
        <f t="shared" si="48"/>
        <v>149</v>
      </c>
      <c r="B163" s="513">
        <v>39300</v>
      </c>
      <c r="C163" s="88" t="s">
        <v>649</v>
      </c>
      <c r="D163" s="360"/>
      <c r="E163" s="429">
        <v>0</v>
      </c>
      <c r="F163" s="429">
        <f t="shared" si="49"/>
        <v>0</v>
      </c>
      <c r="G163" s="465">
        <f t="shared" si="50"/>
        <v>1</v>
      </c>
      <c r="H163" s="466">
        <f t="shared" si="51"/>
        <v>0.49780000000000002</v>
      </c>
      <c r="I163" s="429">
        <f t="shared" si="52"/>
        <v>0</v>
      </c>
      <c r="K163" s="360"/>
      <c r="L163" s="465">
        <f t="shared" si="56"/>
        <v>1</v>
      </c>
      <c r="M163" s="466">
        <f t="shared" si="57"/>
        <v>0.49780000000000002</v>
      </c>
      <c r="N163" s="429">
        <f t="shared" si="55"/>
        <v>0</v>
      </c>
      <c r="P163" s="513"/>
      <c r="R163" s="423"/>
      <c r="S163" s="423"/>
    </row>
    <row r="164" spans="1:19">
      <c r="A164" s="1152">
        <f t="shared" si="48"/>
        <v>150</v>
      </c>
      <c r="B164" s="513">
        <v>39400</v>
      </c>
      <c r="C164" s="88" t="s">
        <v>1532</v>
      </c>
      <c r="D164" s="360">
        <v>137900.94</v>
      </c>
      <c r="E164" s="429">
        <v>0</v>
      </c>
      <c r="F164" s="429">
        <f t="shared" si="49"/>
        <v>137900.94</v>
      </c>
      <c r="G164" s="465">
        <f t="shared" si="50"/>
        <v>1</v>
      </c>
      <c r="H164" s="466">
        <f t="shared" si="51"/>
        <v>0.49780000000000002</v>
      </c>
      <c r="I164" s="429">
        <f t="shared" si="52"/>
        <v>68647.087932000009</v>
      </c>
      <c r="K164" s="360">
        <v>134911.20000000001</v>
      </c>
      <c r="L164" s="465">
        <f t="shared" si="56"/>
        <v>1</v>
      </c>
      <c r="M164" s="466">
        <f t="shared" si="57"/>
        <v>0.49780000000000002</v>
      </c>
      <c r="N164" s="429">
        <f t="shared" si="55"/>
        <v>67158.795360000004</v>
      </c>
      <c r="P164" s="513"/>
      <c r="R164" s="423"/>
      <c r="S164" s="423"/>
    </row>
    <row r="165" spans="1:19">
      <c r="A165" s="1152">
        <f t="shared" si="48"/>
        <v>151</v>
      </c>
      <c r="B165" s="513">
        <v>39600</v>
      </c>
      <c r="C165" s="88" t="s">
        <v>1545</v>
      </c>
      <c r="D165" s="360">
        <v>7954.94</v>
      </c>
      <c r="E165" s="429">
        <v>0</v>
      </c>
      <c r="F165" s="429">
        <f t="shared" si="49"/>
        <v>7954.94</v>
      </c>
      <c r="G165" s="465">
        <f t="shared" si="50"/>
        <v>1</v>
      </c>
      <c r="H165" s="466">
        <f t="shared" si="51"/>
        <v>0.49780000000000002</v>
      </c>
      <c r="I165" s="429">
        <f t="shared" si="52"/>
        <v>3959.9691320000002</v>
      </c>
      <c r="K165" s="360">
        <v>7507.6999999999989</v>
      </c>
      <c r="L165" s="465">
        <f t="shared" si="53"/>
        <v>1</v>
      </c>
      <c r="M165" s="466">
        <f t="shared" si="54"/>
        <v>0.49780000000000002</v>
      </c>
      <c r="N165" s="429">
        <f t="shared" si="55"/>
        <v>3737.3330599999995</v>
      </c>
      <c r="P165" s="513"/>
      <c r="R165" s="423"/>
      <c r="S165" s="423"/>
    </row>
    <row r="166" spans="1:19">
      <c r="A166" s="1152">
        <f t="shared" si="48"/>
        <v>152</v>
      </c>
      <c r="B166" s="513">
        <v>39700</v>
      </c>
      <c r="C166" s="88" t="s">
        <v>1536</v>
      </c>
      <c r="D166" s="360">
        <v>-7962.45</v>
      </c>
      <c r="E166" s="429">
        <v>0</v>
      </c>
      <c r="F166" s="429">
        <f t="shared" si="49"/>
        <v>-7962.45</v>
      </c>
      <c r="G166" s="465">
        <f t="shared" si="50"/>
        <v>1</v>
      </c>
      <c r="H166" s="466">
        <f t="shared" si="51"/>
        <v>0.49780000000000002</v>
      </c>
      <c r="I166" s="429">
        <f t="shared" si="52"/>
        <v>-3963.7076099999999</v>
      </c>
      <c r="K166" s="360">
        <v>-8549.9699999999993</v>
      </c>
      <c r="L166" s="465">
        <f t="shared" si="53"/>
        <v>1</v>
      </c>
      <c r="M166" s="466">
        <f t="shared" si="54"/>
        <v>0.49780000000000002</v>
      </c>
      <c r="N166" s="429">
        <f t="shared" si="55"/>
        <v>-4256.1750659999998</v>
      </c>
      <c r="P166" s="513"/>
      <c r="R166" s="423"/>
      <c r="S166" s="423"/>
    </row>
    <row r="167" spans="1:19">
      <c r="A167" s="1152">
        <f t="shared" si="48"/>
        <v>153</v>
      </c>
      <c r="B167" s="513">
        <v>39701</v>
      </c>
      <c r="C167" s="88" t="s">
        <v>1496</v>
      </c>
      <c r="D167" s="360"/>
      <c r="E167" s="429">
        <v>0</v>
      </c>
      <c r="F167" s="429">
        <f t="shared" si="49"/>
        <v>0</v>
      </c>
      <c r="G167" s="465">
        <f t="shared" si="50"/>
        <v>1</v>
      </c>
      <c r="H167" s="466">
        <f t="shared" si="51"/>
        <v>0.49780000000000002</v>
      </c>
      <c r="I167" s="429">
        <f t="shared" si="52"/>
        <v>0</v>
      </c>
      <c r="K167" s="360"/>
      <c r="L167" s="465">
        <f t="shared" si="53"/>
        <v>1</v>
      </c>
      <c r="M167" s="466">
        <f t="shared" si="54"/>
        <v>0.49780000000000002</v>
      </c>
      <c r="N167" s="429">
        <f t="shared" si="55"/>
        <v>0</v>
      </c>
      <c r="P167" s="513"/>
      <c r="R167" s="423"/>
      <c r="S167" s="423"/>
    </row>
    <row r="168" spans="1:19">
      <c r="A168" s="1152">
        <f t="shared" si="48"/>
        <v>154</v>
      </c>
      <c r="B168" s="706">
        <v>39702</v>
      </c>
      <c r="C168" s="88" t="s">
        <v>1496</v>
      </c>
      <c r="D168" s="360"/>
      <c r="E168" s="429">
        <v>0</v>
      </c>
      <c r="F168" s="429">
        <f t="shared" si="49"/>
        <v>0</v>
      </c>
      <c r="G168" s="465">
        <f t="shared" si="50"/>
        <v>1</v>
      </c>
      <c r="H168" s="466">
        <f t="shared" si="51"/>
        <v>0.49780000000000002</v>
      </c>
      <c r="I168" s="429">
        <f t="shared" si="52"/>
        <v>0</v>
      </c>
      <c r="K168" s="360"/>
      <c r="L168" s="465">
        <f t="shared" si="53"/>
        <v>1</v>
      </c>
      <c r="M168" s="466">
        <f t="shared" si="54"/>
        <v>0.49780000000000002</v>
      </c>
      <c r="N168" s="429">
        <f t="shared" si="55"/>
        <v>0</v>
      </c>
      <c r="P168" s="513"/>
      <c r="R168" s="423"/>
      <c r="S168" s="423"/>
    </row>
    <row r="169" spans="1:19">
      <c r="A169" s="1152">
        <f t="shared" si="48"/>
        <v>155</v>
      </c>
      <c r="B169" s="706">
        <v>39800</v>
      </c>
      <c r="C169" s="88" t="s">
        <v>1538</v>
      </c>
      <c r="D169" s="360">
        <v>702501.26</v>
      </c>
      <c r="E169" s="429">
        <v>0</v>
      </c>
      <c r="F169" s="429">
        <f t="shared" si="49"/>
        <v>702501.26</v>
      </c>
      <c r="G169" s="465">
        <f t="shared" si="50"/>
        <v>1</v>
      </c>
      <c r="H169" s="466">
        <f t="shared" si="51"/>
        <v>0.49780000000000002</v>
      </c>
      <c r="I169" s="429">
        <f t="shared" si="52"/>
        <v>349705.12722800003</v>
      </c>
      <c r="K169" s="360">
        <v>688375.46000000008</v>
      </c>
      <c r="L169" s="465">
        <f t="shared" si="53"/>
        <v>1</v>
      </c>
      <c r="M169" s="466">
        <f t="shared" si="54"/>
        <v>0.49780000000000002</v>
      </c>
      <c r="N169" s="429">
        <f t="shared" si="55"/>
        <v>342673.30398800003</v>
      </c>
      <c r="P169" s="513"/>
      <c r="R169" s="423"/>
      <c r="S169" s="423"/>
    </row>
    <row r="170" spans="1:19">
      <c r="A170" s="1152">
        <f t="shared" si="48"/>
        <v>156</v>
      </c>
      <c r="B170" s="706">
        <v>39900</v>
      </c>
      <c r="C170" s="88" t="s">
        <v>1546</v>
      </c>
      <c r="D170" s="360"/>
      <c r="E170" s="429">
        <v>0</v>
      </c>
      <c r="F170" s="429">
        <f t="shared" si="49"/>
        <v>0</v>
      </c>
      <c r="G170" s="465">
        <f t="shared" si="50"/>
        <v>1</v>
      </c>
      <c r="H170" s="466">
        <f t="shared" si="51"/>
        <v>0.49780000000000002</v>
      </c>
      <c r="I170" s="429">
        <f t="shared" si="52"/>
        <v>0</v>
      </c>
      <c r="K170" s="360"/>
      <c r="L170" s="465">
        <f t="shared" si="53"/>
        <v>1</v>
      </c>
      <c r="M170" s="466">
        <f t="shared" si="54"/>
        <v>0.49780000000000002</v>
      </c>
      <c r="N170" s="429">
        <f t="shared" si="55"/>
        <v>0</v>
      </c>
      <c r="P170" s="513"/>
      <c r="R170" s="423"/>
      <c r="S170" s="423"/>
    </row>
    <row r="171" spans="1:19">
      <c r="A171" s="1152">
        <f t="shared" si="48"/>
        <v>157</v>
      </c>
      <c r="B171" s="706">
        <v>39901</v>
      </c>
      <c r="C171" s="88" t="s">
        <v>1547</v>
      </c>
      <c r="D171" s="360">
        <v>-34765.769999999997</v>
      </c>
      <c r="E171" s="429">
        <v>0</v>
      </c>
      <c r="F171" s="429">
        <f t="shared" si="49"/>
        <v>-34765.769999999997</v>
      </c>
      <c r="G171" s="465">
        <f t="shared" si="50"/>
        <v>1</v>
      </c>
      <c r="H171" s="466">
        <f t="shared" si="51"/>
        <v>0.49780000000000002</v>
      </c>
      <c r="I171" s="429">
        <f t="shared" si="52"/>
        <v>-17306.400306</v>
      </c>
      <c r="K171" s="360">
        <v>-34765.770000000004</v>
      </c>
      <c r="L171" s="465">
        <f t="shared" si="53"/>
        <v>1</v>
      </c>
      <c r="M171" s="466">
        <f t="shared" si="54"/>
        <v>0.49780000000000002</v>
      </c>
      <c r="N171" s="429">
        <f t="shared" si="55"/>
        <v>-17306.400306000003</v>
      </c>
      <c r="P171" s="513"/>
      <c r="R171" s="423"/>
      <c r="S171" s="423"/>
    </row>
    <row r="172" spans="1:19">
      <c r="A172" s="1152">
        <f t="shared" si="48"/>
        <v>158</v>
      </c>
      <c r="B172" s="706">
        <v>39902</v>
      </c>
      <c r="C172" s="88" t="s">
        <v>1548</v>
      </c>
      <c r="D172" s="360"/>
      <c r="E172" s="429">
        <v>0</v>
      </c>
      <c r="F172" s="429">
        <f t="shared" si="49"/>
        <v>0</v>
      </c>
      <c r="G172" s="465">
        <f t="shared" si="50"/>
        <v>1</v>
      </c>
      <c r="H172" s="466">
        <f t="shared" si="51"/>
        <v>0.49780000000000002</v>
      </c>
      <c r="I172" s="429">
        <f t="shared" si="52"/>
        <v>0</v>
      </c>
      <c r="K172" s="360"/>
      <c r="L172" s="465">
        <f t="shared" si="53"/>
        <v>1</v>
      </c>
      <c r="M172" s="466">
        <f t="shared" si="54"/>
        <v>0.49780000000000002</v>
      </c>
      <c r="N172" s="429">
        <f t="shared" si="55"/>
        <v>0</v>
      </c>
      <c r="P172" s="513"/>
      <c r="R172" s="423"/>
      <c r="S172" s="423"/>
    </row>
    <row r="173" spans="1:19">
      <c r="A173" s="1152">
        <f t="shared" si="48"/>
        <v>159</v>
      </c>
      <c r="B173" s="706">
        <v>39903</v>
      </c>
      <c r="C173" s="88" t="s">
        <v>1539</v>
      </c>
      <c r="D173" s="360"/>
      <c r="E173" s="429">
        <v>0</v>
      </c>
      <c r="F173" s="429">
        <f t="shared" si="49"/>
        <v>0</v>
      </c>
      <c r="G173" s="465">
        <f t="shared" si="50"/>
        <v>1</v>
      </c>
      <c r="H173" s="466">
        <f t="shared" si="51"/>
        <v>0.49780000000000002</v>
      </c>
      <c r="I173" s="429">
        <f t="shared" si="52"/>
        <v>0</v>
      </c>
      <c r="K173" s="360"/>
      <c r="L173" s="465">
        <f t="shared" si="53"/>
        <v>1</v>
      </c>
      <c r="M173" s="466">
        <f t="shared" si="54"/>
        <v>0.49780000000000002</v>
      </c>
      <c r="N173" s="429">
        <f t="shared" si="55"/>
        <v>0</v>
      </c>
      <c r="P173" s="513"/>
      <c r="R173" s="423"/>
      <c r="S173" s="423"/>
    </row>
    <row r="174" spans="1:19">
      <c r="A174" s="1152">
        <f t="shared" si="48"/>
        <v>160</v>
      </c>
      <c r="B174" s="706">
        <v>39906</v>
      </c>
      <c r="C174" s="88" t="s">
        <v>1540</v>
      </c>
      <c r="D174" s="360">
        <v>70196.03</v>
      </c>
      <c r="E174" s="429">
        <v>0</v>
      </c>
      <c r="F174" s="429">
        <f t="shared" si="49"/>
        <v>70196.03</v>
      </c>
      <c r="G174" s="465">
        <f t="shared" si="50"/>
        <v>1</v>
      </c>
      <c r="H174" s="466">
        <f t="shared" si="51"/>
        <v>0.49780000000000002</v>
      </c>
      <c r="I174" s="429">
        <f t="shared" si="52"/>
        <v>34943.583734</v>
      </c>
      <c r="K174" s="360">
        <v>70196.030000000013</v>
      </c>
      <c r="L174" s="465">
        <f t="shared" si="53"/>
        <v>1</v>
      </c>
      <c r="M174" s="466">
        <f t="shared" si="54"/>
        <v>0.49780000000000002</v>
      </c>
      <c r="N174" s="429">
        <f t="shared" si="55"/>
        <v>34943.583734000007</v>
      </c>
      <c r="P174" s="513"/>
      <c r="R174" s="423"/>
      <c r="S174" s="423"/>
    </row>
    <row r="175" spans="1:19">
      <c r="A175" s="1152">
        <f t="shared" si="48"/>
        <v>161</v>
      </c>
      <c r="B175" s="706">
        <v>39907</v>
      </c>
      <c r="C175" s="88" t="s">
        <v>1541</v>
      </c>
      <c r="D175" s="360">
        <v>26751.85</v>
      </c>
      <c r="E175" s="429">
        <v>0</v>
      </c>
      <c r="F175" s="429">
        <f t="shared" si="49"/>
        <v>26751.85</v>
      </c>
      <c r="G175" s="465">
        <f t="shared" si="50"/>
        <v>1</v>
      </c>
      <c r="H175" s="466">
        <f t="shared" si="51"/>
        <v>0.49780000000000002</v>
      </c>
      <c r="I175" s="429">
        <f t="shared" si="52"/>
        <v>13317.07093</v>
      </c>
      <c r="K175" s="360">
        <v>22847.936923076919</v>
      </c>
      <c r="L175" s="465">
        <f t="shared" si="53"/>
        <v>1</v>
      </c>
      <c r="M175" s="466">
        <f t="shared" si="54"/>
        <v>0.49780000000000002</v>
      </c>
      <c r="N175" s="429">
        <f t="shared" si="55"/>
        <v>11373.703000307691</v>
      </c>
      <c r="P175" s="513"/>
      <c r="R175" s="423"/>
      <c r="S175" s="423"/>
    </row>
    <row r="176" spans="1:19">
      <c r="A176" s="1152">
        <f t="shared" si="48"/>
        <v>162</v>
      </c>
      <c r="B176" s="706">
        <v>39908</v>
      </c>
      <c r="C176" s="88" t="s">
        <v>1542</v>
      </c>
      <c r="D176" s="360">
        <v>828509.36</v>
      </c>
      <c r="E176" s="429">
        <v>0</v>
      </c>
      <c r="F176" s="429">
        <f t="shared" si="49"/>
        <v>828509.36</v>
      </c>
      <c r="G176" s="465">
        <f t="shared" si="50"/>
        <v>1</v>
      </c>
      <c r="H176" s="466">
        <f t="shared" si="51"/>
        <v>0.49780000000000002</v>
      </c>
      <c r="I176" s="429">
        <f t="shared" si="52"/>
        <v>412431.959408</v>
      </c>
      <c r="K176" s="360">
        <v>828509.36</v>
      </c>
      <c r="L176" s="465">
        <f t="shared" si="53"/>
        <v>1</v>
      </c>
      <c r="M176" s="466">
        <f t="shared" si="54"/>
        <v>0.49780000000000002</v>
      </c>
      <c r="N176" s="429">
        <f t="shared" si="55"/>
        <v>412431.959408</v>
      </c>
      <c r="P176" s="513"/>
      <c r="R176" s="423"/>
      <c r="S176" s="423"/>
    </row>
    <row r="177" spans="1:19">
      <c r="A177" s="1152">
        <f t="shared" si="48"/>
        <v>163</v>
      </c>
      <c r="B177" s="706"/>
      <c r="C177" s="88" t="s">
        <v>1143</v>
      </c>
      <c r="D177" s="360">
        <v>52517.30000000001</v>
      </c>
      <c r="E177" s="806"/>
      <c r="F177" s="429">
        <f t="shared" si="49"/>
        <v>52517.30000000001</v>
      </c>
      <c r="G177" s="465">
        <f t="shared" si="50"/>
        <v>1</v>
      </c>
      <c r="H177" s="466">
        <f t="shared" si="51"/>
        <v>0.49780000000000002</v>
      </c>
      <c r="I177" s="1042">
        <f t="shared" si="52"/>
        <v>26143.111940000006</v>
      </c>
      <c r="K177" s="360">
        <v>52517.30000000001</v>
      </c>
      <c r="L177" s="465">
        <f t="shared" si="53"/>
        <v>1</v>
      </c>
      <c r="M177" s="466">
        <f t="shared" si="54"/>
        <v>0.49780000000000002</v>
      </c>
      <c r="N177" s="1042">
        <f t="shared" si="55"/>
        <v>26143.111940000006</v>
      </c>
      <c r="R177" s="423"/>
      <c r="S177" s="423"/>
    </row>
    <row r="178" spans="1:19">
      <c r="A178" s="1152">
        <f t="shared" si="48"/>
        <v>164</v>
      </c>
      <c r="B178" s="389"/>
      <c r="C178" s="88"/>
      <c r="D178" s="618"/>
      <c r="E178" s="618"/>
      <c r="F178" s="618"/>
      <c r="K178" s="618"/>
    </row>
    <row r="179" spans="1:19">
      <c r="A179" s="1152">
        <f t="shared" si="48"/>
        <v>165</v>
      </c>
      <c r="B179" s="389"/>
      <c r="C179" s="88" t="s">
        <v>4</v>
      </c>
      <c r="D179" s="346">
        <f>SUM(D156:D177)</f>
        <v>1990666.5600000003</v>
      </c>
      <c r="E179" s="346">
        <f>SUM(E156:E177)</f>
        <v>0</v>
      </c>
      <c r="F179" s="346">
        <f>SUM(F156:F177)</f>
        <v>1990666.5600000003</v>
      </c>
      <c r="I179" s="346">
        <f>SUM(I156:I177)</f>
        <v>990953.81356799998</v>
      </c>
      <c r="K179" s="346">
        <f>SUM(K156:K177)</f>
        <v>1964623.461923077</v>
      </c>
      <c r="N179" s="346">
        <f>SUM(N156:N177)</f>
        <v>977989.55934530764</v>
      </c>
    </row>
    <row r="180" spans="1:19">
      <c r="A180" s="1152">
        <f t="shared" si="48"/>
        <v>166</v>
      </c>
      <c r="B180" s="389"/>
      <c r="C180" s="88"/>
    </row>
    <row r="181" spans="1:19" ht="15.75" thickBot="1">
      <c r="A181" s="1152">
        <f t="shared" si="48"/>
        <v>167</v>
      </c>
      <c r="B181" s="389"/>
      <c r="C181" s="233" t="s">
        <v>1324</v>
      </c>
      <c r="D181" s="329">
        <f>D128+D153+D179</f>
        <v>1990666.5600000003</v>
      </c>
      <c r="E181" s="329">
        <f>E128+E153+E179</f>
        <v>0</v>
      </c>
      <c r="F181" s="329">
        <f>F128+F153+F179</f>
        <v>1990666.5600000003</v>
      </c>
      <c r="I181" s="329">
        <f>I128+I153+I179</f>
        <v>990953.81356799998</v>
      </c>
      <c r="K181" s="329">
        <f>K128+K153+K179</f>
        <v>1964623.461923077</v>
      </c>
      <c r="N181" s="329">
        <f>N128+N153+N179</f>
        <v>977989.55934530764</v>
      </c>
    </row>
    <row r="182" spans="1:19" ht="15.75" thickTop="1">
      <c r="A182" s="1152">
        <f t="shared" si="48"/>
        <v>168</v>
      </c>
      <c r="B182" s="1038"/>
      <c r="D182" s="429"/>
      <c r="E182" s="328"/>
      <c r="K182" s="429"/>
    </row>
    <row r="183" spans="1:19" ht="15.75">
      <c r="A183" s="1152">
        <f t="shared" si="48"/>
        <v>169</v>
      </c>
      <c r="B183" s="1043" t="s">
        <v>8</v>
      </c>
      <c r="D183" s="429"/>
      <c r="E183" s="328"/>
      <c r="K183" s="429"/>
    </row>
    <row r="184" spans="1:19">
      <c r="A184" s="1152">
        <f t="shared" si="48"/>
        <v>170</v>
      </c>
      <c r="D184" s="429"/>
      <c r="K184" s="429"/>
    </row>
    <row r="185" spans="1:19">
      <c r="A185" s="1152">
        <f t="shared" si="48"/>
        <v>171</v>
      </c>
      <c r="B185" s="389"/>
      <c r="C185" s="619" t="s">
        <v>301</v>
      </c>
      <c r="D185" s="429"/>
      <c r="K185" s="429"/>
    </row>
    <row r="186" spans="1:19">
      <c r="A186" s="1152">
        <f t="shared" si="48"/>
        <v>172</v>
      </c>
      <c r="B186" s="513">
        <v>39000</v>
      </c>
      <c r="C186" s="88" t="s">
        <v>1524</v>
      </c>
      <c r="D186" s="346">
        <v>515895.99</v>
      </c>
      <c r="E186" s="621">
        <v>0</v>
      </c>
      <c r="F186" s="346">
        <f t="shared" ref="F186:F224" si="58">D186+E186</f>
        <v>515895.99</v>
      </c>
      <c r="G186" s="466">
        <f>Allocation!$G$14</f>
        <v>0.104</v>
      </c>
      <c r="H186" s="466">
        <f>Allocation!$H$14</f>
        <v>0.49780000000000002</v>
      </c>
      <c r="I186" s="429">
        <f t="shared" ref="I186:I224" si="59">F186*G186*H186</f>
        <v>26708.554477488</v>
      </c>
      <c r="K186" s="346">
        <v>493324.6330769232</v>
      </c>
      <c r="L186" s="466">
        <f>G186</f>
        <v>0.104</v>
      </c>
      <c r="M186" s="466">
        <f t="shared" ref="M186:M224" si="60">H186</f>
        <v>0.49780000000000002</v>
      </c>
      <c r="N186" s="346">
        <f t="shared" ref="N186:N224" si="61">K186*L186*M186</f>
        <v>25540.008243952008</v>
      </c>
      <c r="P186" s="660"/>
      <c r="R186" s="423"/>
      <c r="S186" s="423"/>
    </row>
    <row r="187" spans="1:19">
      <c r="A187" s="1152">
        <f t="shared" si="48"/>
        <v>173</v>
      </c>
      <c r="B187" s="513">
        <v>39005</v>
      </c>
      <c r="C187" s="88" t="s">
        <v>1549</v>
      </c>
      <c r="D187" s="346">
        <v>3750274.5</v>
      </c>
      <c r="E187" s="621">
        <v>0</v>
      </c>
      <c r="F187" s="429">
        <f t="shared" si="58"/>
        <v>3750274.5</v>
      </c>
      <c r="G187" s="466">
        <v>1</v>
      </c>
      <c r="H187" s="466">
        <f>Allocation!E20</f>
        <v>1.570628E-2</v>
      </c>
      <c r="I187" s="429">
        <f t="shared" ref="I187:I201" si="62">F187*G187*H187</f>
        <v>58902.861373859996</v>
      </c>
      <c r="K187" s="346">
        <v>3609376.7253846154</v>
      </c>
      <c r="L187" s="466">
        <f t="shared" ref="L187:L223" si="63">G187</f>
        <v>1</v>
      </c>
      <c r="M187" s="466">
        <f t="shared" ref="M187:M223" si="64">H187</f>
        <v>1.570628E-2</v>
      </c>
      <c r="N187" s="429">
        <f t="shared" si="61"/>
        <v>56689.881474373877</v>
      </c>
      <c r="P187" s="660"/>
      <c r="R187" s="423"/>
      <c r="S187" s="423"/>
    </row>
    <row r="188" spans="1:19">
      <c r="A188" s="1152">
        <f t="shared" si="48"/>
        <v>174</v>
      </c>
      <c r="B188" s="513">
        <v>39009</v>
      </c>
      <c r="C188" s="88" t="s">
        <v>1528</v>
      </c>
      <c r="D188" s="346">
        <v>9430447.4399999995</v>
      </c>
      <c r="E188" s="621">
        <v>0</v>
      </c>
      <c r="F188" s="429">
        <f t="shared" si="58"/>
        <v>9430447.4399999995</v>
      </c>
      <c r="G188" s="466">
        <f>Allocation!$G$14</f>
        <v>0.104</v>
      </c>
      <c r="H188" s="466">
        <f>Allocation!$H$14</f>
        <v>0.49780000000000002</v>
      </c>
      <c r="I188" s="429">
        <f t="shared" si="62"/>
        <v>488225.58050572796</v>
      </c>
      <c r="K188" s="346">
        <v>9338900.3776923064</v>
      </c>
      <c r="L188" s="466">
        <f t="shared" si="63"/>
        <v>0.104</v>
      </c>
      <c r="M188" s="466">
        <f t="shared" si="64"/>
        <v>0.49780000000000002</v>
      </c>
      <c r="N188" s="429">
        <f t="shared" si="61"/>
        <v>483486.07923358388</v>
      </c>
      <c r="P188" s="660"/>
      <c r="R188" s="423"/>
      <c r="S188" s="423"/>
    </row>
    <row r="189" spans="1:19">
      <c r="A189" s="1152">
        <f t="shared" si="48"/>
        <v>175</v>
      </c>
      <c r="B189" s="513">
        <v>39020</v>
      </c>
      <c r="C189" s="88" t="s">
        <v>1500</v>
      </c>
      <c r="D189" s="346">
        <v>35.549999999999997</v>
      </c>
      <c r="E189" s="621">
        <v>0</v>
      </c>
      <c r="F189" s="429">
        <f t="shared" si="58"/>
        <v>35.549999999999997</v>
      </c>
      <c r="G189" s="466">
        <v>1</v>
      </c>
      <c r="H189" s="466">
        <f>Allocation!E22</f>
        <v>6.3622429999999994E-2</v>
      </c>
      <c r="I189" s="429">
        <f t="shared" si="62"/>
        <v>2.2617773864999995</v>
      </c>
      <c r="K189" s="346">
        <v>6.86</v>
      </c>
      <c r="L189" s="466">
        <f t="shared" si="63"/>
        <v>1</v>
      </c>
      <c r="M189" s="466">
        <f t="shared" si="64"/>
        <v>6.3622429999999994E-2</v>
      </c>
      <c r="N189" s="429">
        <f t="shared" si="61"/>
        <v>0.4364498698</v>
      </c>
      <c r="P189" s="660"/>
      <c r="R189" s="423"/>
      <c r="S189" s="423"/>
    </row>
    <row r="190" spans="1:19">
      <c r="A190" s="1152">
        <f t="shared" si="48"/>
        <v>176</v>
      </c>
      <c r="B190" s="513">
        <v>39029</v>
      </c>
      <c r="C190" s="88" t="s">
        <v>1501</v>
      </c>
      <c r="D190" s="346">
        <v>40.57</v>
      </c>
      <c r="E190" s="621">
        <v>0</v>
      </c>
      <c r="F190" s="429">
        <f t="shared" si="58"/>
        <v>40.57</v>
      </c>
      <c r="G190" s="466">
        <v>1</v>
      </c>
      <c r="H190" s="466">
        <f>Allocation!E22</f>
        <v>6.3622429999999994E-2</v>
      </c>
      <c r="I190" s="429">
        <f t="shared" si="62"/>
        <v>2.5811619850999996</v>
      </c>
      <c r="K190" s="346">
        <v>16.143076923076922</v>
      </c>
      <c r="L190" s="466">
        <f t="shared" si="63"/>
        <v>1</v>
      </c>
      <c r="M190" s="466">
        <f t="shared" si="64"/>
        <v>6.3622429999999994E-2</v>
      </c>
      <c r="N190" s="429">
        <f t="shared" si="61"/>
        <v>1.0270617815230767</v>
      </c>
      <c r="P190" s="660"/>
      <c r="R190" s="423"/>
      <c r="S190" s="423"/>
    </row>
    <row r="191" spans="1:19">
      <c r="A191" s="1152">
        <f t="shared" si="48"/>
        <v>177</v>
      </c>
      <c r="B191" s="513">
        <v>39100</v>
      </c>
      <c r="C191" s="88" t="s">
        <v>1529</v>
      </c>
      <c r="D191" s="346">
        <v>1961323.96</v>
      </c>
      <c r="E191" s="621">
        <v>0</v>
      </c>
      <c r="F191" s="429">
        <f t="shared" si="58"/>
        <v>1961323.96</v>
      </c>
      <c r="G191" s="466">
        <f>Allocation!$G$14</f>
        <v>0.104</v>
      </c>
      <c r="H191" s="466">
        <f>Allocation!$H$14</f>
        <v>0.49780000000000002</v>
      </c>
      <c r="I191" s="429">
        <f t="shared" si="62"/>
        <v>101540.09499795199</v>
      </c>
      <c r="K191" s="346">
        <v>1852447.8915384614</v>
      </c>
      <c r="L191" s="466">
        <f t="shared" si="63"/>
        <v>0.104</v>
      </c>
      <c r="M191" s="466">
        <f t="shared" si="64"/>
        <v>0.49780000000000002</v>
      </c>
      <c r="N191" s="429">
        <f t="shared" si="61"/>
        <v>95903.450282415986</v>
      </c>
      <c r="P191" s="660"/>
      <c r="R191" s="423"/>
      <c r="S191" s="423"/>
    </row>
    <row r="192" spans="1:19">
      <c r="A192" s="1152">
        <f t="shared" si="48"/>
        <v>178</v>
      </c>
      <c r="B192" s="513">
        <v>39102</v>
      </c>
      <c r="C192" s="88" t="s">
        <v>1550</v>
      </c>
      <c r="D192" s="346">
        <v>1.26</v>
      </c>
      <c r="E192" s="621">
        <v>0</v>
      </c>
      <c r="F192" s="429">
        <f t="shared" si="58"/>
        <v>1.26</v>
      </c>
      <c r="G192" s="466">
        <f>Allocation!$G$14</f>
        <v>0.104</v>
      </c>
      <c r="H192" s="466">
        <f>Allocation!$H$14</f>
        <v>0.49780000000000002</v>
      </c>
      <c r="I192" s="429">
        <f t="shared" si="62"/>
        <v>6.5231711999999997E-2</v>
      </c>
      <c r="K192" s="346">
        <v>1.26</v>
      </c>
      <c r="L192" s="466">
        <f t="shared" si="63"/>
        <v>0.104</v>
      </c>
      <c r="M192" s="466">
        <f t="shared" si="64"/>
        <v>0.49780000000000002</v>
      </c>
      <c r="N192" s="429">
        <f t="shared" si="61"/>
        <v>6.5231711999999997E-2</v>
      </c>
      <c r="P192" s="660"/>
      <c r="R192" s="423"/>
      <c r="S192" s="423"/>
    </row>
    <row r="193" spans="1:19">
      <c r="A193" s="1152">
        <f t="shared" si="48"/>
        <v>179</v>
      </c>
      <c r="B193" s="513">
        <v>39103</v>
      </c>
      <c r="C193" s="88" t="s">
        <v>1320</v>
      </c>
      <c r="D193" s="346">
        <v>0.45</v>
      </c>
      <c r="E193" s="621">
        <v>0</v>
      </c>
      <c r="F193" s="429">
        <f t="shared" si="58"/>
        <v>0.45</v>
      </c>
      <c r="G193" s="466">
        <f>Allocation!$G$14</f>
        <v>0.104</v>
      </c>
      <c r="H193" s="466">
        <f>Allocation!$H$14</f>
        <v>0.49780000000000002</v>
      </c>
      <c r="I193" s="429">
        <f t="shared" si="62"/>
        <v>2.3297040000000001E-2</v>
      </c>
      <c r="K193" s="346">
        <v>0.45000000000000012</v>
      </c>
      <c r="L193" s="466">
        <f t="shared" si="63"/>
        <v>0.104</v>
      </c>
      <c r="M193" s="466">
        <f t="shared" si="64"/>
        <v>0.49780000000000002</v>
      </c>
      <c r="N193" s="429">
        <f t="shared" si="61"/>
        <v>2.3297040000000005E-2</v>
      </c>
      <c r="P193" s="660"/>
      <c r="R193" s="423"/>
      <c r="S193" s="423"/>
    </row>
    <row r="194" spans="1:19">
      <c r="A194" s="1152">
        <f t="shared" si="48"/>
        <v>180</v>
      </c>
      <c r="B194" s="513">
        <v>39104</v>
      </c>
      <c r="C194" s="88" t="s">
        <v>1551</v>
      </c>
      <c r="D194" s="346">
        <v>32948.730000000003</v>
      </c>
      <c r="E194" s="621">
        <v>0</v>
      </c>
      <c r="F194" s="429">
        <f t="shared" si="58"/>
        <v>32948.730000000003</v>
      </c>
      <c r="G194" s="466">
        <f>G187</f>
        <v>1</v>
      </c>
      <c r="H194" s="466">
        <f>H187</f>
        <v>1.570628E-2</v>
      </c>
      <c r="I194" s="429">
        <f t="shared" si="62"/>
        <v>517.50197902440004</v>
      </c>
      <c r="K194" s="346">
        <v>32831.22</v>
      </c>
      <c r="L194" s="466">
        <f t="shared" si="63"/>
        <v>1</v>
      </c>
      <c r="M194" s="466">
        <f t="shared" si="64"/>
        <v>1.570628E-2</v>
      </c>
      <c r="N194" s="429">
        <f t="shared" si="61"/>
        <v>515.65633406159998</v>
      </c>
      <c r="P194" s="660"/>
      <c r="R194" s="423"/>
      <c r="S194" s="423"/>
    </row>
    <row r="195" spans="1:19">
      <c r="A195" s="1152">
        <f t="shared" si="48"/>
        <v>181</v>
      </c>
      <c r="B195" s="513">
        <v>39120</v>
      </c>
      <c r="C195" s="88" t="s">
        <v>1502</v>
      </c>
      <c r="D195" s="346">
        <v>107406.67</v>
      </c>
      <c r="E195" s="621">
        <v>0</v>
      </c>
      <c r="F195" s="429">
        <f t="shared" ref="F195:F209" si="65">D195+E195</f>
        <v>107406.67</v>
      </c>
      <c r="G195" s="466">
        <v>1</v>
      </c>
      <c r="H195" s="466">
        <f>H190</f>
        <v>6.3622429999999994E-2</v>
      </c>
      <c r="I195" s="429">
        <f t="shared" si="62"/>
        <v>6833.4733436080996</v>
      </c>
      <c r="K195" s="346">
        <v>102139.18461538461</v>
      </c>
      <c r="L195" s="466">
        <f t="shared" si="63"/>
        <v>1</v>
      </c>
      <c r="M195" s="466">
        <f t="shared" si="64"/>
        <v>6.3622429999999994E-2</v>
      </c>
      <c r="N195" s="429">
        <f t="shared" si="61"/>
        <v>6498.3431234493837</v>
      </c>
      <c r="P195" s="660"/>
      <c r="R195" s="423"/>
      <c r="S195" s="423"/>
    </row>
    <row r="196" spans="1:19">
      <c r="A196" s="1152">
        <f t="shared" si="48"/>
        <v>182</v>
      </c>
      <c r="B196" s="513">
        <v>39200</v>
      </c>
      <c r="C196" s="88" t="s">
        <v>1530</v>
      </c>
      <c r="D196" s="346">
        <v>5697.02</v>
      </c>
      <c r="E196" s="621">
        <v>0</v>
      </c>
      <c r="F196" s="429">
        <f t="shared" si="65"/>
        <v>5697.02</v>
      </c>
      <c r="G196" s="466">
        <f>Allocation!$G$14</f>
        <v>0.104</v>
      </c>
      <c r="H196" s="466">
        <f>Allocation!$H$14</f>
        <v>0.49780000000000002</v>
      </c>
      <c r="I196" s="429">
        <f t="shared" si="62"/>
        <v>294.94156182400002</v>
      </c>
      <c r="K196" s="346">
        <v>5459.0761538461529</v>
      </c>
      <c r="L196" s="466">
        <f t="shared" si="63"/>
        <v>0.104</v>
      </c>
      <c r="M196" s="466">
        <f t="shared" si="64"/>
        <v>0.49780000000000002</v>
      </c>
      <c r="N196" s="429">
        <f t="shared" si="61"/>
        <v>282.62292337599996</v>
      </c>
      <c r="P196" s="660"/>
      <c r="R196" s="423"/>
      <c r="S196" s="423"/>
    </row>
    <row r="197" spans="1:19">
      <c r="A197" s="1152">
        <f t="shared" si="48"/>
        <v>183</v>
      </c>
      <c r="B197" s="513">
        <v>39300</v>
      </c>
      <c r="C197" s="88" t="s">
        <v>1552</v>
      </c>
      <c r="D197" s="346">
        <v>0</v>
      </c>
      <c r="E197" s="621">
        <v>0</v>
      </c>
      <c r="F197" s="429">
        <f t="shared" si="65"/>
        <v>0</v>
      </c>
      <c r="G197" s="466">
        <f>Allocation!$G$14</f>
        <v>0.104</v>
      </c>
      <c r="H197" s="466">
        <f>Allocation!$H$14</f>
        <v>0.49780000000000002</v>
      </c>
      <c r="I197" s="429">
        <f t="shared" si="62"/>
        <v>0</v>
      </c>
      <c r="K197" s="346">
        <v>32785.904615384614</v>
      </c>
      <c r="L197" s="466">
        <f t="shared" si="63"/>
        <v>0.104</v>
      </c>
      <c r="M197" s="466">
        <f t="shared" si="64"/>
        <v>0.49780000000000002</v>
      </c>
      <c r="N197" s="429">
        <f t="shared" si="61"/>
        <v>1697.3656250239999</v>
      </c>
      <c r="P197" s="660"/>
      <c r="R197" s="423"/>
      <c r="S197" s="423"/>
    </row>
    <row r="198" spans="1:19">
      <c r="A198" s="1152">
        <f t="shared" si="48"/>
        <v>184</v>
      </c>
      <c r="B198" s="513">
        <v>39400</v>
      </c>
      <c r="C198" s="88" t="s">
        <v>1532</v>
      </c>
      <c r="D198" s="346">
        <v>36079.78</v>
      </c>
      <c r="E198" s="621">
        <v>0</v>
      </c>
      <c r="F198" s="429">
        <f t="shared" si="65"/>
        <v>36079.78</v>
      </c>
      <c r="G198" s="466">
        <f>Allocation!$G$14</f>
        <v>0.104</v>
      </c>
      <c r="H198" s="466">
        <f>Allocation!$H$14</f>
        <v>0.49780000000000002</v>
      </c>
      <c r="I198" s="429">
        <f t="shared" si="62"/>
        <v>1867.893506336</v>
      </c>
      <c r="K198" s="346">
        <v>388.07</v>
      </c>
      <c r="L198" s="466">
        <f t="shared" si="63"/>
        <v>0.104</v>
      </c>
      <c r="M198" s="466">
        <f t="shared" si="64"/>
        <v>0.49780000000000002</v>
      </c>
      <c r="N198" s="429">
        <f t="shared" si="61"/>
        <v>20.090849584000001</v>
      </c>
      <c r="P198" s="660"/>
      <c r="R198" s="423"/>
      <c r="S198" s="423"/>
    </row>
    <row r="199" spans="1:19">
      <c r="A199" s="1152">
        <f t="shared" si="48"/>
        <v>185</v>
      </c>
      <c r="B199" s="513">
        <v>39420</v>
      </c>
      <c r="C199" s="88" t="s">
        <v>1503</v>
      </c>
      <c r="D199" s="346">
        <v>388.07</v>
      </c>
      <c r="E199" s="621">
        <v>0</v>
      </c>
      <c r="F199" s="429">
        <f t="shared" si="65"/>
        <v>388.07</v>
      </c>
      <c r="G199" s="466">
        <v>1</v>
      </c>
      <c r="H199" s="466">
        <f>H190</f>
        <v>6.3622429999999994E-2</v>
      </c>
      <c r="I199" s="429">
        <f>F199*G199*H199</f>
        <v>24.689956410099999</v>
      </c>
      <c r="K199" s="346">
        <v>535087.48384615383</v>
      </c>
      <c r="L199" s="466">
        <f t="shared" si="63"/>
        <v>1</v>
      </c>
      <c r="M199" s="466">
        <f t="shared" si="64"/>
        <v>6.3622429999999994E-2</v>
      </c>
      <c r="N199" s="429">
        <f t="shared" si="61"/>
        <v>34043.565984878049</v>
      </c>
      <c r="P199" s="660"/>
      <c r="R199" s="423"/>
      <c r="S199" s="423"/>
    </row>
    <row r="200" spans="1:19">
      <c r="A200" s="1152">
        <f t="shared" si="48"/>
        <v>186</v>
      </c>
      <c r="B200" s="513">
        <v>39500</v>
      </c>
      <c r="C200" s="88" t="s">
        <v>1553</v>
      </c>
      <c r="D200" s="346">
        <v>0</v>
      </c>
      <c r="E200" s="621">
        <v>0</v>
      </c>
      <c r="F200" s="429">
        <f t="shared" si="65"/>
        <v>0</v>
      </c>
      <c r="G200" s="466">
        <f>Allocation!$G$14</f>
        <v>0.104</v>
      </c>
      <c r="H200" s="466">
        <f>Allocation!$H$14</f>
        <v>0.49780000000000002</v>
      </c>
      <c r="I200" s="429">
        <f t="shared" si="62"/>
        <v>0</v>
      </c>
      <c r="K200" s="346">
        <v>3768.7461538461548</v>
      </c>
      <c r="L200" s="466">
        <f t="shared" si="63"/>
        <v>0.104</v>
      </c>
      <c r="M200" s="466">
        <f t="shared" si="64"/>
        <v>0.49780000000000002</v>
      </c>
      <c r="N200" s="429">
        <f t="shared" si="61"/>
        <v>195.11251088000006</v>
      </c>
      <c r="P200" s="660"/>
      <c r="R200" s="423"/>
      <c r="S200" s="423"/>
    </row>
    <row r="201" spans="1:19">
      <c r="A201" s="1152">
        <f t="shared" si="48"/>
        <v>187</v>
      </c>
      <c r="B201" s="513">
        <v>39700</v>
      </c>
      <c r="C201" s="88" t="s">
        <v>1536</v>
      </c>
      <c r="D201" s="346">
        <v>564576.16</v>
      </c>
      <c r="E201" s="621">
        <v>0</v>
      </c>
      <c r="F201" s="429">
        <f t="shared" si="65"/>
        <v>564576.16</v>
      </c>
      <c r="G201" s="466">
        <f>Allocation!$G$14</f>
        <v>0.104</v>
      </c>
      <c r="H201" s="466">
        <f>Allocation!$H$14</f>
        <v>0.49780000000000002</v>
      </c>
      <c r="I201" s="429">
        <f t="shared" si="62"/>
        <v>29228.785294592002</v>
      </c>
      <c r="K201" s="346">
        <v>44947.953076923077</v>
      </c>
      <c r="L201" s="466">
        <f t="shared" si="63"/>
        <v>0.104</v>
      </c>
      <c r="M201" s="466">
        <f t="shared" si="64"/>
        <v>0.49780000000000002</v>
      </c>
      <c r="N201" s="429">
        <f t="shared" si="61"/>
        <v>2327.0094683360003</v>
      </c>
      <c r="P201" s="660"/>
      <c r="R201" s="423"/>
      <c r="S201" s="423"/>
    </row>
    <row r="202" spans="1:19">
      <c r="A202" s="1152">
        <f t="shared" si="48"/>
        <v>188</v>
      </c>
      <c r="B202" s="513">
        <v>39720</v>
      </c>
      <c r="C202" s="88" t="s">
        <v>1504</v>
      </c>
      <c r="D202" s="346">
        <v>4017.67</v>
      </c>
      <c r="E202" s="621">
        <v>0</v>
      </c>
      <c r="F202" s="429">
        <f t="shared" si="65"/>
        <v>4017.67</v>
      </c>
      <c r="G202" s="466">
        <v>1</v>
      </c>
      <c r="H202" s="466">
        <f>H190</f>
        <v>6.3622429999999994E-2</v>
      </c>
      <c r="I202" s="429">
        <f t="shared" si="59"/>
        <v>255.61392833809998</v>
      </c>
      <c r="K202" s="346">
        <v>812.52615384615399</v>
      </c>
      <c r="L202" s="466">
        <f t="shared" si="63"/>
        <v>1</v>
      </c>
      <c r="M202" s="466">
        <f t="shared" si="64"/>
        <v>6.3622429999999994E-2</v>
      </c>
      <c r="N202" s="429">
        <f t="shared" si="61"/>
        <v>51.694888346246159</v>
      </c>
      <c r="P202" s="660"/>
      <c r="R202" s="423"/>
      <c r="S202" s="423"/>
    </row>
    <row r="203" spans="1:19">
      <c r="A203" s="1152">
        <f t="shared" si="48"/>
        <v>189</v>
      </c>
      <c r="B203" s="513">
        <v>39800</v>
      </c>
      <c r="C203" s="88" t="s">
        <v>1538</v>
      </c>
      <c r="D203" s="346">
        <v>47196.85</v>
      </c>
      <c r="E203" s="621">
        <v>0</v>
      </c>
      <c r="F203" s="429">
        <f t="shared" si="65"/>
        <v>47196.85</v>
      </c>
      <c r="G203" s="466">
        <f>$G$186</f>
        <v>0.104</v>
      </c>
      <c r="H203" s="466">
        <f>$H$186</f>
        <v>0.49780000000000002</v>
      </c>
      <c r="I203" s="429">
        <f t="shared" si="59"/>
        <v>2443.43756072</v>
      </c>
      <c r="K203" s="346">
        <v>163005.80846153846</v>
      </c>
      <c r="L203" s="466">
        <f t="shared" si="63"/>
        <v>0.104</v>
      </c>
      <c r="M203" s="466">
        <f t="shared" si="64"/>
        <v>0.49780000000000002</v>
      </c>
      <c r="N203" s="429">
        <f t="shared" si="61"/>
        <v>8439.0063110239989</v>
      </c>
      <c r="P203" s="660"/>
      <c r="R203" s="423"/>
      <c r="S203" s="423"/>
    </row>
    <row r="204" spans="1:19">
      <c r="A204" s="1152">
        <f t="shared" si="48"/>
        <v>190</v>
      </c>
      <c r="B204" s="513">
        <v>39820</v>
      </c>
      <c r="C204" s="88" t="s">
        <v>1505</v>
      </c>
      <c r="D204" s="346">
        <v>919.1</v>
      </c>
      <c r="E204" s="621">
        <v>0</v>
      </c>
      <c r="F204" s="429">
        <f t="shared" si="65"/>
        <v>919.1</v>
      </c>
      <c r="G204" s="466">
        <v>1</v>
      </c>
      <c r="H204" s="466">
        <f>H202</f>
        <v>6.3622429999999994E-2</v>
      </c>
      <c r="I204" s="429">
        <f t="shared" si="59"/>
        <v>58.475375412999995</v>
      </c>
      <c r="K204" s="346">
        <v>15651101.282307694</v>
      </c>
      <c r="L204" s="466">
        <f t="shared" si="63"/>
        <v>1</v>
      </c>
      <c r="M204" s="466">
        <f t="shared" si="64"/>
        <v>6.3622429999999994E-2</v>
      </c>
      <c r="N204" s="429">
        <f t="shared" si="61"/>
        <v>995761.09575653134</v>
      </c>
      <c r="P204" s="660"/>
      <c r="R204" s="423"/>
      <c r="S204" s="423"/>
    </row>
    <row r="205" spans="1:19">
      <c r="A205" s="1152">
        <f t="shared" si="48"/>
        <v>191</v>
      </c>
      <c r="B205" s="513">
        <v>39900</v>
      </c>
      <c r="C205" s="88" t="s">
        <v>1554</v>
      </c>
      <c r="D205" s="346">
        <v>163672.29999999999</v>
      </c>
      <c r="E205" s="621">
        <v>0</v>
      </c>
      <c r="F205" s="429">
        <f t="shared" si="65"/>
        <v>163672.29999999999</v>
      </c>
      <c r="G205" s="466">
        <f>$G$186</f>
        <v>0.104</v>
      </c>
      <c r="H205" s="466">
        <f>$H$186</f>
        <v>0.49780000000000002</v>
      </c>
      <c r="I205" s="429">
        <f t="shared" si="59"/>
        <v>8473.5113777599981</v>
      </c>
      <c r="K205" s="346">
        <v>16967753.277692303</v>
      </c>
      <c r="L205" s="466">
        <f t="shared" si="63"/>
        <v>0.104</v>
      </c>
      <c r="M205" s="466">
        <f t="shared" si="64"/>
        <v>0.49780000000000002</v>
      </c>
      <c r="N205" s="429">
        <f t="shared" si="61"/>
        <v>878440.94849006366</v>
      </c>
      <c r="P205" s="660"/>
      <c r="R205" s="423"/>
      <c r="S205" s="423"/>
    </row>
    <row r="206" spans="1:19">
      <c r="A206" s="1152">
        <f t="shared" si="48"/>
        <v>192</v>
      </c>
      <c r="B206" s="513">
        <v>39901</v>
      </c>
      <c r="C206" s="80" t="s">
        <v>1547</v>
      </c>
      <c r="D206" s="346">
        <v>4006634.12</v>
      </c>
      <c r="E206" s="429">
        <v>0</v>
      </c>
      <c r="F206" s="429">
        <f t="shared" si="65"/>
        <v>4006634.12</v>
      </c>
      <c r="G206" s="466">
        <f>G205</f>
        <v>0.104</v>
      </c>
      <c r="H206" s="466">
        <f>$H$201</f>
        <v>0.49780000000000002</v>
      </c>
      <c r="I206" s="429">
        <f t="shared" ref="I206" si="66">F206*G206*H206</f>
        <v>207428.25635334401</v>
      </c>
      <c r="K206" s="346">
        <v>2538948.8061538464</v>
      </c>
      <c r="L206" s="466">
        <f t="shared" si="63"/>
        <v>0.104</v>
      </c>
      <c r="M206" s="466">
        <f t="shared" si="64"/>
        <v>0.49780000000000002</v>
      </c>
      <c r="N206" s="429">
        <f t="shared" ref="N206" si="67">K206*L206*M206</f>
        <v>131444.42643315202</v>
      </c>
      <c r="P206" s="660"/>
      <c r="R206" s="423"/>
      <c r="S206" s="423"/>
    </row>
    <row r="207" spans="1:19">
      <c r="A207" s="1152">
        <f t="shared" si="48"/>
        <v>193</v>
      </c>
      <c r="B207" s="513">
        <v>39902</v>
      </c>
      <c r="C207" s="88" t="s">
        <v>1548</v>
      </c>
      <c r="D207" s="346">
        <v>15679285.560000001</v>
      </c>
      <c r="E207" s="621">
        <v>0</v>
      </c>
      <c r="F207" s="429">
        <f t="shared" si="65"/>
        <v>15679285.560000001</v>
      </c>
      <c r="G207" s="466">
        <f t="shared" ref="G207:G224" si="68">$G$186</f>
        <v>0.104</v>
      </c>
      <c r="H207" s="466">
        <f t="shared" ref="H207:H224" si="69">$H$186</f>
        <v>0.49780000000000002</v>
      </c>
      <c r="I207" s="429">
        <f t="shared" si="59"/>
        <v>811735.42858387204</v>
      </c>
      <c r="K207" s="346">
        <v>789170.02461538464</v>
      </c>
      <c r="L207" s="466">
        <f t="shared" si="63"/>
        <v>0.104</v>
      </c>
      <c r="M207" s="466">
        <f t="shared" si="64"/>
        <v>0.49780000000000002</v>
      </c>
      <c r="N207" s="429">
        <f t="shared" si="61"/>
        <v>40856.279178368</v>
      </c>
      <c r="P207" s="660"/>
      <c r="R207" s="423"/>
      <c r="S207" s="423"/>
    </row>
    <row r="208" spans="1:19">
      <c r="A208" s="1152">
        <f t="shared" si="48"/>
        <v>194</v>
      </c>
      <c r="B208" s="513">
        <v>39903</v>
      </c>
      <c r="C208" s="88" t="s">
        <v>1539</v>
      </c>
      <c r="D208" s="346">
        <v>2656790.77</v>
      </c>
      <c r="E208" s="621">
        <v>0</v>
      </c>
      <c r="F208" s="429">
        <f t="shared" si="65"/>
        <v>2656790.77</v>
      </c>
      <c r="G208" s="466">
        <f t="shared" si="68"/>
        <v>0.104</v>
      </c>
      <c r="H208" s="466">
        <f t="shared" si="69"/>
        <v>0.49780000000000002</v>
      </c>
      <c r="I208" s="429">
        <f t="shared" si="59"/>
        <v>137545.24631182401</v>
      </c>
      <c r="K208" s="346">
        <v>248417.0315384616</v>
      </c>
      <c r="L208" s="466">
        <f t="shared" si="63"/>
        <v>0.104</v>
      </c>
      <c r="M208" s="466">
        <f t="shared" si="64"/>
        <v>0.49780000000000002</v>
      </c>
      <c r="N208" s="429">
        <f t="shared" si="61"/>
        <v>12860.847823184004</v>
      </c>
      <c r="P208" s="660"/>
      <c r="R208" s="423"/>
      <c r="S208" s="423"/>
    </row>
    <row r="209" spans="1:19">
      <c r="A209" s="1152">
        <f t="shared" si="48"/>
        <v>195</v>
      </c>
      <c r="B209" s="513">
        <v>39904</v>
      </c>
      <c r="C209" s="88" t="s">
        <v>1555</v>
      </c>
      <c r="D209" s="346"/>
      <c r="E209" s="621">
        <v>0</v>
      </c>
      <c r="F209" s="429">
        <f t="shared" si="65"/>
        <v>0</v>
      </c>
      <c r="G209" s="466">
        <f t="shared" si="68"/>
        <v>0.104</v>
      </c>
      <c r="H209" s="466">
        <f t="shared" si="69"/>
        <v>0.49780000000000002</v>
      </c>
      <c r="I209" s="429">
        <f t="shared" si="59"/>
        <v>0</v>
      </c>
      <c r="K209" s="346"/>
      <c r="L209" s="466">
        <f t="shared" si="63"/>
        <v>0.104</v>
      </c>
      <c r="M209" s="466">
        <f t="shared" si="64"/>
        <v>0.49780000000000002</v>
      </c>
      <c r="N209" s="429">
        <f t="shared" si="61"/>
        <v>0</v>
      </c>
      <c r="P209" s="660"/>
      <c r="R209" s="423"/>
      <c r="S209" s="423"/>
    </row>
    <row r="210" spans="1:19">
      <c r="A210" s="1152">
        <f t="shared" si="48"/>
        <v>196</v>
      </c>
      <c r="B210" s="513">
        <v>39905</v>
      </c>
      <c r="C210" s="88" t="s">
        <v>1556</v>
      </c>
      <c r="D210" s="346"/>
      <c r="E210" s="429">
        <v>0</v>
      </c>
      <c r="F210" s="429">
        <f t="shared" ref="F210" si="70">D210+E210</f>
        <v>0</v>
      </c>
      <c r="G210" s="466">
        <f t="shared" si="68"/>
        <v>0.104</v>
      </c>
      <c r="H210" s="466">
        <f t="shared" si="69"/>
        <v>0.49780000000000002</v>
      </c>
      <c r="I210" s="429">
        <f t="shared" ref="I210" si="71">F210*G210*H210</f>
        <v>0</v>
      </c>
      <c r="K210" s="346"/>
      <c r="L210" s="466">
        <f t="shared" si="63"/>
        <v>0.104</v>
      </c>
      <c r="M210" s="466">
        <f t="shared" si="64"/>
        <v>0.49780000000000002</v>
      </c>
      <c r="N210" s="429">
        <f t="shared" ref="N210" si="72">K210*L210*M210</f>
        <v>0</v>
      </c>
      <c r="P210" s="660"/>
      <c r="R210" s="423"/>
      <c r="S210" s="423"/>
    </row>
    <row r="211" spans="1:19">
      <c r="A211" s="1152">
        <f t="shared" si="48"/>
        <v>197</v>
      </c>
      <c r="B211" s="706">
        <v>39906</v>
      </c>
      <c r="C211" s="88" t="s">
        <v>1540</v>
      </c>
      <c r="D211" s="346">
        <v>197922.57</v>
      </c>
      <c r="E211" s="621">
        <v>0</v>
      </c>
      <c r="F211" s="429">
        <f t="shared" si="58"/>
        <v>197922.57</v>
      </c>
      <c r="G211" s="466">
        <f t="shared" si="68"/>
        <v>0.104</v>
      </c>
      <c r="H211" s="466">
        <f t="shared" si="69"/>
        <v>0.49780000000000002</v>
      </c>
      <c r="I211" s="429">
        <f t="shared" si="59"/>
        <v>10246.688955984</v>
      </c>
      <c r="K211" s="346">
        <v>789170.02461538464</v>
      </c>
      <c r="L211" s="466">
        <f t="shared" si="63"/>
        <v>0.104</v>
      </c>
      <c r="M211" s="466">
        <f t="shared" si="64"/>
        <v>0.49780000000000002</v>
      </c>
      <c r="N211" s="429">
        <f t="shared" si="61"/>
        <v>40856.279178368</v>
      </c>
      <c r="P211" s="660"/>
      <c r="R211" s="423"/>
      <c r="S211" s="423"/>
    </row>
    <row r="212" spans="1:19">
      <c r="A212" s="1152">
        <f t="shared" ref="A212:A264" si="73">A211+1</f>
        <v>198</v>
      </c>
      <c r="B212" s="706">
        <v>39907</v>
      </c>
      <c r="C212" s="88" t="s">
        <v>1541</v>
      </c>
      <c r="D212" s="346">
        <v>296691.7</v>
      </c>
      <c r="E212" s="621">
        <v>0</v>
      </c>
      <c r="F212" s="429">
        <f t="shared" si="58"/>
        <v>296691.7</v>
      </c>
      <c r="G212" s="466">
        <f t="shared" si="68"/>
        <v>0.104</v>
      </c>
      <c r="H212" s="466">
        <f t="shared" si="69"/>
        <v>0.49780000000000002</v>
      </c>
      <c r="I212" s="429">
        <f t="shared" si="59"/>
        <v>15360.085339040001</v>
      </c>
      <c r="K212" s="346">
        <v>248417.0315384616</v>
      </c>
      <c r="L212" s="466">
        <f t="shared" si="63"/>
        <v>0.104</v>
      </c>
      <c r="M212" s="466">
        <f t="shared" si="64"/>
        <v>0.49780000000000002</v>
      </c>
      <c r="N212" s="429">
        <f t="shared" si="61"/>
        <v>12860.847823184004</v>
      </c>
      <c r="P212" s="660"/>
      <c r="R212" s="423"/>
      <c r="S212" s="423"/>
    </row>
    <row r="213" spans="1:19">
      <c r="A213" s="1152">
        <f t="shared" si="73"/>
        <v>199</v>
      </c>
      <c r="B213" s="706">
        <v>39908</v>
      </c>
      <c r="C213" s="88" t="s">
        <v>1542</v>
      </c>
      <c r="D213" s="346">
        <v>31951302.34</v>
      </c>
      <c r="E213" s="621">
        <v>0</v>
      </c>
      <c r="F213" s="429">
        <f t="shared" si="58"/>
        <v>31951302.34</v>
      </c>
      <c r="G213" s="466">
        <f t="shared" si="68"/>
        <v>0.104</v>
      </c>
      <c r="H213" s="466">
        <f t="shared" si="69"/>
        <v>0.49780000000000002</v>
      </c>
      <c r="I213" s="429">
        <f t="shared" si="59"/>
        <v>1654157.263704608</v>
      </c>
      <c r="K213" s="346">
        <v>33111164.737692304</v>
      </c>
      <c r="L213" s="466">
        <f t="shared" si="63"/>
        <v>0.104</v>
      </c>
      <c r="M213" s="466">
        <f t="shared" si="64"/>
        <v>0.49780000000000002</v>
      </c>
      <c r="N213" s="429">
        <f t="shared" si="61"/>
        <v>1714204.7318680158</v>
      </c>
      <c r="P213" s="660"/>
      <c r="R213" s="423"/>
      <c r="S213" s="423"/>
    </row>
    <row r="214" spans="1:19">
      <c r="A214" s="1152">
        <f t="shared" si="73"/>
        <v>200</v>
      </c>
      <c r="B214" s="706">
        <v>39909</v>
      </c>
      <c r="C214" s="88" t="s">
        <v>1557</v>
      </c>
      <c r="D214" s="346">
        <v>45654.52</v>
      </c>
      <c r="E214" s="621">
        <v>0</v>
      </c>
      <c r="F214" s="429">
        <f t="shared" si="58"/>
        <v>45654.52</v>
      </c>
      <c r="G214" s="466">
        <f t="shared" si="68"/>
        <v>0.104</v>
      </c>
      <c r="H214" s="466">
        <f t="shared" si="69"/>
        <v>0.49780000000000002</v>
      </c>
      <c r="I214" s="429">
        <f t="shared" si="59"/>
        <v>2363.5892858239999</v>
      </c>
      <c r="K214" s="346">
        <v>44600.165384615386</v>
      </c>
      <c r="L214" s="466">
        <f t="shared" si="63"/>
        <v>0.104</v>
      </c>
      <c r="M214" s="466">
        <f t="shared" si="64"/>
        <v>0.49780000000000002</v>
      </c>
      <c r="N214" s="429">
        <f t="shared" si="61"/>
        <v>2309.0040821600001</v>
      </c>
      <c r="P214" s="660"/>
      <c r="R214" s="423"/>
      <c r="S214" s="423"/>
    </row>
    <row r="215" spans="1:19">
      <c r="A215" s="1152">
        <f t="shared" si="73"/>
        <v>201</v>
      </c>
      <c r="B215" s="706">
        <v>39921</v>
      </c>
      <c r="C215" s="88" t="s">
        <v>1506</v>
      </c>
      <c r="D215" s="346">
        <v>376443.37</v>
      </c>
      <c r="E215" s="621">
        <v>0</v>
      </c>
      <c r="F215" s="429">
        <f t="shared" si="58"/>
        <v>376443.37</v>
      </c>
      <c r="G215" s="466">
        <v>1</v>
      </c>
      <c r="H215" s="466">
        <f>H189</f>
        <v>6.3622429999999994E-2</v>
      </c>
      <c r="I215" s="429">
        <f t="shared" si="59"/>
        <v>23950.241956789097</v>
      </c>
      <c r="K215" s="346">
        <v>905891.12769230758</v>
      </c>
      <c r="L215" s="466">
        <f t="shared" si="63"/>
        <v>1</v>
      </c>
      <c r="M215" s="466">
        <f t="shared" si="64"/>
        <v>6.3622429999999994E-2</v>
      </c>
      <c r="N215" s="429">
        <f t="shared" si="61"/>
        <v>57634.994859224891</v>
      </c>
      <c r="P215" s="660"/>
      <c r="R215" s="423"/>
      <c r="S215" s="423"/>
    </row>
    <row r="216" spans="1:19">
      <c r="A216" s="1152">
        <f t="shared" si="73"/>
        <v>202</v>
      </c>
      <c r="B216" s="706">
        <v>39922</v>
      </c>
      <c r="C216" s="88" t="s">
        <v>1507</v>
      </c>
      <c r="D216" s="346">
        <v>476509.35</v>
      </c>
      <c r="E216" s="621">
        <v>0</v>
      </c>
      <c r="F216" s="429">
        <f t="shared" si="58"/>
        <v>476509.35</v>
      </c>
      <c r="G216" s="466">
        <v>1</v>
      </c>
      <c r="H216" s="466">
        <f>H189</f>
        <v>6.3622429999999994E-2</v>
      </c>
      <c r="I216" s="429">
        <f t="shared" si="59"/>
        <v>30316.682764720495</v>
      </c>
      <c r="K216" s="346">
        <v>461135.38846153836</v>
      </c>
      <c r="L216" s="466">
        <f t="shared" si="63"/>
        <v>1</v>
      </c>
      <c r="M216" s="466">
        <f t="shared" si="64"/>
        <v>6.3622429999999994E-2</v>
      </c>
      <c r="N216" s="429">
        <f t="shared" si="61"/>
        <v>29338.55397291703</v>
      </c>
      <c r="P216" s="660"/>
      <c r="R216" s="423"/>
      <c r="S216" s="423"/>
    </row>
    <row r="217" spans="1:19">
      <c r="A217" s="1152">
        <f t="shared" si="73"/>
        <v>203</v>
      </c>
      <c r="B217" s="706">
        <v>39923</v>
      </c>
      <c r="C217" s="88" t="s">
        <v>1508</v>
      </c>
      <c r="D217" s="346">
        <v>8124.07</v>
      </c>
      <c r="E217" s="621">
        <v>0</v>
      </c>
      <c r="F217" s="429">
        <f t="shared" si="58"/>
        <v>8124.07</v>
      </c>
      <c r="G217" s="466">
        <v>1</v>
      </c>
      <c r="H217" s="466">
        <f>H189</f>
        <v>6.3622429999999994E-2</v>
      </c>
      <c r="I217" s="429">
        <f t="shared" si="59"/>
        <v>516.87307489009993</v>
      </c>
      <c r="K217" s="346">
        <v>40846.198461538457</v>
      </c>
      <c r="L217" s="466">
        <f t="shared" si="63"/>
        <v>1</v>
      </c>
      <c r="M217" s="466">
        <f t="shared" si="64"/>
        <v>6.3622429999999994E-2</v>
      </c>
      <c r="N217" s="429">
        <f t="shared" si="61"/>
        <v>2598.7344023853379</v>
      </c>
      <c r="P217" s="660"/>
      <c r="R217" s="423"/>
      <c r="S217" s="423"/>
    </row>
    <row r="218" spans="1:19">
      <c r="A218" s="1152">
        <f t="shared" si="73"/>
        <v>204</v>
      </c>
      <c r="B218" s="706">
        <v>39924</v>
      </c>
      <c r="C218" s="88" t="s">
        <v>1389</v>
      </c>
      <c r="D218" s="346"/>
      <c r="E218" s="621">
        <v>0</v>
      </c>
      <c r="F218" s="429">
        <f t="shared" si="58"/>
        <v>0</v>
      </c>
      <c r="G218" s="466">
        <f t="shared" si="68"/>
        <v>0.104</v>
      </c>
      <c r="H218" s="466">
        <f t="shared" si="69"/>
        <v>0.49780000000000002</v>
      </c>
      <c r="I218" s="429">
        <f t="shared" si="59"/>
        <v>0</v>
      </c>
      <c r="K218" s="346"/>
      <c r="L218" s="466">
        <f t="shared" si="63"/>
        <v>0.104</v>
      </c>
      <c r="M218" s="466">
        <f t="shared" si="64"/>
        <v>0.49780000000000002</v>
      </c>
      <c r="N218" s="429">
        <f t="shared" si="61"/>
        <v>0</v>
      </c>
      <c r="P218" s="660"/>
      <c r="R218" s="423"/>
      <c r="S218" s="423"/>
    </row>
    <row r="219" spans="1:19">
      <c r="A219" s="1152">
        <f t="shared" si="73"/>
        <v>205</v>
      </c>
      <c r="B219" s="706">
        <v>39926</v>
      </c>
      <c r="C219" s="88" t="s">
        <v>1517</v>
      </c>
      <c r="D219" s="346">
        <v>70040.820000000007</v>
      </c>
      <c r="E219" s="621">
        <v>0</v>
      </c>
      <c r="F219" s="429">
        <f t="shared" si="58"/>
        <v>70040.820000000007</v>
      </c>
      <c r="G219" s="466">
        <v>1</v>
      </c>
      <c r="H219" s="466">
        <f>H215</f>
        <v>6.3622429999999994E-2</v>
      </c>
      <c r="I219" s="429">
        <f t="shared" si="59"/>
        <v>4456.1671675926</v>
      </c>
      <c r="K219" s="346">
        <v>55323.897692307684</v>
      </c>
      <c r="L219" s="466">
        <f t="shared" si="63"/>
        <v>1</v>
      </c>
      <c r="M219" s="466">
        <f t="shared" si="64"/>
        <v>6.3622429999999994E-2</v>
      </c>
      <c r="N219" s="429">
        <f t="shared" si="61"/>
        <v>3519.8408082560068</v>
      </c>
      <c r="P219" s="660"/>
      <c r="R219" s="423"/>
      <c r="S219" s="423"/>
    </row>
    <row r="220" spans="1:19">
      <c r="A220" s="1152">
        <f t="shared" si="73"/>
        <v>206</v>
      </c>
      <c r="B220" s="706">
        <v>39928</v>
      </c>
      <c r="C220" s="88" t="s">
        <v>1518</v>
      </c>
      <c r="D220" s="346">
        <v>11688242.529999999</v>
      </c>
      <c r="E220" s="621">
        <v>0</v>
      </c>
      <c r="F220" s="429">
        <f t="shared" si="58"/>
        <v>11688242.529999999</v>
      </c>
      <c r="G220" s="466">
        <v>1</v>
      </c>
      <c r="H220" s="466">
        <f>H215</f>
        <v>6.3622429999999994E-2</v>
      </c>
      <c r="I220" s="429">
        <f t="shared" si="59"/>
        <v>743634.39218794776</v>
      </c>
      <c r="K220" s="346">
        <v>12375440.635384617</v>
      </c>
      <c r="L220" s="466">
        <f t="shared" si="63"/>
        <v>1</v>
      </c>
      <c r="M220" s="466">
        <f t="shared" si="64"/>
        <v>6.3622429999999994E-2</v>
      </c>
      <c r="N220" s="429">
        <f t="shared" si="61"/>
        <v>787355.60554391332</v>
      </c>
      <c r="P220" s="660"/>
      <c r="R220" s="423"/>
      <c r="S220" s="423"/>
    </row>
    <row r="221" spans="1:19">
      <c r="A221" s="1152">
        <f t="shared" si="73"/>
        <v>207</v>
      </c>
      <c r="B221" s="706">
        <v>39931</v>
      </c>
      <c r="C221" s="88" t="s">
        <v>1519</v>
      </c>
      <c r="D221" s="346">
        <v>67819.98</v>
      </c>
      <c r="E221" s="621">
        <v>0</v>
      </c>
      <c r="F221" s="429">
        <f t="shared" si="58"/>
        <v>67819.98</v>
      </c>
      <c r="G221" s="466">
        <v>1</v>
      </c>
      <c r="H221" s="324">
        <f>Allocation!$E$23</f>
        <v>0</v>
      </c>
      <c r="I221" s="429">
        <f t="shared" si="59"/>
        <v>0</v>
      </c>
      <c r="K221" s="346">
        <v>53677.066153846143</v>
      </c>
      <c r="L221" s="466">
        <f t="shared" si="63"/>
        <v>1</v>
      </c>
      <c r="M221" s="466">
        <f t="shared" si="64"/>
        <v>0</v>
      </c>
      <c r="N221" s="429">
        <f t="shared" si="61"/>
        <v>0</v>
      </c>
      <c r="P221" s="660"/>
      <c r="R221" s="423"/>
      <c r="S221" s="423"/>
    </row>
    <row r="222" spans="1:19">
      <c r="A222" s="1152">
        <f t="shared" si="73"/>
        <v>208</v>
      </c>
      <c r="B222" s="706">
        <v>39932</v>
      </c>
      <c r="C222" s="88" t="s">
        <v>1520</v>
      </c>
      <c r="D222" s="346">
        <v>64176.74</v>
      </c>
      <c r="E222" s="621">
        <v>0</v>
      </c>
      <c r="F222" s="429">
        <f t="shared" si="58"/>
        <v>64176.74</v>
      </c>
      <c r="G222" s="466">
        <v>1</v>
      </c>
      <c r="H222" s="324">
        <f>Allocation!$E$23</f>
        <v>0</v>
      </c>
      <c r="I222" s="429">
        <f t="shared" si="59"/>
        <v>0</v>
      </c>
      <c r="K222" s="346">
        <v>48584.773076923069</v>
      </c>
      <c r="L222" s="466">
        <f t="shared" si="63"/>
        <v>1</v>
      </c>
      <c r="M222" s="466">
        <f t="shared" si="64"/>
        <v>0</v>
      </c>
      <c r="N222" s="429">
        <f t="shared" si="61"/>
        <v>0</v>
      </c>
      <c r="P222" s="660"/>
      <c r="R222" s="423"/>
      <c r="S222" s="423"/>
    </row>
    <row r="223" spans="1:19">
      <c r="A223" s="1152">
        <f t="shared" si="73"/>
        <v>209</v>
      </c>
      <c r="B223" s="706">
        <v>39938</v>
      </c>
      <c r="C223" s="88" t="s">
        <v>1521</v>
      </c>
      <c r="D223" s="346">
        <v>4105281.92</v>
      </c>
      <c r="E223" s="621">
        <v>0</v>
      </c>
      <c r="F223" s="429">
        <f t="shared" si="58"/>
        <v>4105281.92</v>
      </c>
      <c r="G223" s="466">
        <v>1</v>
      </c>
      <c r="H223" s="324">
        <f>Allocation!$E$23</f>
        <v>0</v>
      </c>
      <c r="I223" s="429">
        <f t="shared" si="59"/>
        <v>0</v>
      </c>
      <c r="K223" s="346">
        <v>3516851.6776923081</v>
      </c>
      <c r="L223" s="466">
        <f t="shared" si="63"/>
        <v>1</v>
      </c>
      <c r="M223" s="466">
        <f t="shared" si="64"/>
        <v>0</v>
      </c>
      <c r="N223" s="429"/>
      <c r="P223" s="660"/>
      <c r="R223" s="423"/>
      <c r="S223" s="423"/>
    </row>
    <row r="224" spans="1:19">
      <c r="A224" s="1152">
        <f t="shared" si="73"/>
        <v>210</v>
      </c>
      <c r="B224" s="706"/>
      <c r="C224" s="88" t="s">
        <v>1143</v>
      </c>
      <c r="D224" s="346">
        <v>3272.25</v>
      </c>
      <c r="E224" s="1059">
        <v>0</v>
      </c>
      <c r="F224" s="429">
        <f t="shared" si="58"/>
        <v>3272.25</v>
      </c>
      <c r="G224" s="466">
        <f t="shared" si="68"/>
        <v>0.104</v>
      </c>
      <c r="H224" s="466">
        <f t="shared" si="69"/>
        <v>0.49780000000000002</v>
      </c>
      <c r="I224" s="1042">
        <f t="shared" si="59"/>
        <v>169.40830919999999</v>
      </c>
      <c r="K224" s="346">
        <v>3272.25</v>
      </c>
      <c r="L224" s="466">
        <f>L222</f>
        <v>1</v>
      </c>
      <c r="M224" s="422">
        <f t="shared" si="60"/>
        <v>0.49780000000000002</v>
      </c>
      <c r="N224" s="1042">
        <f t="shared" si="61"/>
        <v>1628.92605</v>
      </c>
      <c r="P224" s="660"/>
      <c r="R224" s="423"/>
      <c r="S224" s="423"/>
    </row>
    <row r="225" spans="1:19">
      <c r="A225" s="1152">
        <f t="shared" si="73"/>
        <v>211</v>
      </c>
      <c r="B225" s="389"/>
      <c r="C225" s="88"/>
      <c r="D225" s="618"/>
      <c r="E225" s="618"/>
      <c r="F225" s="618"/>
      <c r="K225" s="618"/>
    </row>
    <row r="226" spans="1:19" ht="15.75" thickBot="1">
      <c r="A226" s="1152">
        <f t="shared" si="73"/>
        <v>212</v>
      </c>
      <c r="B226" s="389"/>
      <c r="C226" s="233" t="s">
        <v>1322</v>
      </c>
      <c r="D226" s="467">
        <f>SUM(D186:D224)</f>
        <v>88315114.679999992</v>
      </c>
      <c r="E226" s="467">
        <f>SUM(E186:E224)</f>
        <v>0</v>
      </c>
      <c r="F226" s="467">
        <f>SUM(F186:F224)</f>
        <v>88315114.679999992</v>
      </c>
      <c r="I226" s="467">
        <f>SUM(I186:I224)</f>
        <v>4367260.6707028132</v>
      </c>
      <c r="K226" s="467">
        <f>SUM(K186:K224)</f>
        <v>104065065.71000001</v>
      </c>
      <c r="N226" s="467">
        <f>SUM(N186:N224)</f>
        <v>5427362.5555634117</v>
      </c>
    </row>
    <row r="227" spans="1:19" ht="15.75" thickTop="1">
      <c r="A227" s="1152">
        <f t="shared" si="73"/>
        <v>213</v>
      </c>
      <c r="B227" s="1038"/>
      <c r="D227" s="429"/>
      <c r="K227" s="429"/>
    </row>
    <row r="228" spans="1:19" ht="15.75">
      <c r="A228" s="1152">
        <f t="shared" si="73"/>
        <v>214</v>
      </c>
      <c r="B228" s="1043" t="s">
        <v>9</v>
      </c>
      <c r="D228" s="429"/>
      <c r="K228" s="429"/>
    </row>
    <row r="229" spans="1:19">
      <c r="A229" s="1152">
        <f t="shared" si="73"/>
        <v>215</v>
      </c>
      <c r="B229" s="1038"/>
      <c r="D229" s="429"/>
      <c r="K229" s="429"/>
    </row>
    <row r="230" spans="1:19">
      <c r="A230" s="1152">
        <f t="shared" si="73"/>
        <v>216</v>
      </c>
      <c r="B230" s="389"/>
      <c r="C230" s="619" t="s">
        <v>301</v>
      </c>
      <c r="D230" s="429"/>
      <c r="K230" s="429"/>
    </row>
    <row r="231" spans="1:19">
      <c r="A231" s="1152">
        <f t="shared" si="73"/>
        <v>217</v>
      </c>
      <c r="B231" s="513">
        <v>38900</v>
      </c>
      <c r="C231" s="88" t="s">
        <v>1558</v>
      </c>
      <c r="D231" s="346"/>
      <c r="E231" s="346">
        <v>0</v>
      </c>
      <c r="F231" s="346">
        <f t="shared" ref="F231:F260" si="74">D231+E231</f>
        <v>0</v>
      </c>
      <c r="G231" s="466">
        <f>Allocation!$G$15</f>
        <v>0.1095</v>
      </c>
      <c r="H231" s="466">
        <f>Allocation!$H$15</f>
        <v>0.51517972406888612</v>
      </c>
      <c r="I231" s="346">
        <f t="shared" ref="I231:I260" si="75">F231*G231*H231</f>
        <v>0</v>
      </c>
      <c r="K231" s="346"/>
      <c r="L231" s="466">
        <f t="shared" ref="L231:L260" si="76">G231</f>
        <v>0.1095</v>
      </c>
      <c r="M231" s="466">
        <f t="shared" ref="M231:M260" si="77">H231</f>
        <v>0.51517972406888612</v>
      </c>
      <c r="N231" s="346">
        <f t="shared" ref="N231:N260" si="78">K231*L231*M231</f>
        <v>0</v>
      </c>
      <c r="P231" s="660"/>
      <c r="R231" s="423"/>
      <c r="S231" s="423"/>
    </row>
    <row r="232" spans="1:19">
      <c r="A232" s="1152">
        <f t="shared" si="73"/>
        <v>218</v>
      </c>
      <c r="B232" s="513">
        <v>38910</v>
      </c>
      <c r="C232" s="88" t="s">
        <v>1559</v>
      </c>
      <c r="D232" s="346"/>
      <c r="E232" s="429">
        <v>0</v>
      </c>
      <c r="F232" s="429">
        <f t="shared" si="74"/>
        <v>0</v>
      </c>
      <c r="G232" s="466">
        <v>1</v>
      </c>
      <c r="H232" s="466">
        <f>Allocation!$I$21</f>
        <v>2.3186160000000001E-2</v>
      </c>
      <c r="I232" s="429">
        <f t="shared" si="75"/>
        <v>0</v>
      </c>
      <c r="K232" s="346"/>
      <c r="L232" s="466">
        <f t="shared" si="76"/>
        <v>1</v>
      </c>
      <c r="M232" s="466">
        <f t="shared" si="77"/>
        <v>2.3186160000000001E-2</v>
      </c>
      <c r="N232" s="429">
        <f t="shared" si="78"/>
        <v>0</v>
      </c>
      <c r="P232" s="660"/>
      <c r="R232" s="423"/>
      <c r="S232" s="423"/>
    </row>
    <row r="233" spans="1:19">
      <c r="A233" s="1152">
        <f t="shared" si="73"/>
        <v>219</v>
      </c>
      <c r="B233" s="513">
        <v>39000</v>
      </c>
      <c r="C233" s="88" t="s">
        <v>1524</v>
      </c>
      <c r="D233" s="346">
        <v>2031040.56</v>
      </c>
      <c r="E233" s="429">
        <v>0</v>
      </c>
      <c r="F233" s="429">
        <f t="shared" si="74"/>
        <v>2031040.56</v>
      </c>
      <c r="G233" s="466">
        <f>$G$231</f>
        <v>0.1095</v>
      </c>
      <c r="H233" s="466">
        <f>$H$231</f>
        <v>0.51517972406888612</v>
      </c>
      <c r="I233" s="429">
        <f t="shared" si="75"/>
        <v>114575.42522245001</v>
      </c>
      <c r="K233" s="346">
        <v>1827138.5253846156</v>
      </c>
      <c r="L233" s="466">
        <f t="shared" si="76"/>
        <v>0.1095</v>
      </c>
      <c r="M233" s="466">
        <f t="shared" si="77"/>
        <v>0.51517972406888612</v>
      </c>
      <c r="N233" s="429">
        <f t="shared" si="78"/>
        <v>103072.86698708891</v>
      </c>
      <c r="P233" s="660"/>
      <c r="R233" s="423"/>
      <c r="S233" s="423"/>
    </row>
    <row r="234" spans="1:19">
      <c r="A234" s="1152">
        <f t="shared" si="73"/>
        <v>220</v>
      </c>
      <c r="B234" s="513">
        <v>39009</v>
      </c>
      <c r="C234" s="88" t="s">
        <v>1528</v>
      </c>
      <c r="D234" s="346">
        <v>1706583.87</v>
      </c>
      <c r="E234" s="429">
        <v>0</v>
      </c>
      <c r="F234" s="429">
        <f t="shared" si="74"/>
        <v>1706583.87</v>
      </c>
      <c r="G234" s="466">
        <f>$G$231</f>
        <v>0.1095</v>
      </c>
      <c r="H234" s="466">
        <f>$H$231</f>
        <v>0.51517972406888612</v>
      </c>
      <c r="I234" s="429">
        <f t="shared" si="75"/>
        <v>96272.116093547811</v>
      </c>
      <c r="K234" s="346">
        <v>1652861.5638461539</v>
      </c>
      <c r="L234" s="466">
        <f t="shared" ref="L234:L259" si="79">G234</f>
        <v>0.1095</v>
      </c>
      <c r="M234" s="466">
        <f t="shared" ref="M234:M259" si="80">H234</f>
        <v>0.51517972406888612</v>
      </c>
      <c r="N234" s="429">
        <f t="shared" si="78"/>
        <v>93241.523700303049</v>
      </c>
      <c r="P234" s="660"/>
      <c r="R234" s="423"/>
      <c r="S234" s="423"/>
    </row>
    <row r="235" spans="1:19">
      <c r="A235" s="1152">
        <f t="shared" si="73"/>
        <v>221</v>
      </c>
      <c r="B235" s="513">
        <v>39010</v>
      </c>
      <c r="C235" s="88" t="s">
        <v>1560</v>
      </c>
      <c r="D235" s="346">
        <v>2965821.03</v>
      </c>
      <c r="E235" s="429">
        <v>0</v>
      </c>
      <c r="F235" s="429">
        <f t="shared" si="74"/>
        <v>2965821.03</v>
      </c>
      <c r="G235" s="466">
        <v>1</v>
      </c>
      <c r="H235" s="466">
        <f>Allocation!$I$21</f>
        <v>2.3186160000000001E-2</v>
      </c>
      <c r="I235" s="429">
        <f t="shared" si="75"/>
        <v>68766.000932944793</v>
      </c>
      <c r="K235" s="346">
        <v>2760956.2661538464</v>
      </c>
      <c r="L235" s="466">
        <f t="shared" si="79"/>
        <v>1</v>
      </c>
      <c r="M235" s="466">
        <f t="shared" si="80"/>
        <v>2.3186160000000001E-2</v>
      </c>
      <c r="N235" s="429">
        <f t="shared" si="78"/>
        <v>64015.973740045672</v>
      </c>
      <c r="P235" s="660"/>
      <c r="R235" s="423"/>
      <c r="S235" s="423"/>
    </row>
    <row r="236" spans="1:19">
      <c r="A236" s="1152">
        <f t="shared" si="73"/>
        <v>222</v>
      </c>
      <c r="B236" s="513">
        <v>39100</v>
      </c>
      <c r="C236" s="88" t="s">
        <v>1529</v>
      </c>
      <c r="D236" s="346">
        <v>871797.06</v>
      </c>
      <c r="E236" s="429">
        <v>0</v>
      </c>
      <c r="F236" s="429">
        <f t="shared" si="74"/>
        <v>871797.06</v>
      </c>
      <c r="G236" s="466">
        <f t="shared" ref="G236:G239" si="81">$G$231</f>
        <v>0.1095</v>
      </c>
      <c r="H236" s="466">
        <f t="shared" ref="H236:H239" si="82">$H$231</f>
        <v>0.51517972406888612</v>
      </c>
      <c r="I236" s="429">
        <f t="shared" si="75"/>
        <v>49179.972485227845</v>
      </c>
      <c r="K236" s="346">
        <v>867807.82499999995</v>
      </c>
      <c r="L236" s="466">
        <f t="shared" si="79"/>
        <v>0.1095</v>
      </c>
      <c r="M236" s="466">
        <f t="shared" si="80"/>
        <v>0.51517972406888612</v>
      </c>
      <c r="N236" s="429">
        <f t="shared" si="78"/>
        <v>48954.931043201061</v>
      </c>
      <c r="P236" s="660"/>
      <c r="R236" s="423"/>
      <c r="S236" s="423"/>
    </row>
    <row r="237" spans="1:19">
      <c r="A237" s="1152">
        <f t="shared" si="73"/>
        <v>223</v>
      </c>
      <c r="B237" s="513">
        <v>39101</v>
      </c>
      <c r="C237" s="88" t="s">
        <v>1499</v>
      </c>
      <c r="D237" s="346"/>
      <c r="E237" s="429">
        <v>0</v>
      </c>
      <c r="F237" s="429">
        <f t="shared" si="74"/>
        <v>0</v>
      </c>
      <c r="G237" s="466">
        <f t="shared" si="81"/>
        <v>0.1095</v>
      </c>
      <c r="H237" s="466">
        <f t="shared" si="82"/>
        <v>0.51517972406888612</v>
      </c>
      <c r="I237" s="429">
        <f t="shared" si="75"/>
        <v>0</v>
      </c>
      <c r="K237" s="346"/>
      <c r="L237" s="466">
        <f t="shared" si="79"/>
        <v>0.1095</v>
      </c>
      <c r="M237" s="466">
        <f t="shared" si="80"/>
        <v>0.51517972406888612</v>
      </c>
      <c r="N237" s="429">
        <f t="shared" si="78"/>
        <v>0</v>
      </c>
      <c r="P237" s="660"/>
      <c r="R237" s="423"/>
      <c r="S237" s="423"/>
    </row>
    <row r="238" spans="1:19">
      <c r="A238" s="1152">
        <f t="shared" si="73"/>
        <v>224</v>
      </c>
      <c r="B238" s="513">
        <v>39102</v>
      </c>
      <c r="C238" s="88" t="s">
        <v>1509</v>
      </c>
      <c r="D238" s="346"/>
      <c r="E238" s="429">
        <v>0</v>
      </c>
      <c r="F238" s="429">
        <f t="shared" si="74"/>
        <v>0</v>
      </c>
      <c r="G238" s="466">
        <f t="shared" si="81"/>
        <v>0.1095</v>
      </c>
      <c r="H238" s="466">
        <f t="shared" si="82"/>
        <v>0.51517972406888612</v>
      </c>
      <c r="I238" s="429">
        <f t="shared" si="75"/>
        <v>0</v>
      </c>
      <c r="K238" s="346"/>
      <c r="L238" s="466">
        <f t="shared" si="79"/>
        <v>0.1095</v>
      </c>
      <c r="M238" s="466">
        <f t="shared" si="80"/>
        <v>0.51517972406888612</v>
      </c>
      <c r="N238" s="429">
        <f t="shared" si="78"/>
        <v>0</v>
      </c>
      <c r="P238" s="660"/>
      <c r="R238" s="423"/>
      <c r="S238" s="423"/>
    </row>
    <row r="239" spans="1:19">
      <c r="A239" s="1152">
        <f t="shared" si="73"/>
        <v>225</v>
      </c>
      <c r="B239" s="513">
        <v>39103</v>
      </c>
      <c r="C239" s="88" t="s">
        <v>1320</v>
      </c>
      <c r="D239" s="346"/>
      <c r="E239" s="429">
        <v>0</v>
      </c>
      <c r="F239" s="429">
        <f t="shared" si="74"/>
        <v>0</v>
      </c>
      <c r="G239" s="466">
        <f t="shared" si="81"/>
        <v>0.1095</v>
      </c>
      <c r="H239" s="466">
        <f t="shared" si="82"/>
        <v>0.51517972406888612</v>
      </c>
      <c r="I239" s="429">
        <f t="shared" si="75"/>
        <v>0</v>
      </c>
      <c r="K239" s="346"/>
      <c r="L239" s="466">
        <f t="shared" si="79"/>
        <v>0.1095</v>
      </c>
      <c r="M239" s="466">
        <f t="shared" si="80"/>
        <v>0.51517972406888612</v>
      </c>
      <c r="N239" s="429">
        <f t="shared" si="78"/>
        <v>0</v>
      </c>
      <c r="P239" s="660"/>
      <c r="R239" s="423"/>
      <c r="S239" s="423"/>
    </row>
    <row r="240" spans="1:19">
      <c r="A240" s="1152">
        <f t="shared" si="73"/>
        <v>226</v>
      </c>
      <c r="B240" s="513">
        <v>39110</v>
      </c>
      <c r="C240" s="88" t="s">
        <v>1510</v>
      </c>
      <c r="D240" s="346">
        <v>49450.35</v>
      </c>
      <c r="E240" s="429">
        <v>0</v>
      </c>
      <c r="F240" s="429">
        <f t="shared" si="74"/>
        <v>49450.35</v>
      </c>
      <c r="G240" s="466">
        <v>1</v>
      </c>
      <c r="H240" s="466">
        <f>Allocation!$I$21</f>
        <v>2.3186160000000001E-2</v>
      </c>
      <c r="I240" s="429">
        <f t="shared" si="75"/>
        <v>1146.5637271559999</v>
      </c>
      <c r="K240" s="346">
        <v>48676.514999999999</v>
      </c>
      <c r="L240" s="466">
        <f t="shared" si="79"/>
        <v>1</v>
      </c>
      <c r="M240" s="466">
        <f t="shared" si="80"/>
        <v>2.3186160000000001E-2</v>
      </c>
      <c r="N240" s="429">
        <f t="shared" si="78"/>
        <v>1128.6214650324</v>
      </c>
      <c r="P240" s="660"/>
      <c r="R240" s="423"/>
      <c r="S240" s="423"/>
    </row>
    <row r="241" spans="1:19">
      <c r="A241" s="1152">
        <f t="shared" si="73"/>
        <v>227</v>
      </c>
      <c r="B241" s="513">
        <v>39210</v>
      </c>
      <c r="C241" s="88" t="s">
        <v>1511</v>
      </c>
      <c r="D241" s="346">
        <v>93985.95</v>
      </c>
      <c r="E241" s="429">
        <v>0</v>
      </c>
      <c r="F241" s="429">
        <f t="shared" si="74"/>
        <v>93985.95</v>
      </c>
      <c r="G241" s="466">
        <v>1</v>
      </c>
      <c r="H241" s="466">
        <f>Allocation!$I$21</f>
        <v>2.3186160000000001E-2</v>
      </c>
      <c r="I241" s="429">
        <f t="shared" si="75"/>
        <v>2179.173274452</v>
      </c>
      <c r="K241" s="346">
        <v>93036.857692307691</v>
      </c>
      <c r="L241" s="466">
        <f t="shared" si="79"/>
        <v>1</v>
      </c>
      <c r="M241" s="466">
        <f t="shared" si="80"/>
        <v>2.3186160000000001E-2</v>
      </c>
      <c r="N241" s="429">
        <f t="shared" si="78"/>
        <v>2157.1674683510769</v>
      </c>
      <c r="P241" s="660"/>
      <c r="R241" s="423"/>
      <c r="S241" s="423"/>
    </row>
    <row r="242" spans="1:19">
      <c r="A242" s="1152">
        <f t="shared" si="73"/>
        <v>228</v>
      </c>
      <c r="B242" s="513">
        <v>39410</v>
      </c>
      <c r="C242" s="88" t="s">
        <v>1512</v>
      </c>
      <c r="D242" s="346">
        <v>126415.47</v>
      </c>
      <c r="E242" s="429">
        <v>0</v>
      </c>
      <c r="F242" s="429">
        <f t="shared" si="74"/>
        <v>126415.47</v>
      </c>
      <c r="G242" s="466">
        <v>1</v>
      </c>
      <c r="H242" s="466">
        <f>Allocation!$I$21</f>
        <v>2.3186160000000001E-2</v>
      </c>
      <c r="I242" s="429">
        <f t="shared" si="75"/>
        <v>2931.0893138952001</v>
      </c>
      <c r="K242" s="346">
        <v>105567.30615384615</v>
      </c>
      <c r="L242" s="466">
        <f t="shared" si="79"/>
        <v>1</v>
      </c>
      <c r="M242" s="466">
        <f t="shared" si="80"/>
        <v>2.3186160000000001E-2</v>
      </c>
      <c r="N242" s="429">
        <f t="shared" si="78"/>
        <v>2447.7004512520616</v>
      </c>
      <c r="P242" s="660"/>
      <c r="R242" s="423"/>
      <c r="S242" s="423"/>
    </row>
    <row r="243" spans="1:19">
      <c r="A243" s="1152">
        <f t="shared" si="73"/>
        <v>229</v>
      </c>
      <c r="B243" s="513">
        <v>39510</v>
      </c>
      <c r="C243" s="88" t="s">
        <v>1513</v>
      </c>
      <c r="D243" s="346">
        <v>16571.3</v>
      </c>
      <c r="E243" s="429">
        <v>0</v>
      </c>
      <c r="F243" s="429">
        <f t="shared" si="74"/>
        <v>16571.3</v>
      </c>
      <c r="G243" s="466">
        <v>1</v>
      </c>
      <c r="H243" s="466">
        <f>Allocation!$I$21</f>
        <v>2.3186160000000001E-2</v>
      </c>
      <c r="I243" s="429">
        <f t="shared" si="75"/>
        <v>384.224813208</v>
      </c>
      <c r="K243" s="346">
        <v>15391.339999999998</v>
      </c>
      <c r="L243" s="466">
        <f t="shared" si="79"/>
        <v>1</v>
      </c>
      <c r="M243" s="466">
        <f t="shared" si="80"/>
        <v>2.3186160000000001E-2</v>
      </c>
      <c r="N243" s="429">
        <f t="shared" si="78"/>
        <v>356.86607185439999</v>
      </c>
      <c r="P243" s="660"/>
      <c r="R243" s="423"/>
      <c r="S243" s="423"/>
    </row>
    <row r="244" spans="1:19">
      <c r="A244" s="1152">
        <f t="shared" si="73"/>
        <v>230</v>
      </c>
      <c r="B244" s="513">
        <v>39700</v>
      </c>
      <c r="C244" s="88" t="s">
        <v>1536</v>
      </c>
      <c r="D244" s="346">
        <v>1087103.18</v>
      </c>
      <c r="E244" s="429">
        <v>0</v>
      </c>
      <c r="F244" s="429">
        <f t="shared" si="74"/>
        <v>1087103.18</v>
      </c>
      <c r="G244" s="466">
        <f t="shared" ref="G244" si="83">$G$231</f>
        <v>0.1095</v>
      </c>
      <c r="H244" s="466">
        <f t="shared" ref="H244" si="84">$H$231</f>
        <v>0.51517972406888612</v>
      </c>
      <c r="I244" s="429">
        <f t="shared" si="75"/>
        <v>61325.860035595542</v>
      </c>
      <c r="K244" s="346">
        <v>1033280.0923076923</v>
      </c>
      <c r="L244" s="466">
        <f t="shared" si="79"/>
        <v>0.1095</v>
      </c>
      <c r="M244" s="466">
        <f t="shared" si="80"/>
        <v>0.51517972406888612</v>
      </c>
      <c r="N244" s="429">
        <f t="shared" si="78"/>
        <v>58289.582336084037</v>
      </c>
      <c r="P244" s="660"/>
      <c r="R244" s="423"/>
      <c r="S244" s="423"/>
    </row>
    <row r="245" spans="1:19">
      <c r="A245" s="1152">
        <f t="shared" si="73"/>
        <v>231</v>
      </c>
      <c r="B245" s="513">
        <v>39710</v>
      </c>
      <c r="C245" s="88" t="s">
        <v>1561</v>
      </c>
      <c r="D245" s="346">
        <v>159295.43</v>
      </c>
      <c r="E245" s="429">
        <v>0</v>
      </c>
      <c r="F245" s="429">
        <f t="shared" si="74"/>
        <v>159295.43</v>
      </c>
      <c r="G245" s="466">
        <v>1</v>
      </c>
      <c r="H245" s="466">
        <f>Allocation!$I$21</f>
        <v>2.3186160000000001E-2</v>
      </c>
      <c r="I245" s="429">
        <f t="shared" si="75"/>
        <v>3693.4493272487998</v>
      </c>
      <c r="K245" s="346">
        <v>151145.54230769229</v>
      </c>
      <c r="L245" s="466">
        <f t="shared" si="79"/>
        <v>1</v>
      </c>
      <c r="M245" s="466">
        <f t="shared" si="80"/>
        <v>2.3186160000000001E-2</v>
      </c>
      <c r="N245" s="429">
        <f t="shared" si="78"/>
        <v>3504.484727232923</v>
      </c>
      <c r="P245" s="660"/>
      <c r="R245" s="423"/>
      <c r="S245" s="423"/>
    </row>
    <row r="246" spans="1:19">
      <c r="A246" s="1152">
        <f t="shared" si="73"/>
        <v>232</v>
      </c>
      <c r="B246" s="513">
        <v>39800</v>
      </c>
      <c r="C246" s="88" t="s">
        <v>1538</v>
      </c>
      <c r="D246" s="346">
        <v>12861.95</v>
      </c>
      <c r="E246" s="429">
        <v>0</v>
      </c>
      <c r="F246" s="429">
        <f t="shared" si="74"/>
        <v>12861.95</v>
      </c>
      <c r="G246" s="466">
        <f>$G$231</f>
        <v>0.1095</v>
      </c>
      <c r="H246" s="466">
        <f>$H$231</f>
        <v>0.51517972406888612</v>
      </c>
      <c r="I246" s="429">
        <f t="shared" si="75"/>
        <v>725.57063579266526</v>
      </c>
      <c r="K246" s="346">
        <v>11880.811538461539</v>
      </c>
      <c r="L246" s="466">
        <f t="shared" si="79"/>
        <v>0.1095</v>
      </c>
      <c r="M246" s="466">
        <f t="shared" si="80"/>
        <v>0.51517972406888612</v>
      </c>
      <c r="N246" s="429">
        <f t="shared" ref="N246" si="85">K246*L246*M246</f>
        <v>670.22247650584643</v>
      </c>
      <c r="P246" s="660"/>
      <c r="R246" s="423"/>
      <c r="S246" s="423"/>
    </row>
    <row r="247" spans="1:19">
      <c r="A247" s="1152">
        <f t="shared" si="73"/>
        <v>233</v>
      </c>
      <c r="B247" s="706">
        <v>39810</v>
      </c>
      <c r="C247" s="88" t="s">
        <v>1514</v>
      </c>
      <c r="D247" s="346">
        <v>141436.5</v>
      </c>
      <c r="E247" s="429">
        <v>0</v>
      </c>
      <c r="F247" s="429">
        <f t="shared" si="74"/>
        <v>141436.5</v>
      </c>
      <c r="G247" s="466">
        <v>1</v>
      </c>
      <c r="H247" s="466">
        <f>Allocation!$I$21</f>
        <v>2.3186160000000001E-2</v>
      </c>
      <c r="I247" s="429">
        <f t="shared" si="75"/>
        <v>3279.3693188400002</v>
      </c>
      <c r="K247" s="346">
        <v>135834.4407692308</v>
      </c>
      <c r="L247" s="466">
        <f t="shared" si="79"/>
        <v>1</v>
      </c>
      <c r="M247" s="466">
        <f t="shared" si="80"/>
        <v>2.3186160000000001E-2</v>
      </c>
      <c r="N247" s="429">
        <f t="shared" si="78"/>
        <v>3149.4790771859084</v>
      </c>
      <c r="P247" s="660"/>
      <c r="R247" s="423"/>
      <c r="S247" s="423"/>
    </row>
    <row r="248" spans="1:19">
      <c r="A248" s="1152">
        <f t="shared" si="73"/>
        <v>234</v>
      </c>
      <c r="B248" s="706">
        <v>39900</v>
      </c>
      <c r="C248" s="88" t="s">
        <v>1546</v>
      </c>
      <c r="D248" s="346">
        <v>-154264.63</v>
      </c>
      <c r="E248" s="429">
        <v>0</v>
      </c>
      <c r="F248" s="429">
        <f t="shared" si="74"/>
        <v>-154264.63</v>
      </c>
      <c r="G248" s="466">
        <f t="shared" ref="G248:G254" si="86">$G$231</f>
        <v>0.1095</v>
      </c>
      <c r="H248" s="466">
        <f t="shared" ref="H248:H254" si="87">$H$231</f>
        <v>0.51517972406888612</v>
      </c>
      <c r="I248" s="429">
        <f t="shared" si="75"/>
        <v>-8702.4040421102764</v>
      </c>
      <c r="K248" s="346">
        <v>261582.65461538467</v>
      </c>
      <c r="L248" s="466">
        <f t="shared" si="79"/>
        <v>0.1095</v>
      </c>
      <c r="M248" s="466">
        <f t="shared" si="80"/>
        <v>0.51517972406888612</v>
      </c>
      <c r="N248" s="429">
        <f t="shared" si="78"/>
        <v>14756.447740942687</v>
      </c>
      <c r="P248" s="660"/>
      <c r="R248" s="423"/>
      <c r="S248" s="423"/>
    </row>
    <row r="249" spans="1:19">
      <c r="A249" s="1152">
        <f t="shared" si="73"/>
        <v>235</v>
      </c>
      <c r="B249" s="706">
        <v>39901</v>
      </c>
      <c r="C249" s="88" t="s">
        <v>1547</v>
      </c>
      <c r="D249" s="346">
        <v>4216498.2699999996</v>
      </c>
      <c r="E249" s="429">
        <v>0</v>
      </c>
      <c r="F249" s="429">
        <f t="shared" si="74"/>
        <v>4216498.2699999996</v>
      </c>
      <c r="G249" s="466">
        <f t="shared" si="86"/>
        <v>0.1095</v>
      </c>
      <c r="H249" s="466">
        <f t="shared" si="87"/>
        <v>0.51517972406888612</v>
      </c>
      <c r="I249" s="429">
        <f t="shared" si="75"/>
        <v>237861.85847267113</v>
      </c>
      <c r="K249" s="346">
        <v>4465584.2984615378</v>
      </c>
      <c r="L249" s="466">
        <f t="shared" si="79"/>
        <v>0.1095</v>
      </c>
      <c r="M249" s="466">
        <f t="shared" si="80"/>
        <v>0.51517972406888612</v>
      </c>
      <c r="N249" s="429">
        <f t="shared" si="78"/>
        <v>251913.34429231033</v>
      </c>
      <c r="P249" s="660"/>
      <c r="R249" s="423"/>
      <c r="S249" s="423"/>
    </row>
    <row r="250" spans="1:19">
      <c r="A250" s="1152">
        <f t="shared" si="73"/>
        <v>236</v>
      </c>
      <c r="B250" s="706">
        <v>39902</v>
      </c>
      <c r="C250" s="88" t="s">
        <v>1548</v>
      </c>
      <c r="D250" s="346">
        <v>1232352.98</v>
      </c>
      <c r="E250" s="429">
        <v>0</v>
      </c>
      <c r="F250" s="429">
        <f t="shared" si="74"/>
        <v>1232352.98</v>
      </c>
      <c r="G250" s="466">
        <f t="shared" si="86"/>
        <v>0.1095</v>
      </c>
      <c r="H250" s="466">
        <f t="shared" si="87"/>
        <v>0.51517972406888612</v>
      </c>
      <c r="I250" s="429">
        <f t="shared" si="75"/>
        <v>69519.717867009706</v>
      </c>
      <c r="K250" s="346">
        <v>1145303.8746153847</v>
      </c>
      <c r="L250" s="466">
        <f t="shared" si="79"/>
        <v>0.1095</v>
      </c>
      <c r="M250" s="466">
        <f t="shared" si="80"/>
        <v>0.51517972406888612</v>
      </c>
      <c r="N250" s="429">
        <f t="shared" si="78"/>
        <v>64609.088083882118</v>
      </c>
      <c r="P250" s="660"/>
      <c r="R250" s="423"/>
      <c r="S250" s="423"/>
    </row>
    <row r="251" spans="1:19">
      <c r="A251" s="1152">
        <f t="shared" si="73"/>
        <v>237</v>
      </c>
      <c r="B251" s="706">
        <v>39903</v>
      </c>
      <c r="C251" s="88" t="s">
        <v>1539</v>
      </c>
      <c r="D251" s="346">
        <v>377897.47</v>
      </c>
      <c r="E251" s="429">
        <v>0</v>
      </c>
      <c r="F251" s="429">
        <f t="shared" si="74"/>
        <v>377897.47</v>
      </c>
      <c r="G251" s="466">
        <f t="shared" si="86"/>
        <v>0.1095</v>
      </c>
      <c r="H251" s="466">
        <f t="shared" si="87"/>
        <v>0.51517972406888612</v>
      </c>
      <c r="I251" s="429">
        <f t="shared" si="75"/>
        <v>21318.020018141851</v>
      </c>
      <c r="K251" s="346">
        <v>352110.66769230767</v>
      </c>
      <c r="L251" s="466">
        <f t="shared" si="79"/>
        <v>0.1095</v>
      </c>
      <c r="M251" s="466">
        <f t="shared" si="80"/>
        <v>0.51517972406888612</v>
      </c>
      <c r="N251" s="429">
        <f t="shared" si="78"/>
        <v>19863.330290266058</v>
      </c>
      <c r="P251" s="660"/>
      <c r="R251" s="423"/>
      <c r="S251" s="423"/>
    </row>
    <row r="252" spans="1:19">
      <c r="A252" s="1152">
        <f t="shared" si="73"/>
        <v>238</v>
      </c>
      <c r="B252" s="706">
        <v>39906</v>
      </c>
      <c r="C252" s="88" t="s">
        <v>1540</v>
      </c>
      <c r="D252" s="346">
        <v>-40379.47</v>
      </c>
      <c r="E252" s="429">
        <v>0</v>
      </c>
      <c r="F252" s="429">
        <f t="shared" si="74"/>
        <v>-40379.47</v>
      </c>
      <c r="G252" s="466">
        <f t="shared" si="86"/>
        <v>0.1095</v>
      </c>
      <c r="H252" s="466">
        <f t="shared" si="87"/>
        <v>0.51517972406888612</v>
      </c>
      <c r="I252" s="429">
        <f t="shared" si="75"/>
        <v>-2277.8939212849414</v>
      </c>
      <c r="K252" s="346">
        <v>340948.35307692311</v>
      </c>
      <c r="L252" s="466">
        <f t="shared" si="79"/>
        <v>0.1095</v>
      </c>
      <c r="M252" s="466">
        <f t="shared" si="80"/>
        <v>0.51517972406888612</v>
      </c>
      <c r="N252" s="429">
        <f t="shared" si="78"/>
        <v>19233.63979136019</v>
      </c>
      <c r="P252" s="660"/>
      <c r="R252" s="423"/>
      <c r="S252" s="423"/>
    </row>
    <row r="253" spans="1:19">
      <c r="A253" s="1152">
        <f t="shared" si="73"/>
        <v>239</v>
      </c>
      <c r="B253" s="706">
        <v>39907</v>
      </c>
      <c r="C253" s="88" t="s">
        <v>1541</v>
      </c>
      <c r="D253" s="346">
        <v>-57199.47</v>
      </c>
      <c r="E253" s="429">
        <v>0</v>
      </c>
      <c r="F253" s="429">
        <f t="shared" si="74"/>
        <v>-57199.47</v>
      </c>
      <c r="G253" s="466">
        <f t="shared" si="86"/>
        <v>0.1095</v>
      </c>
      <c r="H253" s="466">
        <f t="shared" si="87"/>
        <v>0.51517972406888612</v>
      </c>
      <c r="I253" s="429">
        <f t="shared" si="75"/>
        <v>-3226.7467852777754</v>
      </c>
      <c r="K253" s="346">
        <v>71600.319230769237</v>
      </c>
      <c r="L253" s="466">
        <f t="shared" si="79"/>
        <v>0.1095</v>
      </c>
      <c r="M253" s="466">
        <f t="shared" si="80"/>
        <v>0.51517972406888612</v>
      </c>
      <c r="N253" s="429">
        <f t="shared" si="78"/>
        <v>4039.1300811484284</v>
      </c>
      <c r="P253" s="660"/>
      <c r="R253" s="423"/>
      <c r="S253" s="423"/>
    </row>
    <row r="254" spans="1:19">
      <c r="A254" s="1152">
        <f t="shared" si="73"/>
        <v>240</v>
      </c>
      <c r="B254" s="706">
        <v>39908</v>
      </c>
      <c r="C254" s="88" t="s">
        <v>1542</v>
      </c>
      <c r="D254" s="346">
        <v>31814881.109999999</v>
      </c>
      <c r="E254" s="429">
        <v>0</v>
      </c>
      <c r="F254" s="429">
        <f t="shared" si="74"/>
        <v>31814881.109999999</v>
      </c>
      <c r="G254" s="466">
        <f t="shared" si="86"/>
        <v>0.1095</v>
      </c>
      <c r="H254" s="466">
        <f t="shared" si="87"/>
        <v>0.51517972406888612</v>
      </c>
      <c r="I254" s="429">
        <f t="shared" si="75"/>
        <v>1794746.7930329968</v>
      </c>
      <c r="K254" s="346">
        <v>28881742.346923076</v>
      </c>
      <c r="L254" s="466">
        <f t="shared" si="79"/>
        <v>0.1095</v>
      </c>
      <c r="M254" s="466">
        <f t="shared" si="80"/>
        <v>0.51517972406888612</v>
      </c>
      <c r="N254" s="429">
        <f t="shared" si="78"/>
        <v>1629282.041794356</v>
      </c>
      <c r="P254" s="660"/>
      <c r="R254" s="423"/>
      <c r="S254" s="423"/>
    </row>
    <row r="255" spans="1:19">
      <c r="A255" s="1152">
        <f t="shared" si="73"/>
        <v>241</v>
      </c>
      <c r="B255" s="706">
        <v>39910</v>
      </c>
      <c r="C255" s="88" t="s">
        <v>1562</v>
      </c>
      <c r="D255" s="346">
        <v>180471.77</v>
      </c>
      <c r="E255" s="429">
        <v>0</v>
      </c>
      <c r="F255" s="429">
        <f t="shared" si="74"/>
        <v>180471.77</v>
      </c>
      <c r="G255" s="466">
        <v>1</v>
      </c>
      <c r="H255" s="466">
        <f>$H$232</f>
        <v>2.3186160000000001E-2</v>
      </c>
      <c r="I255" s="429">
        <f t="shared" si="75"/>
        <v>4184.4473347031999</v>
      </c>
      <c r="K255" s="346">
        <v>155064.91999999998</v>
      </c>
      <c r="L255" s="466">
        <f t="shared" si="79"/>
        <v>1</v>
      </c>
      <c r="M255" s="466">
        <f t="shared" si="80"/>
        <v>2.3186160000000001E-2</v>
      </c>
      <c r="N255" s="429">
        <f t="shared" si="78"/>
        <v>3595.3600455071996</v>
      </c>
      <c r="P255" s="660"/>
      <c r="R255" s="423"/>
      <c r="S255" s="423"/>
    </row>
    <row r="256" spans="1:19">
      <c r="A256" s="1152">
        <f t="shared" si="73"/>
        <v>242</v>
      </c>
      <c r="B256" s="706">
        <v>39916</v>
      </c>
      <c r="C256" s="88" t="s">
        <v>1563</v>
      </c>
      <c r="D256" s="346">
        <v>34645.64</v>
      </c>
      <c r="E256" s="429">
        <v>0</v>
      </c>
      <c r="F256" s="429">
        <f t="shared" si="74"/>
        <v>34645.64</v>
      </c>
      <c r="G256" s="466">
        <v>1</v>
      </c>
      <c r="H256" s="466">
        <f>$H$232</f>
        <v>2.3186160000000001E-2</v>
      </c>
      <c r="I256" s="429">
        <f t="shared" si="75"/>
        <v>803.29935234239997</v>
      </c>
      <c r="K256" s="346">
        <v>171434.79923076925</v>
      </c>
      <c r="L256" s="466">
        <f t="shared" si="79"/>
        <v>1</v>
      </c>
      <c r="M256" s="466">
        <f t="shared" si="80"/>
        <v>2.3186160000000001E-2</v>
      </c>
      <c r="N256" s="429">
        <f t="shared" si="78"/>
        <v>3974.9146845324926</v>
      </c>
      <c r="P256" s="660"/>
      <c r="R256" s="423"/>
      <c r="S256" s="423"/>
    </row>
    <row r="257" spans="1:19">
      <c r="A257" s="1152">
        <f t="shared" si="73"/>
        <v>243</v>
      </c>
      <c r="B257" s="706">
        <v>39917</v>
      </c>
      <c r="C257" s="88" t="s">
        <v>1564</v>
      </c>
      <c r="D257" s="346">
        <v>-28286.959999999999</v>
      </c>
      <c r="E257" s="429">
        <v>0</v>
      </c>
      <c r="F257" s="429">
        <f t="shared" si="74"/>
        <v>-28286.959999999999</v>
      </c>
      <c r="G257" s="466">
        <v>1</v>
      </c>
      <c r="H257" s="466">
        <f>$H$232</f>
        <v>2.3186160000000001E-2</v>
      </c>
      <c r="I257" s="429">
        <f t="shared" si="75"/>
        <v>-655.86598047359996</v>
      </c>
      <c r="K257" s="346">
        <v>41090.853076923086</v>
      </c>
      <c r="L257" s="466">
        <f t="shared" si="79"/>
        <v>1</v>
      </c>
      <c r="M257" s="466">
        <f t="shared" si="80"/>
        <v>2.3186160000000001E-2</v>
      </c>
      <c r="N257" s="429">
        <f t="shared" si="78"/>
        <v>952.73909397803095</v>
      </c>
      <c r="P257" s="660"/>
      <c r="R257" s="423"/>
      <c r="S257" s="423"/>
    </row>
    <row r="258" spans="1:19">
      <c r="A258" s="1152">
        <f t="shared" si="73"/>
        <v>244</v>
      </c>
      <c r="B258" s="706">
        <v>39918</v>
      </c>
      <c r="C258" s="88" t="s">
        <v>1515</v>
      </c>
      <c r="D258" s="346">
        <v>-9966.41</v>
      </c>
      <c r="E258" s="429">
        <v>0</v>
      </c>
      <c r="F258" s="429">
        <f t="shared" ref="F258:F259" si="88">D258+E258</f>
        <v>-9966.41</v>
      </c>
      <c r="G258" s="466">
        <v>1</v>
      </c>
      <c r="H258" s="466">
        <f>$H$232</f>
        <v>2.3186160000000001E-2</v>
      </c>
      <c r="I258" s="429">
        <f t="shared" ref="I258:I259" si="89">F258*G258*H258</f>
        <v>-231.0827768856</v>
      </c>
      <c r="K258" s="346">
        <v>3958.1407692307685</v>
      </c>
      <c r="L258" s="466">
        <f t="shared" si="79"/>
        <v>1</v>
      </c>
      <c r="M258" s="466">
        <f t="shared" si="80"/>
        <v>2.3186160000000001E-2</v>
      </c>
      <c r="N258" s="429">
        <f t="shared" ref="N258:N259" si="90">K258*L258*M258</f>
        <v>91.774085177907679</v>
      </c>
      <c r="P258" s="660"/>
      <c r="R258" s="423"/>
      <c r="S258" s="423"/>
    </row>
    <row r="259" spans="1:19">
      <c r="A259" s="1152">
        <f t="shared" si="73"/>
        <v>245</v>
      </c>
      <c r="B259" s="706">
        <v>39924</v>
      </c>
      <c r="C259" s="88" t="s">
        <v>1516</v>
      </c>
      <c r="D259" s="346"/>
      <c r="E259" s="429">
        <v>0</v>
      </c>
      <c r="F259" s="429">
        <f t="shared" si="88"/>
        <v>0</v>
      </c>
      <c r="G259" s="466">
        <f t="shared" ref="G259" si="91">$G$231</f>
        <v>0.1095</v>
      </c>
      <c r="H259" s="466">
        <f t="shared" ref="H259" si="92">$H$231</f>
        <v>0.51517972406888612</v>
      </c>
      <c r="I259" s="429">
        <f t="shared" si="89"/>
        <v>0</v>
      </c>
      <c r="K259" s="346"/>
      <c r="L259" s="466">
        <f t="shared" si="79"/>
        <v>0.1095</v>
      </c>
      <c r="M259" s="466">
        <f t="shared" si="80"/>
        <v>0.51517972406888612</v>
      </c>
      <c r="N259" s="429">
        <f t="shared" si="90"/>
        <v>0</v>
      </c>
      <c r="P259" s="660"/>
      <c r="R259" s="423"/>
      <c r="S259" s="423"/>
    </row>
    <row r="260" spans="1:19">
      <c r="A260" s="1152">
        <f t="shared" si="73"/>
        <v>246</v>
      </c>
      <c r="B260" s="706"/>
      <c r="C260" s="88" t="s">
        <v>1565</v>
      </c>
      <c r="D260" s="346"/>
      <c r="E260" s="380">
        <v>0</v>
      </c>
      <c r="F260" s="429">
        <f t="shared" si="74"/>
        <v>0</v>
      </c>
      <c r="G260" s="466">
        <f>$G$231</f>
        <v>0.1095</v>
      </c>
      <c r="H260" s="466">
        <f>$H$231</f>
        <v>0.51517972406888612</v>
      </c>
      <c r="I260" s="1042">
        <f t="shared" si="75"/>
        <v>0</v>
      </c>
      <c r="K260" s="346"/>
      <c r="L260" s="466">
        <f t="shared" si="76"/>
        <v>0.1095</v>
      </c>
      <c r="M260" s="466">
        <f t="shared" si="77"/>
        <v>0.51517972406888612</v>
      </c>
      <c r="N260" s="1042">
        <f t="shared" si="78"/>
        <v>0</v>
      </c>
      <c r="P260" s="660"/>
      <c r="R260" s="423"/>
      <c r="S260" s="423"/>
    </row>
    <row r="261" spans="1:19">
      <c r="A261" s="1152">
        <f t="shared" si="73"/>
        <v>247</v>
      </c>
      <c r="B261" s="81"/>
      <c r="C261" s="88"/>
      <c r="D261" s="1056"/>
      <c r="E261" s="618"/>
      <c r="F261" s="618"/>
    </row>
    <row r="262" spans="1:19" ht="15.75" thickBot="1">
      <c r="A262" s="1152">
        <f t="shared" si="73"/>
        <v>248</v>
      </c>
      <c r="B262" s="81"/>
      <c r="C262" s="233" t="s">
        <v>1323</v>
      </c>
      <c r="D262" s="467">
        <f>SUM(D231:D261)</f>
        <v>46829012.950000003</v>
      </c>
      <c r="E262" s="467">
        <f>SUM(E231:E261)</f>
        <v>0</v>
      </c>
      <c r="F262" s="467">
        <f>SUM(F231:F261)</f>
        <v>46829012.950000003</v>
      </c>
      <c r="I262" s="467">
        <f>SUM(I231:I261)</f>
        <v>2517798.957752191</v>
      </c>
      <c r="K262" s="467">
        <f>SUM(K231:K261)</f>
        <v>44593998.313846149</v>
      </c>
      <c r="N262" s="467">
        <f>SUM(N231:N261)</f>
        <v>2393301.2295275992</v>
      </c>
    </row>
    <row r="263" spans="1:19" ht="15.75" thickTop="1">
      <c r="A263" s="1152">
        <f t="shared" si="73"/>
        <v>249</v>
      </c>
    </row>
    <row r="264" spans="1:19" ht="30.75" thickBot="1">
      <c r="A264" s="1152">
        <f t="shared" si="73"/>
        <v>250</v>
      </c>
      <c r="C264" s="614" t="s">
        <v>1145</v>
      </c>
      <c r="D264" s="467">
        <f>D262+D226+D181+D120</f>
        <v>312801909.27999997</v>
      </c>
      <c r="E264" s="467">
        <f>E262+E226+E181+E120</f>
        <v>0</v>
      </c>
      <c r="F264" s="467">
        <f>F262+F226+F181+F120</f>
        <v>312801909.27999997</v>
      </c>
      <c r="I264" s="467">
        <f>I262+I226+I181+I120</f>
        <v>183543128.53202301</v>
      </c>
      <c r="K264" s="467">
        <f>K262+K226+K181+K120</f>
        <v>324338743.09346151</v>
      </c>
      <c r="N264" s="467">
        <f>N262+N226+N181+N120</f>
        <v>182513708.95212862</v>
      </c>
      <c r="P264" s="670"/>
    </row>
    <row r="265" spans="1:19" ht="15.75" thickTop="1"/>
  </sheetData>
  <mergeCells count="4">
    <mergeCell ref="A1:N1"/>
    <mergeCell ref="A2:N2"/>
    <mergeCell ref="A3:N3"/>
    <mergeCell ref="A4:N4"/>
  </mergeCells>
  <phoneticPr fontId="23" type="noConversion"/>
  <pageMargins left="0.75" right="0.75" top="1" bottom="0.94" header="0.5" footer="0.5"/>
  <pageSetup scale="54" orientation="landscape" r:id="rId1"/>
  <headerFooter alignWithMargins="0">
    <oddFooter>&amp;RSchedule &amp;A
Page &amp;P of &amp;N</oddFooter>
  </headerFooter>
  <rowBreaks count="6" manualBreakCount="6">
    <brk id="47" max="13" man="1"/>
    <brk id="86" max="13" man="1"/>
    <brk id="120" max="13" man="1"/>
    <brk id="153" max="13" man="1"/>
    <brk id="181" max="13" man="1"/>
    <brk id="227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267"/>
  <sheetViews>
    <sheetView view="pageBreakPreview" zoomScale="60" zoomScaleNormal="70" workbookViewId="0">
      <pane ySplit="12" topLeftCell="A13" activePane="bottomLeft" state="frozen"/>
      <selection activeCell="C29" sqref="C29"/>
      <selection pane="bottomLeft" activeCell="D41" sqref="D41"/>
    </sheetView>
  </sheetViews>
  <sheetFormatPr defaultRowHeight="15"/>
  <cols>
    <col min="1" max="1" width="5" style="80" customWidth="1"/>
    <col min="2" max="2" width="9.33203125" style="80" customWidth="1"/>
    <col min="3" max="3" width="33.88671875" style="80" customWidth="1"/>
    <col min="4" max="4" width="14.44140625" style="80" customWidth="1"/>
    <col min="5" max="5" width="10.33203125" style="80" customWidth="1"/>
    <col min="6" max="6" width="14.33203125" style="80" customWidth="1"/>
    <col min="7" max="7" width="12.6640625" style="853" bestFit="1" customWidth="1"/>
    <col min="8" max="8" width="13.5546875" style="853" customWidth="1"/>
    <col min="9" max="9" width="14.5546875" style="80" customWidth="1"/>
    <col min="10" max="10" width="3.21875" style="80" customWidth="1"/>
    <col min="11" max="11" width="13.88671875" style="80" customWidth="1"/>
    <col min="12" max="12" width="12.6640625" style="853" bestFit="1" customWidth="1"/>
    <col min="13" max="13" width="9.77734375" style="853" bestFit="1" customWidth="1"/>
    <col min="14" max="14" width="14.77734375" style="80" bestFit="1" customWidth="1"/>
    <col min="15" max="15" width="6.21875" style="80" customWidth="1"/>
    <col min="16" max="16" width="20.88671875" style="80" bestFit="1" customWidth="1"/>
    <col min="17" max="17" width="12" style="80" bestFit="1" customWidth="1"/>
    <col min="18" max="18" width="1.77734375" style="80" customWidth="1"/>
    <col min="19" max="19" width="7.77734375" style="80" customWidth="1"/>
    <col min="20" max="20" width="7.109375" style="80" bestFit="1" customWidth="1"/>
    <col min="21" max="16384" width="8.88671875" style="80"/>
  </cols>
  <sheetData>
    <row r="1" spans="1:19">
      <c r="A1" s="1193" t="str">
        <f>'Table of Contents'!A1:C1</f>
        <v>Atmos Energy Corporation, Kentucky/Mid-States Division</v>
      </c>
      <c r="B1" s="1193"/>
      <c r="C1" s="1193"/>
      <c r="D1" s="1193"/>
      <c r="E1" s="1193"/>
      <c r="F1" s="1193"/>
      <c r="G1" s="1193"/>
      <c r="H1" s="1193"/>
      <c r="I1" s="1193"/>
      <c r="J1" s="1193"/>
      <c r="K1" s="1193"/>
      <c r="L1" s="1193"/>
      <c r="M1" s="1193"/>
      <c r="N1" s="1193"/>
    </row>
    <row r="2" spans="1:19">
      <c r="A2" s="1193" t="str">
        <f>'Table of Contents'!A2:C2</f>
        <v>Kentucky Jurisdiction Case No. 2018-00281</v>
      </c>
      <c r="B2" s="1193"/>
      <c r="C2" s="1193"/>
      <c r="D2" s="1193"/>
      <c r="E2" s="1193"/>
      <c r="F2" s="1193"/>
      <c r="G2" s="1193"/>
      <c r="H2" s="1193"/>
      <c r="I2" s="1193"/>
      <c r="J2" s="1193"/>
      <c r="K2" s="1193"/>
      <c r="L2" s="1193"/>
      <c r="M2" s="1193"/>
      <c r="N2" s="1193"/>
    </row>
    <row r="3" spans="1:19">
      <c r="A3" s="1193" t="s">
        <v>1117</v>
      </c>
      <c r="B3" s="1193"/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3"/>
      <c r="N3" s="1193"/>
    </row>
    <row r="4" spans="1:19" ht="15.75">
      <c r="A4" s="1194" t="str">
        <f>'B.1 F '!A4</f>
        <v>as of March 31, 2020</v>
      </c>
      <c r="B4" s="1194"/>
      <c r="C4" s="1194"/>
      <c r="D4" s="1194"/>
      <c r="E4" s="1194"/>
      <c r="F4" s="1194"/>
      <c r="G4" s="1194"/>
      <c r="H4" s="1194"/>
      <c r="I4" s="1194"/>
      <c r="J4" s="1194"/>
      <c r="K4" s="1194"/>
      <c r="L4" s="1194"/>
      <c r="M4" s="1194"/>
      <c r="N4" s="1194"/>
    </row>
    <row r="5" spans="1:19" ht="15.75">
      <c r="A5" s="150"/>
      <c r="B5" s="150"/>
      <c r="C5" s="150"/>
      <c r="D5" s="731"/>
      <c r="E5" s="150"/>
      <c r="F5" s="150"/>
      <c r="G5" s="856"/>
      <c r="H5" s="856"/>
      <c r="I5" s="81"/>
      <c r="J5" s="81"/>
      <c r="K5" s="150"/>
      <c r="P5" s="901"/>
    </row>
    <row r="6" spans="1:19" ht="15.75">
      <c r="A6" s="88" t="str">
        <f>'B.1 F '!A6</f>
        <v>Data:______Base Period__X___Forecasted Period</v>
      </c>
      <c r="B6" s="81"/>
      <c r="C6" s="81"/>
      <c r="D6" s="81"/>
      <c r="E6" s="901"/>
      <c r="F6" s="81"/>
      <c r="G6" s="856"/>
      <c r="K6" s="81"/>
      <c r="N6" s="1053" t="s">
        <v>1416</v>
      </c>
    </row>
    <row r="7" spans="1:19">
      <c r="A7" s="88" t="str">
        <f>'B.1 F '!A7</f>
        <v>Type of Filing:___X____Original________Updated ________Revised</v>
      </c>
      <c r="B7" s="88"/>
      <c r="C7" s="81"/>
      <c r="D7" s="81"/>
      <c r="E7" s="81"/>
      <c r="F7" s="81"/>
      <c r="G7" s="856"/>
      <c r="I7" s="88"/>
      <c r="J7" s="1026"/>
      <c r="K7" s="81"/>
      <c r="N7" s="1026" t="s">
        <v>1011</v>
      </c>
    </row>
    <row r="8" spans="1:19">
      <c r="A8" s="1026" t="str">
        <f>'B.1 F '!A8</f>
        <v>Workpaper Reference No(s).</v>
      </c>
      <c r="B8" s="74"/>
      <c r="C8" s="74"/>
      <c r="D8" s="74"/>
      <c r="E8" s="74"/>
      <c r="F8" s="74"/>
      <c r="G8" s="76"/>
      <c r="H8" s="1025"/>
      <c r="I8" s="1026"/>
      <c r="J8" s="1026"/>
      <c r="K8" s="74"/>
      <c r="L8" s="1025"/>
      <c r="N8" s="1026" t="str">
        <f>'B.2 B'!N8</f>
        <v>Witness: Waller</v>
      </c>
    </row>
    <row r="9" spans="1:19">
      <c r="A9" s="1028"/>
      <c r="B9" s="826"/>
      <c r="C9" s="1049"/>
      <c r="D9" s="391"/>
      <c r="E9" s="826"/>
      <c r="F9" s="826"/>
      <c r="G9" s="888"/>
      <c r="H9" s="1029"/>
      <c r="I9" s="1030"/>
      <c r="J9" s="1026"/>
      <c r="K9" s="391"/>
      <c r="L9" s="890"/>
      <c r="M9" s="890"/>
      <c r="N9" s="1031"/>
    </row>
    <row r="10" spans="1:19">
      <c r="A10" s="1032"/>
      <c r="B10" s="74"/>
      <c r="C10" s="1050"/>
      <c r="D10" s="1034"/>
      <c r="E10" s="74"/>
      <c r="F10" s="74"/>
      <c r="G10" s="76" t="s">
        <v>13</v>
      </c>
      <c r="H10" s="75" t="s">
        <v>11</v>
      </c>
      <c r="I10" s="1033"/>
      <c r="J10" s="1026"/>
      <c r="K10" s="1034"/>
      <c r="L10" s="76" t="s">
        <v>13</v>
      </c>
      <c r="M10" s="75" t="s">
        <v>11</v>
      </c>
      <c r="N10" s="1033"/>
    </row>
    <row r="11" spans="1:19" ht="15.75">
      <c r="A11" s="1032" t="s">
        <v>93</v>
      </c>
      <c r="B11" s="75" t="s">
        <v>268</v>
      </c>
      <c r="C11" s="485" t="s">
        <v>216</v>
      </c>
      <c r="D11" s="1054" t="s">
        <v>1325</v>
      </c>
      <c r="E11" s="75"/>
      <c r="F11" s="75" t="s">
        <v>10</v>
      </c>
      <c r="G11" s="75" t="s">
        <v>14</v>
      </c>
      <c r="H11" s="75" t="s">
        <v>594</v>
      </c>
      <c r="I11" s="485" t="s">
        <v>12</v>
      </c>
      <c r="J11" s="75"/>
      <c r="K11" s="1035" t="s">
        <v>45</v>
      </c>
      <c r="L11" s="75" t="s">
        <v>14</v>
      </c>
      <c r="M11" s="75" t="s">
        <v>594</v>
      </c>
      <c r="N11" s="485" t="s">
        <v>12</v>
      </c>
    </row>
    <row r="12" spans="1:19" ht="15.75">
      <c r="A12" s="1036" t="s">
        <v>99</v>
      </c>
      <c r="B12" s="185" t="s">
        <v>99</v>
      </c>
      <c r="C12" s="1037" t="s">
        <v>296</v>
      </c>
      <c r="D12" s="1055" t="s">
        <v>105</v>
      </c>
      <c r="E12" s="185" t="s">
        <v>987</v>
      </c>
      <c r="F12" s="185" t="s">
        <v>105</v>
      </c>
      <c r="G12" s="185" t="s">
        <v>627</v>
      </c>
      <c r="H12" s="185" t="s">
        <v>627</v>
      </c>
      <c r="I12" s="1037" t="s">
        <v>104</v>
      </c>
      <c r="J12" s="75"/>
      <c r="K12" s="1055" t="s">
        <v>98</v>
      </c>
      <c r="L12" s="185" t="s">
        <v>627</v>
      </c>
      <c r="M12" s="185" t="s">
        <v>627</v>
      </c>
      <c r="N12" s="1037" t="s">
        <v>104</v>
      </c>
      <c r="P12" s="428"/>
      <c r="Q12" s="428"/>
    </row>
    <row r="13" spans="1:19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9" ht="15.75">
      <c r="B14" s="941" t="s">
        <v>6</v>
      </c>
      <c r="J14" s="806"/>
    </row>
    <row r="15" spans="1:19">
      <c r="A15" s="854">
        <v>1</v>
      </c>
      <c r="B15" s="81"/>
      <c r="C15" s="619" t="s">
        <v>297</v>
      </c>
    </row>
    <row r="16" spans="1:19">
      <c r="A16" s="854">
        <f>A15+1</f>
        <v>2</v>
      </c>
      <c r="B16" s="513">
        <v>30100</v>
      </c>
      <c r="C16" s="88" t="s">
        <v>291</v>
      </c>
      <c r="D16" s="346">
        <v>8329.7199999999993</v>
      </c>
      <c r="E16" s="360">
        <v>0</v>
      </c>
      <c r="F16" s="360">
        <f>D16-E16</f>
        <v>8329.7199999999993</v>
      </c>
      <c r="G16" s="465">
        <v>1</v>
      </c>
      <c r="H16" s="465">
        <f>$G$16</f>
        <v>1</v>
      </c>
      <c r="I16" s="360">
        <f>F16*G16*H16</f>
        <v>8329.7199999999993</v>
      </c>
      <c r="J16" s="915"/>
      <c r="K16" s="346">
        <v>8329.7199999999993</v>
      </c>
      <c r="L16" s="465">
        <f t="shared" ref="L16:M17" si="0">$G$16</f>
        <v>1</v>
      </c>
      <c r="M16" s="465">
        <f t="shared" si="0"/>
        <v>1</v>
      </c>
      <c r="N16" s="360">
        <f>K16*L16*M16</f>
        <v>8329.7199999999993</v>
      </c>
      <c r="S16" s="513"/>
    </row>
    <row r="17" spans="1:19">
      <c r="A17" s="854">
        <f t="shared" ref="A17:A83" si="1">A16+1</f>
        <v>3</v>
      </c>
      <c r="B17" s="513">
        <v>30200</v>
      </c>
      <c r="C17" s="88" t="s">
        <v>153</v>
      </c>
      <c r="D17" s="346">
        <v>119852.69</v>
      </c>
      <c r="E17" s="616">
        <v>0</v>
      </c>
      <c r="F17" s="616">
        <f t="shared" ref="F17:F78" si="2">D17-E17</f>
        <v>119852.69</v>
      </c>
      <c r="G17" s="465">
        <f>$G$16</f>
        <v>1</v>
      </c>
      <c r="H17" s="465">
        <f>$G$16</f>
        <v>1</v>
      </c>
      <c r="I17" s="616">
        <f>F17*G17*H17</f>
        <v>119852.69</v>
      </c>
      <c r="K17" s="346">
        <v>119852.68999999996</v>
      </c>
      <c r="L17" s="465">
        <f t="shared" si="0"/>
        <v>1</v>
      </c>
      <c r="M17" s="465">
        <f t="shared" si="0"/>
        <v>1</v>
      </c>
      <c r="N17" s="616">
        <f>K17*L17*M17</f>
        <v>119852.68999999996</v>
      </c>
      <c r="S17" s="513"/>
    </row>
    <row r="18" spans="1:19">
      <c r="A18" s="854">
        <f t="shared" si="1"/>
        <v>4</v>
      </c>
      <c r="B18" s="513"/>
      <c r="C18" s="88"/>
      <c r="D18" s="1060"/>
      <c r="E18" s="1060"/>
      <c r="F18" s="1060"/>
      <c r="G18" s="465"/>
      <c r="H18" s="465"/>
      <c r="I18" s="1060"/>
      <c r="K18" s="1060"/>
      <c r="N18" s="1060"/>
    </row>
    <row r="19" spans="1:19">
      <c r="A19" s="854">
        <f t="shared" si="1"/>
        <v>5</v>
      </c>
      <c r="B19" s="706"/>
      <c r="C19" s="88" t="s">
        <v>1383</v>
      </c>
      <c r="D19" s="360">
        <f>SUM(D16:D18)</f>
        <v>128182.41</v>
      </c>
      <c r="E19" s="360">
        <f>SUM(E16:E18)</f>
        <v>0</v>
      </c>
      <c r="F19" s="360">
        <f>SUM(F16:F18)</f>
        <v>128182.41</v>
      </c>
      <c r="G19" s="465"/>
      <c r="H19" s="465"/>
      <c r="I19" s="360">
        <f>SUM(I16:I18)</f>
        <v>128182.41</v>
      </c>
      <c r="K19" s="360">
        <f>SUM(K16:K18)</f>
        <v>128182.40999999996</v>
      </c>
      <c r="N19" s="360">
        <f>SUM(N16:N17)</f>
        <v>128182.40999999996</v>
      </c>
    </row>
    <row r="20" spans="1:19">
      <c r="A20" s="854">
        <f t="shared" si="1"/>
        <v>6</v>
      </c>
      <c r="B20" s="706"/>
      <c r="C20" s="81"/>
      <c r="D20" s="616"/>
      <c r="E20" s="616"/>
      <c r="F20" s="616"/>
      <c r="G20" s="465"/>
      <c r="H20" s="465"/>
      <c r="I20" s="616"/>
      <c r="K20" s="616"/>
      <c r="N20" s="616"/>
    </row>
    <row r="21" spans="1:19">
      <c r="A21" s="854">
        <f t="shared" si="1"/>
        <v>7</v>
      </c>
      <c r="B21" s="706"/>
      <c r="C21" s="619" t="s">
        <v>154</v>
      </c>
      <c r="D21" s="616"/>
      <c r="E21" s="616"/>
      <c r="F21" s="616"/>
      <c r="G21" s="465"/>
      <c r="H21" s="465"/>
      <c r="I21" s="616"/>
      <c r="K21" s="616"/>
      <c r="N21" s="616"/>
    </row>
    <row r="22" spans="1:19">
      <c r="A22" s="854">
        <f t="shared" si="1"/>
        <v>8</v>
      </c>
      <c r="B22" s="513">
        <v>32540</v>
      </c>
      <c r="C22" s="88" t="s">
        <v>161</v>
      </c>
      <c r="D22" s="346">
        <v>0</v>
      </c>
      <c r="E22" s="360">
        <v>0</v>
      </c>
      <c r="F22" s="360">
        <f t="shared" si="2"/>
        <v>0</v>
      </c>
      <c r="G22" s="465">
        <f t="shared" ref="G22:H24" si="3">$G$16</f>
        <v>1</v>
      </c>
      <c r="H22" s="465">
        <f t="shared" si="3"/>
        <v>1</v>
      </c>
      <c r="I22" s="360">
        <f t="shared" ref="I22:I24" si="4">F22*G22*H22</f>
        <v>0</v>
      </c>
      <c r="K22" s="346">
        <v>0</v>
      </c>
      <c r="L22" s="465">
        <f t="shared" ref="L22:M24" si="5">$G$16</f>
        <v>1</v>
      </c>
      <c r="M22" s="465">
        <f t="shared" si="5"/>
        <v>1</v>
      </c>
      <c r="N22" s="360">
        <f t="shared" ref="N22:N24" si="6">K22*L22*M22</f>
        <v>0</v>
      </c>
      <c r="S22" s="513"/>
    </row>
    <row r="23" spans="1:19">
      <c r="A23" s="854">
        <f t="shared" si="1"/>
        <v>9</v>
      </c>
      <c r="B23" s="513">
        <v>33202</v>
      </c>
      <c r="C23" s="88" t="s">
        <v>596</v>
      </c>
      <c r="D23" s="346">
        <v>0</v>
      </c>
      <c r="E23" s="616">
        <v>0</v>
      </c>
      <c r="F23" s="616">
        <f t="shared" si="2"/>
        <v>0</v>
      </c>
      <c r="G23" s="465">
        <f t="shared" si="3"/>
        <v>1</v>
      </c>
      <c r="H23" s="465">
        <f t="shared" si="3"/>
        <v>1</v>
      </c>
      <c r="I23" s="616">
        <f t="shared" si="4"/>
        <v>0</v>
      </c>
      <c r="K23" s="346">
        <v>0</v>
      </c>
      <c r="L23" s="465">
        <f t="shared" si="5"/>
        <v>1</v>
      </c>
      <c r="M23" s="465">
        <f t="shared" si="5"/>
        <v>1</v>
      </c>
      <c r="N23" s="616">
        <f t="shared" si="6"/>
        <v>0</v>
      </c>
      <c r="S23" s="513"/>
    </row>
    <row r="24" spans="1:19">
      <c r="A24" s="854">
        <f t="shared" si="1"/>
        <v>10</v>
      </c>
      <c r="B24" s="513">
        <v>33400</v>
      </c>
      <c r="C24" s="88" t="s">
        <v>1119</v>
      </c>
      <c r="D24" s="346">
        <v>0</v>
      </c>
      <c r="E24" s="616">
        <v>0</v>
      </c>
      <c r="F24" s="616">
        <f t="shared" si="2"/>
        <v>0</v>
      </c>
      <c r="G24" s="465">
        <f t="shared" si="3"/>
        <v>1</v>
      </c>
      <c r="H24" s="465">
        <f t="shared" si="3"/>
        <v>1</v>
      </c>
      <c r="I24" s="616">
        <f t="shared" si="4"/>
        <v>0</v>
      </c>
      <c r="K24" s="346">
        <v>0</v>
      </c>
      <c r="L24" s="465">
        <f t="shared" si="5"/>
        <v>1</v>
      </c>
      <c r="M24" s="465">
        <f t="shared" si="5"/>
        <v>1</v>
      </c>
      <c r="N24" s="616">
        <f t="shared" si="6"/>
        <v>0</v>
      </c>
      <c r="S24" s="513"/>
    </row>
    <row r="25" spans="1:19">
      <c r="A25" s="854">
        <f t="shared" si="1"/>
        <v>11</v>
      </c>
      <c r="B25" s="513"/>
      <c r="C25" s="81"/>
      <c r="D25" s="1060"/>
      <c r="E25" s="616"/>
      <c r="F25" s="616"/>
      <c r="G25" s="465"/>
      <c r="H25" s="465"/>
      <c r="I25" s="616"/>
      <c r="K25" s="1060"/>
      <c r="N25" s="616"/>
    </row>
    <row r="26" spans="1:19">
      <c r="A26" s="854">
        <f t="shared" si="1"/>
        <v>12</v>
      </c>
      <c r="B26" s="513"/>
      <c r="C26" s="81" t="s">
        <v>1382</v>
      </c>
      <c r="D26" s="360">
        <f>SUM(D22:D25)</f>
        <v>0</v>
      </c>
      <c r="E26" s="360">
        <f>SUM(E22:E25)</f>
        <v>0</v>
      </c>
      <c r="F26" s="360">
        <f>SUM(F22:F25)</f>
        <v>0</v>
      </c>
      <c r="G26" s="465"/>
      <c r="H26" s="465"/>
      <c r="I26" s="360">
        <f>SUM(I22:I25)</f>
        <v>0</v>
      </c>
      <c r="K26" s="360">
        <f>SUM(K22:K25)</f>
        <v>0</v>
      </c>
      <c r="N26" s="360">
        <f>SUM(N22:N25)</f>
        <v>0</v>
      </c>
    </row>
    <row r="27" spans="1:19">
      <c r="A27" s="854">
        <f t="shared" si="1"/>
        <v>13</v>
      </c>
      <c r="B27" s="513"/>
      <c r="C27" s="88"/>
      <c r="D27" s="616"/>
      <c r="E27" s="616"/>
      <c r="F27" s="616"/>
      <c r="G27" s="465"/>
      <c r="H27" s="465"/>
      <c r="I27" s="616"/>
      <c r="K27" s="616"/>
      <c r="N27" s="616"/>
    </row>
    <row r="28" spans="1:19">
      <c r="A28" s="854">
        <f t="shared" si="1"/>
        <v>14</v>
      </c>
      <c r="B28" s="513"/>
      <c r="C28" s="619" t="s">
        <v>279</v>
      </c>
      <c r="D28" s="616"/>
      <c r="E28" s="616"/>
      <c r="F28" s="616"/>
      <c r="G28" s="465"/>
      <c r="H28" s="465"/>
      <c r="I28" s="616"/>
      <c r="K28" s="616"/>
      <c r="N28" s="616"/>
    </row>
    <row r="29" spans="1:19">
      <c r="A29" s="854">
        <f t="shared" si="1"/>
        <v>15</v>
      </c>
      <c r="B29" s="513">
        <v>35010</v>
      </c>
      <c r="C29" s="88" t="s">
        <v>292</v>
      </c>
      <c r="D29" s="346">
        <v>0</v>
      </c>
      <c r="E29" s="360">
        <v>0</v>
      </c>
      <c r="F29" s="360">
        <f t="shared" si="2"/>
        <v>0</v>
      </c>
      <c r="G29" s="465">
        <f t="shared" ref="G29:H45" si="7">$G$16</f>
        <v>1</v>
      </c>
      <c r="H29" s="465">
        <f t="shared" si="7"/>
        <v>1</v>
      </c>
      <c r="I29" s="360">
        <f t="shared" ref="I29:I45" si="8">F29*G29*H29</f>
        <v>0</v>
      </c>
      <c r="K29" s="346">
        <v>0</v>
      </c>
      <c r="L29" s="465">
        <f t="shared" ref="L29:M45" si="9">$G$16</f>
        <v>1</v>
      </c>
      <c r="M29" s="465">
        <f t="shared" si="9"/>
        <v>1</v>
      </c>
      <c r="N29" s="360">
        <f t="shared" ref="N29:N45" si="10">K29*L29*M29</f>
        <v>0</v>
      </c>
      <c r="S29" s="513"/>
    </row>
    <row r="30" spans="1:19">
      <c r="A30" s="854">
        <f t="shared" si="1"/>
        <v>16</v>
      </c>
      <c r="B30" s="513">
        <v>35020</v>
      </c>
      <c r="C30" s="88" t="s">
        <v>792</v>
      </c>
      <c r="D30" s="346">
        <v>4464.3413884999964</v>
      </c>
      <c r="E30" s="616">
        <v>0</v>
      </c>
      <c r="F30" s="616">
        <f t="shared" si="2"/>
        <v>4464.3413884999964</v>
      </c>
      <c r="G30" s="465">
        <f t="shared" si="7"/>
        <v>1</v>
      </c>
      <c r="H30" s="465">
        <f t="shared" si="7"/>
        <v>1</v>
      </c>
      <c r="I30" s="616">
        <f t="shared" si="8"/>
        <v>4464.3413884999964</v>
      </c>
      <c r="K30" s="346">
        <v>4453.3396754999958</v>
      </c>
      <c r="L30" s="465">
        <f t="shared" si="9"/>
        <v>1</v>
      </c>
      <c r="M30" s="465">
        <f t="shared" si="9"/>
        <v>1</v>
      </c>
      <c r="N30" s="616">
        <f t="shared" si="10"/>
        <v>4453.3396754999958</v>
      </c>
      <c r="S30" s="513"/>
    </row>
    <row r="31" spans="1:19">
      <c r="A31" s="854">
        <f t="shared" si="1"/>
        <v>17</v>
      </c>
      <c r="B31" s="513">
        <v>35100</v>
      </c>
      <c r="C31" s="88" t="s">
        <v>969</v>
      </c>
      <c r="D31" s="346">
        <v>6437.2990337499987</v>
      </c>
      <c r="E31" s="616">
        <v>0</v>
      </c>
      <c r="F31" s="616">
        <f t="shared" si="2"/>
        <v>6437.2990337499987</v>
      </c>
      <c r="G31" s="465">
        <f t="shared" si="7"/>
        <v>1</v>
      </c>
      <c r="H31" s="465">
        <f t="shared" si="7"/>
        <v>1</v>
      </c>
      <c r="I31" s="616">
        <f t="shared" si="8"/>
        <v>6437.2990337499987</v>
      </c>
      <c r="K31" s="346">
        <v>6288.5946567499977</v>
      </c>
      <c r="L31" s="465">
        <f t="shared" si="9"/>
        <v>1</v>
      </c>
      <c r="M31" s="465">
        <f t="shared" si="9"/>
        <v>1</v>
      </c>
      <c r="N31" s="616">
        <f t="shared" si="10"/>
        <v>6288.5946567499977</v>
      </c>
      <c r="S31" s="513"/>
    </row>
    <row r="32" spans="1:19">
      <c r="A32" s="854">
        <f t="shared" si="1"/>
        <v>18</v>
      </c>
      <c r="B32" s="513">
        <v>35102</v>
      </c>
      <c r="C32" s="88" t="s">
        <v>280</v>
      </c>
      <c r="D32" s="346">
        <v>114702.34553499993</v>
      </c>
      <c r="E32" s="616">
        <v>0</v>
      </c>
      <c r="F32" s="616">
        <f t="shared" si="2"/>
        <v>114702.34553499993</v>
      </c>
      <c r="G32" s="465">
        <f t="shared" si="7"/>
        <v>1</v>
      </c>
      <c r="H32" s="465">
        <f t="shared" si="7"/>
        <v>1</v>
      </c>
      <c r="I32" s="616">
        <f t="shared" si="8"/>
        <v>114702.34553499993</v>
      </c>
      <c r="K32" s="346">
        <v>113744.46240999993</v>
      </c>
      <c r="L32" s="465">
        <f t="shared" si="9"/>
        <v>1</v>
      </c>
      <c r="M32" s="465">
        <f t="shared" si="9"/>
        <v>1</v>
      </c>
      <c r="N32" s="616">
        <f t="shared" si="10"/>
        <v>113744.46240999993</v>
      </c>
      <c r="S32" s="513"/>
    </row>
    <row r="33" spans="1:19">
      <c r="A33" s="854">
        <f t="shared" si="1"/>
        <v>19</v>
      </c>
      <c r="B33" s="513">
        <v>35103</v>
      </c>
      <c r="C33" s="88" t="s">
        <v>585</v>
      </c>
      <c r="D33" s="346">
        <v>20587.290241999999</v>
      </c>
      <c r="E33" s="616">
        <v>0</v>
      </c>
      <c r="F33" s="616">
        <f t="shared" si="2"/>
        <v>20587.290241999999</v>
      </c>
      <c r="G33" s="465">
        <f t="shared" si="7"/>
        <v>1</v>
      </c>
      <c r="H33" s="465">
        <f t="shared" si="7"/>
        <v>1</v>
      </c>
      <c r="I33" s="616">
        <f t="shared" si="8"/>
        <v>20587.290241999999</v>
      </c>
      <c r="K33" s="346">
        <v>20483.167531999999</v>
      </c>
      <c r="L33" s="465">
        <f t="shared" si="9"/>
        <v>1</v>
      </c>
      <c r="M33" s="465">
        <f t="shared" si="9"/>
        <v>1</v>
      </c>
      <c r="N33" s="616">
        <f t="shared" si="10"/>
        <v>20483.167531999999</v>
      </c>
      <c r="S33" s="513"/>
    </row>
    <row r="34" spans="1:19">
      <c r="A34" s="854">
        <f t="shared" si="1"/>
        <v>20</v>
      </c>
      <c r="B34" s="513">
        <v>35104</v>
      </c>
      <c r="C34" s="88" t="s">
        <v>586</v>
      </c>
      <c r="D34" s="346">
        <v>101030.41330449993</v>
      </c>
      <c r="E34" s="616">
        <v>0</v>
      </c>
      <c r="F34" s="616">
        <f t="shared" si="2"/>
        <v>101030.41330449993</v>
      </c>
      <c r="G34" s="465">
        <f t="shared" si="7"/>
        <v>1</v>
      </c>
      <c r="H34" s="465">
        <f t="shared" si="7"/>
        <v>1</v>
      </c>
      <c r="I34" s="616">
        <f t="shared" si="8"/>
        <v>101030.41330449993</v>
      </c>
      <c r="K34" s="346">
        <v>100143.90898599998</v>
      </c>
      <c r="L34" s="465">
        <f t="shared" si="9"/>
        <v>1</v>
      </c>
      <c r="M34" s="465">
        <f t="shared" si="9"/>
        <v>1</v>
      </c>
      <c r="N34" s="616">
        <f t="shared" si="10"/>
        <v>100143.90898599998</v>
      </c>
      <c r="S34" s="513"/>
    </row>
    <row r="35" spans="1:19">
      <c r="A35" s="854">
        <f t="shared" si="1"/>
        <v>21</v>
      </c>
      <c r="B35" s="513">
        <v>35200</v>
      </c>
      <c r="C35" s="88" t="s">
        <v>441</v>
      </c>
      <c r="D35" s="346">
        <v>1271386.6770448489</v>
      </c>
      <c r="E35" s="616">
        <v>0</v>
      </c>
      <c r="F35" s="616">
        <f t="shared" si="2"/>
        <v>1271386.6770448489</v>
      </c>
      <c r="G35" s="465">
        <f t="shared" si="7"/>
        <v>1</v>
      </c>
      <c r="H35" s="465">
        <f t="shared" si="7"/>
        <v>1</v>
      </c>
      <c r="I35" s="616">
        <f t="shared" si="8"/>
        <v>1271386.6770448489</v>
      </c>
      <c r="K35" s="346">
        <v>1190830.2556767168</v>
      </c>
      <c r="L35" s="465">
        <f t="shared" si="9"/>
        <v>1</v>
      </c>
      <c r="M35" s="465">
        <f t="shared" si="9"/>
        <v>1</v>
      </c>
      <c r="N35" s="616">
        <f t="shared" si="10"/>
        <v>1190830.2556767168</v>
      </c>
      <c r="S35" s="513"/>
    </row>
    <row r="36" spans="1:19">
      <c r="A36" s="854">
        <f t="shared" si="1"/>
        <v>22</v>
      </c>
      <c r="B36" s="513">
        <v>35201</v>
      </c>
      <c r="C36" s="88" t="s">
        <v>587</v>
      </c>
      <c r="D36" s="346">
        <v>1432430.5412734994</v>
      </c>
      <c r="E36" s="616">
        <v>0</v>
      </c>
      <c r="F36" s="616">
        <f t="shared" si="2"/>
        <v>1432430.5412734994</v>
      </c>
      <c r="G36" s="465">
        <f t="shared" si="7"/>
        <v>1</v>
      </c>
      <c r="H36" s="465">
        <f t="shared" si="7"/>
        <v>1</v>
      </c>
      <c r="I36" s="616">
        <f t="shared" si="8"/>
        <v>1432430.5412734994</v>
      </c>
      <c r="K36" s="346">
        <v>1419510.5523694998</v>
      </c>
      <c r="L36" s="465">
        <f t="shared" si="9"/>
        <v>1</v>
      </c>
      <c r="M36" s="465">
        <f t="shared" si="9"/>
        <v>1</v>
      </c>
      <c r="N36" s="616">
        <f t="shared" si="10"/>
        <v>1419510.5523694998</v>
      </c>
      <c r="S36" s="513"/>
    </row>
    <row r="37" spans="1:19">
      <c r="A37" s="854">
        <f t="shared" si="1"/>
        <v>23</v>
      </c>
      <c r="B37" s="513">
        <v>35202</v>
      </c>
      <c r="C37" s="88" t="s">
        <v>588</v>
      </c>
      <c r="D37" s="346">
        <v>450595.1100000001</v>
      </c>
      <c r="E37" s="616">
        <v>0</v>
      </c>
      <c r="F37" s="616">
        <f t="shared" si="2"/>
        <v>450595.1100000001</v>
      </c>
      <c r="G37" s="465">
        <f t="shared" si="7"/>
        <v>1</v>
      </c>
      <c r="H37" s="465">
        <f t="shared" si="7"/>
        <v>1</v>
      </c>
      <c r="I37" s="616">
        <f t="shared" si="8"/>
        <v>450595.1100000001</v>
      </c>
      <c r="K37" s="346">
        <v>450595.11000000028</v>
      </c>
      <c r="L37" s="465">
        <f t="shared" si="9"/>
        <v>1</v>
      </c>
      <c r="M37" s="465">
        <f t="shared" si="9"/>
        <v>1</v>
      </c>
      <c r="N37" s="616">
        <f t="shared" si="10"/>
        <v>450595.11000000028</v>
      </c>
      <c r="S37" s="513"/>
    </row>
    <row r="38" spans="1:19">
      <c r="A38" s="854">
        <f t="shared" si="1"/>
        <v>24</v>
      </c>
      <c r="B38" s="513">
        <v>35203</v>
      </c>
      <c r="C38" s="88" t="s">
        <v>343</v>
      </c>
      <c r="D38" s="346">
        <v>770288.21980800095</v>
      </c>
      <c r="E38" s="616">
        <v>0</v>
      </c>
      <c r="F38" s="616">
        <f t="shared" si="2"/>
        <v>770288.21980800095</v>
      </c>
      <c r="G38" s="465">
        <f t="shared" si="7"/>
        <v>1</v>
      </c>
      <c r="H38" s="465">
        <f t="shared" si="7"/>
        <v>1</v>
      </c>
      <c r="I38" s="616">
        <f t="shared" si="8"/>
        <v>770288.21980800095</v>
      </c>
      <c r="K38" s="346">
        <v>758593.87238400069</v>
      </c>
      <c r="L38" s="465">
        <f t="shared" si="9"/>
        <v>1</v>
      </c>
      <c r="M38" s="465">
        <f t="shared" si="9"/>
        <v>1</v>
      </c>
      <c r="N38" s="616">
        <f t="shared" si="10"/>
        <v>758593.87238400069</v>
      </c>
      <c r="S38" s="513"/>
    </row>
    <row r="39" spans="1:19">
      <c r="A39" s="854">
        <f t="shared" si="1"/>
        <v>25</v>
      </c>
      <c r="B39" s="513">
        <v>35210</v>
      </c>
      <c r="C39" s="88" t="s">
        <v>589</v>
      </c>
      <c r="D39" s="346">
        <v>168338.42476525021</v>
      </c>
      <c r="E39" s="616">
        <v>0</v>
      </c>
      <c r="F39" s="616">
        <f t="shared" si="2"/>
        <v>168338.42476525021</v>
      </c>
      <c r="G39" s="465">
        <f t="shared" si="7"/>
        <v>1</v>
      </c>
      <c r="H39" s="465">
        <f t="shared" si="7"/>
        <v>1</v>
      </c>
      <c r="I39" s="616">
        <f t="shared" si="8"/>
        <v>168338.42476525021</v>
      </c>
      <c r="K39" s="346">
        <v>168061.70312575015</v>
      </c>
      <c r="L39" s="465">
        <f t="shared" si="9"/>
        <v>1</v>
      </c>
      <c r="M39" s="465">
        <f t="shared" si="9"/>
        <v>1</v>
      </c>
      <c r="N39" s="616">
        <f t="shared" si="10"/>
        <v>168061.70312575015</v>
      </c>
      <c r="S39" s="513"/>
    </row>
    <row r="40" spans="1:19">
      <c r="A40" s="854">
        <f t="shared" si="1"/>
        <v>26</v>
      </c>
      <c r="B40" s="513">
        <v>35211</v>
      </c>
      <c r="C40" s="88" t="s">
        <v>590</v>
      </c>
      <c r="D40" s="346">
        <v>44195.919758000018</v>
      </c>
      <c r="E40" s="616">
        <v>0</v>
      </c>
      <c r="F40" s="616">
        <f t="shared" si="2"/>
        <v>44195.919758000018</v>
      </c>
      <c r="G40" s="465">
        <f t="shared" si="7"/>
        <v>1</v>
      </c>
      <c r="H40" s="465">
        <f t="shared" si="7"/>
        <v>1</v>
      </c>
      <c r="I40" s="616">
        <f t="shared" si="8"/>
        <v>44195.919758000018</v>
      </c>
      <c r="K40" s="346">
        <v>43955.616970000025</v>
      </c>
      <c r="L40" s="465">
        <f t="shared" si="9"/>
        <v>1</v>
      </c>
      <c r="M40" s="465">
        <f t="shared" si="9"/>
        <v>1</v>
      </c>
      <c r="N40" s="616">
        <f t="shared" si="10"/>
        <v>43955.616970000025</v>
      </c>
      <c r="S40" s="513"/>
    </row>
    <row r="41" spans="1:19">
      <c r="A41" s="854">
        <f t="shared" si="1"/>
        <v>27</v>
      </c>
      <c r="B41" s="513">
        <v>35301</v>
      </c>
      <c r="C41" s="81" t="s">
        <v>162</v>
      </c>
      <c r="D41" s="346">
        <v>-87598.39813524994</v>
      </c>
      <c r="E41" s="616">
        <v>0</v>
      </c>
      <c r="F41" s="616">
        <f t="shared" si="2"/>
        <v>-87598.39813524994</v>
      </c>
      <c r="G41" s="465">
        <f t="shared" si="7"/>
        <v>1</v>
      </c>
      <c r="H41" s="465">
        <f t="shared" si="7"/>
        <v>1</v>
      </c>
      <c r="I41" s="616">
        <f t="shared" si="8"/>
        <v>-87598.39813524994</v>
      </c>
      <c r="K41" s="346">
        <v>-88396.242318749981</v>
      </c>
      <c r="L41" s="465">
        <f t="shared" si="9"/>
        <v>1</v>
      </c>
      <c r="M41" s="465">
        <f t="shared" si="9"/>
        <v>1</v>
      </c>
      <c r="N41" s="616">
        <f t="shared" si="10"/>
        <v>-88396.242318749981</v>
      </c>
      <c r="S41" s="513"/>
    </row>
    <row r="42" spans="1:19">
      <c r="A42" s="854">
        <f t="shared" si="1"/>
        <v>28</v>
      </c>
      <c r="B42" s="513">
        <v>35302</v>
      </c>
      <c r="C42" s="88" t="s">
        <v>596</v>
      </c>
      <c r="D42" s="346">
        <v>190129.10430750003</v>
      </c>
      <c r="E42" s="616">
        <v>0</v>
      </c>
      <c r="F42" s="616">
        <f t="shared" si="2"/>
        <v>190129.10430750003</v>
      </c>
      <c r="G42" s="465">
        <f t="shared" si="7"/>
        <v>1</v>
      </c>
      <c r="H42" s="465">
        <f t="shared" si="7"/>
        <v>1</v>
      </c>
      <c r="I42" s="616">
        <f t="shared" si="8"/>
        <v>190129.10430750003</v>
      </c>
      <c r="K42" s="346">
        <v>189176.70331249997</v>
      </c>
      <c r="L42" s="465">
        <f t="shared" si="9"/>
        <v>1</v>
      </c>
      <c r="M42" s="465">
        <f t="shared" si="9"/>
        <v>1</v>
      </c>
      <c r="N42" s="616">
        <f t="shared" si="10"/>
        <v>189176.70331249997</v>
      </c>
      <c r="S42" s="513"/>
    </row>
    <row r="43" spans="1:19">
      <c r="A43" s="854">
        <f t="shared" si="1"/>
        <v>29</v>
      </c>
      <c r="B43" s="513">
        <v>35400</v>
      </c>
      <c r="C43" s="88" t="s">
        <v>591</v>
      </c>
      <c r="D43" s="346">
        <v>505701.9845249994</v>
      </c>
      <c r="E43" s="616">
        <v>0</v>
      </c>
      <c r="F43" s="616">
        <f t="shared" si="2"/>
        <v>505701.9845249994</v>
      </c>
      <c r="G43" s="465">
        <f t="shared" si="7"/>
        <v>1</v>
      </c>
      <c r="H43" s="465">
        <f t="shared" si="7"/>
        <v>1</v>
      </c>
      <c r="I43" s="616">
        <f t="shared" si="8"/>
        <v>505701.9845249994</v>
      </c>
      <c r="K43" s="346">
        <v>497852.69309999957</v>
      </c>
      <c r="L43" s="465">
        <f t="shared" si="9"/>
        <v>1</v>
      </c>
      <c r="M43" s="465">
        <f t="shared" si="9"/>
        <v>1</v>
      </c>
      <c r="N43" s="616">
        <f t="shared" si="10"/>
        <v>497852.69309999957</v>
      </c>
      <c r="S43" s="513"/>
    </row>
    <row r="44" spans="1:19">
      <c r="A44" s="854">
        <f t="shared" si="1"/>
        <v>30</v>
      </c>
      <c r="B44" s="513">
        <v>35500</v>
      </c>
      <c r="C44" s="88" t="s">
        <v>992</v>
      </c>
      <c r="D44" s="346">
        <v>204823.80689950022</v>
      </c>
      <c r="E44" s="616">
        <v>0</v>
      </c>
      <c r="F44" s="616">
        <f t="shared" si="2"/>
        <v>204823.80689950022</v>
      </c>
      <c r="G44" s="465">
        <f t="shared" si="7"/>
        <v>1</v>
      </c>
      <c r="H44" s="465">
        <f t="shared" si="7"/>
        <v>1</v>
      </c>
      <c r="I44" s="616">
        <f t="shared" si="8"/>
        <v>204823.80689950022</v>
      </c>
      <c r="K44" s="346">
        <v>202543.55232650012</v>
      </c>
      <c r="L44" s="465">
        <f t="shared" si="9"/>
        <v>1</v>
      </c>
      <c r="M44" s="465">
        <f t="shared" si="9"/>
        <v>1</v>
      </c>
      <c r="N44" s="616">
        <f t="shared" si="10"/>
        <v>202543.55232650012</v>
      </c>
      <c r="S44" s="513"/>
    </row>
    <row r="45" spans="1:19">
      <c r="A45" s="854">
        <f t="shared" si="1"/>
        <v>31</v>
      </c>
      <c r="B45" s="513">
        <v>35600</v>
      </c>
      <c r="C45" s="88" t="s">
        <v>1040</v>
      </c>
      <c r="D45" s="346">
        <v>195902.65685374997</v>
      </c>
      <c r="E45" s="1045">
        <v>0</v>
      </c>
      <c r="F45" s="1045">
        <f t="shared" si="2"/>
        <v>195902.65685374997</v>
      </c>
      <c r="G45" s="465">
        <f t="shared" si="7"/>
        <v>1</v>
      </c>
      <c r="H45" s="465">
        <f t="shared" si="7"/>
        <v>1</v>
      </c>
      <c r="I45" s="1045">
        <f t="shared" si="8"/>
        <v>195902.65685374997</v>
      </c>
      <c r="K45" s="346">
        <v>191797.48869874998</v>
      </c>
      <c r="L45" s="465">
        <f t="shared" si="9"/>
        <v>1</v>
      </c>
      <c r="M45" s="465">
        <f t="shared" si="9"/>
        <v>1</v>
      </c>
      <c r="N45" s="1045">
        <f t="shared" si="10"/>
        <v>191797.48869874998</v>
      </c>
      <c r="S45" s="513"/>
    </row>
    <row r="46" spans="1:19">
      <c r="A46" s="854">
        <f t="shared" si="1"/>
        <v>32</v>
      </c>
      <c r="B46" s="513"/>
      <c r="C46" s="88"/>
      <c r="D46" s="1060"/>
      <c r="E46" s="616"/>
      <c r="F46" s="616"/>
      <c r="G46" s="465"/>
      <c r="H46" s="465"/>
      <c r="I46" s="616"/>
      <c r="K46" s="1060"/>
      <c r="N46" s="616"/>
    </row>
    <row r="47" spans="1:19">
      <c r="A47" s="854">
        <f t="shared" si="1"/>
        <v>33</v>
      </c>
      <c r="B47" s="513"/>
      <c r="C47" s="88" t="s">
        <v>1381</v>
      </c>
      <c r="D47" s="360">
        <f>SUM(D29:D46)</f>
        <v>5393415.7366038505</v>
      </c>
      <c r="E47" s="360">
        <f>SUM(E29:E46)</f>
        <v>0</v>
      </c>
      <c r="F47" s="360">
        <f>SUM(F29:F46)</f>
        <v>5393415.7366038505</v>
      </c>
      <c r="G47" s="465"/>
      <c r="H47" s="465"/>
      <c r="I47" s="360">
        <f>SUM(I29:I46)</f>
        <v>5393415.7366038505</v>
      </c>
      <c r="K47" s="360">
        <f>SUM(K29:K46)</f>
        <v>5269634.7789052175</v>
      </c>
      <c r="N47" s="360">
        <f>SUM(N29:N46)</f>
        <v>5269634.7789052175</v>
      </c>
    </row>
    <row r="48" spans="1:19">
      <c r="A48" s="854">
        <f t="shared" si="1"/>
        <v>34</v>
      </c>
      <c r="B48" s="513"/>
      <c r="C48" s="88"/>
      <c r="D48" s="616"/>
      <c r="E48" s="616"/>
      <c r="F48" s="616"/>
      <c r="G48" s="465"/>
      <c r="H48" s="465"/>
      <c r="I48" s="616"/>
      <c r="K48" s="616"/>
      <c r="N48" s="616"/>
    </row>
    <row r="49" spans="1:19">
      <c r="A49" s="854">
        <f t="shared" si="1"/>
        <v>35</v>
      </c>
      <c r="B49" s="513"/>
      <c r="C49" s="619" t="s">
        <v>993</v>
      </c>
      <c r="D49" s="616"/>
      <c r="E49" s="616"/>
      <c r="F49" s="616"/>
      <c r="G49" s="465"/>
      <c r="H49" s="465"/>
      <c r="I49" s="616"/>
      <c r="K49" s="616"/>
      <c r="N49" s="616"/>
    </row>
    <row r="50" spans="1:19">
      <c r="A50" s="854">
        <f t="shared" si="1"/>
        <v>36</v>
      </c>
      <c r="B50" s="513">
        <v>36510</v>
      </c>
      <c r="C50" s="88" t="s">
        <v>292</v>
      </c>
      <c r="D50" s="346">
        <v>0</v>
      </c>
      <c r="E50" s="360">
        <v>0</v>
      </c>
      <c r="F50" s="360">
        <f t="shared" si="2"/>
        <v>0</v>
      </c>
      <c r="G50" s="465">
        <f t="shared" ref="G50:H58" si="11">$G$16</f>
        <v>1</v>
      </c>
      <c r="H50" s="465">
        <f t="shared" si="11"/>
        <v>1</v>
      </c>
      <c r="I50" s="360">
        <f t="shared" ref="I50:I58" si="12">F50*G50*H50</f>
        <v>0</v>
      </c>
      <c r="K50" s="346">
        <v>0</v>
      </c>
      <c r="L50" s="465">
        <f t="shared" ref="L50:M58" si="13">$G$16</f>
        <v>1</v>
      </c>
      <c r="M50" s="465">
        <f t="shared" si="13"/>
        <v>1</v>
      </c>
      <c r="N50" s="360">
        <f t="shared" ref="N50:N58" si="14">K50*L50*M50</f>
        <v>0</v>
      </c>
      <c r="S50" s="513"/>
    </row>
    <row r="51" spans="1:19">
      <c r="A51" s="854">
        <f t="shared" si="1"/>
        <v>37</v>
      </c>
      <c r="B51" s="513">
        <v>36520</v>
      </c>
      <c r="C51" s="88" t="s">
        <v>792</v>
      </c>
      <c r="D51" s="346">
        <v>432651.37170000013</v>
      </c>
      <c r="E51" s="616">
        <v>0</v>
      </c>
      <c r="F51" s="616">
        <f t="shared" si="2"/>
        <v>432651.37170000013</v>
      </c>
      <c r="G51" s="465">
        <f t="shared" si="11"/>
        <v>1</v>
      </c>
      <c r="H51" s="465">
        <f t="shared" si="11"/>
        <v>1</v>
      </c>
      <c r="I51" s="616">
        <f t="shared" si="12"/>
        <v>432651.37170000013</v>
      </c>
      <c r="K51" s="346">
        <v>428095.56870000006</v>
      </c>
      <c r="L51" s="465">
        <f t="shared" si="13"/>
        <v>1</v>
      </c>
      <c r="M51" s="465">
        <f t="shared" si="13"/>
        <v>1</v>
      </c>
      <c r="N51" s="616">
        <f t="shared" si="14"/>
        <v>428095.56870000006</v>
      </c>
      <c r="S51" s="513"/>
    </row>
    <row r="52" spans="1:19">
      <c r="A52" s="854">
        <f t="shared" si="1"/>
        <v>38</v>
      </c>
      <c r="B52" s="513">
        <v>36602</v>
      </c>
      <c r="C52" s="88" t="s">
        <v>856</v>
      </c>
      <c r="D52" s="346">
        <v>17141.224289999998</v>
      </c>
      <c r="E52" s="616">
        <v>0</v>
      </c>
      <c r="F52" s="616">
        <f t="shared" si="2"/>
        <v>17141.224289999998</v>
      </c>
      <c r="G52" s="465">
        <f t="shared" si="11"/>
        <v>1</v>
      </c>
      <c r="H52" s="465">
        <f t="shared" si="11"/>
        <v>1</v>
      </c>
      <c r="I52" s="616">
        <f t="shared" si="12"/>
        <v>17141.224289999998</v>
      </c>
      <c r="K52" s="346">
        <v>16837.413626000001</v>
      </c>
      <c r="L52" s="465">
        <f t="shared" si="13"/>
        <v>1</v>
      </c>
      <c r="M52" s="465">
        <f t="shared" si="13"/>
        <v>1</v>
      </c>
      <c r="N52" s="616">
        <f t="shared" si="14"/>
        <v>16837.413626000001</v>
      </c>
      <c r="S52" s="513"/>
    </row>
    <row r="53" spans="1:19">
      <c r="A53" s="854">
        <f t="shared" si="1"/>
        <v>39</v>
      </c>
      <c r="B53" s="513">
        <v>36603</v>
      </c>
      <c r="C53" s="88" t="s">
        <v>994</v>
      </c>
      <c r="D53" s="346">
        <v>53443.026967500045</v>
      </c>
      <c r="E53" s="616">
        <v>0</v>
      </c>
      <c r="F53" s="616">
        <f t="shared" si="2"/>
        <v>53443.026967500045</v>
      </c>
      <c r="G53" s="465">
        <f t="shared" si="11"/>
        <v>1</v>
      </c>
      <c r="H53" s="465">
        <f t="shared" si="11"/>
        <v>1</v>
      </c>
      <c r="I53" s="616">
        <f t="shared" si="12"/>
        <v>53443.026967500045</v>
      </c>
      <c r="K53" s="346">
        <v>53065.903969500032</v>
      </c>
      <c r="L53" s="465">
        <f t="shared" si="13"/>
        <v>1</v>
      </c>
      <c r="M53" s="465">
        <f t="shared" si="13"/>
        <v>1</v>
      </c>
      <c r="N53" s="616">
        <f t="shared" si="14"/>
        <v>53065.903969500032</v>
      </c>
      <c r="S53" s="513"/>
    </row>
    <row r="54" spans="1:19">
      <c r="A54" s="854">
        <f t="shared" si="1"/>
        <v>40</v>
      </c>
      <c r="B54" s="513">
        <v>36700</v>
      </c>
      <c r="C54" s="88" t="s">
        <v>844</v>
      </c>
      <c r="D54" s="346">
        <v>100997.53991200004</v>
      </c>
      <c r="E54" s="616">
        <v>0</v>
      </c>
      <c r="F54" s="616">
        <f t="shared" si="2"/>
        <v>100997.53991200004</v>
      </c>
      <c r="G54" s="465">
        <f t="shared" si="11"/>
        <v>1</v>
      </c>
      <c r="H54" s="465">
        <f t="shared" si="11"/>
        <v>1</v>
      </c>
      <c r="I54" s="616">
        <f t="shared" si="12"/>
        <v>100997.53991200004</v>
      </c>
      <c r="K54" s="346">
        <v>98316.496456000023</v>
      </c>
      <c r="L54" s="465">
        <f t="shared" si="13"/>
        <v>1</v>
      </c>
      <c r="M54" s="465">
        <f t="shared" si="13"/>
        <v>1</v>
      </c>
      <c r="N54" s="616">
        <f t="shared" si="14"/>
        <v>98316.496456000023</v>
      </c>
      <c r="S54" s="513"/>
    </row>
    <row r="55" spans="1:19">
      <c r="A55" s="854">
        <f t="shared" si="1"/>
        <v>41</v>
      </c>
      <c r="B55" s="513">
        <v>36701</v>
      </c>
      <c r="C55" s="88" t="s">
        <v>16</v>
      </c>
      <c r="D55" s="346">
        <v>15791012.503279416</v>
      </c>
      <c r="E55" s="616">
        <v>0</v>
      </c>
      <c r="F55" s="616">
        <f t="shared" si="2"/>
        <v>15791012.503279416</v>
      </c>
      <c r="G55" s="465">
        <f t="shared" si="11"/>
        <v>1</v>
      </c>
      <c r="H55" s="465">
        <f t="shared" si="11"/>
        <v>1</v>
      </c>
      <c r="I55" s="616">
        <f t="shared" si="12"/>
        <v>15791012.503279416</v>
      </c>
      <c r="K55" s="346">
        <v>16387960.757693825</v>
      </c>
      <c r="L55" s="465">
        <f t="shared" si="13"/>
        <v>1</v>
      </c>
      <c r="M55" s="465">
        <f t="shared" si="13"/>
        <v>1</v>
      </c>
      <c r="N55" s="616">
        <f t="shared" si="14"/>
        <v>16387960.757693825</v>
      </c>
      <c r="S55" s="513"/>
    </row>
    <row r="56" spans="1:19">
      <c r="A56" s="1152">
        <f t="shared" si="1"/>
        <v>42</v>
      </c>
      <c r="B56" s="513">
        <v>36703</v>
      </c>
      <c r="C56" s="88" t="s">
        <v>1640</v>
      </c>
      <c r="D56" s="346">
        <v>0</v>
      </c>
      <c r="E56" s="616">
        <v>0</v>
      </c>
      <c r="F56" s="616">
        <f t="shared" ref="F56" si="15">D56-E56</f>
        <v>0</v>
      </c>
      <c r="G56" s="465">
        <f t="shared" si="11"/>
        <v>1</v>
      </c>
      <c r="H56" s="465">
        <f t="shared" si="11"/>
        <v>1</v>
      </c>
      <c r="I56" s="616">
        <f t="shared" ref="I56" si="16">F56*G56*H56</f>
        <v>0</v>
      </c>
      <c r="K56" s="346">
        <v>0</v>
      </c>
      <c r="L56" s="465">
        <f t="shared" si="13"/>
        <v>1</v>
      </c>
      <c r="M56" s="465">
        <f t="shared" si="13"/>
        <v>1</v>
      </c>
      <c r="N56" s="616">
        <f t="shared" ref="N56" si="17">K56*L56*M56</f>
        <v>0</v>
      </c>
      <c r="S56" s="513"/>
    </row>
    <row r="57" spans="1:19">
      <c r="A57" s="1152">
        <f t="shared" si="1"/>
        <v>43</v>
      </c>
      <c r="B57" s="513">
        <v>36900</v>
      </c>
      <c r="C57" s="88" t="s">
        <v>995</v>
      </c>
      <c r="D57" s="346">
        <v>359101.46582800004</v>
      </c>
      <c r="E57" s="616">
        <v>0</v>
      </c>
      <c r="F57" s="616">
        <f t="shared" si="2"/>
        <v>359101.46582800004</v>
      </c>
      <c r="G57" s="465">
        <f t="shared" si="11"/>
        <v>1</v>
      </c>
      <c r="H57" s="465">
        <f t="shared" si="11"/>
        <v>1</v>
      </c>
      <c r="I57" s="616">
        <f t="shared" si="12"/>
        <v>359101.46582800004</v>
      </c>
      <c r="K57" s="346">
        <v>353469.1727</v>
      </c>
      <c r="L57" s="465">
        <f t="shared" si="13"/>
        <v>1</v>
      </c>
      <c r="M57" s="465">
        <f t="shared" si="13"/>
        <v>1</v>
      </c>
      <c r="N57" s="616">
        <f t="shared" si="14"/>
        <v>353469.1727</v>
      </c>
      <c r="S57" s="513"/>
    </row>
    <row r="58" spans="1:19">
      <c r="A58" s="1152">
        <f t="shared" si="1"/>
        <v>44</v>
      </c>
      <c r="B58" s="513">
        <v>36901</v>
      </c>
      <c r="C58" s="88" t="s">
        <v>995</v>
      </c>
      <c r="D58" s="346">
        <v>1791726.5133694992</v>
      </c>
      <c r="E58" s="1045">
        <v>0</v>
      </c>
      <c r="F58" s="1045">
        <f t="shared" si="2"/>
        <v>1791726.5133694992</v>
      </c>
      <c r="G58" s="465">
        <f t="shared" si="11"/>
        <v>1</v>
      </c>
      <c r="H58" s="465">
        <f t="shared" si="11"/>
        <v>1</v>
      </c>
      <c r="I58" s="1045">
        <f t="shared" si="12"/>
        <v>1791726.5133694992</v>
      </c>
      <c r="K58" s="346">
        <v>1774250.932862499</v>
      </c>
      <c r="L58" s="465">
        <f t="shared" si="13"/>
        <v>1</v>
      </c>
      <c r="M58" s="465">
        <f t="shared" si="13"/>
        <v>1</v>
      </c>
      <c r="N58" s="1045">
        <f t="shared" si="14"/>
        <v>1774250.932862499</v>
      </c>
      <c r="S58" s="513"/>
    </row>
    <row r="59" spans="1:19">
      <c r="A59" s="1152">
        <f t="shared" si="1"/>
        <v>45</v>
      </c>
      <c r="B59" s="513"/>
      <c r="C59" s="88"/>
      <c r="D59" s="1060"/>
      <c r="E59" s="616"/>
      <c r="F59" s="616"/>
      <c r="G59" s="465"/>
      <c r="H59" s="465"/>
      <c r="I59" s="616"/>
      <c r="K59" s="1060"/>
      <c r="N59" s="616"/>
    </row>
    <row r="60" spans="1:19">
      <c r="A60" s="1152">
        <f t="shared" si="1"/>
        <v>46</v>
      </c>
      <c r="B60" s="706"/>
      <c r="C60" s="88" t="s">
        <v>1380</v>
      </c>
      <c r="D60" s="360">
        <f>SUM(D50:D59)</f>
        <v>18546073.645346414</v>
      </c>
      <c r="E60" s="360">
        <f>SUM(E50:E59)</f>
        <v>0</v>
      </c>
      <c r="F60" s="360">
        <f>SUM(F50:F59)</f>
        <v>18546073.645346414</v>
      </c>
      <c r="G60" s="465"/>
      <c r="H60" s="465"/>
      <c r="I60" s="360">
        <f>SUM(I50:I59)</f>
        <v>18546073.645346414</v>
      </c>
      <c r="K60" s="360">
        <f>SUM(K50:K59)</f>
        <v>19111996.246007822</v>
      </c>
      <c r="N60" s="360">
        <f>SUM(N50:N59)</f>
        <v>19111996.246007822</v>
      </c>
    </row>
    <row r="61" spans="1:19">
      <c r="A61" s="1152">
        <f t="shared" si="1"/>
        <v>47</v>
      </c>
      <c r="B61" s="706"/>
      <c r="C61" s="81"/>
      <c r="D61" s="616"/>
      <c r="E61" s="616"/>
      <c r="F61" s="616"/>
      <c r="G61" s="465"/>
      <c r="H61" s="465"/>
      <c r="I61" s="616"/>
      <c r="K61" s="616"/>
      <c r="N61" s="616"/>
    </row>
    <row r="62" spans="1:19">
      <c r="A62" s="1152">
        <f t="shared" si="1"/>
        <v>48</v>
      </c>
      <c r="B62" s="706"/>
      <c r="C62" s="619" t="s">
        <v>299</v>
      </c>
      <c r="D62" s="616"/>
      <c r="E62" s="616"/>
      <c r="F62" s="616"/>
      <c r="G62" s="465"/>
      <c r="H62" s="465"/>
      <c r="I62" s="616"/>
      <c r="K62" s="616"/>
      <c r="N62" s="616"/>
    </row>
    <row r="63" spans="1:19">
      <c r="A63" s="1152">
        <f t="shared" si="1"/>
        <v>49</v>
      </c>
      <c r="B63" s="513">
        <v>37400</v>
      </c>
      <c r="C63" s="88" t="s">
        <v>1147</v>
      </c>
      <c r="D63" s="346">
        <v>0</v>
      </c>
      <c r="E63" s="360">
        <v>0</v>
      </c>
      <c r="F63" s="360">
        <f t="shared" si="2"/>
        <v>0</v>
      </c>
      <c r="G63" s="465">
        <f t="shared" ref="G63:H84" si="18">$G$16</f>
        <v>1</v>
      </c>
      <c r="H63" s="465">
        <f t="shared" si="18"/>
        <v>1</v>
      </c>
      <c r="I63" s="360">
        <f t="shared" ref="I63:I84" si="19">F63*G63*H63</f>
        <v>0</v>
      </c>
      <c r="K63" s="346">
        <v>0</v>
      </c>
      <c r="L63" s="465">
        <f t="shared" ref="L63:M84" si="20">$G$16</f>
        <v>1</v>
      </c>
      <c r="M63" s="465">
        <f t="shared" si="20"/>
        <v>1</v>
      </c>
      <c r="N63" s="360">
        <f t="shared" ref="N63:N84" si="21">K63*L63*M63</f>
        <v>0</v>
      </c>
      <c r="S63" s="513"/>
    </row>
    <row r="64" spans="1:19">
      <c r="A64" s="1152">
        <f t="shared" si="1"/>
        <v>50</v>
      </c>
      <c r="B64" s="513">
        <v>37401</v>
      </c>
      <c r="C64" s="88" t="s">
        <v>292</v>
      </c>
      <c r="D64" s="346">
        <v>0</v>
      </c>
      <c r="E64" s="616">
        <v>0</v>
      </c>
      <c r="F64" s="616">
        <f t="shared" si="2"/>
        <v>0</v>
      </c>
      <c r="G64" s="465">
        <f t="shared" si="18"/>
        <v>1</v>
      </c>
      <c r="H64" s="465">
        <f t="shared" si="18"/>
        <v>1</v>
      </c>
      <c r="I64" s="616">
        <f t="shared" si="19"/>
        <v>0</v>
      </c>
      <c r="K64" s="346">
        <v>0</v>
      </c>
      <c r="L64" s="465">
        <f t="shared" si="20"/>
        <v>1</v>
      </c>
      <c r="M64" s="465">
        <f t="shared" si="20"/>
        <v>1</v>
      </c>
      <c r="N64" s="616">
        <f t="shared" si="21"/>
        <v>0</v>
      </c>
      <c r="S64" s="513"/>
    </row>
    <row r="65" spans="1:19">
      <c r="A65" s="1152">
        <f t="shared" si="1"/>
        <v>51</v>
      </c>
      <c r="B65" s="513">
        <v>37402</v>
      </c>
      <c r="C65" s="88" t="s">
        <v>999</v>
      </c>
      <c r="D65" s="346">
        <v>260968.69500991717</v>
      </c>
      <c r="E65" s="616">
        <v>0</v>
      </c>
      <c r="F65" s="616">
        <f t="shared" si="2"/>
        <v>260968.69500991717</v>
      </c>
      <c r="G65" s="465">
        <f t="shared" si="18"/>
        <v>1</v>
      </c>
      <c r="H65" s="465">
        <f t="shared" si="18"/>
        <v>1</v>
      </c>
      <c r="I65" s="616">
        <f t="shared" si="19"/>
        <v>260968.69500991717</v>
      </c>
      <c r="K65" s="346">
        <v>235363.38811508886</v>
      </c>
      <c r="L65" s="465">
        <f t="shared" si="20"/>
        <v>1</v>
      </c>
      <c r="M65" s="465">
        <f t="shared" si="20"/>
        <v>1</v>
      </c>
      <c r="N65" s="616">
        <f t="shared" si="21"/>
        <v>235363.38811508886</v>
      </c>
      <c r="S65" s="513"/>
    </row>
    <row r="66" spans="1:19">
      <c r="A66" s="1152">
        <f t="shared" si="1"/>
        <v>52</v>
      </c>
      <c r="B66" s="513">
        <v>37403</v>
      </c>
      <c r="C66" s="88" t="s">
        <v>996</v>
      </c>
      <c r="D66" s="346">
        <v>0</v>
      </c>
      <c r="E66" s="616">
        <v>0</v>
      </c>
      <c r="F66" s="616">
        <f t="shared" si="2"/>
        <v>0</v>
      </c>
      <c r="G66" s="465">
        <f t="shared" si="18"/>
        <v>1</v>
      </c>
      <c r="H66" s="465">
        <f t="shared" si="18"/>
        <v>1</v>
      </c>
      <c r="I66" s="616">
        <f t="shared" si="19"/>
        <v>0</v>
      </c>
      <c r="K66" s="346">
        <v>0</v>
      </c>
      <c r="L66" s="465">
        <f t="shared" si="20"/>
        <v>1</v>
      </c>
      <c r="M66" s="465">
        <f t="shared" si="20"/>
        <v>1</v>
      </c>
      <c r="N66" s="616">
        <f t="shared" si="21"/>
        <v>0</v>
      </c>
      <c r="S66" s="513"/>
    </row>
    <row r="67" spans="1:19">
      <c r="A67" s="1152">
        <f t="shared" si="1"/>
        <v>53</v>
      </c>
      <c r="B67" s="513">
        <v>37500</v>
      </c>
      <c r="C67" s="88" t="s">
        <v>856</v>
      </c>
      <c r="D67" s="346">
        <v>116703.84745899994</v>
      </c>
      <c r="E67" s="616">
        <v>0</v>
      </c>
      <c r="F67" s="616">
        <f t="shared" si="2"/>
        <v>116703.84745899994</v>
      </c>
      <c r="G67" s="465">
        <f t="shared" si="18"/>
        <v>1</v>
      </c>
      <c r="H67" s="465">
        <f t="shared" si="18"/>
        <v>1</v>
      </c>
      <c r="I67" s="616">
        <f t="shared" si="19"/>
        <v>116703.84745899994</v>
      </c>
      <c r="K67" s="346">
        <v>113695.14797599992</v>
      </c>
      <c r="L67" s="465">
        <f t="shared" si="20"/>
        <v>1</v>
      </c>
      <c r="M67" s="465">
        <f t="shared" si="20"/>
        <v>1</v>
      </c>
      <c r="N67" s="616">
        <f t="shared" si="21"/>
        <v>113695.14797599992</v>
      </c>
      <c r="S67" s="513"/>
    </row>
    <row r="68" spans="1:19">
      <c r="A68" s="1152">
        <f t="shared" si="1"/>
        <v>54</v>
      </c>
      <c r="B68" s="513">
        <v>37501</v>
      </c>
      <c r="C68" s="88" t="s">
        <v>997</v>
      </c>
      <c r="D68" s="346">
        <v>72342.274635500027</v>
      </c>
      <c r="E68" s="616">
        <v>0</v>
      </c>
      <c r="F68" s="616">
        <f t="shared" si="2"/>
        <v>72342.274635500027</v>
      </c>
      <c r="G68" s="465">
        <f t="shared" si="18"/>
        <v>1</v>
      </c>
      <c r="H68" s="465">
        <f t="shared" si="18"/>
        <v>1</v>
      </c>
      <c r="I68" s="616">
        <f t="shared" si="19"/>
        <v>72342.274635500027</v>
      </c>
      <c r="K68" s="346">
        <v>71448.902372000055</v>
      </c>
      <c r="L68" s="465">
        <f t="shared" si="20"/>
        <v>1</v>
      </c>
      <c r="M68" s="465">
        <f t="shared" si="20"/>
        <v>1</v>
      </c>
      <c r="N68" s="616">
        <f t="shared" si="21"/>
        <v>71448.902372000055</v>
      </c>
      <c r="S68" s="513"/>
    </row>
    <row r="69" spans="1:19">
      <c r="A69" s="1152">
        <f t="shared" si="1"/>
        <v>55</v>
      </c>
      <c r="B69" s="513">
        <v>37502</v>
      </c>
      <c r="C69" s="88" t="s">
        <v>999</v>
      </c>
      <c r="D69" s="346">
        <v>35813.420736499997</v>
      </c>
      <c r="E69" s="616">
        <v>0</v>
      </c>
      <c r="F69" s="616">
        <f t="shared" si="2"/>
        <v>35813.420736499997</v>
      </c>
      <c r="G69" s="465">
        <f t="shared" si="18"/>
        <v>1</v>
      </c>
      <c r="H69" s="465">
        <f t="shared" si="18"/>
        <v>1</v>
      </c>
      <c r="I69" s="616">
        <f t="shared" si="19"/>
        <v>35813.420736499997</v>
      </c>
      <c r="K69" s="346">
        <v>35399.356236000007</v>
      </c>
      <c r="L69" s="465">
        <f t="shared" si="20"/>
        <v>1</v>
      </c>
      <c r="M69" s="465">
        <f t="shared" si="20"/>
        <v>1</v>
      </c>
      <c r="N69" s="616">
        <f t="shared" si="21"/>
        <v>35399.356236000007</v>
      </c>
      <c r="S69" s="513"/>
    </row>
    <row r="70" spans="1:19">
      <c r="A70" s="1152">
        <f t="shared" si="1"/>
        <v>56</v>
      </c>
      <c r="B70" s="513">
        <v>37503</v>
      </c>
      <c r="C70" s="88" t="s">
        <v>998</v>
      </c>
      <c r="D70" s="346">
        <v>1955.9994180000001</v>
      </c>
      <c r="E70" s="616">
        <v>0</v>
      </c>
      <c r="F70" s="616">
        <f t="shared" si="2"/>
        <v>1955.9994180000001</v>
      </c>
      <c r="G70" s="465">
        <f t="shared" si="18"/>
        <v>1</v>
      </c>
      <c r="H70" s="465">
        <f t="shared" si="18"/>
        <v>1</v>
      </c>
      <c r="I70" s="616">
        <f t="shared" si="19"/>
        <v>1955.9994180000001</v>
      </c>
      <c r="K70" s="346">
        <v>1920.1539519999994</v>
      </c>
      <c r="L70" s="465">
        <f t="shared" si="20"/>
        <v>1</v>
      </c>
      <c r="M70" s="465">
        <f t="shared" si="20"/>
        <v>1</v>
      </c>
      <c r="N70" s="616">
        <f t="shared" si="21"/>
        <v>1920.1539519999994</v>
      </c>
      <c r="S70" s="513"/>
    </row>
    <row r="71" spans="1:19">
      <c r="A71" s="1152">
        <f t="shared" si="1"/>
        <v>57</v>
      </c>
      <c r="B71" s="513">
        <v>37600</v>
      </c>
      <c r="C71" s="88" t="s">
        <v>844</v>
      </c>
      <c r="D71" s="346">
        <v>13342999.826230597</v>
      </c>
      <c r="E71" s="616">
        <v>0</v>
      </c>
      <c r="F71" s="616">
        <f t="shared" si="2"/>
        <v>13342999.826230597</v>
      </c>
      <c r="G71" s="465">
        <f t="shared" si="18"/>
        <v>1</v>
      </c>
      <c r="H71" s="465">
        <f t="shared" si="18"/>
        <v>1</v>
      </c>
      <c r="I71" s="616">
        <f t="shared" si="19"/>
        <v>13342999.826230597</v>
      </c>
      <c r="K71" s="346">
        <v>13210658.113094032</v>
      </c>
      <c r="L71" s="465">
        <f t="shared" si="20"/>
        <v>1</v>
      </c>
      <c r="M71" s="465">
        <f t="shared" si="20"/>
        <v>1</v>
      </c>
      <c r="N71" s="616">
        <f t="shared" si="21"/>
        <v>13210658.113094032</v>
      </c>
      <c r="S71" s="513"/>
    </row>
    <row r="72" spans="1:19">
      <c r="A72" s="1152">
        <f t="shared" si="1"/>
        <v>58</v>
      </c>
      <c r="B72" s="513">
        <v>37601</v>
      </c>
      <c r="C72" s="88" t="s">
        <v>16</v>
      </c>
      <c r="D72" s="346">
        <v>35444734.47147797</v>
      </c>
      <c r="E72" s="616">
        <v>0</v>
      </c>
      <c r="F72" s="616">
        <f t="shared" si="2"/>
        <v>35444734.47147797</v>
      </c>
      <c r="G72" s="465">
        <f t="shared" si="18"/>
        <v>1</v>
      </c>
      <c r="H72" s="465">
        <f t="shared" si="18"/>
        <v>1</v>
      </c>
      <c r="I72" s="616">
        <f t="shared" si="19"/>
        <v>35444734.47147797</v>
      </c>
      <c r="K72" s="346">
        <v>33671111.596427456</v>
      </c>
      <c r="L72" s="465">
        <f t="shared" si="20"/>
        <v>1</v>
      </c>
      <c r="M72" s="465">
        <f t="shared" si="20"/>
        <v>1</v>
      </c>
      <c r="N72" s="616">
        <f t="shared" si="21"/>
        <v>33671111.596427456</v>
      </c>
      <c r="S72" s="513"/>
    </row>
    <row r="73" spans="1:19">
      <c r="A73" s="1152">
        <f t="shared" si="1"/>
        <v>59</v>
      </c>
      <c r="B73" s="513">
        <v>37602</v>
      </c>
      <c r="C73" s="88" t="s">
        <v>845</v>
      </c>
      <c r="D73" s="346">
        <v>20622436.839361835</v>
      </c>
      <c r="E73" s="616">
        <v>0</v>
      </c>
      <c r="F73" s="616">
        <f t="shared" si="2"/>
        <v>20622436.839361835</v>
      </c>
      <c r="G73" s="465">
        <f t="shared" si="18"/>
        <v>1</v>
      </c>
      <c r="H73" s="465">
        <f t="shared" si="18"/>
        <v>1</v>
      </c>
      <c r="I73" s="616">
        <f t="shared" si="19"/>
        <v>20622436.839361835</v>
      </c>
      <c r="K73" s="346">
        <v>19028671.146681938</v>
      </c>
      <c r="L73" s="465">
        <f t="shared" si="20"/>
        <v>1</v>
      </c>
      <c r="M73" s="465">
        <f t="shared" si="20"/>
        <v>1</v>
      </c>
      <c r="N73" s="616">
        <f t="shared" si="21"/>
        <v>19028671.146681938</v>
      </c>
      <c r="S73" s="513"/>
    </row>
    <row r="74" spans="1:19">
      <c r="A74" s="1152">
        <f t="shared" si="1"/>
        <v>60</v>
      </c>
      <c r="B74" s="513">
        <v>37603</v>
      </c>
      <c r="C74" s="88" t="s">
        <v>1640</v>
      </c>
      <c r="D74" s="346">
        <v>0</v>
      </c>
      <c r="E74" s="616">
        <v>0</v>
      </c>
      <c r="F74" s="616">
        <f t="shared" ref="F74:F75" si="22">D74-E74</f>
        <v>0</v>
      </c>
      <c r="G74" s="465">
        <f t="shared" si="18"/>
        <v>1</v>
      </c>
      <c r="H74" s="465">
        <f t="shared" si="18"/>
        <v>1</v>
      </c>
      <c r="I74" s="616">
        <f t="shared" ref="I74:I75" si="23">F74*G74*H74</f>
        <v>0</v>
      </c>
      <c r="K74" s="346">
        <v>0</v>
      </c>
      <c r="L74" s="465">
        <f t="shared" si="20"/>
        <v>1</v>
      </c>
      <c r="M74" s="465">
        <f t="shared" si="20"/>
        <v>1</v>
      </c>
      <c r="N74" s="616">
        <f t="shared" ref="N74:N75" si="24">K74*L74*M74</f>
        <v>0</v>
      </c>
      <c r="S74" s="513"/>
    </row>
    <row r="75" spans="1:19">
      <c r="A75" s="1152">
        <f t="shared" si="1"/>
        <v>61</v>
      </c>
      <c r="B75" s="513">
        <v>37604</v>
      </c>
      <c r="C75" s="88" t="s">
        <v>1641</v>
      </c>
      <c r="D75" s="346">
        <v>0</v>
      </c>
      <c r="E75" s="616">
        <v>0</v>
      </c>
      <c r="F75" s="616">
        <f t="shared" si="22"/>
        <v>0</v>
      </c>
      <c r="G75" s="465">
        <f t="shared" si="18"/>
        <v>1</v>
      </c>
      <c r="H75" s="465">
        <f t="shared" si="18"/>
        <v>1</v>
      </c>
      <c r="I75" s="616">
        <f t="shared" si="23"/>
        <v>0</v>
      </c>
      <c r="K75" s="346">
        <v>0</v>
      </c>
      <c r="L75" s="465">
        <f t="shared" si="20"/>
        <v>1</v>
      </c>
      <c r="M75" s="465">
        <f t="shared" si="20"/>
        <v>1</v>
      </c>
      <c r="N75" s="616">
        <f t="shared" si="24"/>
        <v>0</v>
      </c>
      <c r="S75" s="513"/>
    </row>
    <row r="76" spans="1:19">
      <c r="A76" s="1152">
        <f t="shared" si="1"/>
        <v>62</v>
      </c>
      <c r="B76" s="513">
        <v>37800</v>
      </c>
      <c r="C76" s="88" t="s">
        <v>229</v>
      </c>
      <c r="D76" s="346">
        <v>3376893.4904548689</v>
      </c>
      <c r="E76" s="616">
        <v>0</v>
      </c>
      <c r="F76" s="616">
        <f t="shared" si="2"/>
        <v>3376893.4904548689</v>
      </c>
      <c r="G76" s="465">
        <f t="shared" si="18"/>
        <v>1</v>
      </c>
      <c r="H76" s="465">
        <f t="shared" si="18"/>
        <v>1</v>
      </c>
      <c r="I76" s="616">
        <f t="shared" si="19"/>
        <v>3376893.4904548689</v>
      </c>
      <c r="K76" s="346">
        <v>2894798.8048856384</v>
      </c>
      <c r="L76" s="465">
        <f t="shared" si="20"/>
        <v>1</v>
      </c>
      <c r="M76" s="465">
        <f t="shared" si="20"/>
        <v>1</v>
      </c>
      <c r="N76" s="616">
        <f t="shared" si="21"/>
        <v>2894798.8048856384</v>
      </c>
      <c r="S76" s="513"/>
    </row>
    <row r="77" spans="1:19">
      <c r="A77" s="1152">
        <f t="shared" si="1"/>
        <v>63</v>
      </c>
      <c r="B77" s="513">
        <v>37900</v>
      </c>
      <c r="C77" s="88" t="s">
        <v>1190</v>
      </c>
      <c r="D77" s="346">
        <v>1036623.4201069215</v>
      </c>
      <c r="E77" s="616">
        <v>0</v>
      </c>
      <c r="F77" s="616">
        <f t="shared" si="2"/>
        <v>1036623.4201069215</v>
      </c>
      <c r="G77" s="465">
        <f t="shared" si="18"/>
        <v>1</v>
      </c>
      <c r="H77" s="465">
        <f t="shared" si="18"/>
        <v>1</v>
      </c>
      <c r="I77" s="616">
        <f t="shared" si="19"/>
        <v>1036623.4201069215</v>
      </c>
      <c r="K77" s="346">
        <v>984408.909178845</v>
      </c>
      <c r="L77" s="465">
        <f t="shared" si="20"/>
        <v>1</v>
      </c>
      <c r="M77" s="465">
        <f t="shared" si="20"/>
        <v>1</v>
      </c>
      <c r="N77" s="616">
        <f t="shared" si="21"/>
        <v>984408.909178845</v>
      </c>
      <c r="S77" s="513"/>
    </row>
    <row r="78" spans="1:19">
      <c r="A78" s="1152">
        <f t="shared" si="1"/>
        <v>64</v>
      </c>
      <c r="B78" s="513">
        <v>37905</v>
      </c>
      <c r="C78" s="88" t="s">
        <v>725</v>
      </c>
      <c r="D78" s="346">
        <v>1061490.4423650003</v>
      </c>
      <c r="E78" s="616">
        <v>0</v>
      </c>
      <c r="F78" s="616">
        <f t="shared" si="2"/>
        <v>1061490.4423650003</v>
      </c>
      <c r="G78" s="465">
        <f t="shared" si="18"/>
        <v>1</v>
      </c>
      <c r="H78" s="465">
        <f t="shared" si="18"/>
        <v>1</v>
      </c>
      <c r="I78" s="616">
        <f t="shared" si="19"/>
        <v>1061490.4423650003</v>
      </c>
      <c r="K78" s="346">
        <v>1038110.9840240001</v>
      </c>
      <c r="L78" s="465">
        <f t="shared" si="20"/>
        <v>1</v>
      </c>
      <c r="M78" s="465">
        <f t="shared" si="20"/>
        <v>1</v>
      </c>
      <c r="N78" s="616">
        <f t="shared" si="21"/>
        <v>1038110.9840240001</v>
      </c>
      <c r="S78" s="513"/>
    </row>
    <row r="79" spans="1:19">
      <c r="A79" s="1152">
        <f t="shared" si="1"/>
        <v>65</v>
      </c>
      <c r="B79" s="513">
        <v>38000</v>
      </c>
      <c r="C79" s="88" t="s">
        <v>1052</v>
      </c>
      <c r="D79" s="346">
        <v>28726409.964131471</v>
      </c>
      <c r="E79" s="616">
        <v>0</v>
      </c>
      <c r="F79" s="616">
        <f t="shared" ref="F79:F113" si="25">D79-E79</f>
        <v>28726409.964131471</v>
      </c>
      <c r="G79" s="465">
        <f t="shared" si="18"/>
        <v>1</v>
      </c>
      <c r="H79" s="465">
        <f t="shared" si="18"/>
        <v>1</v>
      </c>
      <c r="I79" s="616">
        <f t="shared" si="19"/>
        <v>28726409.964131471</v>
      </c>
      <c r="K79" s="346">
        <v>30562138.525764562</v>
      </c>
      <c r="L79" s="465">
        <f t="shared" si="20"/>
        <v>1</v>
      </c>
      <c r="M79" s="465">
        <f t="shared" si="20"/>
        <v>1</v>
      </c>
      <c r="N79" s="616">
        <f t="shared" si="21"/>
        <v>30562138.525764562</v>
      </c>
      <c r="S79" s="513"/>
    </row>
    <row r="80" spans="1:19">
      <c r="A80" s="1152">
        <f t="shared" si="1"/>
        <v>66</v>
      </c>
      <c r="B80" s="513">
        <v>38100</v>
      </c>
      <c r="C80" s="88" t="s">
        <v>846</v>
      </c>
      <c r="D80" s="346">
        <v>22606421.99712925</v>
      </c>
      <c r="E80" s="616">
        <v>0</v>
      </c>
      <c r="F80" s="616">
        <f t="shared" si="25"/>
        <v>22606421.99712925</v>
      </c>
      <c r="G80" s="465">
        <f t="shared" si="18"/>
        <v>1</v>
      </c>
      <c r="H80" s="465">
        <f t="shared" si="18"/>
        <v>1</v>
      </c>
      <c r="I80" s="616">
        <f t="shared" si="19"/>
        <v>22606421.99712925</v>
      </c>
      <c r="K80" s="346">
        <v>21386354.010763943</v>
      </c>
      <c r="L80" s="465">
        <f t="shared" si="20"/>
        <v>1</v>
      </c>
      <c r="M80" s="465">
        <f t="shared" si="20"/>
        <v>1</v>
      </c>
      <c r="N80" s="616">
        <f t="shared" si="21"/>
        <v>21386354.010763943</v>
      </c>
      <c r="S80" s="513"/>
    </row>
    <row r="81" spans="1:19">
      <c r="A81" s="1152">
        <f t="shared" si="1"/>
        <v>67</v>
      </c>
      <c r="B81" s="513">
        <v>38200</v>
      </c>
      <c r="C81" s="88" t="s">
        <v>442</v>
      </c>
      <c r="D81" s="346">
        <v>27709400.944249243</v>
      </c>
      <c r="E81" s="616">
        <v>0</v>
      </c>
      <c r="F81" s="616">
        <f t="shared" si="25"/>
        <v>27709400.944249243</v>
      </c>
      <c r="G81" s="465">
        <f t="shared" si="18"/>
        <v>1</v>
      </c>
      <c r="H81" s="465">
        <f t="shared" si="18"/>
        <v>1</v>
      </c>
      <c r="I81" s="616">
        <f t="shared" si="19"/>
        <v>27709400.944249243</v>
      </c>
      <c r="K81" s="346">
        <v>26987899.228218969</v>
      </c>
      <c r="L81" s="465">
        <f t="shared" si="20"/>
        <v>1</v>
      </c>
      <c r="M81" s="465">
        <f t="shared" si="20"/>
        <v>1</v>
      </c>
      <c r="N81" s="616">
        <f t="shared" si="21"/>
        <v>26987899.228218969</v>
      </c>
      <c r="S81" s="513"/>
    </row>
    <row r="82" spans="1:19">
      <c r="A82" s="1152">
        <f t="shared" si="1"/>
        <v>68</v>
      </c>
      <c r="B82" s="513">
        <v>38300</v>
      </c>
      <c r="C82" s="88" t="s">
        <v>1053</v>
      </c>
      <c r="D82" s="346">
        <v>4582201.6143310769</v>
      </c>
      <c r="E82" s="616">
        <v>0</v>
      </c>
      <c r="F82" s="616">
        <f t="shared" si="25"/>
        <v>4582201.6143310769</v>
      </c>
      <c r="G82" s="465">
        <f t="shared" si="18"/>
        <v>1</v>
      </c>
      <c r="H82" s="465">
        <f t="shared" si="18"/>
        <v>1</v>
      </c>
      <c r="I82" s="616">
        <f t="shared" si="19"/>
        <v>4582201.6143310769</v>
      </c>
      <c r="K82" s="346">
        <v>4321264.836593736</v>
      </c>
      <c r="L82" s="465">
        <f t="shared" si="20"/>
        <v>1</v>
      </c>
      <c r="M82" s="465">
        <f t="shared" si="20"/>
        <v>1</v>
      </c>
      <c r="N82" s="616">
        <f t="shared" si="21"/>
        <v>4321264.836593736</v>
      </c>
      <c r="S82" s="513"/>
    </row>
    <row r="83" spans="1:19">
      <c r="A83" s="1152">
        <f t="shared" si="1"/>
        <v>69</v>
      </c>
      <c r="B83" s="513">
        <v>38400</v>
      </c>
      <c r="C83" s="88" t="s">
        <v>443</v>
      </c>
      <c r="D83" s="346">
        <v>98890.564136935558</v>
      </c>
      <c r="E83" s="616">
        <v>0</v>
      </c>
      <c r="F83" s="616">
        <f t="shared" si="25"/>
        <v>98890.564136935558</v>
      </c>
      <c r="G83" s="465">
        <f t="shared" si="18"/>
        <v>1</v>
      </c>
      <c r="H83" s="465">
        <f t="shared" si="18"/>
        <v>1</v>
      </c>
      <c r="I83" s="616">
        <f t="shared" si="19"/>
        <v>98890.564136935558</v>
      </c>
      <c r="K83" s="346">
        <v>94403.319453106975</v>
      </c>
      <c r="L83" s="465">
        <f t="shared" si="20"/>
        <v>1</v>
      </c>
      <c r="M83" s="465">
        <f t="shared" si="20"/>
        <v>1</v>
      </c>
      <c r="N83" s="616">
        <f t="shared" si="21"/>
        <v>94403.319453106975</v>
      </c>
      <c r="S83" s="513"/>
    </row>
    <row r="84" spans="1:19">
      <c r="A84" s="1152">
        <f t="shared" ref="A84:A114" si="26">A83+1</f>
        <v>70</v>
      </c>
      <c r="B84" s="513">
        <v>38500</v>
      </c>
      <c r="C84" s="88" t="s">
        <v>444</v>
      </c>
      <c r="D84" s="346">
        <v>3014910.0417680154</v>
      </c>
      <c r="E84" s="616">
        <v>0</v>
      </c>
      <c r="F84" s="616">
        <f t="shared" si="25"/>
        <v>3014910.0417680154</v>
      </c>
      <c r="G84" s="465">
        <f t="shared" si="18"/>
        <v>1</v>
      </c>
      <c r="H84" s="465">
        <f t="shared" si="18"/>
        <v>1</v>
      </c>
      <c r="I84" s="616">
        <f t="shared" si="19"/>
        <v>3014910.0417680154</v>
      </c>
      <c r="K84" s="346">
        <v>2958740.7152310316</v>
      </c>
      <c r="L84" s="465">
        <f t="shared" si="20"/>
        <v>1</v>
      </c>
      <c r="M84" s="465">
        <f t="shared" si="20"/>
        <v>1</v>
      </c>
      <c r="N84" s="616">
        <f t="shared" si="21"/>
        <v>2958740.7152310316</v>
      </c>
      <c r="S84" s="513"/>
    </row>
    <row r="85" spans="1:19">
      <c r="A85" s="1152">
        <f t="shared" si="26"/>
        <v>71</v>
      </c>
      <c r="B85" s="513"/>
      <c r="C85" s="88"/>
      <c r="D85" s="1060"/>
      <c r="E85" s="1060"/>
      <c r="F85" s="1060"/>
      <c r="G85" s="465"/>
      <c r="H85" s="465"/>
      <c r="I85" s="1060"/>
      <c r="K85" s="1060"/>
      <c r="N85" s="1060"/>
    </row>
    <row r="86" spans="1:19">
      <c r="A86" s="1152">
        <f t="shared" si="26"/>
        <v>72</v>
      </c>
      <c r="B86" s="513"/>
      <c r="C86" s="88" t="s">
        <v>1379</v>
      </c>
      <c r="D86" s="360">
        <f>SUM(D63:D85)</f>
        <v>162111197.85300207</v>
      </c>
      <c r="E86" s="360">
        <f>SUM(E63:E85)</f>
        <v>0</v>
      </c>
      <c r="F86" s="360">
        <f>SUM(F63:F85)</f>
        <v>162111197.85300207</v>
      </c>
      <c r="G86" s="465"/>
      <c r="H86" s="465"/>
      <c r="I86" s="360">
        <f>SUM(I63:I85)</f>
        <v>162111197.85300207</v>
      </c>
      <c r="K86" s="360">
        <f>SUM(K63:K85)</f>
        <v>157596387.13896838</v>
      </c>
      <c r="N86" s="360">
        <f>SUM(N63:N85)</f>
        <v>157596387.13896838</v>
      </c>
    </row>
    <row r="87" spans="1:19">
      <c r="A87" s="1152">
        <f t="shared" si="26"/>
        <v>73</v>
      </c>
      <c r="B87" s="513"/>
      <c r="C87" s="88"/>
      <c r="D87" s="616"/>
      <c r="E87" s="616"/>
      <c r="F87" s="616"/>
      <c r="G87" s="465"/>
      <c r="H87" s="465"/>
      <c r="I87" s="616"/>
      <c r="K87" s="616"/>
      <c r="N87" s="616"/>
    </row>
    <row r="88" spans="1:19">
      <c r="A88" s="1152">
        <f t="shared" si="26"/>
        <v>74</v>
      </c>
      <c r="B88" s="706"/>
      <c r="C88" s="619" t="s">
        <v>301</v>
      </c>
      <c r="D88" s="616"/>
      <c r="E88" s="616"/>
      <c r="F88" s="616"/>
      <c r="G88" s="465"/>
      <c r="H88" s="465"/>
      <c r="I88" s="616"/>
      <c r="K88" s="616"/>
      <c r="N88" s="616"/>
    </row>
    <row r="89" spans="1:19">
      <c r="A89" s="1152">
        <f t="shared" si="26"/>
        <v>75</v>
      </c>
      <c r="B89" s="513">
        <v>38900</v>
      </c>
      <c r="C89" s="88" t="s">
        <v>1523</v>
      </c>
      <c r="D89" s="346">
        <v>0</v>
      </c>
      <c r="E89" s="360">
        <v>0</v>
      </c>
      <c r="F89" s="360">
        <f t="shared" si="25"/>
        <v>0</v>
      </c>
      <c r="G89" s="465">
        <f t="shared" ref="G89:H107" si="27">$G$16</f>
        <v>1</v>
      </c>
      <c r="H89" s="465">
        <f t="shared" si="27"/>
        <v>1</v>
      </c>
      <c r="I89" s="360">
        <f t="shared" ref="I89:I113" si="28">F89*G89*H89</f>
        <v>0</v>
      </c>
      <c r="K89" s="346">
        <v>0</v>
      </c>
      <c r="L89" s="465">
        <f t="shared" ref="L89:M107" si="29">$G$16</f>
        <v>1</v>
      </c>
      <c r="M89" s="465">
        <f t="shared" si="29"/>
        <v>1</v>
      </c>
      <c r="N89" s="360">
        <f t="shared" ref="N89:N113" si="30">K89*L89*M89</f>
        <v>0</v>
      </c>
      <c r="S89" s="513"/>
    </row>
    <row r="90" spans="1:19">
      <c r="A90" s="1152">
        <f t="shared" si="26"/>
        <v>76</v>
      </c>
      <c r="B90" s="513">
        <v>39000</v>
      </c>
      <c r="C90" s="88" t="s">
        <v>1524</v>
      </c>
      <c r="D90" s="346">
        <v>1376546.3142550336</v>
      </c>
      <c r="E90" s="616">
        <v>0</v>
      </c>
      <c r="F90" s="616">
        <f t="shared" si="25"/>
        <v>1376546.3142550336</v>
      </c>
      <c r="G90" s="465">
        <f t="shared" si="27"/>
        <v>1</v>
      </c>
      <c r="H90" s="465">
        <f t="shared" si="27"/>
        <v>1</v>
      </c>
      <c r="I90" s="616">
        <f t="shared" si="28"/>
        <v>1376546.3142550336</v>
      </c>
      <c r="K90" s="346">
        <v>1253482.0488933777</v>
      </c>
      <c r="L90" s="465">
        <f t="shared" si="29"/>
        <v>1</v>
      </c>
      <c r="M90" s="465">
        <f t="shared" si="29"/>
        <v>1</v>
      </c>
      <c r="N90" s="616">
        <f t="shared" si="30"/>
        <v>1253482.0488933777</v>
      </c>
      <c r="S90" s="513"/>
    </row>
    <row r="91" spans="1:19">
      <c r="A91" s="1152">
        <f t="shared" si="26"/>
        <v>77</v>
      </c>
      <c r="B91" s="513">
        <v>39002</v>
      </c>
      <c r="C91" s="88" t="s">
        <v>1525</v>
      </c>
      <c r="D91" s="346">
        <v>110369.88693999989</v>
      </c>
      <c r="E91" s="616">
        <v>0</v>
      </c>
      <c r="F91" s="616">
        <f t="shared" si="25"/>
        <v>110369.88693999989</v>
      </c>
      <c r="G91" s="465">
        <f t="shared" si="27"/>
        <v>1</v>
      </c>
      <c r="H91" s="465">
        <f t="shared" si="27"/>
        <v>1</v>
      </c>
      <c r="I91" s="616">
        <f t="shared" si="28"/>
        <v>110369.88693999989</v>
      </c>
      <c r="K91" s="346">
        <v>107582.7378549999</v>
      </c>
      <c r="L91" s="465">
        <f t="shared" si="29"/>
        <v>1</v>
      </c>
      <c r="M91" s="465">
        <f t="shared" si="29"/>
        <v>1</v>
      </c>
      <c r="N91" s="616">
        <f t="shared" si="30"/>
        <v>107582.7378549999</v>
      </c>
      <c r="S91" s="513"/>
    </row>
    <row r="92" spans="1:19">
      <c r="A92" s="1152">
        <f t="shared" si="26"/>
        <v>78</v>
      </c>
      <c r="B92" s="513">
        <v>39003</v>
      </c>
      <c r="C92" s="88" t="s">
        <v>1526</v>
      </c>
      <c r="D92" s="346">
        <v>304148.03047200019</v>
      </c>
      <c r="E92" s="616">
        <v>0</v>
      </c>
      <c r="F92" s="616">
        <f t="shared" si="25"/>
        <v>304148.03047200019</v>
      </c>
      <c r="G92" s="465">
        <f t="shared" si="27"/>
        <v>1</v>
      </c>
      <c r="H92" s="465">
        <f t="shared" si="27"/>
        <v>1</v>
      </c>
      <c r="I92" s="616">
        <f t="shared" si="28"/>
        <v>304148.03047200019</v>
      </c>
      <c r="K92" s="346">
        <v>292729.92367400019</v>
      </c>
      <c r="L92" s="465">
        <f t="shared" si="29"/>
        <v>1</v>
      </c>
      <c r="M92" s="465">
        <f t="shared" si="29"/>
        <v>1</v>
      </c>
      <c r="N92" s="616">
        <f t="shared" si="30"/>
        <v>292729.92367400019</v>
      </c>
      <c r="S92" s="513"/>
    </row>
    <row r="93" spans="1:19">
      <c r="A93" s="1152">
        <f t="shared" si="26"/>
        <v>79</v>
      </c>
      <c r="B93" s="513">
        <v>39004</v>
      </c>
      <c r="C93" s="88" t="s">
        <v>1527</v>
      </c>
      <c r="D93" s="346">
        <v>5414.7210040000064</v>
      </c>
      <c r="E93" s="616">
        <v>0</v>
      </c>
      <c r="F93" s="616">
        <f t="shared" si="25"/>
        <v>5414.7210040000064</v>
      </c>
      <c r="G93" s="465">
        <f t="shared" si="27"/>
        <v>1</v>
      </c>
      <c r="H93" s="465">
        <f t="shared" si="27"/>
        <v>1</v>
      </c>
      <c r="I93" s="616">
        <f t="shared" si="28"/>
        <v>5414.7210040000064</v>
      </c>
      <c r="K93" s="346">
        <v>5049.3973360000055</v>
      </c>
      <c r="L93" s="465">
        <f t="shared" si="29"/>
        <v>1</v>
      </c>
      <c r="M93" s="465">
        <f t="shared" si="29"/>
        <v>1</v>
      </c>
      <c r="N93" s="616">
        <f t="shared" si="30"/>
        <v>5049.3973360000055</v>
      </c>
      <c r="S93" s="513"/>
    </row>
    <row r="94" spans="1:19">
      <c r="A94" s="1152">
        <f t="shared" si="26"/>
        <v>80</v>
      </c>
      <c r="B94" s="513">
        <v>39009</v>
      </c>
      <c r="C94" s="88" t="s">
        <v>1528</v>
      </c>
      <c r="D94" s="346">
        <v>1248109.8085129997</v>
      </c>
      <c r="E94" s="616">
        <v>0</v>
      </c>
      <c r="F94" s="616">
        <f t="shared" si="25"/>
        <v>1248109.8085129997</v>
      </c>
      <c r="G94" s="465">
        <f t="shared" si="27"/>
        <v>1</v>
      </c>
      <c r="H94" s="465">
        <f t="shared" si="27"/>
        <v>1</v>
      </c>
      <c r="I94" s="616">
        <f t="shared" si="28"/>
        <v>1248109.8085129997</v>
      </c>
      <c r="K94" s="346">
        <v>1248109.8085130001</v>
      </c>
      <c r="L94" s="465">
        <f t="shared" si="29"/>
        <v>1</v>
      </c>
      <c r="M94" s="465">
        <f t="shared" si="29"/>
        <v>1</v>
      </c>
      <c r="N94" s="616">
        <f t="shared" si="30"/>
        <v>1248109.8085130001</v>
      </c>
      <c r="S94" s="513"/>
    </row>
    <row r="95" spans="1:19">
      <c r="A95" s="1152">
        <f t="shared" si="26"/>
        <v>81</v>
      </c>
      <c r="B95" s="513">
        <v>39100</v>
      </c>
      <c r="C95" s="88" t="s">
        <v>1529</v>
      </c>
      <c r="D95" s="346">
        <v>1191625.2154903326</v>
      </c>
      <c r="E95" s="616">
        <v>0</v>
      </c>
      <c r="F95" s="616">
        <f t="shared" si="25"/>
        <v>1191625.2154903326</v>
      </c>
      <c r="G95" s="465">
        <f t="shared" si="27"/>
        <v>1</v>
      </c>
      <c r="H95" s="465">
        <f t="shared" si="27"/>
        <v>1</v>
      </c>
      <c r="I95" s="616">
        <f t="shared" si="28"/>
        <v>1191625.2154903326</v>
      </c>
      <c r="K95" s="346">
        <v>1144609.4214875565</v>
      </c>
      <c r="L95" s="465">
        <f t="shared" si="29"/>
        <v>1</v>
      </c>
      <c r="M95" s="465">
        <f t="shared" si="29"/>
        <v>1</v>
      </c>
      <c r="N95" s="616">
        <f t="shared" si="30"/>
        <v>1144609.4214875565</v>
      </c>
      <c r="S95" s="513"/>
    </row>
    <row r="96" spans="1:19">
      <c r="A96" s="1152">
        <f t="shared" si="26"/>
        <v>82</v>
      </c>
      <c r="B96" s="513">
        <v>39103</v>
      </c>
      <c r="C96" s="88" t="s">
        <v>780</v>
      </c>
      <c r="D96" s="346">
        <v>0</v>
      </c>
      <c r="E96" s="616">
        <v>0</v>
      </c>
      <c r="F96" s="616">
        <f t="shared" si="25"/>
        <v>0</v>
      </c>
      <c r="G96" s="465">
        <f t="shared" si="27"/>
        <v>1</v>
      </c>
      <c r="H96" s="465">
        <f t="shared" si="27"/>
        <v>1</v>
      </c>
      <c r="I96" s="616">
        <f t="shared" ref="I96:I100" si="31">F96*G96*H96</f>
        <v>0</v>
      </c>
      <c r="K96" s="346">
        <v>0</v>
      </c>
      <c r="L96" s="465">
        <f t="shared" si="29"/>
        <v>1</v>
      </c>
      <c r="M96" s="465">
        <f t="shared" si="29"/>
        <v>1</v>
      </c>
      <c r="N96" s="616">
        <f t="shared" ref="N96:N102" si="32">K96*L96*M96</f>
        <v>0</v>
      </c>
      <c r="S96" s="513"/>
    </row>
    <row r="97" spans="1:19">
      <c r="A97" s="1152">
        <f t="shared" si="26"/>
        <v>83</v>
      </c>
      <c r="B97" s="513">
        <v>39200</v>
      </c>
      <c r="C97" s="88" t="s">
        <v>1530</v>
      </c>
      <c r="D97" s="346">
        <v>119478.09784499997</v>
      </c>
      <c r="E97" s="616">
        <v>0</v>
      </c>
      <c r="F97" s="616">
        <f t="shared" si="25"/>
        <v>119478.09784499997</v>
      </c>
      <c r="G97" s="465">
        <f t="shared" si="27"/>
        <v>1</v>
      </c>
      <c r="H97" s="465">
        <f t="shared" si="27"/>
        <v>1</v>
      </c>
      <c r="I97" s="616">
        <f t="shared" si="31"/>
        <v>119478.09784499997</v>
      </c>
      <c r="K97" s="346">
        <v>113787.68516999995</v>
      </c>
      <c r="L97" s="465">
        <f t="shared" si="29"/>
        <v>1</v>
      </c>
      <c r="M97" s="465">
        <f t="shared" si="29"/>
        <v>1</v>
      </c>
      <c r="N97" s="616">
        <f t="shared" si="32"/>
        <v>113787.68516999995</v>
      </c>
      <c r="S97" s="513"/>
    </row>
    <row r="98" spans="1:19">
      <c r="A98" s="1152">
        <f t="shared" si="26"/>
        <v>84</v>
      </c>
      <c r="B98" s="513">
        <v>39202</v>
      </c>
      <c r="C98" s="88" t="s">
        <v>1531</v>
      </c>
      <c r="D98" s="346">
        <v>-2529.39</v>
      </c>
      <c r="E98" s="616">
        <v>0</v>
      </c>
      <c r="F98" s="616">
        <f t="shared" si="25"/>
        <v>-2529.39</v>
      </c>
      <c r="G98" s="465">
        <f t="shared" si="27"/>
        <v>1</v>
      </c>
      <c r="H98" s="465">
        <f t="shared" si="27"/>
        <v>1</v>
      </c>
      <c r="I98" s="616">
        <f t="shared" si="31"/>
        <v>-2529.39</v>
      </c>
      <c r="K98" s="346">
        <v>-2529.39</v>
      </c>
      <c r="L98" s="465">
        <f t="shared" si="29"/>
        <v>1</v>
      </c>
      <c r="M98" s="465">
        <f t="shared" si="29"/>
        <v>1</v>
      </c>
      <c r="N98" s="616">
        <f t="shared" si="32"/>
        <v>-2529.39</v>
      </c>
      <c r="S98" s="513"/>
    </row>
    <row r="99" spans="1:19">
      <c r="A99" s="1152">
        <f t="shared" si="26"/>
        <v>85</v>
      </c>
      <c r="B99" s="513">
        <v>39400</v>
      </c>
      <c r="C99" s="88" t="s">
        <v>1532</v>
      </c>
      <c r="D99" s="346">
        <v>1424932.474489077</v>
      </c>
      <c r="E99" s="616">
        <v>0</v>
      </c>
      <c r="F99" s="616">
        <f t="shared" si="25"/>
        <v>1424932.474489077</v>
      </c>
      <c r="G99" s="465">
        <f t="shared" si="27"/>
        <v>1</v>
      </c>
      <c r="H99" s="465">
        <f t="shared" si="27"/>
        <v>1</v>
      </c>
      <c r="I99" s="616">
        <f t="shared" si="31"/>
        <v>1424932.474489077</v>
      </c>
      <c r="K99" s="346">
        <v>1300851.4776690158</v>
      </c>
      <c r="L99" s="465">
        <f t="shared" si="29"/>
        <v>1</v>
      </c>
      <c r="M99" s="465">
        <f t="shared" si="29"/>
        <v>1</v>
      </c>
      <c r="N99" s="616">
        <f t="shared" si="32"/>
        <v>1300851.4776690158</v>
      </c>
      <c r="S99" s="513"/>
    </row>
    <row r="100" spans="1:19">
      <c r="A100" s="1152">
        <f t="shared" si="26"/>
        <v>86</v>
      </c>
      <c r="B100" s="513">
        <v>39603</v>
      </c>
      <c r="C100" s="88" t="s">
        <v>1533</v>
      </c>
      <c r="D100" s="346">
        <v>39654.637739999991</v>
      </c>
      <c r="E100" s="616">
        <v>0</v>
      </c>
      <c r="F100" s="616">
        <f t="shared" si="25"/>
        <v>39654.637739999991</v>
      </c>
      <c r="G100" s="465">
        <f t="shared" si="27"/>
        <v>1</v>
      </c>
      <c r="H100" s="465">
        <f t="shared" si="27"/>
        <v>1</v>
      </c>
      <c r="I100" s="616">
        <f t="shared" si="31"/>
        <v>39654.637739999991</v>
      </c>
      <c r="K100" s="346">
        <v>39654.637739999984</v>
      </c>
      <c r="L100" s="465">
        <f t="shared" si="29"/>
        <v>1</v>
      </c>
      <c r="M100" s="465">
        <f t="shared" si="29"/>
        <v>1</v>
      </c>
      <c r="N100" s="616">
        <f t="shared" si="32"/>
        <v>39654.637739999984</v>
      </c>
      <c r="S100" s="513"/>
    </row>
    <row r="101" spans="1:19">
      <c r="A101" s="1152">
        <f t="shared" si="26"/>
        <v>87</v>
      </c>
      <c r="B101" s="513">
        <v>39604</v>
      </c>
      <c r="C101" s="88" t="s">
        <v>1534</v>
      </c>
      <c r="D101" s="346">
        <v>62817.883901249988</v>
      </c>
      <c r="E101" s="616">
        <v>0</v>
      </c>
      <c r="F101" s="616">
        <f t="shared" si="25"/>
        <v>62817.883901249988</v>
      </c>
      <c r="G101" s="465">
        <f t="shared" si="27"/>
        <v>1</v>
      </c>
      <c r="H101" s="465">
        <f t="shared" si="27"/>
        <v>1</v>
      </c>
      <c r="I101" s="616">
        <f t="shared" si="28"/>
        <v>62817.883901249988</v>
      </c>
      <c r="K101" s="346">
        <v>62817.883901249974</v>
      </c>
      <c r="L101" s="465">
        <f t="shared" si="29"/>
        <v>1</v>
      </c>
      <c r="M101" s="465">
        <f t="shared" si="29"/>
        <v>1</v>
      </c>
      <c r="N101" s="616">
        <f t="shared" si="32"/>
        <v>62817.883901249974</v>
      </c>
      <c r="S101" s="513"/>
    </row>
    <row r="102" spans="1:19">
      <c r="A102" s="1152">
        <f t="shared" si="26"/>
        <v>88</v>
      </c>
      <c r="B102" s="513">
        <v>39605</v>
      </c>
      <c r="C102" s="88" t="s">
        <v>1535</v>
      </c>
      <c r="D102" s="346">
        <v>19456.427647249999</v>
      </c>
      <c r="E102" s="616">
        <v>0</v>
      </c>
      <c r="F102" s="616">
        <f t="shared" si="25"/>
        <v>19456.427647249999</v>
      </c>
      <c r="G102" s="465">
        <f t="shared" si="27"/>
        <v>1</v>
      </c>
      <c r="H102" s="465">
        <f t="shared" si="27"/>
        <v>1</v>
      </c>
      <c r="I102" s="616">
        <f t="shared" si="28"/>
        <v>19456.427647249999</v>
      </c>
      <c r="K102" s="346">
        <v>19456.427647250002</v>
      </c>
      <c r="L102" s="465">
        <f t="shared" si="29"/>
        <v>1</v>
      </c>
      <c r="M102" s="465">
        <f t="shared" si="29"/>
        <v>1</v>
      </c>
      <c r="N102" s="616">
        <f t="shared" si="32"/>
        <v>19456.427647250002</v>
      </c>
      <c r="S102" s="513"/>
    </row>
    <row r="103" spans="1:19">
      <c r="A103" s="1152">
        <f t="shared" si="26"/>
        <v>89</v>
      </c>
      <c r="B103" s="513">
        <v>39700</v>
      </c>
      <c r="C103" s="88" t="s">
        <v>1536</v>
      </c>
      <c r="D103" s="346">
        <v>286494.36583374999</v>
      </c>
      <c r="E103" s="616">
        <v>0</v>
      </c>
      <c r="F103" s="616">
        <f t="shared" si="25"/>
        <v>286494.36583374999</v>
      </c>
      <c r="G103" s="465">
        <f t="shared" si="27"/>
        <v>1</v>
      </c>
      <c r="H103" s="465">
        <f t="shared" si="27"/>
        <v>1</v>
      </c>
      <c r="I103" s="616">
        <f t="shared" si="28"/>
        <v>286494.36583374999</v>
      </c>
      <c r="K103" s="346">
        <v>269010.38988124992</v>
      </c>
      <c r="L103" s="465">
        <f t="shared" si="29"/>
        <v>1</v>
      </c>
      <c r="M103" s="465">
        <f t="shared" si="29"/>
        <v>1</v>
      </c>
      <c r="N103" s="616">
        <f t="shared" si="30"/>
        <v>269010.38988124992</v>
      </c>
      <c r="S103" s="513"/>
    </row>
    <row r="104" spans="1:19">
      <c r="A104" s="1152">
        <f t="shared" si="26"/>
        <v>90</v>
      </c>
      <c r="B104" s="706">
        <v>39701</v>
      </c>
      <c r="C104" s="88" t="s">
        <v>1496</v>
      </c>
      <c r="D104" s="346">
        <v>0</v>
      </c>
      <c r="E104" s="616">
        <v>0</v>
      </c>
      <c r="F104" s="616">
        <f t="shared" si="25"/>
        <v>0</v>
      </c>
      <c r="G104" s="465">
        <f t="shared" si="27"/>
        <v>1</v>
      </c>
      <c r="H104" s="465">
        <f t="shared" si="27"/>
        <v>1</v>
      </c>
      <c r="I104" s="616">
        <f t="shared" si="28"/>
        <v>0</v>
      </c>
      <c r="K104" s="346">
        <v>0</v>
      </c>
      <c r="L104" s="465">
        <f t="shared" si="29"/>
        <v>1</v>
      </c>
      <c r="M104" s="465">
        <f t="shared" si="29"/>
        <v>1</v>
      </c>
      <c r="N104" s="616">
        <f t="shared" si="30"/>
        <v>0</v>
      </c>
      <c r="S104" s="513"/>
    </row>
    <row r="105" spans="1:19">
      <c r="A105" s="1152">
        <f t="shared" si="26"/>
        <v>91</v>
      </c>
      <c r="B105" s="706">
        <v>39702</v>
      </c>
      <c r="C105" s="81" t="s">
        <v>1496</v>
      </c>
      <c r="D105" s="346">
        <v>0</v>
      </c>
      <c r="E105" s="616">
        <v>0</v>
      </c>
      <c r="F105" s="616">
        <f t="shared" si="25"/>
        <v>0</v>
      </c>
      <c r="G105" s="465">
        <f t="shared" si="27"/>
        <v>1</v>
      </c>
      <c r="H105" s="465">
        <f t="shared" si="27"/>
        <v>1</v>
      </c>
      <c r="I105" s="616">
        <f t="shared" si="28"/>
        <v>0</v>
      </c>
      <c r="K105" s="346">
        <v>0</v>
      </c>
      <c r="L105" s="465">
        <f t="shared" si="29"/>
        <v>1</v>
      </c>
      <c r="M105" s="465">
        <f t="shared" si="29"/>
        <v>1</v>
      </c>
      <c r="N105" s="616">
        <f t="shared" si="30"/>
        <v>0</v>
      </c>
      <c r="S105" s="513"/>
    </row>
    <row r="106" spans="1:19">
      <c r="A106" s="1152">
        <f t="shared" si="26"/>
        <v>92</v>
      </c>
      <c r="B106" s="706">
        <v>39705</v>
      </c>
      <c r="C106" s="88" t="s">
        <v>1537</v>
      </c>
      <c r="D106" s="346">
        <v>0</v>
      </c>
      <c r="E106" s="616">
        <v>0</v>
      </c>
      <c r="F106" s="616">
        <f t="shared" si="25"/>
        <v>0</v>
      </c>
      <c r="G106" s="465">
        <f t="shared" si="27"/>
        <v>1</v>
      </c>
      <c r="H106" s="465">
        <f t="shared" si="27"/>
        <v>1</v>
      </c>
      <c r="I106" s="616">
        <f t="shared" si="28"/>
        <v>0</v>
      </c>
      <c r="K106" s="346">
        <v>0</v>
      </c>
      <c r="L106" s="465">
        <f t="shared" si="29"/>
        <v>1</v>
      </c>
      <c r="M106" s="465">
        <f t="shared" si="29"/>
        <v>1</v>
      </c>
      <c r="N106" s="616">
        <f t="shared" si="30"/>
        <v>0</v>
      </c>
      <c r="S106" s="513"/>
    </row>
    <row r="107" spans="1:19">
      <c r="A107" s="1152">
        <f t="shared" si="26"/>
        <v>93</v>
      </c>
      <c r="B107" s="706">
        <v>39800</v>
      </c>
      <c r="C107" s="88" t="s">
        <v>1538</v>
      </c>
      <c r="D107" s="346">
        <v>2170177.3503750009</v>
      </c>
      <c r="E107" s="616">
        <v>0</v>
      </c>
      <c r="F107" s="616">
        <f t="shared" si="25"/>
        <v>2170177.3503750009</v>
      </c>
      <c r="G107" s="465">
        <f t="shared" si="27"/>
        <v>1</v>
      </c>
      <c r="H107" s="465">
        <f t="shared" si="27"/>
        <v>1</v>
      </c>
      <c r="I107" s="616">
        <f t="shared" si="28"/>
        <v>2170177.3503750009</v>
      </c>
      <c r="K107" s="346">
        <v>2072883.0731250006</v>
      </c>
      <c r="L107" s="465">
        <f t="shared" si="29"/>
        <v>1</v>
      </c>
      <c r="M107" s="465">
        <f t="shared" si="29"/>
        <v>1</v>
      </c>
      <c r="N107" s="616">
        <f t="shared" si="30"/>
        <v>2072883.0731250006</v>
      </c>
      <c r="S107" s="513"/>
    </row>
    <row r="108" spans="1:19">
      <c r="A108" s="1152">
        <f t="shared" si="26"/>
        <v>94</v>
      </c>
      <c r="B108" s="706">
        <v>39901</v>
      </c>
      <c r="C108" s="88" t="s">
        <v>1497</v>
      </c>
      <c r="D108" s="346">
        <v>7698.338703999998</v>
      </c>
      <c r="E108" s="616">
        <v>0</v>
      </c>
      <c r="F108" s="616">
        <f t="shared" si="25"/>
        <v>7698.338703999998</v>
      </c>
      <c r="G108" s="465">
        <f t="shared" ref="G108:H116" si="33">$G$16</f>
        <v>1</v>
      </c>
      <c r="H108" s="465">
        <f t="shared" si="33"/>
        <v>1</v>
      </c>
      <c r="I108" s="616">
        <f t="shared" si="28"/>
        <v>7698.338703999998</v>
      </c>
      <c r="K108" s="346">
        <v>6670.1903519999969</v>
      </c>
      <c r="L108" s="465">
        <f t="shared" ref="L108:M116" si="34">$G$16</f>
        <v>1</v>
      </c>
      <c r="M108" s="465">
        <f t="shared" si="34"/>
        <v>1</v>
      </c>
      <c r="N108" s="616">
        <f t="shared" si="30"/>
        <v>6670.1903519999969</v>
      </c>
      <c r="S108" s="513"/>
    </row>
    <row r="109" spans="1:19">
      <c r="A109" s="1152">
        <f t="shared" si="26"/>
        <v>95</v>
      </c>
      <c r="B109" s="706">
        <v>39902</v>
      </c>
      <c r="C109" s="88" t="s">
        <v>1498</v>
      </c>
      <c r="D109" s="346">
        <v>0</v>
      </c>
      <c r="E109" s="616">
        <v>0</v>
      </c>
      <c r="F109" s="616">
        <f t="shared" si="25"/>
        <v>0</v>
      </c>
      <c r="G109" s="465">
        <f t="shared" si="33"/>
        <v>1</v>
      </c>
      <c r="H109" s="465">
        <f t="shared" si="33"/>
        <v>1</v>
      </c>
      <c r="I109" s="616">
        <f t="shared" si="28"/>
        <v>0</v>
      </c>
      <c r="K109" s="346">
        <v>0</v>
      </c>
      <c r="L109" s="465">
        <f t="shared" si="34"/>
        <v>1</v>
      </c>
      <c r="M109" s="465">
        <f t="shared" si="34"/>
        <v>1</v>
      </c>
      <c r="N109" s="616">
        <f t="shared" si="30"/>
        <v>0</v>
      </c>
      <c r="S109" s="513"/>
    </row>
    <row r="110" spans="1:19">
      <c r="A110" s="1152">
        <f t="shared" si="26"/>
        <v>96</v>
      </c>
      <c r="B110" s="706">
        <v>39903</v>
      </c>
      <c r="C110" s="88" t="s">
        <v>1539</v>
      </c>
      <c r="D110" s="346">
        <v>71374.440499999982</v>
      </c>
      <c r="E110" s="616">
        <v>0</v>
      </c>
      <c r="F110" s="616">
        <f t="shared" si="25"/>
        <v>71374.440499999982</v>
      </c>
      <c r="G110" s="465">
        <f t="shared" si="33"/>
        <v>1</v>
      </c>
      <c r="H110" s="465">
        <f t="shared" si="33"/>
        <v>1</v>
      </c>
      <c r="I110" s="616">
        <f t="shared" si="28"/>
        <v>71374.440499999982</v>
      </c>
      <c r="K110" s="346">
        <v>64644.497499999969</v>
      </c>
      <c r="L110" s="465">
        <f t="shared" si="34"/>
        <v>1</v>
      </c>
      <c r="M110" s="465">
        <f t="shared" si="34"/>
        <v>1</v>
      </c>
      <c r="N110" s="616">
        <f t="shared" si="30"/>
        <v>64644.497499999969</v>
      </c>
      <c r="S110" s="513"/>
    </row>
    <row r="111" spans="1:19">
      <c r="A111" s="1152">
        <f t="shared" si="26"/>
        <v>97</v>
      </c>
      <c r="B111" s="706">
        <v>39906</v>
      </c>
      <c r="C111" s="88" t="s">
        <v>1540</v>
      </c>
      <c r="D111" s="346">
        <v>-85447.137223342754</v>
      </c>
      <c r="E111" s="616">
        <v>0</v>
      </c>
      <c r="F111" s="616">
        <f t="shared" si="25"/>
        <v>-85447.137223342754</v>
      </c>
      <c r="G111" s="465">
        <f t="shared" si="33"/>
        <v>1</v>
      </c>
      <c r="H111" s="465">
        <f t="shared" si="33"/>
        <v>1</v>
      </c>
      <c r="I111" s="616">
        <f t="shared" si="28"/>
        <v>-85447.137223342754</v>
      </c>
      <c r="K111" s="346">
        <v>112225.95489402021</v>
      </c>
      <c r="L111" s="465">
        <f t="shared" si="34"/>
        <v>1</v>
      </c>
      <c r="M111" s="465">
        <f t="shared" si="34"/>
        <v>1</v>
      </c>
      <c r="N111" s="616">
        <f t="shared" si="30"/>
        <v>112225.95489402021</v>
      </c>
      <c r="S111" s="513"/>
    </row>
    <row r="112" spans="1:19" ht="15" customHeight="1">
      <c r="A112" s="1152">
        <f t="shared" si="26"/>
        <v>98</v>
      </c>
      <c r="B112" s="706">
        <v>39907</v>
      </c>
      <c r="C112" s="88" t="s">
        <v>1541</v>
      </c>
      <c r="D112" s="346">
        <v>0</v>
      </c>
      <c r="E112" s="616">
        <v>0</v>
      </c>
      <c r="F112" s="616">
        <f t="shared" si="25"/>
        <v>0</v>
      </c>
      <c r="G112" s="465">
        <f t="shared" si="33"/>
        <v>1</v>
      </c>
      <c r="H112" s="465">
        <f t="shared" si="33"/>
        <v>1</v>
      </c>
      <c r="I112" s="616">
        <f t="shared" si="28"/>
        <v>0</v>
      </c>
      <c r="K112" s="346">
        <v>0</v>
      </c>
      <c r="L112" s="465">
        <f t="shared" si="34"/>
        <v>1</v>
      </c>
      <c r="M112" s="465">
        <f t="shared" si="34"/>
        <v>1</v>
      </c>
      <c r="N112" s="616">
        <f t="shared" si="30"/>
        <v>0</v>
      </c>
      <c r="S112" s="513"/>
    </row>
    <row r="113" spans="1:19">
      <c r="A113" s="1152">
        <f t="shared" si="26"/>
        <v>99</v>
      </c>
      <c r="B113" s="706">
        <v>39908</v>
      </c>
      <c r="C113" s="88" t="s">
        <v>1542</v>
      </c>
      <c r="D113" s="346">
        <v>123060.65470975004</v>
      </c>
      <c r="E113" s="616">
        <v>0</v>
      </c>
      <c r="F113" s="616">
        <f t="shared" si="25"/>
        <v>123060.65470975004</v>
      </c>
      <c r="G113" s="465">
        <f t="shared" si="33"/>
        <v>1</v>
      </c>
      <c r="H113" s="465">
        <f t="shared" si="33"/>
        <v>1</v>
      </c>
      <c r="I113" s="616">
        <f t="shared" si="28"/>
        <v>123060.65470975004</v>
      </c>
      <c r="K113" s="346">
        <v>117916.26204025003</v>
      </c>
      <c r="L113" s="465">
        <f t="shared" si="34"/>
        <v>1</v>
      </c>
      <c r="M113" s="465">
        <f t="shared" si="34"/>
        <v>1</v>
      </c>
      <c r="N113" s="616">
        <f t="shared" si="30"/>
        <v>117916.26204025003</v>
      </c>
      <c r="S113" s="513"/>
    </row>
    <row r="114" spans="1:19" ht="15" customHeight="1">
      <c r="A114" s="1152">
        <f t="shared" si="26"/>
        <v>100</v>
      </c>
      <c r="B114" s="706"/>
      <c r="C114" s="88" t="s">
        <v>1143</v>
      </c>
      <c r="D114" s="346">
        <v>-6374709.4599999981</v>
      </c>
      <c r="E114" s="616">
        <v>0</v>
      </c>
      <c r="F114" s="616">
        <f>D114-E114</f>
        <v>-6374709.4599999981</v>
      </c>
      <c r="G114" s="465">
        <f t="shared" si="33"/>
        <v>1</v>
      </c>
      <c r="H114" s="465">
        <f t="shared" si="33"/>
        <v>1</v>
      </c>
      <c r="I114" s="616">
        <f>F114*G114*H114</f>
        <v>-6374709.4599999981</v>
      </c>
      <c r="K114" s="346">
        <v>-6374709.4599999981</v>
      </c>
      <c r="L114" s="465">
        <f t="shared" si="34"/>
        <v>1</v>
      </c>
      <c r="M114" s="465">
        <f t="shared" si="34"/>
        <v>1</v>
      </c>
      <c r="N114" s="616">
        <f>K114*L114*M114</f>
        <v>-6374709.4599999981</v>
      </c>
    </row>
    <row r="115" spans="1:19" ht="15" customHeight="1">
      <c r="A115" s="854"/>
      <c r="B115" s="706"/>
      <c r="C115" s="88" t="s">
        <v>1400</v>
      </c>
      <c r="D115" s="346">
        <v>0</v>
      </c>
      <c r="E115" s="616">
        <v>0</v>
      </c>
      <c r="F115" s="616">
        <f>D115-E115</f>
        <v>0</v>
      </c>
      <c r="G115" s="465">
        <f t="shared" si="33"/>
        <v>1</v>
      </c>
      <c r="H115" s="465">
        <f t="shared" si="33"/>
        <v>1</v>
      </c>
      <c r="I115" s="616">
        <f>F115*G115*H115</f>
        <v>0</v>
      </c>
      <c r="K115" s="346">
        <v>0</v>
      </c>
      <c r="L115" s="465">
        <f t="shared" si="34"/>
        <v>1</v>
      </c>
      <c r="M115" s="465">
        <f t="shared" si="34"/>
        <v>1</v>
      </c>
      <c r="N115" s="616">
        <f t="shared" ref="N115:N116" si="35">K115*L115*M115</f>
        <v>0</v>
      </c>
    </row>
    <row r="116" spans="1:19">
      <c r="A116" s="854">
        <f>A114+1</f>
        <v>101</v>
      </c>
      <c r="B116" s="706"/>
      <c r="C116" s="88" t="s">
        <v>1255</v>
      </c>
      <c r="D116" s="346">
        <v>0</v>
      </c>
      <c r="E116" s="616">
        <v>0</v>
      </c>
      <c r="F116" s="616">
        <f t="shared" ref="F116" si="36">D116-E116</f>
        <v>0</v>
      </c>
      <c r="G116" s="465">
        <f t="shared" si="33"/>
        <v>1</v>
      </c>
      <c r="H116" s="465">
        <f t="shared" si="33"/>
        <v>1</v>
      </c>
      <c r="I116" s="616">
        <f t="shared" ref="I116" si="37">F116*G116*H116</f>
        <v>0</v>
      </c>
      <c r="K116" s="346">
        <v>0</v>
      </c>
      <c r="L116" s="465">
        <f t="shared" si="34"/>
        <v>1</v>
      </c>
      <c r="M116" s="465">
        <f t="shared" si="34"/>
        <v>1</v>
      </c>
      <c r="N116" s="616">
        <f t="shared" si="35"/>
        <v>0</v>
      </c>
      <c r="S116" s="513"/>
    </row>
    <row r="117" spans="1:19" ht="15" customHeight="1">
      <c r="A117" s="854">
        <f t="shared" ref="A117:A153" si="38">A116+1</f>
        <v>102</v>
      </c>
      <c r="B117" s="706"/>
      <c r="C117" s="88"/>
      <c r="D117" s="1060"/>
      <c r="E117" s="1060"/>
      <c r="F117" s="1060"/>
      <c r="I117" s="1060"/>
      <c r="K117" s="1060"/>
      <c r="N117" s="1060"/>
    </row>
    <row r="118" spans="1:19">
      <c r="A118" s="854">
        <f t="shared" si="38"/>
        <v>103</v>
      </c>
      <c r="B118" s="706"/>
      <c r="C118" s="88" t="s">
        <v>1378</v>
      </c>
      <c r="D118" s="360">
        <f>SUM(D89:D117)</f>
        <v>2098672.6611961043</v>
      </c>
      <c r="E118" s="360">
        <f>SUM(E89:E117)</f>
        <v>0</v>
      </c>
      <c r="F118" s="360">
        <f>SUM(F89:F117)</f>
        <v>2098672.6611961043</v>
      </c>
      <c r="I118" s="360">
        <f>SUM(I89:I117)</f>
        <v>2098672.6611961043</v>
      </c>
      <c r="K118" s="360">
        <f>SUM(K89:K117)</f>
        <v>1854242.9676789725</v>
      </c>
      <c r="N118" s="360">
        <f>SUM(N89:N117)</f>
        <v>1854242.9676789725</v>
      </c>
    </row>
    <row r="119" spans="1:19">
      <c r="A119" s="854">
        <f t="shared" si="38"/>
        <v>104</v>
      </c>
      <c r="B119" s="706"/>
      <c r="C119" s="88"/>
      <c r="D119" s="616"/>
      <c r="E119" s="616"/>
      <c r="F119" s="616"/>
      <c r="I119" s="616"/>
      <c r="K119" s="616"/>
      <c r="N119" s="616"/>
    </row>
    <row r="120" spans="1:19">
      <c r="A120" s="854">
        <f t="shared" si="38"/>
        <v>105</v>
      </c>
      <c r="B120" s="389"/>
      <c r="C120" s="233" t="s">
        <v>1321</v>
      </c>
      <c r="D120" s="360">
        <f>D118+D86+D60+D47+D26+D19</f>
        <v>188277542.30614844</v>
      </c>
      <c r="E120" s="360">
        <f>E118+E86+E60+E47+E26+E19</f>
        <v>0</v>
      </c>
      <c r="F120" s="360">
        <f>F118+F86+F60+F47+F26+F19</f>
        <v>188277542.30614844</v>
      </c>
      <c r="I120" s="360">
        <f>I118+I86+I60+I47+I26+I19</f>
        <v>188277542.30614844</v>
      </c>
      <c r="K120" s="360">
        <f>K118+K86+K60+K47+K26+K19</f>
        <v>183960443.54156038</v>
      </c>
      <c r="N120" s="360">
        <f>N118+N86+N60+N47+N26+N19</f>
        <v>183960443.54156038</v>
      </c>
      <c r="R120" s="670"/>
      <c r="S120" s="670"/>
    </row>
    <row r="121" spans="1:19">
      <c r="A121" s="854">
        <f t="shared" si="38"/>
        <v>106</v>
      </c>
      <c r="B121" s="389"/>
      <c r="C121" s="88"/>
      <c r="D121" s="616"/>
    </row>
    <row r="122" spans="1:19">
      <c r="A122" s="854">
        <f t="shared" si="38"/>
        <v>107</v>
      </c>
      <c r="B122" s="389"/>
      <c r="C122" s="81"/>
      <c r="D122" s="616"/>
    </row>
    <row r="123" spans="1:19">
      <c r="A123" s="854">
        <f t="shared" si="38"/>
        <v>108</v>
      </c>
      <c r="B123" s="1038"/>
      <c r="D123" s="616"/>
      <c r="G123" s="80"/>
      <c r="H123" s="80"/>
    </row>
    <row r="124" spans="1:19" ht="15.75">
      <c r="A124" s="854">
        <f t="shared" si="38"/>
        <v>109</v>
      </c>
      <c r="B124" s="1043" t="s">
        <v>7</v>
      </c>
      <c r="D124" s="616"/>
      <c r="G124" s="80"/>
      <c r="H124" s="80"/>
    </row>
    <row r="125" spans="1:19">
      <c r="A125" s="854">
        <f t="shared" si="38"/>
        <v>110</v>
      </c>
      <c r="B125" s="1038"/>
      <c r="D125" s="616"/>
      <c r="G125" s="80"/>
      <c r="H125" s="80"/>
    </row>
    <row r="126" spans="1:19">
      <c r="A126" s="854">
        <f t="shared" si="38"/>
        <v>111</v>
      </c>
      <c r="B126" s="389"/>
      <c r="C126" s="619" t="s">
        <v>297</v>
      </c>
      <c r="D126" s="616"/>
    </row>
    <row r="127" spans="1:19">
      <c r="A127" s="854">
        <f t="shared" si="38"/>
        <v>112</v>
      </c>
      <c r="B127" s="513">
        <v>30100</v>
      </c>
      <c r="C127" s="88" t="s">
        <v>291</v>
      </c>
      <c r="D127" s="346">
        <v>0</v>
      </c>
      <c r="E127" s="346">
        <v>0</v>
      </c>
      <c r="F127" s="346">
        <f>D127+E127</f>
        <v>0</v>
      </c>
      <c r="G127" s="465">
        <f>$G$16</f>
        <v>1</v>
      </c>
      <c r="H127" s="466">
        <f>Allocation!$D$17</f>
        <v>0.49780000000000002</v>
      </c>
      <c r="I127" s="346">
        <f>F127*G127*H127</f>
        <v>0</v>
      </c>
      <c r="K127" s="346">
        <v>0</v>
      </c>
      <c r="L127" s="465">
        <f t="shared" ref="L127:M128" si="39">G127</f>
        <v>1</v>
      </c>
      <c r="M127" s="466">
        <f t="shared" si="39"/>
        <v>0.49780000000000002</v>
      </c>
      <c r="N127" s="346">
        <f>K127*L127*M127</f>
        <v>0</v>
      </c>
    </row>
    <row r="128" spans="1:19">
      <c r="A128" s="854">
        <f t="shared" si="38"/>
        <v>113</v>
      </c>
      <c r="B128" s="513">
        <v>30300</v>
      </c>
      <c r="C128" s="88" t="s">
        <v>542</v>
      </c>
      <c r="D128" s="346">
        <v>0</v>
      </c>
      <c r="E128" s="1042">
        <v>0</v>
      </c>
      <c r="F128" s="1042">
        <f>D128+E128</f>
        <v>0</v>
      </c>
      <c r="G128" s="465">
        <f>$G$16</f>
        <v>1</v>
      </c>
      <c r="H128" s="466">
        <f>$H$127</f>
        <v>0.49780000000000002</v>
      </c>
      <c r="I128" s="1042">
        <f>F128*G128*H128</f>
        <v>0</v>
      </c>
      <c r="K128" s="346">
        <v>0</v>
      </c>
      <c r="L128" s="465">
        <f t="shared" si="39"/>
        <v>1</v>
      </c>
      <c r="M128" s="466">
        <f t="shared" si="39"/>
        <v>0.49780000000000002</v>
      </c>
      <c r="N128" s="1042">
        <f>K128*L128*M128</f>
        <v>0</v>
      </c>
    </row>
    <row r="129" spans="1:14">
      <c r="A129" s="854">
        <f t="shared" si="38"/>
        <v>114</v>
      </c>
      <c r="B129" s="513"/>
      <c r="C129" s="88"/>
      <c r="D129" s="618"/>
      <c r="E129" s="618"/>
      <c r="F129" s="618"/>
    </row>
    <row r="130" spans="1:14">
      <c r="A130" s="854">
        <f t="shared" si="38"/>
        <v>115</v>
      </c>
      <c r="B130" s="706"/>
      <c r="C130" s="88" t="s">
        <v>298</v>
      </c>
      <c r="D130" s="346">
        <f>SUM(D127:D129)</f>
        <v>0</v>
      </c>
      <c r="E130" s="346">
        <f>SUM(E127:E129)</f>
        <v>0</v>
      </c>
      <c r="F130" s="346">
        <f>SUM(F127:F129)</f>
        <v>0</v>
      </c>
      <c r="G130" s="465"/>
      <c r="H130" s="465"/>
      <c r="I130" s="346">
        <f>SUM(I127:I129)</f>
        <v>0</v>
      </c>
      <c r="K130" s="346">
        <f>SUM(K127:K129)</f>
        <v>0</v>
      </c>
      <c r="N130" s="346">
        <f>SUM(N127:N129)</f>
        <v>0</v>
      </c>
    </row>
    <row r="131" spans="1:14">
      <c r="A131" s="854">
        <f t="shared" si="38"/>
        <v>116</v>
      </c>
      <c r="B131" s="1058"/>
    </row>
    <row r="132" spans="1:14">
      <c r="A132" s="854">
        <f t="shared" si="38"/>
        <v>117</v>
      </c>
      <c r="B132" s="706"/>
      <c r="C132" s="619" t="s">
        <v>299</v>
      </c>
    </row>
    <row r="133" spans="1:14">
      <c r="A133" s="854">
        <f t="shared" si="38"/>
        <v>118</v>
      </c>
      <c r="B133" s="513">
        <v>37400</v>
      </c>
      <c r="C133" s="88" t="s">
        <v>1147</v>
      </c>
      <c r="D133" s="346">
        <v>0</v>
      </c>
      <c r="E133" s="346">
        <v>0</v>
      </c>
      <c r="F133" s="346">
        <f t="shared" ref="F133:F153" si="40">D133+E133</f>
        <v>0</v>
      </c>
      <c r="G133" s="465">
        <f t="shared" ref="G133:G153" si="41">$G$16</f>
        <v>1</v>
      </c>
      <c r="H133" s="466">
        <f t="shared" ref="H133:H153" si="42">$H$127</f>
        <v>0.49780000000000002</v>
      </c>
      <c r="I133" s="346">
        <f t="shared" ref="I133:I153" si="43">F133*G133*H133</f>
        <v>0</v>
      </c>
      <c r="K133" s="346">
        <v>0</v>
      </c>
      <c r="L133" s="465">
        <f t="shared" ref="L133:M153" si="44">G133</f>
        <v>1</v>
      </c>
      <c r="M133" s="466">
        <f t="shared" si="44"/>
        <v>0.49780000000000002</v>
      </c>
      <c r="N133" s="346">
        <f t="shared" ref="N133:N153" si="45">K133*L133*M133</f>
        <v>0</v>
      </c>
    </row>
    <row r="134" spans="1:14">
      <c r="A134" s="854">
        <f t="shared" si="38"/>
        <v>119</v>
      </c>
      <c r="B134" s="513">
        <v>35010</v>
      </c>
      <c r="C134" s="88" t="s">
        <v>292</v>
      </c>
      <c r="D134" s="429">
        <v>0</v>
      </c>
      <c r="E134" s="429">
        <v>0</v>
      </c>
      <c r="F134" s="429">
        <f t="shared" si="40"/>
        <v>0</v>
      </c>
      <c r="G134" s="465">
        <f t="shared" si="41"/>
        <v>1</v>
      </c>
      <c r="H134" s="466">
        <f t="shared" si="42"/>
        <v>0.49780000000000002</v>
      </c>
      <c r="I134" s="429">
        <f t="shared" si="43"/>
        <v>0</v>
      </c>
      <c r="K134" s="429">
        <v>0</v>
      </c>
      <c r="L134" s="465">
        <f t="shared" si="44"/>
        <v>1</v>
      </c>
      <c r="M134" s="466">
        <f t="shared" si="44"/>
        <v>0.49780000000000002</v>
      </c>
      <c r="N134" s="429">
        <f t="shared" si="45"/>
        <v>0</v>
      </c>
    </row>
    <row r="135" spans="1:14">
      <c r="A135" s="854">
        <f t="shared" si="38"/>
        <v>120</v>
      </c>
      <c r="B135" s="513">
        <v>37402</v>
      </c>
      <c r="C135" s="88" t="s">
        <v>999</v>
      </c>
      <c r="D135" s="429">
        <v>0</v>
      </c>
      <c r="E135" s="429">
        <v>0</v>
      </c>
      <c r="F135" s="429">
        <f t="shared" si="40"/>
        <v>0</v>
      </c>
      <c r="G135" s="465">
        <f t="shared" si="41"/>
        <v>1</v>
      </c>
      <c r="H135" s="466">
        <f t="shared" si="42"/>
        <v>0.49780000000000002</v>
      </c>
      <c r="I135" s="429">
        <f t="shared" si="43"/>
        <v>0</v>
      </c>
      <c r="K135" s="429">
        <v>0</v>
      </c>
      <c r="L135" s="465">
        <f t="shared" si="44"/>
        <v>1</v>
      </c>
      <c r="M135" s="466">
        <f t="shared" si="44"/>
        <v>0.49780000000000002</v>
      </c>
      <c r="N135" s="429">
        <f t="shared" si="45"/>
        <v>0</v>
      </c>
    </row>
    <row r="136" spans="1:14">
      <c r="A136" s="854">
        <f t="shared" si="38"/>
        <v>121</v>
      </c>
      <c r="B136" s="513">
        <v>37403</v>
      </c>
      <c r="C136" s="88" t="s">
        <v>996</v>
      </c>
      <c r="D136" s="429">
        <v>0</v>
      </c>
      <c r="E136" s="429">
        <v>0</v>
      </c>
      <c r="F136" s="429">
        <f t="shared" si="40"/>
        <v>0</v>
      </c>
      <c r="G136" s="465">
        <f t="shared" si="41"/>
        <v>1</v>
      </c>
      <c r="H136" s="466">
        <f t="shared" si="42"/>
        <v>0.49780000000000002</v>
      </c>
      <c r="I136" s="429">
        <f t="shared" si="43"/>
        <v>0</v>
      </c>
      <c r="K136" s="429">
        <v>0</v>
      </c>
      <c r="L136" s="465">
        <f t="shared" si="44"/>
        <v>1</v>
      </c>
      <c r="M136" s="466">
        <f t="shared" si="44"/>
        <v>0.49780000000000002</v>
      </c>
      <c r="N136" s="429">
        <f t="shared" si="45"/>
        <v>0</v>
      </c>
    </row>
    <row r="137" spans="1:14">
      <c r="A137" s="854">
        <f t="shared" si="38"/>
        <v>122</v>
      </c>
      <c r="B137" s="513">
        <v>36602</v>
      </c>
      <c r="C137" s="88" t="s">
        <v>856</v>
      </c>
      <c r="D137" s="429">
        <v>0</v>
      </c>
      <c r="E137" s="429">
        <v>0</v>
      </c>
      <c r="F137" s="429">
        <f t="shared" si="40"/>
        <v>0</v>
      </c>
      <c r="G137" s="465">
        <f t="shared" si="41"/>
        <v>1</v>
      </c>
      <c r="H137" s="466">
        <f t="shared" si="42"/>
        <v>0.49780000000000002</v>
      </c>
      <c r="I137" s="429">
        <f t="shared" si="43"/>
        <v>0</v>
      </c>
      <c r="K137" s="429">
        <v>0</v>
      </c>
      <c r="L137" s="465">
        <f t="shared" si="44"/>
        <v>1</v>
      </c>
      <c r="M137" s="466">
        <f t="shared" si="44"/>
        <v>0.49780000000000002</v>
      </c>
      <c r="N137" s="429">
        <f t="shared" si="45"/>
        <v>0</v>
      </c>
    </row>
    <row r="138" spans="1:14">
      <c r="A138" s="854">
        <f t="shared" si="38"/>
        <v>123</v>
      </c>
      <c r="B138" s="513">
        <v>37501</v>
      </c>
      <c r="C138" s="88" t="s">
        <v>997</v>
      </c>
      <c r="D138" s="429">
        <v>0</v>
      </c>
      <c r="E138" s="429">
        <v>0</v>
      </c>
      <c r="F138" s="429">
        <f t="shared" si="40"/>
        <v>0</v>
      </c>
      <c r="G138" s="465">
        <f t="shared" si="41"/>
        <v>1</v>
      </c>
      <c r="H138" s="466">
        <f t="shared" si="42"/>
        <v>0.49780000000000002</v>
      </c>
      <c r="I138" s="429">
        <f t="shared" si="43"/>
        <v>0</v>
      </c>
      <c r="K138" s="429">
        <v>0</v>
      </c>
      <c r="L138" s="465">
        <f t="shared" si="44"/>
        <v>1</v>
      </c>
      <c r="M138" s="466">
        <f t="shared" si="44"/>
        <v>0.49780000000000002</v>
      </c>
      <c r="N138" s="429">
        <f t="shared" si="45"/>
        <v>0</v>
      </c>
    </row>
    <row r="139" spans="1:14">
      <c r="A139" s="854">
        <f t="shared" si="38"/>
        <v>124</v>
      </c>
      <c r="B139" s="513">
        <v>37402</v>
      </c>
      <c r="C139" s="88" t="s">
        <v>999</v>
      </c>
      <c r="D139" s="429">
        <v>0</v>
      </c>
      <c r="E139" s="429">
        <v>0</v>
      </c>
      <c r="F139" s="429">
        <f t="shared" si="40"/>
        <v>0</v>
      </c>
      <c r="G139" s="465">
        <f t="shared" si="41"/>
        <v>1</v>
      </c>
      <c r="H139" s="466">
        <f t="shared" si="42"/>
        <v>0.49780000000000002</v>
      </c>
      <c r="I139" s="429">
        <f t="shared" si="43"/>
        <v>0</v>
      </c>
      <c r="K139" s="429">
        <v>0</v>
      </c>
      <c r="L139" s="465">
        <f t="shared" si="44"/>
        <v>1</v>
      </c>
      <c r="M139" s="466">
        <f t="shared" si="44"/>
        <v>0.49780000000000002</v>
      </c>
      <c r="N139" s="429">
        <f t="shared" si="45"/>
        <v>0</v>
      </c>
    </row>
    <row r="140" spans="1:14">
      <c r="A140" s="854">
        <f t="shared" si="38"/>
        <v>125</v>
      </c>
      <c r="B140" s="513">
        <v>37503</v>
      </c>
      <c r="C140" s="88" t="s">
        <v>998</v>
      </c>
      <c r="D140" s="429">
        <v>0</v>
      </c>
      <c r="E140" s="429">
        <v>0</v>
      </c>
      <c r="F140" s="429">
        <f t="shared" si="40"/>
        <v>0</v>
      </c>
      <c r="G140" s="465">
        <f t="shared" si="41"/>
        <v>1</v>
      </c>
      <c r="H140" s="466">
        <f t="shared" si="42"/>
        <v>0.49780000000000002</v>
      </c>
      <c r="I140" s="429">
        <f t="shared" si="43"/>
        <v>0</v>
      </c>
      <c r="K140" s="429">
        <v>0</v>
      </c>
      <c r="L140" s="465">
        <f t="shared" si="44"/>
        <v>1</v>
      </c>
      <c r="M140" s="466">
        <f t="shared" si="44"/>
        <v>0.49780000000000002</v>
      </c>
      <c r="N140" s="429">
        <f t="shared" si="45"/>
        <v>0</v>
      </c>
    </row>
    <row r="141" spans="1:14">
      <c r="A141" s="854">
        <f t="shared" si="38"/>
        <v>126</v>
      </c>
      <c r="B141" s="513">
        <v>36700</v>
      </c>
      <c r="C141" s="88" t="s">
        <v>844</v>
      </c>
      <c r="D141" s="429">
        <v>0</v>
      </c>
      <c r="E141" s="429">
        <v>0</v>
      </c>
      <c r="F141" s="429">
        <f t="shared" si="40"/>
        <v>0</v>
      </c>
      <c r="G141" s="465">
        <f t="shared" si="41"/>
        <v>1</v>
      </c>
      <c r="H141" s="466">
        <f t="shared" si="42"/>
        <v>0.49780000000000002</v>
      </c>
      <c r="I141" s="429">
        <f t="shared" si="43"/>
        <v>0</v>
      </c>
      <c r="K141" s="429">
        <v>0</v>
      </c>
      <c r="L141" s="465">
        <f t="shared" si="44"/>
        <v>1</v>
      </c>
      <c r="M141" s="466">
        <f t="shared" si="44"/>
        <v>0.49780000000000002</v>
      </c>
      <c r="N141" s="429">
        <f t="shared" si="45"/>
        <v>0</v>
      </c>
    </row>
    <row r="142" spans="1:14">
      <c r="A142" s="854">
        <f t="shared" si="38"/>
        <v>127</v>
      </c>
      <c r="B142" s="513">
        <v>36701</v>
      </c>
      <c r="C142" s="88" t="s">
        <v>16</v>
      </c>
      <c r="D142" s="429">
        <v>0</v>
      </c>
      <c r="E142" s="429">
        <v>0</v>
      </c>
      <c r="F142" s="429">
        <f t="shared" si="40"/>
        <v>0</v>
      </c>
      <c r="G142" s="465">
        <f t="shared" si="41"/>
        <v>1</v>
      </c>
      <c r="H142" s="466">
        <f t="shared" si="42"/>
        <v>0.49780000000000002</v>
      </c>
      <c r="I142" s="429">
        <f t="shared" si="43"/>
        <v>0</v>
      </c>
      <c r="K142" s="429">
        <v>0</v>
      </c>
      <c r="L142" s="465">
        <f t="shared" si="44"/>
        <v>1</v>
      </c>
      <c r="M142" s="466">
        <f t="shared" si="44"/>
        <v>0.49780000000000002</v>
      </c>
      <c r="N142" s="429">
        <f t="shared" si="45"/>
        <v>0</v>
      </c>
    </row>
    <row r="143" spans="1:14">
      <c r="A143" s="854">
        <f t="shared" si="38"/>
        <v>128</v>
      </c>
      <c r="B143" s="513">
        <v>37602</v>
      </c>
      <c r="C143" s="88" t="s">
        <v>845</v>
      </c>
      <c r="D143" s="429">
        <v>0</v>
      </c>
      <c r="E143" s="429">
        <v>0</v>
      </c>
      <c r="F143" s="429">
        <f t="shared" si="40"/>
        <v>0</v>
      </c>
      <c r="G143" s="465">
        <f t="shared" si="41"/>
        <v>1</v>
      </c>
      <c r="H143" s="466">
        <f t="shared" si="42"/>
        <v>0.49780000000000002</v>
      </c>
      <c r="I143" s="429">
        <f t="shared" si="43"/>
        <v>0</v>
      </c>
      <c r="K143" s="429">
        <v>0</v>
      </c>
      <c r="L143" s="465">
        <f t="shared" si="44"/>
        <v>1</v>
      </c>
      <c r="M143" s="466">
        <f t="shared" si="44"/>
        <v>0.49780000000000002</v>
      </c>
      <c r="N143" s="429">
        <f t="shared" si="45"/>
        <v>0</v>
      </c>
    </row>
    <row r="144" spans="1:14">
      <c r="A144" s="854">
        <f t="shared" si="38"/>
        <v>129</v>
      </c>
      <c r="B144" s="513">
        <v>37800</v>
      </c>
      <c r="C144" s="88" t="s">
        <v>229</v>
      </c>
      <c r="D144" s="429">
        <v>0</v>
      </c>
      <c r="E144" s="429">
        <v>0</v>
      </c>
      <c r="F144" s="429">
        <f t="shared" si="40"/>
        <v>0</v>
      </c>
      <c r="G144" s="465">
        <f t="shared" si="41"/>
        <v>1</v>
      </c>
      <c r="H144" s="466">
        <f t="shared" si="42"/>
        <v>0.49780000000000002</v>
      </c>
      <c r="I144" s="429">
        <f t="shared" si="43"/>
        <v>0</v>
      </c>
      <c r="K144" s="429">
        <v>0</v>
      </c>
      <c r="L144" s="465">
        <f t="shared" si="44"/>
        <v>1</v>
      </c>
      <c r="M144" s="466">
        <f t="shared" si="44"/>
        <v>0.49780000000000002</v>
      </c>
      <c r="N144" s="429">
        <f t="shared" si="45"/>
        <v>0</v>
      </c>
    </row>
    <row r="145" spans="1:20">
      <c r="A145" s="854">
        <f t="shared" si="38"/>
        <v>130</v>
      </c>
      <c r="B145" s="513">
        <v>37900</v>
      </c>
      <c r="C145" s="88" t="s">
        <v>1190</v>
      </c>
      <c r="D145" s="429">
        <v>0</v>
      </c>
      <c r="E145" s="429">
        <v>0</v>
      </c>
      <c r="F145" s="429">
        <f t="shared" si="40"/>
        <v>0</v>
      </c>
      <c r="G145" s="465">
        <f t="shared" si="41"/>
        <v>1</v>
      </c>
      <c r="H145" s="466">
        <f t="shared" si="42"/>
        <v>0.49780000000000002</v>
      </c>
      <c r="I145" s="429">
        <f t="shared" si="43"/>
        <v>0</v>
      </c>
      <c r="K145" s="429">
        <v>0</v>
      </c>
      <c r="L145" s="465">
        <f t="shared" si="44"/>
        <v>1</v>
      </c>
      <c r="M145" s="466">
        <f t="shared" si="44"/>
        <v>0.49780000000000002</v>
      </c>
      <c r="N145" s="429">
        <f t="shared" si="45"/>
        <v>0</v>
      </c>
    </row>
    <row r="146" spans="1:20">
      <c r="A146" s="854">
        <f t="shared" si="38"/>
        <v>131</v>
      </c>
      <c r="B146" s="513">
        <v>37905</v>
      </c>
      <c r="C146" s="88" t="s">
        <v>725</v>
      </c>
      <c r="D146" s="429">
        <v>0</v>
      </c>
      <c r="E146" s="429">
        <v>0</v>
      </c>
      <c r="F146" s="429">
        <f t="shared" si="40"/>
        <v>0</v>
      </c>
      <c r="G146" s="465">
        <f t="shared" si="41"/>
        <v>1</v>
      </c>
      <c r="H146" s="466">
        <f t="shared" si="42"/>
        <v>0.49780000000000002</v>
      </c>
      <c r="I146" s="429">
        <f t="shared" si="43"/>
        <v>0</v>
      </c>
      <c r="K146" s="429">
        <v>0</v>
      </c>
      <c r="L146" s="465">
        <f t="shared" si="44"/>
        <v>1</v>
      </c>
      <c r="M146" s="466">
        <f t="shared" si="44"/>
        <v>0.49780000000000002</v>
      </c>
      <c r="N146" s="429">
        <f t="shared" si="45"/>
        <v>0</v>
      </c>
    </row>
    <row r="147" spans="1:20">
      <c r="A147" s="854">
        <f t="shared" si="38"/>
        <v>132</v>
      </c>
      <c r="B147" s="513">
        <v>38000</v>
      </c>
      <c r="C147" s="88" t="s">
        <v>1052</v>
      </c>
      <c r="D147" s="429">
        <v>0</v>
      </c>
      <c r="E147" s="429">
        <v>0</v>
      </c>
      <c r="F147" s="429">
        <f t="shared" si="40"/>
        <v>0</v>
      </c>
      <c r="G147" s="465">
        <f t="shared" si="41"/>
        <v>1</v>
      </c>
      <c r="H147" s="466">
        <f t="shared" si="42"/>
        <v>0.49780000000000002</v>
      </c>
      <c r="I147" s="429">
        <f t="shared" si="43"/>
        <v>0</v>
      </c>
      <c r="K147" s="429">
        <v>0</v>
      </c>
      <c r="L147" s="465">
        <f t="shared" si="44"/>
        <v>1</v>
      </c>
      <c r="M147" s="466">
        <f t="shared" si="44"/>
        <v>0.49780000000000002</v>
      </c>
      <c r="N147" s="429">
        <f t="shared" si="45"/>
        <v>0</v>
      </c>
    </row>
    <row r="148" spans="1:20">
      <c r="A148" s="854">
        <f t="shared" si="38"/>
        <v>133</v>
      </c>
      <c r="B148" s="513">
        <v>38100</v>
      </c>
      <c r="C148" s="88" t="s">
        <v>846</v>
      </c>
      <c r="D148" s="429">
        <v>0</v>
      </c>
      <c r="E148" s="429">
        <v>0</v>
      </c>
      <c r="F148" s="429">
        <f t="shared" si="40"/>
        <v>0</v>
      </c>
      <c r="G148" s="465">
        <f t="shared" si="41"/>
        <v>1</v>
      </c>
      <c r="H148" s="466">
        <f t="shared" si="42"/>
        <v>0.49780000000000002</v>
      </c>
      <c r="I148" s="429">
        <f t="shared" si="43"/>
        <v>0</v>
      </c>
      <c r="K148" s="429">
        <v>0</v>
      </c>
      <c r="L148" s="465">
        <f t="shared" si="44"/>
        <v>1</v>
      </c>
      <c r="M148" s="466">
        <f t="shared" si="44"/>
        <v>0.49780000000000002</v>
      </c>
      <c r="N148" s="429">
        <f t="shared" si="45"/>
        <v>0</v>
      </c>
    </row>
    <row r="149" spans="1:20">
      <c r="A149" s="854">
        <f t="shared" si="38"/>
        <v>134</v>
      </c>
      <c r="B149" s="513">
        <v>38200</v>
      </c>
      <c r="C149" s="88" t="s">
        <v>442</v>
      </c>
      <c r="D149" s="429">
        <v>0</v>
      </c>
      <c r="E149" s="429">
        <v>0</v>
      </c>
      <c r="F149" s="429">
        <f t="shared" si="40"/>
        <v>0</v>
      </c>
      <c r="G149" s="465">
        <f t="shared" si="41"/>
        <v>1</v>
      </c>
      <c r="H149" s="466">
        <f t="shared" si="42"/>
        <v>0.49780000000000002</v>
      </c>
      <c r="I149" s="429">
        <f t="shared" si="43"/>
        <v>0</v>
      </c>
      <c r="K149" s="429">
        <v>0</v>
      </c>
      <c r="L149" s="465">
        <f t="shared" si="44"/>
        <v>1</v>
      </c>
      <c r="M149" s="466">
        <f t="shared" si="44"/>
        <v>0.49780000000000002</v>
      </c>
      <c r="N149" s="429">
        <f t="shared" si="45"/>
        <v>0</v>
      </c>
    </row>
    <row r="150" spans="1:20">
      <c r="A150" s="854">
        <f t="shared" si="38"/>
        <v>135</v>
      </c>
      <c r="B150" s="513">
        <v>38300</v>
      </c>
      <c r="C150" s="88" t="s">
        <v>1053</v>
      </c>
      <c r="D150" s="429">
        <v>0</v>
      </c>
      <c r="E150" s="429">
        <v>0</v>
      </c>
      <c r="F150" s="429">
        <f t="shared" si="40"/>
        <v>0</v>
      </c>
      <c r="G150" s="465">
        <f t="shared" si="41"/>
        <v>1</v>
      </c>
      <c r="H150" s="466">
        <f t="shared" si="42"/>
        <v>0.49780000000000002</v>
      </c>
      <c r="I150" s="429">
        <f t="shared" si="43"/>
        <v>0</v>
      </c>
      <c r="K150" s="429">
        <v>0</v>
      </c>
      <c r="L150" s="465">
        <f t="shared" si="44"/>
        <v>1</v>
      </c>
      <c r="M150" s="466">
        <f t="shared" si="44"/>
        <v>0.49780000000000002</v>
      </c>
      <c r="N150" s="429">
        <f t="shared" si="45"/>
        <v>0</v>
      </c>
    </row>
    <row r="151" spans="1:20">
      <c r="A151" s="854">
        <f t="shared" si="38"/>
        <v>136</v>
      </c>
      <c r="B151" s="513">
        <v>38400</v>
      </c>
      <c r="C151" s="88" t="s">
        <v>443</v>
      </c>
      <c r="D151" s="429">
        <v>0</v>
      </c>
      <c r="E151" s="429">
        <v>0</v>
      </c>
      <c r="F151" s="429">
        <f t="shared" si="40"/>
        <v>0</v>
      </c>
      <c r="G151" s="465">
        <f t="shared" si="41"/>
        <v>1</v>
      </c>
      <c r="H151" s="466">
        <f t="shared" si="42"/>
        <v>0.49780000000000002</v>
      </c>
      <c r="I151" s="429">
        <f t="shared" si="43"/>
        <v>0</v>
      </c>
      <c r="K151" s="429">
        <v>0</v>
      </c>
      <c r="L151" s="465">
        <f t="shared" si="44"/>
        <v>1</v>
      </c>
      <c r="M151" s="466">
        <f t="shared" si="44"/>
        <v>0.49780000000000002</v>
      </c>
      <c r="N151" s="429">
        <f t="shared" si="45"/>
        <v>0</v>
      </c>
    </row>
    <row r="152" spans="1:20">
      <c r="A152" s="854">
        <f t="shared" si="38"/>
        <v>137</v>
      </c>
      <c r="B152" s="513">
        <v>38500</v>
      </c>
      <c r="C152" s="88" t="s">
        <v>444</v>
      </c>
      <c r="D152" s="429">
        <v>0</v>
      </c>
      <c r="E152" s="429">
        <v>0</v>
      </c>
      <c r="F152" s="429">
        <f t="shared" si="40"/>
        <v>0</v>
      </c>
      <c r="G152" s="465">
        <f t="shared" si="41"/>
        <v>1</v>
      </c>
      <c r="H152" s="466">
        <f t="shared" si="42"/>
        <v>0.49780000000000002</v>
      </c>
      <c r="I152" s="429">
        <f t="shared" si="43"/>
        <v>0</v>
      </c>
      <c r="K152" s="429">
        <v>0</v>
      </c>
      <c r="L152" s="465">
        <f t="shared" si="44"/>
        <v>1</v>
      </c>
      <c r="M152" s="466">
        <f t="shared" si="44"/>
        <v>0.49780000000000002</v>
      </c>
      <c r="N152" s="429">
        <f t="shared" si="45"/>
        <v>0</v>
      </c>
    </row>
    <row r="153" spans="1:20">
      <c r="A153" s="854">
        <f t="shared" si="38"/>
        <v>138</v>
      </c>
      <c r="B153" s="513">
        <v>38600</v>
      </c>
      <c r="C153" s="88" t="s">
        <v>106</v>
      </c>
      <c r="D153" s="1042">
        <v>0</v>
      </c>
      <c r="E153" s="1042">
        <v>0</v>
      </c>
      <c r="F153" s="1042">
        <f t="shared" si="40"/>
        <v>0</v>
      </c>
      <c r="G153" s="465">
        <f t="shared" si="41"/>
        <v>1</v>
      </c>
      <c r="H153" s="466">
        <f t="shared" si="42"/>
        <v>0.49780000000000002</v>
      </c>
      <c r="I153" s="1042">
        <f t="shared" si="43"/>
        <v>0</v>
      </c>
      <c r="K153" s="1042">
        <v>0</v>
      </c>
      <c r="L153" s="465">
        <f t="shared" si="44"/>
        <v>1</v>
      </c>
      <c r="M153" s="466">
        <f t="shared" si="44"/>
        <v>0.49780000000000002</v>
      </c>
      <c r="N153" s="1042">
        <f t="shared" si="45"/>
        <v>0</v>
      </c>
    </row>
    <row r="154" spans="1:20" ht="15" customHeight="1">
      <c r="A154" s="854">
        <f t="shared" ref="A154:A236" si="46">A153+1</f>
        <v>139</v>
      </c>
      <c r="B154" s="513"/>
      <c r="C154" s="88"/>
      <c r="D154" s="618"/>
      <c r="E154" s="618"/>
      <c r="F154" s="618"/>
      <c r="M154" s="466"/>
    </row>
    <row r="155" spans="1:20" ht="15" customHeight="1">
      <c r="A155" s="854">
        <f t="shared" si="46"/>
        <v>140</v>
      </c>
      <c r="B155" s="513"/>
      <c r="C155" s="88" t="s">
        <v>300</v>
      </c>
      <c r="D155" s="346">
        <f>SUM(D133:D154)</f>
        <v>0</v>
      </c>
      <c r="E155" s="346">
        <f>SUM(E133:E154)</f>
        <v>0</v>
      </c>
      <c r="F155" s="346">
        <f>SUM(F133:F154)</f>
        <v>0</v>
      </c>
      <c r="I155" s="346">
        <f>SUM(I133:I154)</f>
        <v>0</v>
      </c>
      <c r="K155" s="346">
        <f>SUM(K133:K154)</f>
        <v>0</v>
      </c>
      <c r="M155" s="466"/>
      <c r="N155" s="346">
        <f>SUM(N133:N154)</f>
        <v>0</v>
      </c>
    </row>
    <row r="156" spans="1:20">
      <c r="A156" s="854">
        <f t="shared" si="46"/>
        <v>141</v>
      </c>
      <c r="B156" s="513"/>
      <c r="C156" s="88"/>
      <c r="M156" s="466"/>
    </row>
    <row r="157" spans="1:20">
      <c r="A157" s="854">
        <f t="shared" si="46"/>
        <v>142</v>
      </c>
      <c r="B157" s="706"/>
      <c r="C157" s="619" t="s">
        <v>301</v>
      </c>
      <c r="M157" s="466"/>
    </row>
    <row r="158" spans="1:20">
      <c r="A158" s="854">
        <f t="shared" si="46"/>
        <v>143</v>
      </c>
      <c r="B158" s="513">
        <v>39001</v>
      </c>
      <c r="C158" s="88" t="s">
        <v>1543</v>
      </c>
      <c r="D158" s="346">
        <v>108391.89281200003</v>
      </c>
      <c r="E158" s="346">
        <v>0</v>
      </c>
      <c r="F158" s="346">
        <f t="shared" ref="F158:F179" si="47">D158+E158</f>
        <v>108391.89281200003</v>
      </c>
      <c r="G158" s="466">
        <f t="shared" ref="G158:G179" si="48">$G$16</f>
        <v>1</v>
      </c>
      <c r="H158" s="466">
        <f t="shared" ref="H158:H179" si="49">$H$127</f>
        <v>0.49780000000000002</v>
      </c>
      <c r="I158" s="346">
        <f t="shared" ref="I158:I179" si="50">F158*G158*H158</f>
        <v>53957.484241813618</v>
      </c>
      <c r="K158" s="346">
        <v>105881.15353200004</v>
      </c>
      <c r="L158" s="466">
        <f t="shared" ref="L158:M178" si="51">G158</f>
        <v>1</v>
      </c>
      <c r="M158" s="466">
        <f t="shared" si="51"/>
        <v>0.49780000000000002</v>
      </c>
      <c r="N158" s="346">
        <f t="shared" ref="N158:N179" si="52">K158*L158*M158</f>
        <v>52707.638228229625</v>
      </c>
      <c r="S158" s="466"/>
      <c r="T158" s="466"/>
    </row>
    <row r="159" spans="1:20">
      <c r="A159" s="854">
        <f t="shared" si="46"/>
        <v>144</v>
      </c>
      <c r="B159" s="513">
        <v>39004</v>
      </c>
      <c r="C159" s="88" t="s">
        <v>1527</v>
      </c>
      <c r="D159" s="346">
        <v>10788.151055249995</v>
      </c>
      <c r="E159" s="429">
        <v>0</v>
      </c>
      <c r="F159" s="429">
        <f t="shared" si="47"/>
        <v>10788.151055249995</v>
      </c>
      <c r="G159" s="465">
        <f t="shared" si="48"/>
        <v>1</v>
      </c>
      <c r="H159" s="466">
        <f t="shared" si="49"/>
        <v>0.49780000000000002</v>
      </c>
      <c r="I159" s="429">
        <f t="shared" si="50"/>
        <v>5370.3415953034473</v>
      </c>
      <c r="K159" s="346">
        <v>10224.330753749995</v>
      </c>
      <c r="L159" s="465">
        <f t="shared" si="51"/>
        <v>1</v>
      </c>
      <c r="M159" s="466">
        <f t="shared" si="51"/>
        <v>0.49780000000000002</v>
      </c>
      <c r="N159" s="429">
        <f t="shared" si="52"/>
        <v>5089.6718492167474</v>
      </c>
      <c r="S159" s="466"/>
      <c r="T159" s="466"/>
    </row>
    <row r="160" spans="1:20">
      <c r="A160" s="854">
        <f t="shared" si="46"/>
        <v>145</v>
      </c>
      <c r="B160" s="513">
        <v>39009</v>
      </c>
      <c r="C160" s="88" t="s">
        <v>1528</v>
      </c>
      <c r="D160" s="346">
        <v>38834</v>
      </c>
      <c r="E160" s="429">
        <v>0</v>
      </c>
      <c r="F160" s="429">
        <f t="shared" si="47"/>
        <v>38834</v>
      </c>
      <c r="G160" s="465">
        <f t="shared" si="48"/>
        <v>1</v>
      </c>
      <c r="H160" s="466">
        <f t="shared" si="49"/>
        <v>0.49780000000000002</v>
      </c>
      <c r="I160" s="429">
        <f t="shared" si="50"/>
        <v>19331.565200000001</v>
      </c>
      <c r="K160" s="346">
        <v>38834</v>
      </c>
      <c r="L160" s="465">
        <f t="shared" si="51"/>
        <v>1</v>
      </c>
      <c r="M160" s="466">
        <f t="shared" si="51"/>
        <v>0.49780000000000002</v>
      </c>
      <c r="N160" s="429">
        <f t="shared" si="52"/>
        <v>19331.565200000001</v>
      </c>
      <c r="S160" s="466"/>
      <c r="T160" s="466"/>
    </row>
    <row r="161" spans="1:20">
      <c r="A161" s="854">
        <f t="shared" si="46"/>
        <v>146</v>
      </c>
      <c r="B161" s="513">
        <v>39100</v>
      </c>
      <c r="C161" s="88" t="s">
        <v>1529</v>
      </c>
      <c r="D161" s="346">
        <v>38609.33</v>
      </c>
      <c r="E161" s="429">
        <v>0</v>
      </c>
      <c r="F161" s="429">
        <f t="shared" si="47"/>
        <v>38609.33</v>
      </c>
      <c r="G161" s="465">
        <f t="shared" si="48"/>
        <v>1</v>
      </c>
      <c r="H161" s="466">
        <f t="shared" si="49"/>
        <v>0.49780000000000002</v>
      </c>
      <c r="I161" s="429">
        <f t="shared" si="50"/>
        <v>19219.724474000002</v>
      </c>
      <c r="K161" s="346">
        <v>38609.330000000009</v>
      </c>
      <c r="L161" s="465">
        <f t="shared" si="51"/>
        <v>1</v>
      </c>
      <c r="M161" s="466">
        <f t="shared" si="51"/>
        <v>0.49780000000000002</v>
      </c>
      <c r="N161" s="429">
        <f t="shared" si="52"/>
        <v>19219.724474000006</v>
      </c>
      <c r="S161" s="466"/>
      <c r="T161" s="466"/>
    </row>
    <row r="162" spans="1:20">
      <c r="A162" s="854">
        <f t="shared" si="46"/>
        <v>147</v>
      </c>
      <c r="B162" s="513">
        <v>39101</v>
      </c>
      <c r="C162" s="88" t="s">
        <v>1499</v>
      </c>
      <c r="D162" s="346">
        <v>0</v>
      </c>
      <c r="E162" s="429">
        <v>0</v>
      </c>
      <c r="F162" s="429">
        <f t="shared" si="47"/>
        <v>0</v>
      </c>
      <c r="G162" s="465">
        <f t="shared" si="48"/>
        <v>1</v>
      </c>
      <c r="H162" s="466">
        <f t="shared" si="49"/>
        <v>0.49780000000000002</v>
      </c>
      <c r="I162" s="429">
        <f t="shared" si="50"/>
        <v>0</v>
      </c>
      <c r="K162" s="346">
        <v>0</v>
      </c>
      <c r="L162" s="465">
        <f t="shared" si="51"/>
        <v>1</v>
      </c>
      <c r="M162" s="466">
        <f t="shared" si="51"/>
        <v>0.49780000000000002</v>
      </c>
      <c r="N162" s="429">
        <f t="shared" si="52"/>
        <v>0</v>
      </c>
      <c r="S162" s="466"/>
      <c r="T162" s="466"/>
    </row>
    <row r="163" spans="1:20">
      <c r="A163" s="854">
        <f t="shared" si="46"/>
        <v>148</v>
      </c>
      <c r="B163" s="513">
        <v>39103</v>
      </c>
      <c r="C163" s="88" t="s">
        <v>780</v>
      </c>
      <c r="D163" s="346">
        <v>0</v>
      </c>
      <c r="E163" s="429">
        <v>0</v>
      </c>
      <c r="F163" s="429">
        <f t="shared" ref="F163:F167" si="53">D163+E163</f>
        <v>0</v>
      </c>
      <c r="G163" s="465">
        <f t="shared" si="48"/>
        <v>1</v>
      </c>
      <c r="H163" s="466">
        <f t="shared" si="49"/>
        <v>0.49780000000000002</v>
      </c>
      <c r="I163" s="429">
        <f t="shared" si="50"/>
        <v>0</v>
      </c>
      <c r="K163" s="346">
        <v>0</v>
      </c>
      <c r="L163" s="465">
        <f t="shared" ref="L163:L168" si="54">G163</f>
        <v>1</v>
      </c>
      <c r="M163" s="466">
        <f t="shared" ref="M163:M168" si="55">H163</f>
        <v>0.49780000000000002</v>
      </c>
      <c r="N163" s="429">
        <f t="shared" si="52"/>
        <v>0</v>
      </c>
      <c r="S163" s="466"/>
      <c r="T163" s="466"/>
    </row>
    <row r="164" spans="1:20">
      <c r="A164" s="854">
        <f t="shared" si="46"/>
        <v>149</v>
      </c>
      <c r="B164" s="513">
        <v>39200</v>
      </c>
      <c r="C164" s="88" t="s">
        <v>1544</v>
      </c>
      <c r="D164" s="346">
        <v>18749.059122249982</v>
      </c>
      <c r="E164" s="429">
        <v>0</v>
      </c>
      <c r="F164" s="429">
        <f t="shared" si="53"/>
        <v>18749.059122249982</v>
      </c>
      <c r="G164" s="465">
        <f t="shared" si="48"/>
        <v>1</v>
      </c>
      <c r="H164" s="466">
        <f t="shared" si="49"/>
        <v>0.49780000000000002</v>
      </c>
      <c r="I164" s="429">
        <f t="shared" si="50"/>
        <v>9333.2816310560411</v>
      </c>
      <c r="K164" s="346">
        <v>17869.127869749991</v>
      </c>
      <c r="L164" s="465">
        <f t="shared" si="54"/>
        <v>1</v>
      </c>
      <c r="M164" s="466">
        <f t="shared" si="55"/>
        <v>0.49780000000000002</v>
      </c>
      <c r="N164" s="429">
        <f t="shared" si="52"/>
        <v>8895.2518535615454</v>
      </c>
      <c r="S164" s="466"/>
      <c r="T164" s="466"/>
    </row>
    <row r="165" spans="1:20">
      <c r="A165" s="854">
        <f t="shared" si="46"/>
        <v>150</v>
      </c>
      <c r="B165" s="513">
        <v>39300</v>
      </c>
      <c r="C165" s="88" t="s">
        <v>649</v>
      </c>
      <c r="D165" s="346">
        <v>0</v>
      </c>
      <c r="E165" s="429">
        <v>0</v>
      </c>
      <c r="F165" s="429">
        <f t="shared" si="53"/>
        <v>0</v>
      </c>
      <c r="G165" s="465">
        <f t="shared" si="48"/>
        <v>1</v>
      </c>
      <c r="H165" s="466">
        <f t="shared" si="49"/>
        <v>0.49780000000000002</v>
      </c>
      <c r="I165" s="429">
        <f t="shared" si="50"/>
        <v>0</v>
      </c>
      <c r="K165" s="346">
        <v>0</v>
      </c>
      <c r="L165" s="465">
        <f t="shared" si="54"/>
        <v>1</v>
      </c>
      <c r="M165" s="466">
        <f t="shared" si="55"/>
        <v>0.49780000000000002</v>
      </c>
      <c r="N165" s="429">
        <f t="shared" si="52"/>
        <v>0</v>
      </c>
      <c r="S165" s="466"/>
      <c r="T165" s="466"/>
    </row>
    <row r="166" spans="1:20">
      <c r="A166" s="854">
        <f t="shared" si="46"/>
        <v>151</v>
      </c>
      <c r="B166" s="513">
        <v>39400</v>
      </c>
      <c r="C166" s="88" t="s">
        <v>1532</v>
      </c>
      <c r="D166" s="346">
        <v>148312.298928</v>
      </c>
      <c r="E166" s="429">
        <v>0</v>
      </c>
      <c r="F166" s="429">
        <f t="shared" si="53"/>
        <v>148312.298928</v>
      </c>
      <c r="G166" s="465">
        <f t="shared" si="48"/>
        <v>1</v>
      </c>
      <c r="H166" s="466">
        <f t="shared" si="49"/>
        <v>0.49780000000000002</v>
      </c>
      <c r="I166" s="429">
        <f t="shared" si="50"/>
        <v>73829.862406358399</v>
      </c>
      <c r="K166" s="346">
        <v>143854.059324</v>
      </c>
      <c r="L166" s="465">
        <f t="shared" si="54"/>
        <v>1</v>
      </c>
      <c r="M166" s="466">
        <f t="shared" si="55"/>
        <v>0.49780000000000002</v>
      </c>
      <c r="N166" s="429">
        <f t="shared" si="52"/>
        <v>71610.550731487208</v>
      </c>
      <c r="S166" s="466"/>
      <c r="T166" s="466"/>
    </row>
    <row r="167" spans="1:20">
      <c r="A167" s="854">
        <f t="shared" si="46"/>
        <v>152</v>
      </c>
      <c r="B167" s="513">
        <v>39600</v>
      </c>
      <c r="C167" s="88" t="s">
        <v>1545</v>
      </c>
      <c r="D167" s="346">
        <v>9399.2466179999992</v>
      </c>
      <c r="E167" s="429">
        <v>0</v>
      </c>
      <c r="F167" s="429">
        <f t="shared" si="53"/>
        <v>9399.2466179999992</v>
      </c>
      <c r="G167" s="465">
        <f t="shared" si="48"/>
        <v>1</v>
      </c>
      <c r="H167" s="466">
        <f t="shared" si="49"/>
        <v>0.49780000000000002</v>
      </c>
      <c r="I167" s="429">
        <f t="shared" si="50"/>
        <v>4678.9449664404001</v>
      </c>
      <c r="K167" s="346">
        <v>8788.9048404999994</v>
      </c>
      <c r="L167" s="465">
        <f t="shared" si="54"/>
        <v>1</v>
      </c>
      <c r="M167" s="466">
        <f t="shared" si="55"/>
        <v>0.49780000000000002</v>
      </c>
      <c r="N167" s="429">
        <f t="shared" si="52"/>
        <v>4375.1168296009</v>
      </c>
      <c r="S167" s="466"/>
      <c r="T167" s="466"/>
    </row>
    <row r="168" spans="1:20">
      <c r="A168" s="854">
        <f t="shared" si="46"/>
        <v>153</v>
      </c>
      <c r="B168" s="513">
        <v>39700</v>
      </c>
      <c r="C168" s="88" t="s">
        <v>1536</v>
      </c>
      <c r="D168" s="346">
        <v>-4350.0706249999967</v>
      </c>
      <c r="E168" s="429">
        <v>0</v>
      </c>
      <c r="F168" s="429">
        <f t="shared" si="47"/>
        <v>-4350.0706249999967</v>
      </c>
      <c r="G168" s="465">
        <f t="shared" si="48"/>
        <v>1</v>
      </c>
      <c r="H168" s="466">
        <f t="shared" si="49"/>
        <v>0.49780000000000002</v>
      </c>
      <c r="I168" s="429">
        <f t="shared" si="50"/>
        <v>-2165.4651571249983</v>
      </c>
      <c r="K168" s="346">
        <v>-6009.382824999997</v>
      </c>
      <c r="L168" s="465">
        <f t="shared" si="54"/>
        <v>1</v>
      </c>
      <c r="M168" s="466">
        <f t="shared" si="55"/>
        <v>0.49780000000000002</v>
      </c>
      <c r="N168" s="429">
        <f t="shared" si="52"/>
        <v>-2991.4707702849987</v>
      </c>
      <c r="S168" s="466"/>
      <c r="T168" s="466"/>
    </row>
    <row r="169" spans="1:20">
      <c r="A169" s="854">
        <f t="shared" si="46"/>
        <v>154</v>
      </c>
      <c r="B169" s="513">
        <v>39701</v>
      </c>
      <c r="C169" s="88" t="s">
        <v>1496</v>
      </c>
      <c r="D169" s="346">
        <v>0</v>
      </c>
      <c r="E169" s="429">
        <v>0</v>
      </c>
      <c r="F169" s="429">
        <f t="shared" si="47"/>
        <v>0</v>
      </c>
      <c r="G169" s="465">
        <f t="shared" si="48"/>
        <v>1</v>
      </c>
      <c r="H169" s="466">
        <f t="shared" si="49"/>
        <v>0.49780000000000002</v>
      </c>
      <c r="I169" s="429">
        <f t="shared" si="50"/>
        <v>0</v>
      </c>
      <c r="K169" s="346">
        <v>0</v>
      </c>
      <c r="L169" s="465">
        <f t="shared" si="51"/>
        <v>1</v>
      </c>
      <c r="M169" s="466">
        <f t="shared" si="51"/>
        <v>0.49780000000000002</v>
      </c>
      <c r="N169" s="429">
        <f t="shared" si="52"/>
        <v>0</v>
      </c>
      <c r="S169" s="466"/>
      <c r="T169" s="466"/>
    </row>
    <row r="170" spans="1:20">
      <c r="A170" s="854">
        <f t="shared" si="46"/>
        <v>155</v>
      </c>
      <c r="B170" s="706">
        <v>39702</v>
      </c>
      <c r="C170" s="88" t="s">
        <v>1496</v>
      </c>
      <c r="D170" s="346">
        <v>0</v>
      </c>
      <c r="E170" s="429">
        <v>0</v>
      </c>
      <c r="F170" s="429">
        <f t="shared" si="47"/>
        <v>0</v>
      </c>
      <c r="G170" s="465">
        <f t="shared" si="48"/>
        <v>1</v>
      </c>
      <c r="H170" s="466">
        <f t="shared" si="49"/>
        <v>0.49780000000000002</v>
      </c>
      <c r="I170" s="429">
        <f t="shared" si="50"/>
        <v>0</v>
      </c>
      <c r="K170" s="346">
        <v>0</v>
      </c>
      <c r="L170" s="465">
        <f t="shared" si="51"/>
        <v>1</v>
      </c>
      <c r="M170" s="466">
        <f t="shared" si="51"/>
        <v>0.49780000000000002</v>
      </c>
      <c r="N170" s="429">
        <f t="shared" si="52"/>
        <v>0</v>
      </c>
      <c r="S170" s="466"/>
      <c r="T170" s="466"/>
    </row>
    <row r="171" spans="1:20">
      <c r="A171" s="854">
        <f t="shared" si="46"/>
        <v>156</v>
      </c>
      <c r="B171" s="706">
        <v>39800</v>
      </c>
      <c r="C171" s="88" t="s">
        <v>1538</v>
      </c>
      <c r="D171" s="346">
        <v>734151.99282799975</v>
      </c>
      <c r="E171" s="429">
        <v>0</v>
      </c>
      <c r="F171" s="429">
        <f t="shared" si="47"/>
        <v>734151.99282799975</v>
      </c>
      <c r="G171" s="465">
        <f t="shared" si="48"/>
        <v>1</v>
      </c>
      <c r="H171" s="466">
        <f t="shared" si="49"/>
        <v>0.49780000000000002</v>
      </c>
      <c r="I171" s="429">
        <f t="shared" si="50"/>
        <v>365460.86202977831</v>
      </c>
      <c r="K171" s="346">
        <v>721858.0729400001</v>
      </c>
      <c r="L171" s="465">
        <f t="shared" si="51"/>
        <v>1</v>
      </c>
      <c r="M171" s="466">
        <f t="shared" si="51"/>
        <v>0.49780000000000002</v>
      </c>
      <c r="N171" s="429">
        <f t="shared" si="52"/>
        <v>359340.94870953204</v>
      </c>
      <c r="S171" s="466"/>
      <c r="T171" s="466"/>
    </row>
    <row r="172" spans="1:20">
      <c r="A172" s="854">
        <f t="shared" si="46"/>
        <v>157</v>
      </c>
      <c r="B172" s="706">
        <v>39900</v>
      </c>
      <c r="C172" s="88" t="s">
        <v>1546</v>
      </c>
      <c r="D172" s="346">
        <v>0</v>
      </c>
      <c r="E172" s="429">
        <v>0</v>
      </c>
      <c r="F172" s="429">
        <f t="shared" si="47"/>
        <v>0</v>
      </c>
      <c r="G172" s="465">
        <f t="shared" si="48"/>
        <v>1</v>
      </c>
      <c r="H172" s="466">
        <f t="shared" si="49"/>
        <v>0.49780000000000002</v>
      </c>
      <c r="I172" s="429">
        <f t="shared" si="50"/>
        <v>0</v>
      </c>
      <c r="K172" s="346">
        <v>0</v>
      </c>
      <c r="L172" s="465">
        <f t="shared" si="51"/>
        <v>1</v>
      </c>
      <c r="M172" s="466">
        <f t="shared" si="51"/>
        <v>0.49780000000000002</v>
      </c>
      <c r="N172" s="429">
        <f t="shared" si="52"/>
        <v>0</v>
      </c>
      <c r="S172" s="466"/>
      <c r="T172" s="466"/>
    </row>
    <row r="173" spans="1:20">
      <c r="A173" s="854">
        <f t="shared" si="46"/>
        <v>158</v>
      </c>
      <c r="B173" s="706">
        <v>39901</v>
      </c>
      <c r="C173" s="88" t="s">
        <v>1547</v>
      </c>
      <c r="D173" s="346">
        <v>-34765.769999999997</v>
      </c>
      <c r="E173" s="429">
        <v>0</v>
      </c>
      <c r="F173" s="429">
        <f t="shared" si="47"/>
        <v>-34765.769999999997</v>
      </c>
      <c r="G173" s="465">
        <f t="shared" si="48"/>
        <v>1</v>
      </c>
      <c r="H173" s="466">
        <f t="shared" si="49"/>
        <v>0.49780000000000002</v>
      </c>
      <c r="I173" s="429">
        <f t="shared" si="50"/>
        <v>-17306.400306</v>
      </c>
      <c r="K173" s="346">
        <v>-34765.770000000004</v>
      </c>
      <c r="L173" s="465">
        <f t="shared" si="51"/>
        <v>1</v>
      </c>
      <c r="M173" s="466">
        <f t="shared" si="51"/>
        <v>0.49780000000000002</v>
      </c>
      <c r="N173" s="429">
        <f t="shared" si="52"/>
        <v>-17306.400306000003</v>
      </c>
      <c r="S173" s="466"/>
      <c r="T173" s="466"/>
    </row>
    <row r="174" spans="1:20">
      <c r="A174" s="854">
        <f t="shared" si="46"/>
        <v>159</v>
      </c>
      <c r="B174" s="706">
        <v>39902</v>
      </c>
      <c r="C174" s="88" t="s">
        <v>1548</v>
      </c>
      <c r="D174" s="346">
        <v>0</v>
      </c>
      <c r="E174" s="429">
        <v>0</v>
      </c>
      <c r="F174" s="429">
        <f t="shared" si="47"/>
        <v>0</v>
      </c>
      <c r="G174" s="465">
        <f t="shared" si="48"/>
        <v>1</v>
      </c>
      <c r="H174" s="466">
        <f t="shared" si="49"/>
        <v>0.49780000000000002</v>
      </c>
      <c r="I174" s="429">
        <f t="shared" si="50"/>
        <v>0</v>
      </c>
      <c r="K174" s="346">
        <v>0</v>
      </c>
      <c r="L174" s="465">
        <f t="shared" si="51"/>
        <v>1</v>
      </c>
      <c r="M174" s="466">
        <f t="shared" si="51"/>
        <v>0.49780000000000002</v>
      </c>
      <c r="N174" s="429">
        <f t="shared" si="52"/>
        <v>0</v>
      </c>
      <c r="S174" s="466"/>
      <c r="T174" s="466"/>
    </row>
    <row r="175" spans="1:20">
      <c r="A175" s="854">
        <f t="shared" si="46"/>
        <v>160</v>
      </c>
      <c r="B175" s="706">
        <v>39903</v>
      </c>
      <c r="C175" s="88" t="s">
        <v>1539</v>
      </c>
      <c r="D175" s="346">
        <v>0</v>
      </c>
      <c r="E175" s="429">
        <v>0</v>
      </c>
      <c r="F175" s="429">
        <f t="shared" si="47"/>
        <v>0</v>
      </c>
      <c r="G175" s="465">
        <f t="shared" si="48"/>
        <v>1</v>
      </c>
      <c r="H175" s="466">
        <f t="shared" si="49"/>
        <v>0.49780000000000002</v>
      </c>
      <c r="I175" s="429">
        <f t="shared" si="50"/>
        <v>0</v>
      </c>
      <c r="K175" s="346">
        <v>0</v>
      </c>
      <c r="L175" s="465">
        <f t="shared" si="51"/>
        <v>1</v>
      </c>
      <c r="M175" s="466">
        <f t="shared" si="51"/>
        <v>0.49780000000000002</v>
      </c>
      <c r="N175" s="429">
        <f t="shared" si="52"/>
        <v>0</v>
      </c>
      <c r="S175" s="466"/>
      <c r="T175" s="466"/>
    </row>
    <row r="176" spans="1:20">
      <c r="A176" s="854">
        <f t="shared" si="46"/>
        <v>161</v>
      </c>
      <c r="B176" s="706">
        <v>39906</v>
      </c>
      <c r="C176" s="88" t="s">
        <v>1540</v>
      </c>
      <c r="D176" s="346">
        <v>70196.03</v>
      </c>
      <c r="E176" s="429">
        <v>0</v>
      </c>
      <c r="F176" s="429">
        <f t="shared" si="47"/>
        <v>70196.03</v>
      </c>
      <c r="G176" s="465">
        <f t="shared" si="48"/>
        <v>1</v>
      </c>
      <c r="H176" s="466">
        <f t="shared" si="49"/>
        <v>0.49780000000000002</v>
      </c>
      <c r="I176" s="429">
        <f t="shared" si="50"/>
        <v>34943.583734</v>
      </c>
      <c r="K176" s="346">
        <v>70196.030000000013</v>
      </c>
      <c r="L176" s="465">
        <f t="shared" si="51"/>
        <v>1</v>
      </c>
      <c r="M176" s="466">
        <f t="shared" si="51"/>
        <v>0.49780000000000002</v>
      </c>
      <c r="N176" s="429">
        <f t="shared" si="52"/>
        <v>34943.583734000007</v>
      </c>
      <c r="S176" s="466"/>
      <c r="T176" s="466"/>
    </row>
    <row r="177" spans="1:20">
      <c r="A177" s="854">
        <f t="shared" si="46"/>
        <v>162</v>
      </c>
      <c r="B177" s="706">
        <v>39907</v>
      </c>
      <c r="C177" s="88" t="s">
        <v>1541</v>
      </c>
      <c r="D177" s="346">
        <v>54468.076303583308</v>
      </c>
      <c r="E177" s="429">
        <v>0</v>
      </c>
      <c r="F177" s="429">
        <f t="shared" si="47"/>
        <v>54468.076303583308</v>
      </c>
      <c r="G177" s="465">
        <f t="shared" si="48"/>
        <v>1</v>
      </c>
      <c r="H177" s="466">
        <f t="shared" si="49"/>
        <v>0.49780000000000002</v>
      </c>
      <c r="I177" s="429">
        <f t="shared" si="50"/>
        <v>27114.208383923771</v>
      </c>
      <c r="K177" s="346">
        <v>42358.693237275627</v>
      </c>
      <c r="L177" s="465">
        <f t="shared" si="51"/>
        <v>1</v>
      </c>
      <c r="M177" s="466">
        <f t="shared" si="51"/>
        <v>0.49780000000000002</v>
      </c>
      <c r="N177" s="429">
        <f t="shared" si="52"/>
        <v>21086.15749351581</v>
      </c>
      <c r="S177" s="466"/>
      <c r="T177" s="466"/>
    </row>
    <row r="178" spans="1:20">
      <c r="A178" s="854">
        <f t="shared" si="46"/>
        <v>163</v>
      </c>
      <c r="B178" s="706">
        <v>39908</v>
      </c>
      <c r="C178" s="88" t="s">
        <v>1542</v>
      </c>
      <c r="D178" s="346">
        <v>828509.36</v>
      </c>
      <c r="E178" s="429">
        <v>0</v>
      </c>
      <c r="F178" s="429">
        <f t="shared" si="47"/>
        <v>828509.36</v>
      </c>
      <c r="G178" s="465">
        <f t="shared" si="48"/>
        <v>1</v>
      </c>
      <c r="H178" s="466">
        <f t="shared" si="49"/>
        <v>0.49780000000000002</v>
      </c>
      <c r="I178" s="429">
        <f t="shared" si="50"/>
        <v>412431.959408</v>
      </c>
      <c r="K178" s="346">
        <v>828509.36</v>
      </c>
      <c r="L178" s="465">
        <f t="shared" si="51"/>
        <v>1</v>
      </c>
      <c r="M178" s="466">
        <f t="shared" si="51"/>
        <v>0.49780000000000002</v>
      </c>
      <c r="N178" s="429">
        <f t="shared" si="52"/>
        <v>412431.959408</v>
      </c>
      <c r="S178" s="466"/>
      <c r="T178" s="466"/>
    </row>
    <row r="179" spans="1:20">
      <c r="A179" s="854">
        <f t="shared" si="46"/>
        <v>164</v>
      </c>
      <c r="B179" s="706"/>
      <c r="C179" s="88" t="s">
        <v>1143</v>
      </c>
      <c r="D179" s="346">
        <v>52517.30000000001</v>
      </c>
      <c r="E179" s="806"/>
      <c r="F179" s="429">
        <f t="shared" si="47"/>
        <v>52517.30000000001</v>
      </c>
      <c r="G179" s="465">
        <f t="shared" si="48"/>
        <v>1</v>
      </c>
      <c r="H179" s="466">
        <f t="shared" si="49"/>
        <v>0.49780000000000002</v>
      </c>
      <c r="I179" s="1042">
        <f t="shared" si="50"/>
        <v>26143.111940000006</v>
      </c>
      <c r="K179" s="346">
        <v>52517.30000000001</v>
      </c>
      <c r="L179" s="465">
        <f>G179</f>
        <v>1</v>
      </c>
      <c r="M179" s="466">
        <f>H179</f>
        <v>0.49780000000000002</v>
      </c>
      <c r="N179" s="1042">
        <f t="shared" si="52"/>
        <v>26143.111940000006</v>
      </c>
      <c r="S179" s="466"/>
      <c r="T179" s="466"/>
    </row>
    <row r="180" spans="1:20">
      <c r="A180" s="854">
        <f t="shared" si="46"/>
        <v>165</v>
      </c>
      <c r="B180" s="389"/>
      <c r="C180" s="88"/>
      <c r="D180" s="618"/>
      <c r="E180" s="618"/>
      <c r="F180" s="618"/>
    </row>
    <row r="181" spans="1:20" ht="15" customHeight="1">
      <c r="A181" s="854">
        <f t="shared" si="46"/>
        <v>166</v>
      </c>
      <c r="B181" s="389"/>
      <c r="C181" s="88" t="s">
        <v>4</v>
      </c>
      <c r="D181" s="346">
        <f>SUM(D158:D179)</f>
        <v>2073810.8970420833</v>
      </c>
      <c r="E181" s="346">
        <f>SUM(E158:E179)</f>
        <v>0</v>
      </c>
      <c r="F181" s="346">
        <f>SUM(F158:F179)</f>
        <v>2073810.8970420833</v>
      </c>
      <c r="I181" s="346">
        <f>SUM(I158:I179)</f>
        <v>1032343.0645475489</v>
      </c>
      <c r="K181" s="346">
        <f>SUM(K158:K179)</f>
        <v>2038725.2096722757</v>
      </c>
      <c r="N181" s="346">
        <f>SUM(N158:N179)</f>
        <v>1014877.4093748587</v>
      </c>
    </row>
    <row r="182" spans="1:20" ht="15" customHeight="1">
      <c r="A182" s="854">
        <f t="shared" si="46"/>
        <v>167</v>
      </c>
      <c r="B182" s="389"/>
      <c r="C182" s="88"/>
    </row>
    <row r="183" spans="1:20" ht="15" customHeight="1" thickBot="1">
      <c r="A183" s="854">
        <f t="shared" si="46"/>
        <v>168</v>
      </c>
      <c r="B183" s="389"/>
      <c r="C183" s="233" t="s">
        <v>1324</v>
      </c>
      <c r="D183" s="329">
        <f>D130+D155+D181</f>
        <v>2073810.8970420833</v>
      </c>
      <c r="E183" s="329">
        <f>E130+E155+E181</f>
        <v>0</v>
      </c>
      <c r="F183" s="329">
        <f>F130+F155+F181</f>
        <v>2073810.8970420833</v>
      </c>
      <c r="I183" s="329">
        <f>I130+I155+I181</f>
        <v>1032343.0645475489</v>
      </c>
      <c r="K183" s="329">
        <f>K130+K155+K181</f>
        <v>2038725.2096722757</v>
      </c>
      <c r="N183" s="329">
        <f>N130+N155+N181</f>
        <v>1014877.4093748587</v>
      </c>
    </row>
    <row r="184" spans="1:20" ht="15" customHeight="1" thickTop="1">
      <c r="A184" s="854">
        <f t="shared" si="46"/>
        <v>169</v>
      </c>
      <c r="B184" s="1038"/>
      <c r="D184" s="616"/>
      <c r="E184" s="328"/>
    </row>
    <row r="185" spans="1:20" ht="15" customHeight="1">
      <c r="A185" s="854">
        <f t="shared" si="46"/>
        <v>170</v>
      </c>
      <c r="B185" s="1043" t="s">
        <v>8</v>
      </c>
      <c r="D185" s="616"/>
      <c r="E185" s="328"/>
    </row>
    <row r="186" spans="1:20" ht="15" customHeight="1">
      <c r="A186" s="854">
        <f t="shared" si="46"/>
        <v>171</v>
      </c>
      <c r="D186" s="616"/>
    </row>
    <row r="187" spans="1:20" ht="15" customHeight="1">
      <c r="A187" s="854">
        <f t="shared" si="46"/>
        <v>172</v>
      </c>
      <c r="B187" s="389"/>
      <c r="C187" s="619" t="s">
        <v>301</v>
      </c>
      <c r="D187" s="616"/>
    </row>
    <row r="188" spans="1:20" ht="15" customHeight="1">
      <c r="A188" s="854">
        <f t="shared" si="46"/>
        <v>173</v>
      </c>
      <c r="B188" s="513">
        <v>39000</v>
      </c>
      <c r="C188" s="88" t="s">
        <v>1524</v>
      </c>
      <c r="D188" s="346">
        <v>582514.55541571346</v>
      </c>
      <c r="E188" s="346">
        <v>0</v>
      </c>
      <c r="F188" s="346">
        <f t="shared" ref="F188:F226" si="56">D188+E188</f>
        <v>582514.55541571346</v>
      </c>
      <c r="G188" s="466">
        <f>Allocation!$C$14</f>
        <v>0.104</v>
      </c>
      <c r="H188" s="466">
        <f>Allocation!$D$14</f>
        <v>0.49780000000000002</v>
      </c>
      <c r="I188" s="429">
        <f t="shared" ref="I188:I195" si="57">F188*G188*H188</f>
        <v>30157.477551337983</v>
      </c>
      <c r="K188" s="346">
        <v>555047.88364092272</v>
      </c>
      <c r="L188" s="466">
        <f>G188</f>
        <v>0.104</v>
      </c>
      <c r="M188" s="466">
        <f t="shared" ref="M188" si="58">H188</f>
        <v>0.49780000000000002</v>
      </c>
      <c r="N188" s="346">
        <f t="shared" ref="N188:N226" si="59">K188*L188*M188</f>
        <v>28735.494993550939</v>
      </c>
      <c r="P188" s="660"/>
      <c r="S188" s="466"/>
      <c r="T188" s="466"/>
    </row>
    <row r="189" spans="1:20" ht="15" customHeight="1">
      <c r="A189" s="854">
        <f t="shared" si="46"/>
        <v>174</v>
      </c>
      <c r="B189" s="513">
        <v>39005</v>
      </c>
      <c r="C189" s="88" t="s">
        <v>1549</v>
      </c>
      <c r="D189" s="346">
        <v>4093327.6232697456</v>
      </c>
      <c r="E189" s="621">
        <v>0</v>
      </c>
      <c r="F189" s="429">
        <f t="shared" si="56"/>
        <v>4093327.6232697456</v>
      </c>
      <c r="G189" s="466">
        <v>1</v>
      </c>
      <c r="H189" s="466">
        <f>Allocation!$E$20</f>
        <v>1.570628E-2</v>
      </c>
      <c r="I189" s="429">
        <f t="shared" si="57"/>
        <v>64290.949782809141</v>
      </c>
      <c r="K189" s="346">
        <v>3955061.1366212466</v>
      </c>
      <c r="L189" s="466">
        <f t="shared" ref="L189:L216" si="60">G189</f>
        <v>1</v>
      </c>
      <c r="M189" s="466">
        <f t="shared" ref="M189:M216" si="61">H189</f>
        <v>1.570628E-2</v>
      </c>
      <c r="N189" s="429">
        <f t="shared" si="59"/>
        <v>62119.297628891552</v>
      </c>
      <c r="P189" s="1174"/>
      <c r="S189" s="466"/>
      <c r="T189" s="466"/>
    </row>
    <row r="190" spans="1:20" ht="15" customHeight="1">
      <c r="A190" s="854">
        <f t="shared" si="46"/>
        <v>175</v>
      </c>
      <c r="B190" s="513">
        <v>39009</v>
      </c>
      <c r="C190" s="88" t="s">
        <v>1528</v>
      </c>
      <c r="D190" s="346">
        <v>9316766.3500000034</v>
      </c>
      <c r="E190" s="621">
        <v>0</v>
      </c>
      <c r="F190" s="429">
        <f t="shared" si="56"/>
        <v>9316766.3500000034</v>
      </c>
      <c r="G190" s="466">
        <f>$G$188</f>
        <v>0.104</v>
      </c>
      <c r="H190" s="466">
        <f>$H$188</f>
        <v>0.49780000000000002</v>
      </c>
      <c r="I190" s="429">
        <f t="shared" si="57"/>
        <v>482340.17405912018</v>
      </c>
      <c r="K190" s="346">
        <v>9316766.3500000052</v>
      </c>
      <c r="L190" s="466">
        <f t="shared" si="60"/>
        <v>0.104</v>
      </c>
      <c r="M190" s="466">
        <f t="shared" si="61"/>
        <v>0.49780000000000002</v>
      </c>
      <c r="N190" s="429">
        <f t="shared" si="59"/>
        <v>482340.1740591203</v>
      </c>
      <c r="P190" s="1175"/>
      <c r="S190" s="466"/>
      <c r="T190" s="466"/>
    </row>
    <row r="191" spans="1:20" ht="15" customHeight="1">
      <c r="A191" s="854">
        <f t="shared" si="46"/>
        <v>176</v>
      </c>
      <c r="B191" s="513">
        <v>39020</v>
      </c>
      <c r="C191" s="88" t="s">
        <v>1500</v>
      </c>
      <c r="D191" s="346">
        <v>-0.04</v>
      </c>
      <c r="E191" s="621">
        <v>0</v>
      </c>
      <c r="F191" s="429">
        <f t="shared" si="56"/>
        <v>-0.04</v>
      </c>
      <c r="G191" s="466">
        <v>1</v>
      </c>
      <c r="H191" s="466">
        <f>Allocation!$E$22</f>
        <v>6.3622429999999994E-2</v>
      </c>
      <c r="I191" s="429">
        <f t="shared" si="57"/>
        <v>-2.5448971999999996E-3</v>
      </c>
      <c r="K191" s="346">
        <v>-3.9999999999999994E-2</v>
      </c>
      <c r="L191" s="466">
        <f t="shared" si="60"/>
        <v>1</v>
      </c>
      <c r="M191" s="466">
        <f t="shared" si="61"/>
        <v>6.3622429999999994E-2</v>
      </c>
      <c r="N191" s="429">
        <f t="shared" si="59"/>
        <v>-2.5448971999999992E-3</v>
      </c>
      <c r="P191" s="660"/>
      <c r="S191" s="466"/>
      <c r="T191" s="466"/>
    </row>
    <row r="192" spans="1:20" ht="15" customHeight="1">
      <c r="A192" s="854">
        <f t="shared" si="46"/>
        <v>177</v>
      </c>
      <c r="B192" s="513">
        <v>39029</v>
      </c>
      <c r="C192" s="88" t="s">
        <v>1501</v>
      </c>
      <c r="D192" s="346">
        <v>736.1581180960718</v>
      </c>
      <c r="E192" s="621">
        <f>0</f>
        <v>0</v>
      </c>
      <c r="F192" s="429">
        <f t="shared" si="56"/>
        <v>736.1581180960718</v>
      </c>
      <c r="G192" s="466">
        <v>1</v>
      </c>
      <c r="H192" s="466">
        <f>Allocation!$E$22</f>
        <v>6.3622429999999994E-2</v>
      </c>
      <c r="I192" s="429">
        <f t="shared" si="57"/>
        <v>46.836168337499053</v>
      </c>
      <c r="K192" s="346">
        <v>432.87688030568194</v>
      </c>
      <c r="L192" s="466">
        <f t="shared" si="60"/>
        <v>1</v>
      </c>
      <c r="M192" s="466">
        <f t="shared" si="61"/>
        <v>6.3622429999999994E-2</v>
      </c>
      <c r="N192" s="429">
        <f t="shared" si="59"/>
        <v>27.540679015866626</v>
      </c>
      <c r="P192" s="660"/>
      <c r="S192" s="466"/>
      <c r="T192" s="466"/>
    </row>
    <row r="193" spans="1:20" ht="15" customHeight="1">
      <c r="A193" s="854">
        <f t="shared" si="46"/>
        <v>178</v>
      </c>
      <c r="B193" s="513">
        <v>39100</v>
      </c>
      <c r="C193" s="88" t="s">
        <v>1529</v>
      </c>
      <c r="D193" s="346">
        <v>2207717.0739192823</v>
      </c>
      <c r="E193" s="621">
        <f>0</f>
        <v>0</v>
      </c>
      <c r="F193" s="429">
        <f t="shared" ref="F193:F206" si="62">D193+E193</f>
        <v>2207717.0739192823</v>
      </c>
      <c r="G193" s="466">
        <f>$G$188</f>
        <v>0.104</v>
      </c>
      <c r="H193" s="466">
        <f>$H$188</f>
        <v>0.49780000000000002</v>
      </c>
      <c r="I193" s="429">
        <f t="shared" si="57"/>
        <v>114296.16217728994</v>
      </c>
      <c r="K193" s="346">
        <v>2105155.3256489048</v>
      </c>
      <c r="L193" s="466">
        <f t="shared" si="60"/>
        <v>0.104</v>
      </c>
      <c r="M193" s="466">
        <f t="shared" si="61"/>
        <v>0.49780000000000002</v>
      </c>
      <c r="N193" s="429">
        <f t="shared" si="59"/>
        <v>108986.41739523457</v>
      </c>
      <c r="P193" s="660"/>
      <c r="S193" s="466"/>
      <c r="T193" s="466"/>
    </row>
    <row r="194" spans="1:20" ht="15" customHeight="1">
      <c r="A194" s="854">
        <f t="shared" si="46"/>
        <v>179</v>
      </c>
      <c r="B194" s="513">
        <v>39102</v>
      </c>
      <c r="C194" s="88" t="s">
        <v>1550</v>
      </c>
      <c r="D194" s="346">
        <v>1.26</v>
      </c>
      <c r="E194" s="621">
        <f>0</f>
        <v>0</v>
      </c>
      <c r="F194" s="429">
        <f t="shared" si="62"/>
        <v>1.26</v>
      </c>
      <c r="G194" s="466">
        <f>$G$188</f>
        <v>0.104</v>
      </c>
      <c r="H194" s="466">
        <f>$H$188</f>
        <v>0.49780000000000002</v>
      </c>
      <c r="I194" s="429">
        <f t="shared" si="57"/>
        <v>6.5231711999999997E-2</v>
      </c>
      <c r="K194" s="346">
        <v>1.26</v>
      </c>
      <c r="L194" s="466">
        <f t="shared" si="60"/>
        <v>0.104</v>
      </c>
      <c r="M194" s="466">
        <f t="shared" si="61"/>
        <v>0.49780000000000002</v>
      </c>
      <c r="N194" s="429">
        <f t="shared" si="59"/>
        <v>6.5231711999999997E-2</v>
      </c>
      <c r="P194" s="660"/>
      <c r="S194" s="466"/>
      <c r="T194" s="466"/>
    </row>
    <row r="195" spans="1:20" ht="15" customHeight="1">
      <c r="A195" s="854">
        <f t="shared" si="46"/>
        <v>180</v>
      </c>
      <c r="B195" s="513">
        <v>39103</v>
      </c>
      <c r="C195" s="88" t="s">
        <v>1320</v>
      </c>
      <c r="D195" s="346">
        <v>0.45</v>
      </c>
      <c r="E195" s="621">
        <f>0</f>
        <v>0</v>
      </c>
      <c r="F195" s="429">
        <f t="shared" si="62"/>
        <v>0.45</v>
      </c>
      <c r="G195" s="466">
        <f>$G$188</f>
        <v>0.104</v>
      </c>
      <c r="H195" s="466">
        <f>$H$188</f>
        <v>0.49780000000000002</v>
      </c>
      <c r="I195" s="429">
        <f t="shared" si="57"/>
        <v>2.3297040000000001E-2</v>
      </c>
      <c r="K195" s="346">
        <v>0.45000000000000012</v>
      </c>
      <c r="L195" s="466">
        <f t="shared" si="60"/>
        <v>0.104</v>
      </c>
      <c r="M195" s="466">
        <f t="shared" si="61"/>
        <v>0.49780000000000002</v>
      </c>
      <c r="N195" s="429">
        <f t="shared" si="59"/>
        <v>2.3297040000000005E-2</v>
      </c>
      <c r="P195" s="660"/>
      <c r="S195" s="466"/>
      <c r="T195" s="466"/>
    </row>
    <row r="196" spans="1:20" ht="15" customHeight="1">
      <c r="A196" s="854">
        <f t="shared" si="46"/>
        <v>181</v>
      </c>
      <c r="B196" s="513">
        <v>39104</v>
      </c>
      <c r="C196" s="88" t="s">
        <v>1551</v>
      </c>
      <c r="D196" s="346">
        <v>40482.077896641276</v>
      </c>
      <c r="E196" s="621">
        <f>0</f>
        <v>0</v>
      </c>
      <c r="F196" s="429">
        <f t="shared" si="62"/>
        <v>40482.077896641276</v>
      </c>
      <c r="G196" s="466">
        <v>1</v>
      </c>
      <c r="H196" s="466">
        <f>Allocation!$E$20</f>
        <v>1.570628E-2</v>
      </c>
      <c r="I196" s="429">
        <f>F196*G196*H196</f>
        <v>635.8228504264589</v>
      </c>
      <c r="K196" s="346">
        <v>37319.893444103283</v>
      </c>
      <c r="L196" s="466">
        <f t="shared" si="60"/>
        <v>1</v>
      </c>
      <c r="M196" s="466">
        <f t="shared" si="61"/>
        <v>1.570628E-2</v>
      </c>
      <c r="N196" s="429">
        <f t="shared" si="59"/>
        <v>586.15669600325054</v>
      </c>
      <c r="P196" s="1174"/>
      <c r="S196" s="466"/>
      <c r="T196" s="466"/>
    </row>
    <row r="197" spans="1:20" ht="15" customHeight="1">
      <c r="A197" s="854">
        <f t="shared" si="46"/>
        <v>182</v>
      </c>
      <c r="B197" s="513">
        <v>39120</v>
      </c>
      <c r="C197" s="88" t="s">
        <v>1502</v>
      </c>
      <c r="D197" s="346">
        <v>120388.61577700012</v>
      </c>
      <c r="E197" s="621">
        <f>0</f>
        <v>0</v>
      </c>
      <c r="F197" s="429">
        <f t="shared" si="62"/>
        <v>120388.61577700012</v>
      </c>
      <c r="G197" s="466">
        <v>1</v>
      </c>
      <c r="H197" s="466">
        <f>Allocation!$E$22</f>
        <v>6.3622429999999994E-2</v>
      </c>
      <c r="I197" s="429">
        <f t="shared" ref="I197:I226" si="63">F197*G197*H197</f>
        <v>7659.4162800690847</v>
      </c>
      <c r="K197" s="346">
        <v>115174.52555500009</v>
      </c>
      <c r="L197" s="466">
        <f t="shared" si="60"/>
        <v>1</v>
      </c>
      <c r="M197" s="466">
        <f t="shared" si="61"/>
        <v>6.3622429999999994E-2</v>
      </c>
      <c r="N197" s="429">
        <f t="shared" si="59"/>
        <v>7327.6831899062036</v>
      </c>
      <c r="P197" s="660"/>
      <c r="S197" s="466"/>
      <c r="T197" s="466"/>
    </row>
    <row r="198" spans="1:20" ht="15" customHeight="1">
      <c r="A198" s="854">
        <f t="shared" si="46"/>
        <v>183</v>
      </c>
      <c r="B198" s="513">
        <v>39200</v>
      </c>
      <c r="C198" s="88" t="s">
        <v>1530</v>
      </c>
      <c r="D198" s="346">
        <v>6534.9535894999954</v>
      </c>
      <c r="E198" s="621">
        <f>0</f>
        <v>0</v>
      </c>
      <c r="F198" s="429">
        <f t="shared" si="62"/>
        <v>6534.9535894999954</v>
      </c>
      <c r="G198" s="466">
        <f t="shared" ref="G198:G200" si="64">$G$188</f>
        <v>0.104</v>
      </c>
      <c r="H198" s="466">
        <f t="shared" ref="H198:H200" si="65">$H$188</f>
        <v>0.49780000000000002</v>
      </c>
      <c r="I198" s="429">
        <f t="shared" si="63"/>
        <v>338.32238927272215</v>
      </c>
      <c r="K198" s="346">
        <v>6237.8239924999962</v>
      </c>
      <c r="L198" s="466">
        <f t="shared" si="60"/>
        <v>0.104</v>
      </c>
      <c r="M198" s="466">
        <f t="shared" si="61"/>
        <v>0.49780000000000002</v>
      </c>
      <c r="N198" s="429">
        <f t="shared" si="59"/>
        <v>322.93963348051579</v>
      </c>
      <c r="P198" s="660"/>
      <c r="S198" s="466"/>
      <c r="T198" s="466"/>
    </row>
    <row r="199" spans="1:20" ht="15" customHeight="1">
      <c r="A199" s="854">
        <f t="shared" si="46"/>
        <v>184</v>
      </c>
      <c r="B199" s="513">
        <v>39300</v>
      </c>
      <c r="C199" s="88" t="s">
        <v>1552</v>
      </c>
      <c r="D199" s="346">
        <v>0</v>
      </c>
      <c r="E199" s="621">
        <f>0</f>
        <v>0</v>
      </c>
      <c r="F199" s="429">
        <f t="shared" si="62"/>
        <v>0</v>
      </c>
      <c r="G199" s="466">
        <f t="shared" si="64"/>
        <v>0.104</v>
      </c>
      <c r="H199" s="466">
        <f t="shared" si="65"/>
        <v>0.49780000000000002</v>
      </c>
      <c r="I199" s="429">
        <f t="shared" si="63"/>
        <v>0</v>
      </c>
      <c r="K199" s="346">
        <v>0</v>
      </c>
      <c r="L199" s="466">
        <f t="shared" si="60"/>
        <v>0.104</v>
      </c>
      <c r="M199" s="466">
        <f t="shared" si="61"/>
        <v>0.49780000000000002</v>
      </c>
      <c r="N199" s="429">
        <f t="shared" si="59"/>
        <v>0</v>
      </c>
      <c r="P199" s="660"/>
      <c r="S199" s="466"/>
      <c r="T199" s="466"/>
    </row>
    <row r="200" spans="1:20" ht="15" customHeight="1">
      <c r="A200" s="854">
        <f t="shared" si="46"/>
        <v>185</v>
      </c>
      <c r="B200" s="513">
        <v>39400</v>
      </c>
      <c r="C200" s="88" t="s">
        <v>1532</v>
      </c>
      <c r="D200" s="346">
        <v>43928.509526500071</v>
      </c>
      <c r="E200" s="621">
        <f>0</f>
        <v>0</v>
      </c>
      <c r="F200" s="429">
        <f t="shared" si="62"/>
        <v>43928.509526500071</v>
      </c>
      <c r="G200" s="466">
        <f t="shared" si="64"/>
        <v>0.104</v>
      </c>
      <c r="H200" s="466">
        <f t="shared" si="65"/>
        <v>0.49780000000000002</v>
      </c>
      <c r="I200" s="429">
        <f t="shared" si="63"/>
        <v>2274.2316523983404</v>
      </c>
      <c r="K200" s="346">
        <v>40744.92394750005</v>
      </c>
      <c r="L200" s="466">
        <f t="shared" si="60"/>
        <v>0.104</v>
      </c>
      <c r="M200" s="466">
        <f t="shared" si="61"/>
        <v>0.49780000000000002</v>
      </c>
      <c r="N200" s="429">
        <f t="shared" si="59"/>
        <v>2109.4136066708147</v>
      </c>
      <c r="P200" s="660"/>
      <c r="S200" s="466"/>
      <c r="T200" s="466"/>
    </row>
    <row r="201" spans="1:20" ht="15" customHeight="1">
      <c r="A201" s="854">
        <f t="shared" si="46"/>
        <v>186</v>
      </c>
      <c r="B201" s="513">
        <v>39420</v>
      </c>
      <c r="C201" s="88" t="s">
        <v>1503</v>
      </c>
      <c r="D201" s="346">
        <v>388.07</v>
      </c>
      <c r="E201" s="621">
        <f>0</f>
        <v>0</v>
      </c>
      <c r="F201" s="429">
        <f t="shared" si="62"/>
        <v>388.07</v>
      </c>
      <c r="G201" s="466">
        <v>1</v>
      </c>
      <c r="H201" s="466">
        <f>Allocation!$E$22</f>
        <v>6.3622429999999994E-2</v>
      </c>
      <c r="I201" s="429">
        <f t="shared" si="63"/>
        <v>24.689956410099999</v>
      </c>
      <c r="K201" s="346">
        <v>388.07</v>
      </c>
      <c r="L201" s="466">
        <f t="shared" si="60"/>
        <v>1</v>
      </c>
      <c r="M201" s="466">
        <f t="shared" si="61"/>
        <v>6.3622429999999994E-2</v>
      </c>
      <c r="N201" s="429">
        <f t="shared" si="59"/>
        <v>24.689956410099999</v>
      </c>
      <c r="P201" s="660"/>
      <c r="S201" s="466"/>
      <c r="T201" s="466"/>
    </row>
    <row r="202" spans="1:20" ht="15" customHeight="1">
      <c r="A202" s="854">
        <f t="shared" si="46"/>
        <v>187</v>
      </c>
      <c r="B202" s="513">
        <v>39500</v>
      </c>
      <c r="C202" s="88" t="s">
        <v>1553</v>
      </c>
      <c r="D202" s="346">
        <v>0</v>
      </c>
      <c r="E202" s="621">
        <f>0</f>
        <v>0</v>
      </c>
      <c r="F202" s="429">
        <f t="shared" si="62"/>
        <v>0</v>
      </c>
      <c r="G202" s="466">
        <f t="shared" ref="G202" si="66">$G$188</f>
        <v>0.104</v>
      </c>
      <c r="H202" s="466">
        <f t="shared" ref="H202" si="67">$H$188</f>
        <v>0.49780000000000002</v>
      </c>
      <c r="I202" s="429">
        <f t="shared" si="63"/>
        <v>0</v>
      </c>
      <c r="K202" s="346">
        <v>0</v>
      </c>
      <c r="L202" s="466">
        <f t="shared" si="60"/>
        <v>0.104</v>
      </c>
      <c r="M202" s="466">
        <f t="shared" si="61"/>
        <v>0.49780000000000002</v>
      </c>
      <c r="N202" s="429">
        <f t="shared" si="59"/>
        <v>0</v>
      </c>
      <c r="P202" s="660"/>
      <c r="S202" s="466"/>
      <c r="T202" s="466"/>
    </row>
    <row r="203" spans="1:20" ht="15" customHeight="1">
      <c r="A203" s="854">
        <f t="shared" si="46"/>
        <v>188</v>
      </c>
      <c r="B203" s="513">
        <v>39700</v>
      </c>
      <c r="C203" s="88" t="s">
        <v>1536</v>
      </c>
      <c r="D203" s="346">
        <v>641492.19397375116</v>
      </c>
      <c r="E203" s="621">
        <f>0</f>
        <v>0</v>
      </c>
      <c r="F203" s="429">
        <f t="shared" si="62"/>
        <v>641492.19397375116</v>
      </c>
      <c r="G203" s="466">
        <f t="shared" ref="G203:G226" si="68">$G$188</f>
        <v>0.104</v>
      </c>
      <c r="H203" s="466">
        <f t="shared" ref="H203:H226" si="69">$H$188</f>
        <v>0.49780000000000002</v>
      </c>
      <c r="I203" s="429">
        <f t="shared" si="63"/>
        <v>33210.820672653863</v>
      </c>
      <c r="K203" s="346">
        <v>611091.36998125084</v>
      </c>
      <c r="L203" s="466">
        <f t="shared" si="60"/>
        <v>0.104</v>
      </c>
      <c r="M203" s="466">
        <f t="shared" si="61"/>
        <v>0.49780000000000002</v>
      </c>
      <c r="N203" s="429">
        <f t="shared" si="59"/>
        <v>31636.933533573334</v>
      </c>
      <c r="P203" s="660"/>
      <c r="S203" s="466"/>
      <c r="T203" s="466"/>
    </row>
    <row r="204" spans="1:20" ht="15" customHeight="1">
      <c r="A204" s="854">
        <f t="shared" si="46"/>
        <v>189</v>
      </c>
      <c r="B204" s="513">
        <v>39720</v>
      </c>
      <c r="C204" s="88" t="s">
        <v>1504</v>
      </c>
      <c r="D204" s="346">
        <v>4672.1518074999958</v>
      </c>
      <c r="E204" s="621">
        <f>0</f>
        <v>0</v>
      </c>
      <c r="F204" s="429">
        <f t="shared" si="62"/>
        <v>4672.1518074999958</v>
      </c>
      <c r="G204" s="466">
        <v>1</v>
      </c>
      <c r="H204" s="466">
        <f>Allocation!$E$22</f>
        <v>6.3622429999999994E-2</v>
      </c>
      <c r="I204" s="429">
        <f t="shared" si="63"/>
        <v>297.25365132204195</v>
      </c>
      <c r="K204" s="346">
        <v>4414.0398624999971</v>
      </c>
      <c r="L204" s="466">
        <f t="shared" si="60"/>
        <v>1</v>
      </c>
      <c r="M204" s="466">
        <f t="shared" si="61"/>
        <v>6.3622429999999994E-2</v>
      </c>
      <c r="N204" s="429">
        <f t="shared" si="59"/>
        <v>280.83194216911568</v>
      </c>
      <c r="P204" s="660"/>
      <c r="S204" s="466"/>
      <c r="T204" s="466"/>
    </row>
    <row r="205" spans="1:20" ht="15" customHeight="1">
      <c r="A205" s="854">
        <f t="shared" si="46"/>
        <v>190</v>
      </c>
      <c r="B205" s="513">
        <v>39800</v>
      </c>
      <c r="C205" s="88" t="s">
        <v>1538</v>
      </c>
      <c r="D205" s="346">
        <v>57586.438813999986</v>
      </c>
      <c r="E205" s="621">
        <f>0</f>
        <v>0</v>
      </c>
      <c r="F205" s="429">
        <f t="shared" si="62"/>
        <v>57586.438813999986</v>
      </c>
      <c r="G205" s="466">
        <f t="shared" si="68"/>
        <v>0.104</v>
      </c>
      <c r="H205" s="466">
        <f t="shared" si="69"/>
        <v>0.49780000000000002</v>
      </c>
      <c r="I205" s="429">
        <f t="shared" si="63"/>
        <v>2981.3190411273563</v>
      </c>
      <c r="K205" s="346">
        <v>53975.762009999984</v>
      </c>
      <c r="L205" s="466">
        <f t="shared" si="60"/>
        <v>0.104</v>
      </c>
      <c r="M205" s="466">
        <f t="shared" si="61"/>
        <v>0.49780000000000002</v>
      </c>
      <c r="N205" s="429">
        <f t="shared" si="59"/>
        <v>2794.3899701721111</v>
      </c>
      <c r="P205" s="660"/>
      <c r="S205" s="466"/>
      <c r="T205" s="466"/>
    </row>
    <row r="206" spans="1:20" ht="15" customHeight="1">
      <c r="A206" s="854">
        <f t="shared" si="46"/>
        <v>191</v>
      </c>
      <c r="B206" s="513">
        <v>39820</v>
      </c>
      <c r="C206" s="88" t="s">
        <v>1505</v>
      </c>
      <c r="D206" s="346">
        <v>1496.5802042500011</v>
      </c>
      <c r="E206" s="621">
        <f>0</f>
        <v>0</v>
      </c>
      <c r="F206" s="429">
        <f t="shared" si="62"/>
        <v>1496.5802042500011</v>
      </c>
      <c r="G206" s="466">
        <v>1</v>
      </c>
      <c r="H206" s="466">
        <f>Allocation!$E$22</f>
        <v>6.3622429999999994E-2</v>
      </c>
      <c r="I206" s="429">
        <f t="shared" si="63"/>
        <v>95.216069284281389</v>
      </c>
      <c r="K206" s="346">
        <v>1301.1572887500008</v>
      </c>
      <c r="L206" s="466">
        <f t="shared" si="60"/>
        <v>1</v>
      </c>
      <c r="M206" s="466">
        <f t="shared" si="61"/>
        <v>6.3622429999999994E-2</v>
      </c>
      <c r="N206" s="429">
        <f t="shared" si="59"/>
        <v>82.782788522486712</v>
      </c>
      <c r="P206" s="660"/>
      <c r="S206" s="466"/>
      <c r="T206" s="466"/>
    </row>
    <row r="207" spans="1:20" ht="15" customHeight="1">
      <c r="A207" s="854">
        <f t="shared" si="46"/>
        <v>192</v>
      </c>
      <c r="B207" s="513">
        <v>39900</v>
      </c>
      <c r="C207" s="88" t="s">
        <v>1554</v>
      </c>
      <c r="D207" s="346">
        <v>162984.42999999996</v>
      </c>
      <c r="E207" s="621">
        <v>0</v>
      </c>
      <c r="F207" s="429">
        <f t="shared" si="56"/>
        <v>162984.42999999996</v>
      </c>
      <c r="G207" s="466">
        <f t="shared" si="68"/>
        <v>0.104</v>
      </c>
      <c r="H207" s="466">
        <f t="shared" si="69"/>
        <v>0.49780000000000002</v>
      </c>
      <c r="I207" s="429">
        <f t="shared" si="63"/>
        <v>8437.8995224159971</v>
      </c>
      <c r="K207" s="346">
        <v>162984.42999999996</v>
      </c>
      <c r="L207" s="466">
        <f t="shared" si="60"/>
        <v>0.104</v>
      </c>
      <c r="M207" s="466">
        <f t="shared" si="61"/>
        <v>0.49780000000000002</v>
      </c>
      <c r="N207" s="429">
        <f t="shared" si="59"/>
        <v>8437.8995224159971</v>
      </c>
      <c r="P207" s="1176"/>
      <c r="S207" s="466"/>
      <c r="T207" s="466"/>
    </row>
    <row r="208" spans="1:20" ht="15" customHeight="1">
      <c r="A208" s="854">
        <f t="shared" si="46"/>
        <v>193</v>
      </c>
      <c r="B208" s="513">
        <v>39901</v>
      </c>
      <c r="C208" s="80" t="s">
        <v>1547</v>
      </c>
      <c r="D208" s="346">
        <v>28340239.241173822</v>
      </c>
      <c r="E208" s="621">
        <v>0</v>
      </c>
      <c r="F208" s="429">
        <f t="shared" si="56"/>
        <v>28340239.241173822</v>
      </c>
      <c r="G208" s="466">
        <f t="shared" si="68"/>
        <v>0.104</v>
      </c>
      <c r="H208" s="466">
        <f t="shared" si="69"/>
        <v>0.49780000000000002</v>
      </c>
      <c r="I208" s="429">
        <f t="shared" si="63"/>
        <v>1467208.1938026582</v>
      </c>
      <c r="K208" s="346">
        <v>26275001.934120949</v>
      </c>
      <c r="L208" s="466">
        <f t="shared" si="60"/>
        <v>0.104</v>
      </c>
      <c r="M208" s="466">
        <f t="shared" si="61"/>
        <v>0.49780000000000002</v>
      </c>
      <c r="N208" s="429">
        <f t="shared" si="59"/>
        <v>1360288.3801317625</v>
      </c>
      <c r="P208" s="660"/>
      <c r="S208" s="466"/>
      <c r="T208" s="466"/>
    </row>
    <row r="209" spans="1:20" ht="15" customHeight="1">
      <c r="A209" s="854">
        <f t="shared" si="46"/>
        <v>194</v>
      </c>
      <c r="B209" s="513">
        <v>39902</v>
      </c>
      <c r="C209" s="88" t="s">
        <v>1548</v>
      </c>
      <c r="D209" s="346">
        <v>21199797.983620208</v>
      </c>
      <c r="E209" s="621">
        <v>0</v>
      </c>
      <c r="F209" s="429">
        <f t="shared" si="56"/>
        <v>21199797.983620208</v>
      </c>
      <c r="G209" s="466">
        <f t="shared" si="68"/>
        <v>0.104</v>
      </c>
      <c r="H209" s="466">
        <f t="shared" si="69"/>
        <v>0.49780000000000002</v>
      </c>
      <c r="I209" s="429">
        <f t="shared" si="63"/>
        <v>1097538.9813695985</v>
      </c>
      <c r="K209" s="346">
        <v>20004927.426366199</v>
      </c>
      <c r="L209" s="466">
        <f t="shared" si="60"/>
        <v>0.104</v>
      </c>
      <c r="M209" s="466">
        <f t="shared" si="61"/>
        <v>0.49780000000000002</v>
      </c>
      <c r="N209" s="429">
        <f t="shared" si="59"/>
        <v>1035679.0987758897</v>
      </c>
      <c r="P209" s="660"/>
      <c r="S209" s="466"/>
      <c r="T209" s="466"/>
    </row>
    <row r="210" spans="1:20" ht="15" customHeight="1">
      <c r="A210" s="854">
        <f t="shared" si="46"/>
        <v>195</v>
      </c>
      <c r="B210" s="513">
        <v>39903</v>
      </c>
      <c r="C210" s="88" t="s">
        <v>1539</v>
      </c>
      <c r="D210" s="346">
        <v>3431494.765378796</v>
      </c>
      <c r="E210" s="621">
        <v>0</v>
      </c>
      <c r="F210" s="429">
        <f t="shared" si="56"/>
        <v>3431494.765378796</v>
      </c>
      <c r="G210" s="466">
        <f t="shared" si="68"/>
        <v>0.104</v>
      </c>
      <c r="H210" s="466">
        <f t="shared" si="69"/>
        <v>0.49780000000000002</v>
      </c>
      <c r="I210" s="429">
        <f t="shared" si="63"/>
        <v>177652.60179737871</v>
      </c>
      <c r="K210" s="346">
        <v>3114229.3263588324</v>
      </c>
      <c r="L210" s="466">
        <f t="shared" si="60"/>
        <v>0.104</v>
      </c>
      <c r="M210" s="466">
        <f t="shared" si="61"/>
        <v>0.49780000000000002</v>
      </c>
      <c r="N210" s="429">
        <f t="shared" si="59"/>
        <v>161227.38930078837</v>
      </c>
      <c r="P210" s="660"/>
      <c r="S210" s="466"/>
      <c r="T210" s="466"/>
    </row>
    <row r="211" spans="1:20" ht="15" customHeight="1">
      <c r="A211" s="854">
        <f t="shared" si="46"/>
        <v>196</v>
      </c>
      <c r="B211" s="513">
        <v>39904</v>
      </c>
      <c r="C211" s="88" t="s">
        <v>1555</v>
      </c>
      <c r="D211" s="346">
        <v>0</v>
      </c>
      <c r="E211" s="621">
        <v>0</v>
      </c>
      <c r="F211" s="429">
        <f t="shared" si="56"/>
        <v>0</v>
      </c>
      <c r="G211" s="466">
        <f t="shared" si="68"/>
        <v>0.104</v>
      </c>
      <c r="H211" s="466">
        <f t="shared" si="69"/>
        <v>0.49780000000000002</v>
      </c>
      <c r="I211" s="429">
        <f t="shared" si="63"/>
        <v>0</v>
      </c>
      <c r="K211" s="346">
        <v>0</v>
      </c>
      <c r="L211" s="466">
        <f t="shared" si="60"/>
        <v>0.104</v>
      </c>
      <c r="M211" s="466">
        <f t="shared" si="61"/>
        <v>0.49780000000000002</v>
      </c>
      <c r="N211" s="429">
        <f t="shared" si="59"/>
        <v>0</v>
      </c>
      <c r="P211" s="660"/>
      <c r="S211" s="466"/>
      <c r="T211" s="466"/>
    </row>
    <row r="212" spans="1:20">
      <c r="A212" s="854">
        <f t="shared" si="46"/>
        <v>197</v>
      </c>
      <c r="B212" s="513">
        <v>39905</v>
      </c>
      <c r="C212" s="88" t="s">
        <v>1556</v>
      </c>
      <c r="D212" s="346">
        <v>0</v>
      </c>
      <c r="E212" s="621">
        <v>0</v>
      </c>
      <c r="F212" s="429">
        <f t="shared" si="56"/>
        <v>0</v>
      </c>
      <c r="G212" s="466">
        <f t="shared" si="68"/>
        <v>0.104</v>
      </c>
      <c r="H212" s="466">
        <f t="shared" si="69"/>
        <v>0.49780000000000002</v>
      </c>
      <c r="I212" s="429">
        <f t="shared" si="63"/>
        <v>0</v>
      </c>
      <c r="K212" s="346">
        <v>0</v>
      </c>
      <c r="L212" s="466">
        <f t="shared" si="60"/>
        <v>0.104</v>
      </c>
      <c r="M212" s="466">
        <f t="shared" si="61"/>
        <v>0.49780000000000002</v>
      </c>
      <c r="N212" s="429">
        <f t="shared" si="59"/>
        <v>0</v>
      </c>
      <c r="P212" s="660"/>
      <c r="S212" s="466"/>
      <c r="T212" s="466"/>
    </row>
    <row r="213" spans="1:20">
      <c r="A213" s="854">
        <f t="shared" si="46"/>
        <v>198</v>
      </c>
      <c r="B213" s="706">
        <v>39906</v>
      </c>
      <c r="C213" s="88" t="s">
        <v>1540</v>
      </c>
      <c r="D213" s="346">
        <v>1569942.8157497609</v>
      </c>
      <c r="E213" s="621">
        <v>0</v>
      </c>
      <c r="F213" s="429">
        <f t="shared" si="56"/>
        <v>1569942.8157497609</v>
      </c>
      <c r="G213" s="466">
        <f t="shared" si="68"/>
        <v>0.104</v>
      </c>
      <c r="H213" s="466">
        <f t="shared" si="69"/>
        <v>0.49780000000000002</v>
      </c>
      <c r="I213" s="429">
        <f t="shared" si="63"/>
        <v>81277.823502744024</v>
      </c>
      <c r="K213" s="346">
        <v>1431223.9343198091</v>
      </c>
      <c r="L213" s="466">
        <f t="shared" si="60"/>
        <v>0.104</v>
      </c>
      <c r="M213" s="466">
        <f t="shared" si="61"/>
        <v>0.49780000000000002</v>
      </c>
      <c r="N213" s="429">
        <f t="shared" si="59"/>
        <v>74096.180548457691</v>
      </c>
      <c r="P213" s="660"/>
      <c r="S213" s="466"/>
      <c r="T213" s="466"/>
    </row>
    <row r="214" spans="1:20">
      <c r="A214" s="854">
        <f t="shared" si="46"/>
        <v>199</v>
      </c>
      <c r="B214" s="706">
        <v>39907</v>
      </c>
      <c r="C214" s="88" t="s">
        <v>1541</v>
      </c>
      <c r="D214" s="346">
        <v>436956.50783364254</v>
      </c>
      <c r="E214" s="621">
        <v>0</v>
      </c>
      <c r="F214" s="429">
        <f t="shared" si="56"/>
        <v>436956.50783364254</v>
      </c>
      <c r="G214" s="466">
        <f t="shared" si="68"/>
        <v>0.104</v>
      </c>
      <c r="H214" s="466">
        <f t="shared" si="69"/>
        <v>0.49780000000000002</v>
      </c>
      <c r="I214" s="429">
        <f t="shared" si="63"/>
        <v>22621.762758357076</v>
      </c>
      <c r="K214" s="346">
        <v>380965.26443237212</v>
      </c>
      <c r="L214" s="466">
        <f t="shared" si="60"/>
        <v>0.104</v>
      </c>
      <c r="M214" s="466">
        <f t="shared" si="61"/>
        <v>0.49780000000000002</v>
      </c>
      <c r="N214" s="429">
        <f t="shared" si="59"/>
        <v>19723.028897981221</v>
      </c>
      <c r="P214" s="660"/>
      <c r="S214" s="466"/>
      <c r="T214" s="466"/>
    </row>
    <row r="215" spans="1:20">
      <c r="A215" s="854">
        <f t="shared" si="46"/>
        <v>200</v>
      </c>
      <c r="B215" s="706">
        <v>39908</v>
      </c>
      <c r="C215" s="88" t="s">
        <v>1542</v>
      </c>
      <c r="D215" s="346">
        <v>41719463.300928734</v>
      </c>
      <c r="E215" s="621">
        <v>0</v>
      </c>
      <c r="F215" s="429">
        <f t="shared" si="56"/>
        <v>41719463.300928734</v>
      </c>
      <c r="G215" s="466">
        <f t="shared" si="68"/>
        <v>0.104</v>
      </c>
      <c r="H215" s="466">
        <f t="shared" si="69"/>
        <v>0.49780000000000002</v>
      </c>
      <c r="I215" s="429">
        <f t="shared" si="63"/>
        <v>2159866.6784450416</v>
      </c>
      <c r="K215" s="346">
        <v>39245353.830375165</v>
      </c>
      <c r="L215" s="466">
        <f t="shared" si="60"/>
        <v>0.104</v>
      </c>
      <c r="M215" s="466">
        <f t="shared" si="61"/>
        <v>0.49780000000000002</v>
      </c>
      <c r="N215" s="429">
        <f t="shared" si="59"/>
        <v>2031779.0622231187</v>
      </c>
      <c r="P215" s="660"/>
      <c r="S215" s="466"/>
      <c r="T215" s="466"/>
    </row>
    <row r="216" spans="1:20">
      <c r="A216" s="854">
        <f t="shared" si="46"/>
        <v>201</v>
      </c>
      <c r="B216" s="706">
        <v>39909</v>
      </c>
      <c r="C216" s="88" t="s">
        <v>1557</v>
      </c>
      <c r="D216" s="346">
        <v>44629.080000000009</v>
      </c>
      <c r="E216" s="621">
        <v>0</v>
      </c>
      <c r="F216" s="429">
        <f t="shared" si="56"/>
        <v>44629.080000000009</v>
      </c>
      <c r="G216" s="466">
        <f t="shared" si="68"/>
        <v>0.104</v>
      </c>
      <c r="H216" s="466">
        <f t="shared" si="69"/>
        <v>0.49780000000000002</v>
      </c>
      <c r="I216" s="429">
        <f t="shared" si="63"/>
        <v>2310.5010264960006</v>
      </c>
      <c r="K216" s="346">
        <v>44629.08</v>
      </c>
      <c r="L216" s="466">
        <f t="shared" si="60"/>
        <v>0.104</v>
      </c>
      <c r="M216" s="466">
        <f t="shared" si="61"/>
        <v>0.49780000000000002</v>
      </c>
      <c r="N216" s="429">
        <f t="shared" si="59"/>
        <v>2310.5010264960001</v>
      </c>
      <c r="P216" s="660"/>
      <c r="S216" s="466"/>
      <c r="T216" s="466"/>
    </row>
    <row r="217" spans="1:20">
      <c r="A217" s="854">
        <f t="shared" si="46"/>
        <v>202</v>
      </c>
      <c r="B217" s="706">
        <v>39921</v>
      </c>
      <c r="C217" s="88" t="s">
        <v>1506</v>
      </c>
      <c r="D217" s="346">
        <v>1439508.605069</v>
      </c>
      <c r="E217" s="621">
        <v>0</v>
      </c>
      <c r="F217" s="429">
        <f t="shared" si="56"/>
        <v>1439508.605069</v>
      </c>
      <c r="G217" s="466">
        <v>1</v>
      </c>
      <c r="H217" s="466">
        <f>Allocation!$E$22</f>
        <v>6.3622429999999994E-2</v>
      </c>
      <c r="I217" s="429">
        <f t="shared" si="63"/>
        <v>91585.03546040009</v>
      </c>
      <c r="K217" s="346">
        <v>1362298.7493349998</v>
      </c>
      <c r="L217" s="466">
        <f t="shared" ref="L217:L226" si="70">G217</f>
        <v>1</v>
      </c>
      <c r="M217" s="466">
        <f t="shared" ref="M217:M226" si="71">H217</f>
        <v>6.3622429999999994E-2</v>
      </c>
      <c r="N217" s="429">
        <f t="shared" si="59"/>
        <v>86672.756818653565</v>
      </c>
      <c r="P217" s="660"/>
      <c r="S217" s="466"/>
      <c r="T217" s="466"/>
    </row>
    <row r="218" spans="1:20">
      <c r="A218" s="854">
        <f t="shared" si="46"/>
        <v>203</v>
      </c>
      <c r="B218" s="706">
        <v>39922</v>
      </c>
      <c r="C218" s="88" t="s">
        <v>1507</v>
      </c>
      <c r="D218" s="346">
        <v>623007.7251409993</v>
      </c>
      <c r="E218" s="621">
        <v>0</v>
      </c>
      <c r="F218" s="429">
        <f t="shared" si="56"/>
        <v>623007.7251409993</v>
      </c>
      <c r="G218" s="466">
        <v>1</v>
      </c>
      <c r="H218" s="466">
        <f>Allocation!$E$22</f>
        <v>6.3622429999999994E-2</v>
      </c>
      <c r="I218" s="429">
        <f t="shared" si="63"/>
        <v>39637.265382242462</v>
      </c>
      <c r="K218" s="346">
        <v>580087.6608149996</v>
      </c>
      <c r="L218" s="466">
        <f t="shared" si="70"/>
        <v>1</v>
      </c>
      <c r="M218" s="466">
        <f t="shared" si="71"/>
        <v>6.3622429999999994E-2</v>
      </c>
      <c r="N218" s="429">
        <f t="shared" si="59"/>
        <v>36906.586594066051</v>
      </c>
      <c r="P218" s="660"/>
      <c r="S218" s="466"/>
      <c r="T218" s="466"/>
    </row>
    <row r="219" spans="1:20">
      <c r="A219" s="854">
        <f t="shared" si="46"/>
        <v>204</v>
      </c>
      <c r="B219" s="706">
        <v>39923</v>
      </c>
      <c r="C219" s="88" t="s">
        <v>1508</v>
      </c>
      <c r="D219" s="346">
        <v>51138.729286999987</v>
      </c>
      <c r="E219" s="621">
        <v>0</v>
      </c>
      <c r="F219" s="429">
        <f t="shared" si="56"/>
        <v>51138.729286999987</v>
      </c>
      <c r="G219" s="466">
        <v>1</v>
      </c>
      <c r="H219" s="466">
        <f>Allocation!$E$22</f>
        <v>6.3622429999999994E-2</v>
      </c>
      <c r="I219" s="429">
        <f t="shared" si="63"/>
        <v>3253.5702243511064</v>
      </c>
      <c r="K219" s="346">
        <v>49035.775204999998</v>
      </c>
      <c r="L219" s="466">
        <f t="shared" si="70"/>
        <v>1</v>
      </c>
      <c r="M219" s="466">
        <f t="shared" si="71"/>
        <v>6.3622429999999994E-2</v>
      </c>
      <c r="N219" s="429">
        <f t="shared" si="59"/>
        <v>3119.7751754758478</v>
      </c>
      <c r="P219" s="660"/>
      <c r="S219" s="466"/>
      <c r="T219" s="466"/>
    </row>
    <row r="220" spans="1:20">
      <c r="A220" s="854">
        <f t="shared" si="46"/>
        <v>205</v>
      </c>
      <c r="B220" s="706">
        <v>39924</v>
      </c>
      <c r="C220" s="88" t="s">
        <v>1389</v>
      </c>
      <c r="D220" s="346">
        <v>0</v>
      </c>
      <c r="E220" s="621">
        <v>0</v>
      </c>
      <c r="F220" s="429">
        <f t="shared" si="56"/>
        <v>0</v>
      </c>
      <c r="G220" s="466">
        <f t="shared" si="68"/>
        <v>0.104</v>
      </c>
      <c r="H220" s="466">
        <f t="shared" si="69"/>
        <v>0.49780000000000002</v>
      </c>
      <c r="I220" s="429">
        <f t="shared" si="63"/>
        <v>0</v>
      </c>
      <c r="K220" s="346">
        <v>0</v>
      </c>
      <c r="L220" s="466">
        <f t="shared" si="70"/>
        <v>0.104</v>
      </c>
      <c r="M220" s="466">
        <f t="shared" si="71"/>
        <v>0.49780000000000002</v>
      </c>
      <c r="N220" s="429">
        <f t="shared" si="59"/>
        <v>0</v>
      </c>
      <c r="P220" s="660"/>
      <c r="S220" s="466"/>
      <c r="T220" s="466"/>
    </row>
    <row r="221" spans="1:20">
      <c r="A221" s="854">
        <f t="shared" si="46"/>
        <v>206</v>
      </c>
      <c r="B221" s="706">
        <v>39926</v>
      </c>
      <c r="C221" s="88" t="s">
        <v>1517</v>
      </c>
      <c r="D221" s="346">
        <v>113039.37202650006</v>
      </c>
      <c r="E221" s="621">
        <v>0</v>
      </c>
      <c r="F221" s="429">
        <f t="shared" si="56"/>
        <v>113039.37202650006</v>
      </c>
      <c r="G221" s="466">
        <v>1</v>
      </c>
      <c r="H221" s="466">
        <f>Allocation!$E$22</f>
        <v>6.3622429999999994E-2</v>
      </c>
      <c r="I221" s="429">
        <f t="shared" si="63"/>
        <v>7191.8395339999579</v>
      </c>
      <c r="K221" s="346">
        <v>96550.171447500034</v>
      </c>
      <c r="L221" s="466">
        <f t="shared" si="70"/>
        <v>1</v>
      </c>
      <c r="M221" s="466">
        <f t="shared" si="71"/>
        <v>6.3622429999999994E-2</v>
      </c>
      <c r="N221" s="429">
        <f t="shared" si="59"/>
        <v>6142.756524406569</v>
      </c>
      <c r="P221" s="660"/>
      <c r="S221" s="466"/>
      <c r="T221" s="466"/>
    </row>
    <row r="222" spans="1:20">
      <c r="A222" s="854">
        <f t="shared" si="46"/>
        <v>207</v>
      </c>
      <c r="B222" s="706">
        <v>39928</v>
      </c>
      <c r="C222" s="88" t="s">
        <v>1518</v>
      </c>
      <c r="D222" s="346">
        <v>14889594.99820287</v>
      </c>
      <c r="E222" s="621">
        <v>0</v>
      </c>
      <c r="F222" s="429">
        <f t="shared" si="56"/>
        <v>14889594.99820287</v>
      </c>
      <c r="G222" s="466">
        <v>1</v>
      </c>
      <c r="H222" s="466">
        <f>Allocation!$E$22</f>
        <v>6.3622429999999994E-2</v>
      </c>
      <c r="I222" s="429">
        <f t="shared" si="63"/>
        <v>947312.21550151205</v>
      </c>
      <c r="K222" s="346">
        <v>14212409.61683502</v>
      </c>
      <c r="L222" s="466">
        <f t="shared" si="70"/>
        <v>1</v>
      </c>
      <c r="M222" s="466">
        <f t="shared" si="71"/>
        <v>6.3622429999999994E-2</v>
      </c>
      <c r="N222" s="429">
        <f t="shared" si="59"/>
        <v>904228.03597841284</v>
      </c>
      <c r="P222" s="660"/>
      <c r="S222" s="466"/>
      <c r="T222" s="466"/>
    </row>
    <row r="223" spans="1:20">
      <c r="A223" s="854">
        <f t="shared" si="46"/>
        <v>208</v>
      </c>
      <c r="B223" s="706">
        <v>39931</v>
      </c>
      <c r="C223" s="88" t="s">
        <v>1519</v>
      </c>
      <c r="D223" s="346">
        <v>102995.95059899992</v>
      </c>
      <c r="E223" s="621">
        <v>0</v>
      </c>
      <c r="F223" s="429">
        <f t="shared" si="56"/>
        <v>102995.95059899992</v>
      </c>
      <c r="G223" s="466">
        <v>1</v>
      </c>
      <c r="H223" s="466">
        <f>Allocation!$E$23</f>
        <v>0</v>
      </c>
      <c r="I223" s="429">
        <f t="shared" si="63"/>
        <v>0</v>
      </c>
      <c r="K223" s="346">
        <v>88905.513284999906</v>
      </c>
      <c r="L223" s="466">
        <f t="shared" si="70"/>
        <v>1</v>
      </c>
      <c r="M223" s="466">
        <f t="shared" si="71"/>
        <v>0</v>
      </c>
      <c r="N223" s="429">
        <f t="shared" si="59"/>
        <v>0</v>
      </c>
      <c r="P223" s="660"/>
      <c r="S223" s="466"/>
      <c r="T223" s="466"/>
    </row>
    <row r="224" spans="1:20">
      <c r="A224" s="854">
        <f t="shared" si="46"/>
        <v>209</v>
      </c>
      <c r="B224" s="706">
        <v>39932</v>
      </c>
      <c r="C224" s="88" t="s">
        <v>1520</v>
      </c>
      <c r="D224" s="346">
        <v>102617.12949099999</v>
      </c>
      <c r="E224" s="621">
        <v>0</v>
      </c>
      <c r="F224" s="429">
        <f t="shared" si="56"/>
        <v>102617.12949099999</v>
      </c>
      <c r="G224" s="466">
        <v>1</v>
      </c>
      <c r="H224" s="466">
        <f>Allocation!$E$23</f>
        <v>0</v>
      </c>
      <c r="I224" s="429">
        <f t="shared" si="63"/>
        <v>0</v>
      </c>
      <c r="K224" s="346">
        <v>87180.301064999992</v>
      </c>
      <c r="L224" s="466">
        <f t="shared" si="70"/>
        <v>1</v>
      </c>
      <c r="M224" s="466">
        <f t="shared" si="71"/>
        <v>0</v>
      </c>
      <c r="N224" s="429">
        <f t="shared" si="59"/>
        <v>0</v>
      </c>
      <c r="P224" s="660"/>
      <c r="S224" s="466"/>
      <c r="T224" s="466"/>
    </row>
    <row r="225" spans="1:20">
      <c r="A225" s="854">
        <f t="shared" si="46"/>
        <v>210</v>
      </c>
      <c r="B225" s="706">
        <v>39938</v>
      </c>
      <c r="C225" s="88" t="s">
        <v>1521</v>
      </c>
      <c r="D225" s="346">
        <v>5740913.2389410501</v>
      </c>
      <c r="E225" s="621">
        <v>0</v>
      </c>
      <c r="F225" s="429">
        <f t="shared" ref="F225" si="72">D225+E225</f>
        <v>5740913.2389410501</v>
      </c>
      <c r="G225" s="466">
        <v>1</v>
      </c>
      <c r="H225" s="466">
        <f>Allocation!$E$23</f>
        <v>0</v>
      </c>
      <c r="I225" s="429">
        <f t="shared" si="63"/>
        <v>0</v>
      </c>
      <c r="K225" s="346">
        <v>5074483.8359590936</v>
      </c>
      <c r="L225" s="466">
        <f t="shared" si="70"/>
        <v>1</v>
      </c>
      <c r="M225" s="466">
        <f t="shared" si="71"/>
        <v>0</v>
      </c>
      <c r="N225" s="429">
        <f t="shared" ref="N225" si="73">K225*L225*M225</f>
        <v>0</v>
      </c>
      <c r="P225" s="660"/>
      <c r="S225" s="466"/>
      <c r="T225" s="466"/>
    </row>
    <row r="226" spans="1:20">
      <c r="A226" s="854">
        <f t="shared" si="46"/>
        <v>211</v>
      </c>
      <c r="B226" s="706"/>
      <c r="C226" s="88" t="s">
        <v>1143</v>
      </c>
      <c r="D226" s="346">
        <v>0</v>
      </c>
      <c r="E226" s="1059">
        <v>0</v>
      </c>
      <c r="F226" s="380">
        <f t="shared" si="56"/>
        <v>0</v>
      </c>
      <c r="G226" s="422">
        <f t="shared" si="68"/>
        <v>0.104</v>
      </c>
      <c r="H226" s="422">
        <f t="shared" si="69"/>
        <v>0.49780000000000002</v>
      </c>
      <c r="I226" s="429">
        <f t="shared" si="63"/>
        <v>0</v>
      </c>
      <c r="K226" s="346">
        <v>0</v>
      </c>
      <c r="L226" s="466">
        <f t="shared" si="70"/>
        <v>0.104</v>
      </c>
      <c r="M226" s="466">
        <f t="shared" si="71"/>
        <v>0.49780000000000002</v>
      </c>
      <c r="N226" s="1042">
        <f t="shared" si="59"/>
        <v>0</v>
      </c>
      <c r="P226" s="660"/>
      <c r="S226" s="466"/>
      <c r="T226" s="466"/>
    </row>
    <row r="227" spans="1:20">
      <c r="A227" s="854">
        <f t="shared" si="46"/>
        <v>212</v>
      </c>
      <c r="B227" s="389"/>
      <c r="C227" s="88"/>
      <c r="D227" s="1061"/>
      <c r="E227" s="1061"/>
      <c r="F227" s="1061"/>
    </row>
    <row r="228" spans="1:20" ht="15.75" thickBot="1">
      <c r="A228" s="854">
        <f t="shared" si="46"/>
        <v>213</v>
      </c>
      <c r="B228" s="389"/>
      <c r="C228" s="233" t="s">
        <v>1322</v>
      </c>
      <c r="D228" s="329">
        <f>SUM(D188:D226)</f>
        <v>137086356.8957544</v>
      </c>
      <c r="E228" s="329">
        <f>SUM(E188:E226)</f>
        <v>0</v>
      </c>
      <c r="F228" s="329">
        <f>SUM(F188:F226)</f>
        <v>137086356.8957544</v>
      </c>
      <c r="I228" s="329">
        <f>SUM(I188:I226)</f>
        <v>6844543.1466129106</v>
      </c>
      <c r="K228" s="329">
        <f>SUM(K188:K226)</f>
        <v>129013379.65879294</v>
      </c>
      <c r="N228" s="329">
        <f>SUM(N188:N226)</f>
        <v>6457986.2835745011</v>
      </c>
    </row>
    <row r="229" spans="1:20" ht="15.75" thickTop="1">
      <c r="A229" s="854">
        <f t="shared" si="46"/>
        <v>214</v>
      </c>
      <c r="B229" s="1038"/>
      <c r="D229" s="616"/>
    </row>
    <row r="230" spans="1:20" ht="15.75">
      <c r="A230" s="854">
        <f t="shared" si="46"/>
        <v>215</v>
      </c>
      <c r="B230" s="1043" t="s">
        <v>9</v>
      </c>
      <c r="D230" s="616"/>
    </row>
    <row r="231" spans="1:20">
      <c r="A231" s="854">
        <f t="shared" si="46"/>
        <v>216</v>
      </c>
      <c r="B231" s="1038"/>
      <c r="D231" s="616"/>
      <c r="P231" s="670"/>
    </row>
    <row r="232" spans="1:20">
      <c r="A232" s="854">
        <f t="shared" si="46"/>
        <v>217</v>
      </c>
      <c r="B232" s="389"/>
      <c r="C232" s="619" t="s">
        <v>301</v>
      </c>
      <c r="D232" s="616"/>
    </row>
    <row r="233" spans="1:20">
      <c r="A233" s="854">
        <f t="shared" si="46"/>
        <v>218</v>
      </c>
      <c r="B233" s="513">
        <v>38900</v>
      </c>
      <c r="C233" s="88" t="s">
        <v>1558</v>
      </c>
      <c r="D233" s="346">
        <v>0</v>
      </c>
      <c r="E233" s="346">
        <v>0</v>
      </c>
      <c r="F233" s="346">
        <f t="shared" ref="F233:F262" si="74">D233+E233</f>
        <v>0</v>
      </c>
      <c r="G233" s="466">
        <f>Allocation!$C$15</f>
        <v>0.1095</v>
      </c>
      <c r="H233" s="466">
        <f>Allocation!$D$15</f>
        <v>0.51517972406888612</v>
      </c>
      <c r="I233" s="346">
        <f t="shared" ref="I233:I262" si="75">F233*G233*H233</f>
        <v>0</v>
      </c>
      <c r="K233" s="346">
        <v>0</v>
      </c>
      <c r="L233" s="324">
        <f>G233</f>
        <v>0.1095</v>
      </c>
      <c r="M233" s="324">
        <f>H233</f>
        <v>0.51517972406888612</v>
      </c>
      <c r="N233" s="360">
        <f>K233*L233*M233</f>
        <v>0</v>
      </c>
      <c r="P233" s="660"/>
      <c r="S233" s="466"/>
      <c r="T233" s="466"/>
    </row>
    <row r="234" spans="1:20">
      <c r="A234" s="854">
        <f t="shared" si="46"/>
        <v>219</v>
      </c>
      <c r="B234" s="513">
        <v>38910</v>
      </c>
      <c r="C234" s="88" t="s">
        <v>1559</v>
      </c>
      <c r="D234" s="346">
        <v>0</v>
      </c>
      <c r="E234" s="429">
        <v>0</v>
      </c>
      <c r="F234" s="429">
        <f t="shared" si="74"/>
        <v>0</v>
      </c>
      <c r="G234" s="466">
        <v>1</v>
      </c>
      <c r="H234" s="466">
        <f>Allocation!$E$21</f>
        <v>2.3186160000000001E-2</v>
      </c>
      <c r="I234" s="429">
        <f t="shared" si="75"/>
        <v>0</v>
      </c>
      <c r="K234" s="346">
        <v>0</v>
      </c>
      <c r="L234" s="324">
        <f t="shared" ref="L234:L262" si="76">G234</f>
        <v>1</v>
      </c>
      <c r="M234" s="324">
        <f t="shared" ref="M234:M262" si="77">H234</f>
        <v>2.3186160000000001E-2</v>
      </c>
      <c r="N234" s="616">
        <f t="shared" ref="N234:N262" si="78">K234*L234*M234</f>
        <v>0</v>
      </c>
      <c r="P234" s="660"/>
      <c r="S234" s="466"/>
      <c r="T234" s="466"/>
    </row>
    <row r="235" spans="1:20">
      <c r="A235" s="854">
        <f t="shared" si="46"/>
        <v>220</v>
      </c>
      <c r="B235" s="513">
        <v>39000</v>
      </c>
      <c r="C235" s="88" t="s">
        <v>1524</v>
      </c>
      <c r="D235" s="346">
        <v>2494295.122481748</v>
      </c>
      <c r="E235" s="429">
        <v>0</v>
      </c>
      <c r="F235" s="429">
        <f t="shared" si="74"/>
        <v>2494295.122481748</v>
      </c>
      <c r="G235" s="466">
        <f>Allocation!$C$15</f>
        <v>0.1095</v>
      </c>
      <c r="H235" s="466">
        <f>Allocation!$D$15</f>
        <v>0.51517972406888612</v>
      </c>
      <c r="I235" s="429">
        <f t="shared" si="75"/>
        <v>140708.62488764344</v>
      </c>
      <c r="K235" s="346">
        <v>2303626.6332012485</v>
      </c>
      <c r="L235" s="324">
        <f t="shared" si="76"/>
        <v>0.1095</v>
      </c>
      <c r="M235" s="324">
        <f t="shared" si="77"/>
        <v>0.51517972406888612</v>
      </c>
      <c r="N235" s="616">
        <f t="shared" si="78"/>
        <v>129952.59979091401</v>
      </c>
      <c r="P235" s="660"/>
      <c r="S235" s="466"/>
      <c r="T235" s="466"/>
    </row>
    <row r="236" spans="1:20">
      <c r="A236" s="854">
        <f t="shared" si="46"/>
        <v>221</v>
      </c>
      <c r="B236" s="513">
        <v>39009</v>
      </c>
      <c r="C236" s="88" t="s">
        <v>1528</v>
      </c>
      <c r="D236" s="346">
        <v>1813283.7656562505</v>
      </c>
      <c r="E236" s="429">
        <v>0</v>
      </c>
      <c r="F236" s="429">
        <f t="shared" si="74"/>
        <v>1813283.7656562505</v>
      </c>
      <c r="G236" s="466">
        <f>Allocation!$C$15</f>
        <v>0.1095</v>
      </c>
      <c r="H236" s="466">
        <f>Allocation!$D$15</f>
        <v>0.51517972406888612</v>
      </c>
      <c r="I236" s="429">
        <f t="shared" si="75"/>
        <v>102291.28979040688</v>
      </c>
      <c r="K236" s="346">
        <v>1767448.7954687511</v>
      </c>
      <c r="L236" s="324">
        <f t="shared" si="76"/>
        <v>0.1095</v>
      </c>
      <c r="M236" s="324">
        <f t="shared" si="77"/>
        <v>0.51517972406888612</v>
      </c>
      <c r="N236" s="616">
        <f t="shared" si="78"/>
        <v>99705.639211724658</v>
      </c>
      <c r="P236" s="660"/>
      <c r="S236" s="466"/>
      <c r="T236" s="466"/>
    </row>
    <row r="237" spans="1:20">
      <c r="A237" s="854">
        <f t="shared" ref="A237:A250" si="79">A236+1</f>
        <v>222</v>
      </c>
      <c r="B237" s="513">
        <v>39010</v>
      </c>
      <c r="C237" s="88" t="s">
        <v>1560</v>
      </c>
      <c r="D237" s="346">
        <v>3408099.1620000047</v>
      </c>
      <c r="E237" s="429">
        <v>0</v>
      </c>
      <c r="F237" s="429">
        <f t="shared" si="74"/>
        <v>3408099.1620000047</v>
      </c>
      <c r="G237" s="466">
        <v>1</v>
      </c>
      <c r="H237" s="466">
        <f>Allocation!$E$21</f>
        <v>2.3186160000000001E-2</v>
      </c>
      <c r="I237" s="429">
        <f t="shared" si="75"/>
        <v>79020.732465998037</v>
      </c>
      <c r="K237" s="346">
        <v>3222896.2700000037</v>
      </c>
      <c r="L237" s="324">
        <f t="shared" si="76"/>
        <v>1</v>
      </c>
      <c r="M237" s="324">
        <f t="shared" si="77"/>
        <v>2.3186160000000001E-2</v>
      </c>
      <c r="N237" s="616">
        <f t="shared" si="78"/>
        <v>74726.588579623291</v>
      </c>
      <c r="P237" s="660"/>
      <c r="S237" s="466"/>
      <c r="T237" s="466"/>
    </row>
    <row r="238" spans="1:20">
      <c r="A238" s="854">
        <f t="shared" si="79"/>
        <v>223</v>
      </c>
      <c r="B238" s="513">
        <v>39100</v>
      </c>
      <c r="C238" s="88" t="s">
        <v>1529</v>
      </c>
      <c r="D238" s="346">
        <v>995778.39053343399</v>
      </c>
      <c r="E238" s="429">
        <v>0</v>
      </c>
      <c r="F238" s="429">
        <f t="shared" si="74"/>
        <v>995778.39053343399</v>
      </c>
      <c r="G238" s="466">
        <f>Allocation!$C$15</f>
        <v>0.1095</v>
      </c>
      <c r="H238" s="466">
        <f>Allocation!$D$15</f>
        <v>0.51517972406888612</v>
      </c>
      <c r="I238" s="429">
        <f t="shared" si="75"/>
        <v>56174.029593330757</v>
      </c>
      <c r="K238" s="346">
        <v>945263.70483715693</v>
      </c>
      <c r="L238" s="324">
        <f t="shared" si="76"/>
        <v>0.1095</v>
      </c>
      <c r="M238" s="324">
        <f t="shared" si="77"/>
        <v>0.51517972406888612</v>
      </c>
      <c r="N238" s="616">
        <f t="shared" si="78"/>
        <v>53324.386062022175</v>
      </c>
      <c r="P238" s="660"/>
      <c r="S238" s="466"/>
      <c r="T238" s="466"/>
    </row>
    <row r="239" spans="1:20">
      <c r="A239" s="854">
        <f t="shared" si="79"/>
        <v>224</v>
      </c>
      <c r="B239" s="513">
        <v>39101</v>
      </c>
      <c r="C239" s="88" t="s">
        <v>1499</v>
      </c>
      <c r="D239" s="346">
        <v>0</v>
      </c>
      <c r="E239" s="429">
        <v>0</v>
      </c>
      <c r="F239" s="429">
        <f t="shared" si="74"/>
        <v>0</v>
      </c>
      <c r="G239" s="466">
        <f>Allocation!$C$15</f>
        <v>0.1095</v>
      </c>
      <c r="H239" s="466">
        <f>Allocation!$D$15</f>
        <v>0.51517972406888612</v>
      </c>
      <c r="I239" s="429">
        <f t="shared" si="75"/>
        <v>0</v>
      </c>
      <c r="K239" s="346">
        <v>0</v>
      </c>
      <c r="L239" s="324">
        <f t="shared" si="76"/>
        <v>0.1095</v>
      </c>
      <c r="M239" s="324">
        <f t="shared" si="77"/>
        <v>0.51517972406888612</v>
      </c>
      <c r="N239" s="616">
        <f t="shared" si="78"/>
        <v>0</v>
      </c>
      <c r="P239" s="660"/>
      <c r="S239" s="466"/>
      <c r="T239" s="466"/>
    </row>
    <row r="240" spans="1:20">
      <c r="A240" s="854">
        <f t="shared" si="79"/>
        <v>225</v>
      </c>
      <c r="B240" s="513">
        <v>39102</v>
      </c>
      <c r="C240" s="88" t="s">
        <v>1509</v>
      </c>
      <c r="D240" s="346">
        <v>0</v>
      </c>
      <c r="E240" s="429">
        <v>0</v>
      </c>
      <c r="F240" s="429">
        <f t="shared" si="74"/>
        <v>0</v>
      </c>
      <c r="G240" s="466">
        <f>Allocation!$C$15</f>
        <v>0.1095</v>
      </c>
      <c r="H240" s="466">
        <f>Allocation!$D$15</f>
        <v>0.51517972406888612</v>
      </c>
      <c r="I240" s="429">
        <f t="shared" si="75"/>
        <v>0</v>
      </c>
      <c r="K240" s="346">
        <v>0</v>
      </c>
      <c r="L240" s="324">
        <f t="shared" si="76"/>
        <v>0.1095</v>
      </c>
      <c r="M240" s="324">
        <f t="shared" si="77"/>
        <v>0.51517972406888612</v>
      </c>
      <c r="N240" s="616">
        <f t="shared" si="78"/>
        <v>0</v>
      </c>
      <c r="P240" s="660"/>
      <c r="S240" s="466"/>
      <c r="T240" s="466"/>
    </row>
    <row r="241" spans="1:20">
      <c r="A241" s="854">
        <f t="shared" si="79"/>
        <v>226</v>
      </c>
      <c r="B241" s="513">
        <v>39103</v>
      </c>
      <c r="C241" s="88" t="s">
        <v>1320</v>
      </c>
      <c r="D241" s="346">
        <v>0</v>
      </c>
      <c r="E241" s="429">
        <v>0</v>
      </c>
      <c r="F241" s="429">
        <f t="shared" si="74"/>
        <v>0</v>
      </c>
      <c r="G241" s="466">
        <f>Allocation!$C$15</f>
        <v>0.1095</v>
      </c>
      <c r="H241" s="466">
        <f>Allocation!$D$15</f>
        <v>0.51517972406888612</v>
      </c>
      <c r="I241" s="429">
        <f t="shared" si="75"/>
        <v>0</v>
      </c>
      <c r="K241" s="346">
        <v>0</v>
      </c>
      <c r="L241" s="324">
        <f t="shared" si="76"/>
        <v>0.1095</v>
      </c>
      <c r="M241" s="324">
        <f t="shared" si="77"/>
        <v>0.51517972406888612</v>
      </c>
      <c r="N241" s="616">
        <f t="shared" si="78"/>
        <v>0</v>
      </c>
      <c r="P241" s="660"/>
      <c r="S241" s="466"/>
      <c r="T241" s="466"/>
    </row>
    <row r="242" spans="1:20">
      <c r="A242" s="854">
        <f t="shared" si="79"/>
        <v>227</v>
      </c>
      <c r="B242" s="513">
        <v>39110</v>
      </c>
      <c r="C242" s="88" t="s">
        <v>1510</v>
      </c>
      <c r="D242" s="346">
        <v>72530.351705514899</v>
      </c>
      <c r="E242" s="429">
        <v>0</v>
      </c>
      <c r="F242" s="429">
        <f t="shared" si="74"/>
        <v>72530.351705514899</v>
      </c>
      <c r="G242" s="466">
        <v>1</v>
      </c>
      <c r="H242" s="466">
        <f>Allocation!$E$21</f>
        <v>2.3186160000000001E-2</v>
      </c>
      <c r="I242" s="429">
        <f t="shared" si="75"/>
        <v>1681.7003395003414</v>
      </c>
      <c r="K242" s="346">
        <v>61947.573682849688</v>
      </c>
      <c r="L242" s="324">
        <f t="shared" si="76"/>
        <v>1</v>
      </c>
      <c r="M242" s="324">
        <f t="shared" si="77"/>
        <v>2.3186160000000001E-2</v>
      </c>
      <c r="N242" s="616">
        <f t="shared" si="78"/>
        <v>1436.3263550223421</v>
      </c>
      <c r="P242" s="660"/>
      <c r="S242" s="466"/>
      <c r="T242" s="466"/>
    </row>
    <row r="243" spans="1:20">
      <c r="A243" s="854">
        <f t="shared" si="79"/>
        <v>228</v>
      </c>
      <c r="B243" s="513">
        <v>39210</v>
      </c>
      <c r="C243" s="88" t="s">
        <v>1511</v>
      </c>
      <c r="D243" s="346">
        <v>96385.355145000009</v>
      </c>
      <c r="E243" s="429">
        <v>0</v>
      </c>
      <c r="F243" s="429">
        <f t="shared" si="74"/>
        <v>96385.355145000009</v>
      </c>
      <c r="G243" s="466">
        <v>1</v>
      </c>
      <c r="H243" s="466">
        <f>Allocation!$E$21</f>
        <v>2.3186160000000001E-2</v>
      </c>
      <c r="I243" s="429">
        <f t="shared" si="75"/>
        <v>2234.8062660487935</v>
      </c>
      <c r="K243" s="346">
        <v>96385.355145000009</v>
      </c>
      <c r="L243" s="324">
        <f t="shared" si="76"/>
        <v>1</v>
      </c>
      <c r="M243" s="324">
        <f t="shared" si="77"/>
        <v>2.3186160000000001E-2</v>
      </c>
      <c r="N243" s="616">
        <f t="shared" si="78"/>
        <v>2234.8062660487935</v>
      </c>
      <c r="P243" s="660"/>
      <c r="S243" s="466"/>
      <c r="T243" s="466"/>
    </row>
    <row r="244" spans="1:20">
      <c r="A244" s="854">
        <f t="shared" si="79"/>
        <v>229</v>
      </c>
      <c r="B244" s="513">
        <v>39410</v>
      </c>
      <c r="C244" s="88" t="s">
        <v>1512</v>
      </c>
      <c r="D244" s="346">
        <v>184199.12681989692</v>
      </c>
      <c r="E244" s="429">
        <v>0</v>
      </c>
      <c r="F244" s="429">
        <f t="shared" si="74"/>
        <v>184199.12681989692</v>
      </c>
      <c r="G244" s="466">
        <v>1</v>
      </c>
      <c r="H244" s="466">
        <f>Allocation!$E$21</f>
        <v>2.3186160000000001E-2</v>
      </c>
      <c r="I244" s="429">
        <f t="shared" si="75"/>
        <v>4270.870426306421</v>
      </c>
      <c r="K244" s="346">
        <v>157579.43957577567</v>
      </c>
      <c r="L244" s="324">
        <f t="shared" si="76"/>
        <v>1</v>
      </c>
      <c r="M244" s="324">
        <f t="shared" si="77"/>
        <v>2.3186160000000001E-2</v>
      </c>
      <c r="N244" s="616">
        <f t="shared" si="78"/>
        <v>3653.6620987142669</v>
      </c>
      <c r="P244" s="660"/>
      <c r="S244" s="466"/>
      <c r="T244" s="466"/>
    </row>
    <row r="245" spans="1:20">
      <c r="A245" s="854">
        <f t="shared" si="79"/>
        <v>230</v>
      </c>
      <c r="B245" s="513">
        <v>39510</v>
      </c>
      <c r="C245" s="88" t="s">
        <v>1513</v>
      </c>
      <c r="D245" s="346">
        <v>19547.630311250025</v>
      </c>
      <c r="E245" s="429">
        <v>0</v>
      </c>
      <c r="F245" s="429">
        <f t="shared" si="74"/>
        <v>19547.630311250025</v>
      </c>
      <c r="G245" s="466">
        <v>1</v>
      </c>
      <c r="H245" s="466">
        <f>Allocation!$E$21</f>
        <v>2.3186160000000001E-2</v>
      </c>
      <c r="I245" s="429">
        <f t="shared" si="75"/>
        <v>453.23448401749289</v>
      </c>
      <c r="K245" s="346">
        <v>18360.118793750014</v>
      </c>
      <c r="L245" s="324">
        <f t="shared" si="76"/>
        <v>1</v>
      </c>
      <c r="M245" s="324">
        <f t="shared" si="77"/>
        <v>2.3186160000000001E-2</v>
      </c>
      <c r="N245" s="616">
        <f t="shared" si="78"/>
        <v>425.70065197089485</v>
      </c>
      <c r="P245" s="660"/>
      <c r="S245" s="466"/>
      <c r="T245" s="466"/>
    </row>
    <row r="246" spans="1:20">
      <c r="A246" s="854">
        <f t="shared" si="79"/>
        <v>231</v>
      </c>
      <c r="B246" s="513">
        <v>39700</v>
      </c>
      <c r="C246" s="88" t="s">
        <v>1536</v>
      </c>
      <c r="D246" s="346">
        <v>1229135.4841362517</v>
      </c>
      <c r="E246" s="429">
        <v>0</v>
      </c>
      <c r="F246" s="429">
        <f t="shared" si="74"/>
        <v>1229135.4841362517</v>
      </c>
      <c r="G246" s="466">
        <f>Allocation!$C$15</f>
        <v>0.1095</v>
      </c>
      <c r="H246" s="466">
        <f>Allocation!$D$15</f>
        <v>0.51517972406888612</v>
      </c>
      <c r="I246" s="429">
        <f t="shared" si="75"/>
        <v>69338.211911884704</v>
      </c>
      <c r="K246" s="346">
        <v>1173176.8086687515</v>
      </c>
      <c r="L246" s="324">
        <f t="shared" si="76"/>
        <v>0.1095</v>
      </c>
      <c r="M246" s="324">
        <f t="shared" si="77"/>
        <v>0.51517972406888612</v>
      </c>
      <c r="N246" s="616">
        <f t="shared" si="78"/>
        <v>66181.461050851227</v>
      </c>
      <c r="P246" s="660"/>
      <c r="S246" s="466"/>
      <c r="T246" s="466"/>
    </row>
    <row r="247" spans="1:20">
      <c r="A247" s="854">
        <f t="shared" si="79"/>
        <v>232</v>
      </c>
      <c r="B247" s="513">
        <v>39710</v>
      </c>
      <c r="C247" s="88" t="s">
        <v>1561</v>
      </c>
      <c r="D247" s="346">
        <v>180990.94597249985</v>
      </c>
      <c r="E247" s="429">
        <v>0</v>
      </c>
      <c r="F247" s="429">
        <f t="shared" si="74"/>
        <v>180990.94597249985</v>
      </c>
      <c r="G247" s="466">
        <v>1</v>
      </c>
      <c r="H247" s="466">
        <f>Allocation!$E$21</f>
        <v>2.3186160000000001E-2</v>
      </c>
      <c r="I247" s="429">
        <f t="shared" si="75"/>
        <v>4196.4850318697372</v>
      </c>
      <c r="K247" s="346">
        <v>172464.55283749985</v>
      </c>
      <c r="L247" s="324">
        <f t="shared" si="76"/>
        <v>1</v>
      </c>
      <c r="M247" s="324">
        <f t="shared" si="77"/>
        <v>2.3186160000000001E-2</v>
      </c>
      <c r="N247" s="616">
        <f t="shared" si="78"/>
        <v>3998.7907164187259</v>
      </c>
      <c r="P247" s="660"/>
      <c r="S247" s="466"/>
      <c r="T247" s="466"/>
    </row>
    <row r="248" spans="1:20">
      <c r="A248" s="854">
        <f t="shared" si="79"/>
        <v>233</v>
      </c>
      <c r="B248" s="513">
        <v>39800</v>
      </c>
      <c r="C248" s="88" t="s">
        <v>1538</v>
      </c>
      <c r="D248" s="346">
        <v>18362.529724500011</v>
      </c>
      <c r="E248" s="429">
        <v>0</v>
      </c>
      <c r="F248" s="429">
        <f t="shared" si="74"/>
        <v>18362.529724500011</v>
      </c>
      <c r="G248" s="466">
        <f>Allocation!$C$15</f>
        <v>0.1095</v>
      </c>
      <c r="H248" s="466">
        <f>Allocation!$D$15</f>
        <v>0.51517972406888612</v>
      </c>
      <c r="I248" s="429">
        <f t="shared" si="75"/>
        <v>1035.8703281358726</v>
      </c>
      <c r="K248" s="346">
        <v>16510.615517500013</v>
      </c>
      <c r="L248" s="324">
        <f t="shared" si="76"/>
        <v>0.1095</v>
      </c>
      <c r="M248" s="324">
        <f t="shared" si="77"/>
        <v>0.51517972406888612</v>
      </c>
      <c r="N248" s="616">
        <f t="shared" si="78"/>
        <v>931.39981094318728</v>
      </c>
      <c r="P248" s="660"/>
      <c r="S248" s="466"/>
      <c r="T248" s="466"/>
    </row>
    <row r="249" spans="1:20">
      <c r="A249" s="854">
        <f t="shared" si="79"/>
        <v>234</v>
      </c>
      <c r="B249" s="706">
        <v>39810</v>
      </c>
      <c r="C249" s="88" t="s">
        <v>1514</v>
      </c>
      <c r="D249" s="346">
        <v>182979.85983875007</v>
      </c>
      <c r="E249" s="429">
        <v>0</v>
      </c>
      <c r="F249" s="429">
        <f t="shared" si="74"/>
        <v>182979.85983875007</v>
      </c>
      <c r="G249" s="466">
        <v>1</v>
      </c>
      <c r="H249" s="466">
        <f>Allocation!$E$21</f>
        <v>2.3186160000000001E-2</v>
      </c>
      <c r="I249" s="429">
        <f t="shared" si="75"/>
        <v>4242.6003069988337</v>
      </c>
      <c r="K249" s="346">
        <v>169509.32845625005</v>
      </c>
      <c r="L249" s="324">
        <f t="shared" si="76"/>
        <v>1</v>
      </c>
      <c r="M249" s="324">
        <f t="shared" si="77"/>
        <v>2.3186160000000001E-2</v>
      </c>
      <c r="N249" s="616">
        <f t="shared" si="78"/>
        <v>3930.2704110791669</v>
      </c>
      <c r="P249" s="660"/>
      <c r="S249" s="466"/>
      <c r="T249" s="466"/>
    </row>
    <row r="250" spans="1:20">
      <c r="A250" s="854">
        <f t="shared" si="79"/>
        <v>235</v>
      </c>
      <c r="B250" s="706">
        <v>39900</v>
      </c>
      <c r="C250" s="88" t="s">
        <v>1546</v>
      </c>
      <c r="D250" s="346">
        <v>604448.7444330001</v>
      </c>
      <c r="E250" s="429">
        <v>0</v>
      </c>
      <c r="F250" s="429">
        <f t="shared" si="74"/>
        <v>604448.7444330001</v>
      </c>
      <c r="G250" s="466">
        <f>Allocation!$C$15</f>
        <v>0.1095</v>
      </c>
      <c r="H250" s="466">
        <f>Allocation!$D$15</f>
        <v>0.51517972406888612</v>
      </c>
      <c r="I250" s="429">
        <f t="shared" si="75"/>
        <v>34098.271242100156</v>
      </c>
      <c r="K250" s="346">
        <v>563364.17459499987</v>
      </c>
      <c r="L250" s="324">
        <f t="shared" si="76"/>
        <v>0.1095</v>
      </c>
      <c r="M250" s="324">
        <f t="shared" si="77"/>
        <v>0.51517972406888612</v>
      </c>
      <c r="N250" s="616">
        <f t="shared" si="78"/>
        <v>31780.601101987188</v>
      </c>
      <c r="P250" s="660"/>
      <c r="S250" s="466"/>
      <c r="T250" s="466"/>
    </row>
    <row r="251" spans="1:20">
      <c r="A251" s="854">
        <f t="shared" ref="A251:A266" si="80">A250+1</f>
        <v>236</v>
      </c>
      <c r="B251" s="706">
        <v>39901</v>
      </c>
      <c r="C251" s="88" t="s">
        <v>1547</v>
      </c>
      <c r="D251" s="346">
        <v>6484555.8093760014</v>
      </c>
      <c r="E251" s="429">
        <v>0</v>
      </c>
      <c r="F251" s="429">
        <f t="shared" si="74"/>
        <v>6484555.8093760014</v>
      </c>
      <c r="G251" s="466">
        <f>Allocation!$C$15</f>
        <v>0.1095</v>
      </c>
      <c r="H251" s="466">
        <f>Allocation!$D$15</f>
        <v>0.51517972406888612</v>
      </c>
      <c r="I251" s="429">
        <f t="shared" si="75"/>
        <v>365807.9281479065</v>
      </c>
      <c r="K251" s="346">
        <v>5994285.8238400016</v>
      </c>
      <c r="L251" s="324">
        <f t="shared" si="76"/>
        <v>0.1095</v>
      </c>
      <c r="M251" s="324">
        <f t="shared" si="77"/>
        <v>0.51517972406888612</v>
      </c>
      <c r="N251" s="616">
        <f t="shared" si="78"/>
        <v>338150.72958039411</v>
      </c>
      <c r="P251" s="660"/>
      <c r="S251" s="466"/>
      <c r="T251" s="466"/>
    </row>
    <row r="252" spans="1:20">
      <c r="A252" s="854">
        <f t="shared" si="80"/>
        <v>237</v>
      </c>
      <c r="B252" s="706">
        <v>39902</v>
      </c>
      <c r="C252" s="88" t="s">
        <v>1548</v>
      </c>
      <c r="D252" s="346">
        <v>1461754.3587237487</v>
      </c>
      <c r="E252" s="429">
        <v>0</v>
      </c>
      <c r="F252" s="429">
        <f t="shared" si="74"/>
        <v>1461754.3587237487</v>
      </c>
      <c r="G252" s="466">
        <f>Allocation!$C$15</f>
        <v>0.1095</v>
      </c>
      <c r="H252" s="466">
        <f>Allocation!$D$15</f>
        <v>0.51517972406888612</v>
      </c>
      <c r="I252" s="429">
        <f t="shared" si="75"/>
        <v>82460.749686625277</v>
      </c>
      <c r="K252" s="346">
        <v>1371385.5962312487</v>
      </c>
      <c r="L252" s="324">
        <f t="shared" si="76"/>
        <v>0.1095</v>
      </c>
      <c r="M252" s="324">
        <f t="shared" si="77"/>
        <v>0.51517972406888612</v>
      </c>
      <c r="N252" s="616">
        <f t="shared" si="78"/>
        <v>77362.850809901312</v>
      </c>
      <c r="P252" s="660"/>
      <c r="S252" s="466"/>
      <c r="T252" s="466"/>
    </row>
    <row r="253" spans="1:20">
      <c r="A253" s="854">
        <f t="shared" si="80"/>
        <v>238</v>
      </c>
      <c r="B253" s="706">
        <v>39903</v>
      </c>
      <c r="C253" s="88" t="s">
        <v>1539</v>
      </c>
      <c r="D253" s="346">
        <v>429080.6039664998</v>
      </c>
      <c r="E253" s="429">
        <v>0</v>
      </c>
      <c r="F253" s="429">
        <f t="shared" si="74"/>
        <v>429080.6039664998</v>
      </c>
      <c r="G253" s="466">
        <f>Allocation!$C$15</f>
        <v>0.1095</v>
      </c>
      <c r="H253" s="466">
        <f>Allocation!$D$15</f>
        <v>0.51517972406888612</v>
      </c>
      <c r="I253" s="429">
        <f t="shared" si="75"/>
        <v>24205.372173447573</v>
      </c>
      <c r="K253" s="346">
        <v>407089.16854749981</v>
      </c>
      <c r="L253" s="324">
        <f t="shared" si="76"/>
        <v>0.1095</v>
      </c>
      <c r="M253" s="324">
        <f t="shared" si="77"/>
        <v>0.51517972406888612</v>
      </c>
      <c r="N253" s="616">
        <f t="shared" si="78"/>
        <v>22964.787364848791</v>
      </c>
      <c r="P253" s="660"/>
      <c r="S253" s="466"/>
      <c r="T253" s="466"/>
    </row>
    <row r="254" spans="1:20">
      <c r="A254" s="854">
        <f t="shared" si="80"/>
        <v>239</v>
      </c>
      <c r="B254" s="706">
        <v>39906</v>
      </c>
      <c r="C254" s="88" t="s">
        <v>1540</v>
      </c>
      <c r="D254" s="346">
        <v>716762.22263583762</v>
      </c>
      <c r="E254" s="429">
        <v>0</v>
      </c>
      <c r="F254" s="429">
        <f t="shared" si="74"/>
        <v>716762.22263583762</v>
      </c>
      <c r="G254" s="466">
        <f>Allocation!$C$15</f>
        <v>0.1095</v>
      </c>
      <c r="H254" s="466">
        <f>Allocation!$D$15</f>
        <v>0.51517972406888612</v>
      </c>
      <c r="I254" s="429">
        <f t="shared" si="75"/>
        <v>40434.11936681829</v>
      </c>
      <c r="K254" s="346">
        <v>661520.7675230254</v>
      </c>
      <c r="L254" s="324">
        <f t="shared" si="76"/>
        <v>0.1095</v>
      </c>
      <c r="M254" s="324">
        <f t="shared" si="77"/>
        <v>0.51517972406888612</v>
      </c>
      <c r="N254" s="616">
        <f t="shared" si="78"/>
        <v>37317.828469379325</v>
      </c>
      <c r="P254" s="660"/>
      <c r="S254" s="466"/>
      <c r="T254" s="466"/>
    </row>
    <row r="255" spans="1:20">
      <c r="A255" s="854">
        <f t="shared" si="80"/>
        <v>240</v>
      </c>
      <c r="B255" s="706">
        <v>39907</v>
      </c>
      <c r="C255" s="88" t="s">
        <v>1541</v>
      </c>
      <c r="D255" s="346">
        <v>153019.73469425019</v>
      </c>
      <c r="E255" s="429">
        <v>0</v>
      </c>
      <c r="F255" s="429">
        <f t="shared" si="74"/>
        <v>153019.73469425019</v>
      </c>
      <c r="G255" s="466">
        <f>Allocation!$C$15</f>
        <v>0.1095</v>
      </c>
      <c r="H255" s="466">
        <f>Allocation!$D$15</f>
        <v>0.51517972406888612</v>
      </c>
      <c r="I255" s="429">
        <f t="shared" si="75"/>
        <v>8632.1767843081379</v>
      </c>
      <c r="K255" s="346">
        <v>146713.04763875014</v>
      </c>
      <c r="L255" s="324">
        <f t="shared" si="76"/>
        <v>0.1095</v>
      </c>
      <c r="M255" s="324">
        <f t="shared" si="77"/>
        <v>0.51517972406888612</v>
      </c>
      <c r="N255" s="616">
        <f t="shared" si="78"/>
        <v>8276.4028202821119</v>
      </c>
      <c r="P255" s="660"/>
      <c r="S255" s="466"/>
      <c r="T255" s="466"/>
    </row>
    <row r="256" spans="1:20">
      <c r="A256" s="854">
        <f t="shared" si="80"/>
        <v>241</v>
      </c>
      <c r="B256" s="706">
        <v>39908</v>
      </c>
      <c r="C256" s="88" t="s">
        <v>1542</v>
      </c>
      <c r="D256" s="346">
        <v>39389426.313098826</v>
      </c>
      <c r="E256" s="429">
        <v>0</v>
      </c>
      <c r="F256" s="429">
        <f t="shared" si="74"/>
        <v>39389426.313098826</v>
      </c>
      <c r="G256" s="466">
        <f>Allocation!$C$15</f>
        <v>0.1095</v>
      </c>
      <c r="H256" s="466">
        <f>Allocation!$D$15</f>
        <v>0.51517972406888612</v>
      </c>
      <c r="I256" s="429">
        <f t="shared" si="75"/>
        <v>2222043.3988239304</v>
      </c>
      <c r="K256" s="346">
        <v>36343196.605658047</v>
      </c>
      <c r="L256" s="324">
        <f t="shared" si="76"/>
        <v>0.1095</v>
      </c>
      <c r="M256" s="324">
        <f t="shared" si="77"/>
        <v>0.51517972406888612</v>
      </c>
      <c r="N256" s="616">
        <f t="shared" si="78"/>
        <v>2050198.940899719</v>
      </c>
      <c r="P256" s="1173"/>
      <c r="S256" s="466"/>
      <c r="T256" s="466"/>
    </row>
    <row r="257" spans="1:20">
      <c r="A257" s="854">
        <f t="shared" si="80"/>
        <v>242</v>
      </c>
      <c r="B257" s="706">
        <v>39910</v>
      </c>
      <c r="C257" s="88" t="s">
        <v>1562</v>
      </c>
      <c r="D257" s="346">
        <v>231991.4041915001</v>
      </c>
      <c r="E257" s="429">
        <v>0</v>
      </c>
      <c r="F257" s="429">
        <f t="shared" si="74"/>
        <v>231991.4041915001</v>
      </c>
      <c r="G257" s="466">
        <v>1</v>
      </c>
      <c r="H257" s="466">
        <f>Allocation!$E$21</f>
        <v>2.3186160000000001E-2</v>
      </c>
      <c r="I257" s="429">
        <f t="shared" si="75"/>
        <v>5378.989816208792</v>
      </c>
      <c r="K257" s="346">
        <v>209811.75442250009</v>
      </c>
      <c r="L257" s="324">
        <f t="shared" si="76"/>
        <v>1</v>
      </c>
      <c r="M257" s="324">
        <f t="shared" si="77"/>
        <v>2.3186160000000001E-2</v>
      </c>
      <c r="N257" s="616">
        <f t="shared" si="78"/>
        <v>4864.7289079207949</v>
      </c>
      <c r="P257" s="660"/>
      <c r="S257" s="466"/>
      <c r="T257" s="466"/>
    </row>
    <row r="258" spans="1:20">
      <c r="A258" s="854">
        <f t="shared" si="80"/>
        <v>243</v>
      </c>
      <c r="B258" s="706">
        <v>39916</v>
      </c>
      <c r="C258" s="88" t="s">
        <v>1563</v>
      </c>
      <c r="D258" s="346">
        <v>307866.33476636215</v>
      </c>
      <c r="E258" s="429">
        <v>0</v>
      </c>
      <c r="F258" s="429">
        <f t="shared" si="74"/>
        <v>307866.33476636215</v>
      </c>
      <c r="G258" s="466">
        <v>1</v>
      </c>
      <c r="H258" s="466">
        <f>Allocation!$E$21</f>
        <v>2.3186160000000001E-2</v>
      </c>
      <c r="I258" s="429">
        <f t="shared" si="75"/>
        <v>7138.2380965064358</v>
      </c>
      <c r="K258" s="346">
        <v>282904.37872539752</v>
      </c>
      <c r="L258" s="324">
        <f t="shared" si="76"/>
        <v>1</v>
      </c>
      <c r="M258" s="324">
        <f t="shared" si="77"/>
        <v>2.3186160000000001E-2</v>
      </c>
      <c r="N258" s="616">
        <f t="shared" si="78"/>
        <v>6559.4661898276627</v>
      </c>
      <c r="P258" s="660"/>
      <c r="S258" s="466"/>
      <c r="T258" s="466"/>
    </row>
    <row r="259" spans="1:20">
      <c r="A259" s="854">
        <f t="shared" si="80"/>
        <v>244</v>
      </c>
      <c r="B259" s="706">
        <v>39917</v>
      </c>
      <c r="C259" s="88" t="s">
        <v>1564</v>
      </c>
      <c r="D259" s="346">
        <v>85140.113774499958</v>
      </c>
      <c r="E259" s="429">
        <v>0</v>
      </c>
      <c r="F259" s="429">
        <f t="shared" si="74"/>
        <v>85140.113774499958</v>
      </c>
      <c r="G259" s="466">
        <v>1</v>
      </c>
      <c r="H259" s="466">
        <f>Allocation!$E$21</f>
        <v>2.3186160000000001E-2</v>
      </c>
      <c r="I259" s="429">
        <f t="shared" si="75"/>
        <v>1974.0723003937601</v>
      </c>
      <c r="K259" s="346">
        <v>81696.10126749998</v>
      </c>
      <c r="L259" s="324">
        <f t="shared" si="76"/>
        <v>1</v>
      </c>
      <c r="M259" s="324">
        <f t="shared" si="77"/>
        <v>2.3186160000000001E-2</v>
      </c>
      <c r="N259" s="616">
        <f t="shared" si="78"/>
        <v>1894.2188753644575</v>
      </c>
      <c r="P259" s="660"/>
      <c r="S259" s="466"/>
      <c r="T259" s="466"/>
    </row>
    <row r="260" spans="1:20">
      <c r="A260" s="854">
        <f t="shared" si="80"/>
        <v>245</v>
      </c>
      <c r="B260" s="706">
        <v>39918</v>
      </c>
      <c r="C260" s="88" t="s">
        <v>1515</v>
      </c>
      <c r="D260" s="346">
        <v>12716.204256000006</v>
      </c>
      <c r="E260" s="429">
        <v>0</v>
      </c>
      <c r="F260" s="429">
        <f t="shared" si="74"/>
        <v>12716.204256000006</v>
      </c>
      <c r="G260" s="466">
        <v>1</v>
      </c>
      <c r="H260" s="466">
        <f>Allocation!$E$21</f>
        <v>2.3186160000000001E-2</v>
      </c>
      <c r="I260" s="429">
        <f t="shared" si="75"/>
        <v>294.83994647229713</v>
      </c>
      <c r="K260" s="346">
        <v>12045.943040000002</v>
      </c>
      <c r="L260" s="324">
        <f t="shared" si="76"/>
        <v>1</v>
      </c>
      <c r="M260" s="324">
        <f t="shared" si="77"/>
        <v>2.3186160000000001E-2</v>
      </c>
      <c r="N260" s="616">
        <f t="shared" si="78"/>
        <v>279.29916267632643</v>
      </c>
      <c r="P260" s="660"/>
      <c r="S260" s="466"/>
      <c r="T260" s="466"/>
    </row>
    <row r="261" spans="1:20">
      <c r="A261" s="854">
        <f t="shared" si="80"/>
        <v>246</v>
      </c>
      <c r="B261" s="706">
        <v>39924</v>
      </c>
      <c r="C261" s="88" t="s">
        <v>1516</v>
      </c>
      <c r="D261" s="346">
        <v>0</v>
      </c>
      <c r="E261" s="429">
        <v>0</v>
      </c>
      <c r="F261" s="429">
        <f t="shared" si="74"/>
        <v>0</v>
      </c>
      <c r="G261" s="466">
        <f>Allocation!$C$15</f>
        <v>0.1095</v>
      </c>
      <c r="H261" s="466">
        <f>Allocation!$D$15</f>
        <v>0.51517972406888612</v>
      </c>
      <c r="I261" s="429">
        <f t="shared" si="75"/>
        <v>0</v>
      </c>
      <c r="K261" s="346">
        <v>0</v>
      </c>
      <c r="L261" s="324">
        <f t="shared" si="76"/>
        <v>0.1095</v>
      </c>
      <c r="M261" s="324">
        <f t="shared" si="77"/>
        <v>0.51517972406888612</v>
      </c>
      <c r="N261" s="616">
        <f t="shared" si="78"/>
        <v>0</v>
      </c>
      <c r="P261" s="660"/>
      <c r="S261" s="466"/>
      <c r="T261" s="466"/>
    </row>
    <row r="262" spans="1:20">
      <c r="A262" s="854">
        <f t="shared" si="80"/>
        <v>247</v>
      </c>
      <c r="B262" s="706"/>
      <c r="C262" s="88" t="s">
        <v>1143</v>
      </c>
      <c r="D262" s="346">
        <v>0</v>
      </c>
      <c r="E262" s="380">
        <v>0</v>
      </c>
      <c r="F262" s="429">
        <f t="shared" si="74"/>
        <v>0</v>
      </c>
      <c r="G262" s="466">
        <f>$G$233</f>
        <v>0.1095</v>
      </c>
      <c r="H262" s="466">
        <f>$H$233</f>
        <v>0.51517972406888612</v>
      </c>
      <c r="I262" s="1042">
        <f t="shared" si="75"/>
        <v>0</v>
      </c>
      <c r="K262" s="346">
        <v>0</v>
      </c>
      <c r="L262" s="324">
        <f t="shared" si="76"/>
        <v>0.1095</v>
      </c>
      <c r="M262" s="324">
        <f t="shared" si="77"/>
        <v>0.51517972406888612</v>
      </c>
      <c r="N262" s="1045">
        <f t="shared" si="78"/>
        <v>0</v>
      </c>
      <c r="P262" s="660"/>
      <c r="S262" s="466"/>
      <c r="T262" s="466"/>
    </row>
    <row r="263" spans="1:20">
      <c r="A263" s="854">
        <f t="shared" si="80"/>
        <v>248</v>
      </c>
      <c r="B263" s="81"/>
      <c r="C263" s="88"/>
      <c r="D263" s="1060"/>
      <c r="E263" s="618"/>
      <c r="F263" s="618"/>
    </row>
    <row r="264" spans="1:20" ht="15.75" thickBot="1">
      <c r="A264" s="854">
        <f t="shared" si="80"/>
        <v>249</v>
      </c>
      <c r="B264" s="81"/>
      <c r="C264" s="233" t="s">
        <v>1323</v>
      </c>
      <c r="D264" s="511">
        <f>SUM(D233:D263)</f>
        <v>60572349.568241633</v>
      </c>
      <c r="E264" s="511">
        <f>SUM(E233:E263)</f>
        <v>0</v>
      </c>
      <c r="F264" s="511">
        <f>SUM(F233:F263)</f>
        <v>60572349.568241633</v>
      </c>
      <c r="I264" s="511">
        <f>SUM(I233:I263)</f>
        <v>3258116.6122168587</v>
      </c>
      <c r="K264" s="511">
        <f>SUM(K233:K263)</f>
        <v>56179182.557673514</v>
      </c>
      <c r="N264" s="511">
        <f>SUM(N233:N263)</f>
        <v>3020151.4851876344</v>
      </c>
    </row>
    <row r="265" spans="1:20" ht="15.75" thickTop="1">
      <c r="A265" s="854">
        <f t="shared" si="80"/>
        <v>250</v>
      </c>
    </row>
    <row r="266" spans="1:20" ht="30.75" thickBot="1">
      <c r="A266" s="854">
        <f t="shared" si="80"/>
        <v>251</v>
      </c>
      <c r="C266" s="614" t="s">
        <v>1145</v>
      </c>
      <c r="D266" s="511">
        <f>D264+D228+D183+D120</f>
        <v>388010059.66718656</v>
      </c>
      <c r="E266" s="511">
        <f>E264+E228+E183+E120</f>
        <v>0</v>
      </c>
      <c r="F266" s="511">
        <f>F264+F228+F183+F120</f>
        <v>388010059.66718656</v>
      </c>
      <c r="I266" s="511">
        <f>I264+I228+I183+I120</f>
        <v>199412545.12952575</v>
      </c>
      <c r="K266" s="511">
        <f>K264+K228+K183+K120</f>
        <v>371191730.96769911</v>
      </c>
      <c r="N266" s="511">
        <f>N264+N228+N183+N120</f>
        <v>194453458.71969739</v>
      </c>
    </row>
    <row r="267" spans="1:20" ht="15.75" thickTop="1"/>
  </sheetData>
  <mergeCells count="4">
    <mergeCell ref="A1:N1"/>
    <mergeCell ref="A2:N2"/>
    <mergeCell ref="A3:N3"/>
    <mergeCell ref="A4:N4"/>
  </mergeCells>
  <phoneticPr fontId="23" type="noConversion"/>
  <pageMargins left="0.75" right="0.66" top="1" bottom="0.94" header="0.5" footer="0.5"/>
  <pageSetup scale="55" orientation="landscape" r:id="rId1"/>
  <headerFooter alignWithMargins="0">
    <oddFooter>&amp;RSchedule &amp;A
Page &amp;P of &amp;N</oddFooter>
  </headerFooter>
  <rowBreaks count="6" manualBreakCount="6">
    <brk id="47" max="13" man="1"/>
    <brk id="86" max="13" man="1"/>
    <brk id="122" max="13" man="1"/>
    <brk id="155" max="13" man="1"/>
    <brk id="183" max="13" man="1"/>
    <brk id="228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267"/>
  <sheetViews>
    <sheetView view="pageBreakPreview" zoomScale="60" zoomScaleNormal="70" workbookViewId="0">
      <pane ySplit="12" topLeftCell="A187" activePane="bottomLeft" state="frozen"/>
      <selection activeCell="F59" sqref="F59:F60"/>
      <selection pane="bottomLeft" activeCell="D206" sqref="D206"/>
    </sheetView>
  </sheetViews>
  <sheetFormatPr defaultRowHeight="15"/>
  <cols>
    <col min="1" max="1" width="4.77734375" style="80" customWidth="1"/>
    <col min="2" max="2" width="9.33203125" style="80" customWidth="1"/>
    <col min="3" max="3" width="34.33203125" style="80" customWidth="1"/>
    <col min="4" max="4" width="14.109375" style="80" customWidth="1"/>
    <col min="5" max="5" width="11" style="853" customWidth="1"/>
    <col min="6" max="6" width="11.33203125" style="853" customWidth="1"/>
    <col min="7" max="7" width="11.109375" style="853" customWidth="1"/>
    <col min="8" max="8" width="15.109375" style="80" customWidth="1"/>
    <col min="9" max="9" width="3.21875" style="80" customWidth="1"/>
    <col min="10" max="10" width="4.33203125" style="80" customWidth="1"/>
    <col min="11" max="11" width="11.109375" style="80" customWidth="1"/>
    <col min="12" max="12" width="9.6640625" style="80" customWidth="1"/>
    <col min="13" max="13" width="13.88671875" style="80" customWidth="1"/>
    <col min="14" max="16384" width="8.88671875" style="80"/>
  </cols>
  <sheetData>
    <row r="1" spans="1:13">
      <c r="A1" s="1193" t="str">
        <f>'Table of Contents'!A1:C1</f>
        <v>Atmos Energy Corporation, Kentucky/Mid-States Division</v>
      </c>
      <c r="B1" s="1193"/>
      <c r="C1" s="1193"/>
      <c r="D1" s="1193"/>
      <c r="E1" s="1193"/>
      <c r="F1" s="1193"/>
      <c r="G1" s="1193"/>
      <c r="H1" s="1193"/>
      <c r="I1" s="1193"/>
    </row>
    <row r="2" spans="1:13">
      <c r="A2" s="1193" t="str">
        <f>'Table of Contents'!A2:C2</f>
        <v>Kentucky Jurisdiction Case No. 2018-00281</v>
      </c>
      <c r="B2" s="1193"/>
      <c r="C2" s="1193"/>
      <c r="D2" s="1193"/>
      <c r="E2" s="1193"/>
      <c r="F2" s="1193"/>
      <c r="G2" s="1193"/>
      <c r="H2" s="1193"/>
      <c r="I2" s="1193"/>
    </row>
    <row r="3" spans="1:13">
      <c r="A3" s="1193" t="s">
        <v>91</v>
      </c>
      <c r="B3" s="1193"/>
      <c r="C3" s="1193"/>
      <c r="D3" s="1193"/>
      <c r="E3" s="1193"/>
      <c r="F3" s="1193"/>
      <c r="G3" s="1193"/>
      <c r="H3" s="1193"/>
      <c r="I3" s="1193"/>
    </row>
    <row r="4" spans="1:13">
      <c r="A4" s="1193" t="str">
        <f>'Table of Contents'!A4:C4</f>
        <v>Forecasted Test Period: Twelve Months Ended March 31, 2020</v>
      </c>
      <c r="B4" s="1193"/>
      <c r="C4" s="1193"/>
      <c r="D4" s="1193"/>
      <c r="E4" s="1193"/>
      <c r="F4" s="1193"/>
      <c r="G4" s="1193"/>
      <c r="H4" s="1193"/>
      <c r="I4" s="1193"/>
    </row>
    <row r="5" spans="1:13" ht="15.75">
      <c r="A5" s="150"/>
      <c r="B5" s="150"/>
      <c r="C5" s="150"/>
      <c r="D5" s="901"/>
      <c r="E5" s="731"/>
      <c r="F5" s="856"/>
      <c r="G5" s="856"/>
      <c r="H5" s="81"/>
      <c r="I5" s="81"/>
    </row>
    <row r="6" spans="1:13" ht="15.75">
      <c r="A6" s="88" t="str">
        <f>'B.1 F '!A6</f>
        <v>Data:______Base Period__X___Forecasted Period</v>
      </c>
      <c r="B6" s="81"/>
      <c r="C6" s="81"/>
      <c r="D6" s="81"/>
      <c r="E6" s="856"/>
      <c r="F6" s="856"/>
      <c r="H6" s="900" t="s">
        <v>1417</v>
      </c>
      <c r="M6" s="901"/>
    </row>
    <row r="7" spans="1:13">
      <c r="A7" s="88" t="str">
        <f>'B.1 F '!A7</f>
        <v>Type of Filing:___X____Original________Updated ________Revised</v>
      </c>
      <c r="B7" s="88"/>
      <c r="C7" s="81"/>
      <c r="D7" s="81"/>
      <c r="E7" s="856"/>
      <c r="F7" s="856"/>
      <c r="H7" s="1027" t="s">
        <v>698</v>
      </c>
      <c r="I7" s="88"/>
    </row>
    <row r="8" spans="1:13">
      <c r="A8" s="390" t="str">
        <f>'B.1 F '!A8</f>
        <v>Workpaper Reference No(s).</v>
      </c>
      <c r="B8" s="151"/>
      <c r="C8" s="151"/>
      <c r="D8" s="151"/>
      <c r="E8" s="1062"/>
      <c r="F8" s="1062"/>
      <c r="G8" s="928"/>
      <c r="H8" s="549" t="str">
        <f>'B.2 B'!N8</f>
        <v>Witness: Waller</v>
      </c>
      <c r="I8" s="390"/>
    </row>
    <row r="9" spans="1:13">
      <c r="A9" s="1026"/>
      <c r="B9" s="74"/>
      <c r="C9" s="74"/>
      <c r="D9" s="74"/>
      <c r="E9" s="716"/>
      <c r="F9" s="76"/>
      <c r="G9" s="75"/>
      <c r="H9" s="1026"/>
      <c r="I9" s="1026"/>
    </row>
    <row r="10" spans="1:13">
      <c r="A10" s="1026"/>
      <c r="B10" s="74"/>
      <c r="C10" s="74"/>
      <c r="D10" s="856" t="s">
        <v>1326</v>
      </c>
      <c r="E10" s="76" t="s">
        <v>1267</v>
      </c>
      <c r="F10" s="76" t="s">
        <v>13</v>
      </c>
      <c r="G10" s="854" t="s">
        <v>11</v>
      </c>
      <c r="H10" s="1026"/>
      <c r="I10" s="1026"/>
    </row>
    <row r="11" spans="1:13">
      <c r="A11" s="88" t="s">
        <v>93</v>
      </c>
      <c r="B11" s="854" t="s">
        <v>268</v>
      </c>
      <c r="C11" s="854" t="s">
        <v>216</v>
      </c>
      <c r="D11" s="856" t="s">
        <v>1325</v>
      </c>
      <c r="E11" s="854" t="s">
        <v>270</v>
      </c>
      <c r="F11" s="854" t="s">
        <v>14</v>
      </c>
      <c r="G11" s="75" t="s">
        <v>594</v>
      </c>
      <c r="H11" s="854" t="s">
        <v>12</v>
      </c>
      <c r="I11" s="854"/>
    </row>
    <row r="12" spans="1:13">
      <c r="A12" s="185" t="s">
        <v>99</v>
      </c>
      <c r="B12" s="185" t="s">
        <v>99</v>
      </c>
      <c r="C12" s="185" t="s">
        <v>296</v>
      </c>
      <c r="D12" s="1063">
        <f>'B.2 F'!D10</f>
        <v>43921</v>
      </c>
      <c r="E12" s="185" t="s">
        <v>1002</v>
      </c>
      <c r="F12" s="185" t="s">
        <v>627</v>
      </c>
      <c r="G12" s="185" t="s">
        <v>627</v>
      </c>
      <c r="H12" s="185" t="s">
        <v>104</v>
      </c>
      <c r="I12" s="75"/>
      <c r="K12" s="428"/>
      <c r="L12" s="428"/>
    </row>
    <row r="13" spans="1:13">
      <c r="A13" s="75"/>
      <c r="B13" s="75"/>
      <c r="C13" s="75"/>
      <c r="D13" s="75"/>
      <c r="E13" s="75"/>
      <c r="F13" s="75"/>
      <c r="G13" s="75"/>
      <c r="H13" s="75"/>
      <c r="I13" s="75"/>
    </row>
    <row r="14" spans="1:13" ht="15.75">
      <c r="B14" s="941" t="s">
        <v>6</v>
      </c>
    </row>
    <row r="15" spans="1:13">
      <c r="A15" s="854">
        <v>1</v>
      </c>
      <c r="B15" s="81"/>
      <c r="C15" s="619" t="s">
        <v>297</v>
      </c>
    </row>
    <row r="16" spans="1:13">
      <c r="A16" s="854">
        <f>A15+1</f>
        <v>2</v>
      </c>
      <c r="B16" s="513">
        <v>30100</v>
      </c>
      <c r="C16" s="88" t="s">
        <v>291</v>
      </c>
      <c r="D16" s="346">
        <v>0</v>
      </c>
      <c r="E16" s="466">
        <v>1</v>
      </c>
      <c r="F16" s="465">
        <v>1</v>
      </c>
      <c r="G16" s="465">
        <f>$F$16</f>
        <v>1</v>
      </c>
      <c r="H16" s="346">
        <f>D16*E16*F16*G16</f>
        <v>0</v>
      </c>
      <c r="I16" s="915"/>
    </row>
    <row r="17" spans="1:8">
      <c r="A17" s="854">
        <f t="shared" ref="A17:A83" si="0">A16+1</f>
        <v>3</v>
      </c>
      <c r="B17" s="513">
        <v>30200</v>
      </c>
      <c r="C17" s="88" t="s">
        <v>153</v>
      </c>
      <c r="D17" s="346">
        <v>0</v>
      </c>
      <c r="E17" s="466">
        <v>1</v>
      </c>
      <c r="F17" s="465">
        <f>$F$16</f>
        <v>1</v>
      </c>
      <c r="G17" s="465">
        <f>$F$16</f>
        <v>1</v>
      </c>
      <c r="H17" s="429">
        <f>D17*E17*F17*G17</f>
        <v>0</v>
      </c>
    </row>
    <row r="18" spans="1:8">
      <c r="A18" s="854">
        <f t="shared" si="0"/>
        <v>4</v>
      </c>
      <c r="B18" s="513"/>
      <c r="C18" s="88"/>
      <c r="D18" s="1056"/>
      <c r="E18" s="466"/>
      <c r="F18" s="465"/>
      <c r="G18" s="465"/>
      <c r="H18" s="1056"/>
    </row>
    <row r="19" spans="1:8">
      <c r="A19" s="854">
        <f t="shared" si="0"/>
        <v>5</v>
      </c>
      <c r="B19" s="706"/>
      <c r="C19" s="88" t="s">
        <v>1337</v>
      </c>
      <c r="D19" s="346">
        <f>SUM(D16:D18)</f>
        <v>0</v>
      </c>
      <c r="E19" s="466"/>
      <c r="F19" s="465"/>
      <c r="G19" s="465"/>
      <c r="H19" s="346">
        <f>SUM(H16:H18)</f>
        <v>0</v>
      </c>
    </row>
    <row r="20" spans="1:8">
      <c r="A20" s="854">
        <f t="shared" si="0"/>
        <v>6</v>
      </c>
      <c r="B20" s="706"/>
      <c r="C20" s="81"/>
      <c r="D20" s="429"/>
      <c r="E20" s="466"/>
      <c r="F20" s="465"/>
      <c r="G20" s="465"/>
      <c r="H20" s="429"/>
    </row>
    <row r="21" spans="1:8">
      <c r="A21" s="854">
        <f t="shared" si="0"/>
        <v>7</v>
      </c>
      <c r="B21" s="706"/>
      <c r="C21" s="619" t="s">
        <v>154</v>
      </c>
      <c r="D21" s="429"/>
      <c r="E21" s="466"/>
      <c r="F21" s="465"/>
      <c r="G21" s="465"/>
      <c r="H21" s="429"/>
    </row>
    <row r="22" spans="1:8">
      <c r="A22" s="854">
        <f t="shared" si="0"/>
        <v>8</v>
      </c>
      <c r="B22" s="513">
        <v>32540</v>
      </c>
      <c r="C22" s="88" t="s">
        <v>161</v>
      </c>
      <c r="D22" s="346">
        <v>0</v>
      </c>
      <c r="E22" s="466">
        <v>1</v>
      </c>
      <c r="F22" s="465">
        <f t="shared" ref="F22:G24" si="1">$F$16</f>
        <v>1</v>
      </c>
      <c r="G22" s="465">
        <f t="shared" si="1"/>
        <v>1</v>
      </c>
      <c r="H22" s="429">
        <f t="shared" ref="H22:H24" si="2">D22*E22*F22*G22</f>
        <v>0</v>
      </c>
    </row>
    <row r="23" spans="1:8">
      <c r="A23" s="854">
        <f t="shared" si="0"/>
        <v>9</v>
      </c>
      <c r="B23" s="513">
        <v>33202</v>
      </c>
      <c r="C23" s="88" t="s">
        <v>596</v>
      </c>
      <c r="D23" s="346">
        <v>0</v>
      </c>
      <c r="E23" s="466">
        <v>1</v>
      </c>
      <c r="F23" s="465">
        <f t="shared" si="1"/>
        <v>1</v>
      </c>
      <c r="G23" s="465">
        <f t="shared" si="1"/>
        <v>1</v>
      </c>
      <c r="H23" s="429">
        <f t="shared" si="2"/>
        <v>0</v>
      </c>
    </row>
    <row r="24" spans="1:8">
      <c r="A24" s="854">
        <f t="shared" si="0"/>
        <v>10</v>
      </c>
      <c r="B24" s="513">
        <v>33400</v>
      </c>
      <c r="C24" s="88" t="s">
        <v>1119</v>
      </c>
      <c r="D24" s="346">
        <v>0</v>
      </c>
      <c r="E24" s="466">
        <v>1</v>
      </c>
      <c r="F24" s="465">
        <f t="shared" si="1"/>
        <v>1</v>
      </c>
      <c r="G24" s="465">
        <f t="shared" si="1"/>
        <v>1</v>
      </c>
      <c r="H24" s="429">
        <f t="shared" si="2"/>
        <v>0</v>
      </c>
    </row>
    <row r="25" spans="1:8">
      <c r="A25" s="854">
        <f t="shared" si="0"/>
        <v>11</v>
      </c>
      <c r="B25" s="513"/>
      <c r="C25" s="81"/>
      <c r="D25" s="1056"/>
      <c r="E25" s="466"/>
      <c r="F25" s="465"/>
      <c r="G25" s="465"/>
      <c r="H25" s="429"/>
    </row>
    <row r="26" spans="1:8">
      <c r="A26" s="854">
        <f t="shared" si="0"/>
        <v>12</v>
      </c>
      <c r="B26" s="513"/>
      <c r="C26" s="81" t="s">
        <v>1336</v>
      </c>
      <c r="D26" s="346">
        <f>SUM(D22:D25)</f>
        <v>0</v>
      </c>
      <c r="E26" s="466"/>
      <c r="F26" s="465"/>
      <c r="G26" s="465"/>
      <c r="H26" s="346">
        <f>SUM(H22:H25)</f>
        <v>0</v>
      </c>
    </row>
    <row r="27" spans="1:8">
      <c r="A27" s="854">
        <f t="shared" si="0"/>
        <v>13</v>
      </c>
      <c r="B27" s="513"/>
      <c r="C27" s="88"/>
      <c r="D27" s="429"/>
      <c r="E27" s="466"/>
      <c r="F27" s="465"/>
      <c r="G27" s="465"/>
      <c r="H27" s="429"/>
    </row>
    <row r="28" spans="1:8">
      <c r="A28" s="854">
        <f t="shared" si="0"/>
        <v>14</v>
      </c>
      <c r="B28" s="513"/>
      <c r="C28" s="619" t="s">
        <v>279</v>
      </c>
      <c r="D28" s="429"/>
      <c r="E28" s="466"/>
      <c r="F28" s="465"/>
      <c r="G28" s="465"/>
      <c r="H28" s="429"/>
    </row>
    <row r="29" spans="1:8">
      <c r="A29" s="854">
        <f t="shared" si="0"/>
        <v>15</v>
      </c>
      <c r="B29" s="513">
        <v>35010</v>
      </c>
      <c r="C29" s="88" t="s">
        <v>292</v>
      </c>
      <c r="D29" s="346">
        <v>0</v>
      </c>
      <c r="E29" s="466">
        <v>1</v>
      </c>
      <c r="F29" s="465">
        <f t="shared" ref="F29:G45" si="3">$F$16</f>
        <v>1</v>
      </c>
      <c r="G29" s="465">
        <f t="shared" si="3"/>
        <v>1</v>
      </c>
      <c r="H29" s="346">
        <f t="shared" ref="H29:H45" si="4">D29*E29*F29*G29</f>
        <v>0</v>
      </c>
    </row>
    <row r="30" spans="1:8">
      <c r="A30" s="854">
        <f t="shared" si="0"/>
        <v>16</v>
      </c>
      <c r="B30" s="513">
        <v>35020</v>
      </c>
      <c r="C30" s="88" t="s">
        <v>792</v>
      </c>
      <c r="D30" s="346">
        <v>22.003425999999994</v>
      </c>
      <c r="E30" s="466">
        <v>1</v>
      </c>
      <c r="F30" s="465">
        <f t="shared" si="3"/>
        <v>1</v>
      </c>
      <c r="G30" s="465">
        <f t="shared" si="3"/>
        <v>1</v>
      </c>
      <c r="H30" s="429">
        <f t="shared" si="4"/>
        <v>22.003425999999994</v>
      </c>
    </row>
    <row r="31" spans="1:8">
      <c r="A31" s="854">
        <f t="shared" si="0"/>
        <v>17</v>
      </c>
      <c r="B31" s="513">
        <v>35100</v>
      </c>
      <c r="C31" s="88" t="s">
        <v>969</v>
      </c>
      <c r="D31" s="346">
        <v>297.40875399999999</v>
      </c>
      <c r="E31" s="466">
        <v>1</v>
      </c>
      <c r="F31" s="465">
        <f t="shared" si="3"/>
        <v>1</v>
      </c>
      <c r="G31" s="465">
        <f t="shared" si="3"/>
        <v>1</v>
      </c>
      <c r="H31" s="429">
        <f t="shared" si="4"/>
        <v>297.40875399999999</v>
      </c>
    </row>
    <row r="32" spans="1:8">
      <c r="A32" s="854">
        <f t="shared" si="0"/>
        <v>18</v>
      </c>
      <c r="B32" s="513">
        <v>35102</v>
      </c>
      <c r="C32" s="88" t="s">
        <v>280</v>
      </c>
      <c r="D32" s="346">
        <v>1915.7662499999999</v>
      </c>
      <c r="E32" s="466">
        <v>1</v>
      </c>
      <c r="F32" s="465">
        <f t="shared" si="3"/>
        <v>1</v>
      </c>
      <c r="G32" s="465">
        <f t="shared" si="3"/>
        <v>1</v>
      </c>
      <c r="H32" s="429">
        <f t="shared" si="4"/>
        <v>1915.7662499999999</v>
      </c>
    </row>
    <row r="33" spans="1:8">
      <c r="A33" s="854">
        <f t="shared" si="0"/>
        <v>19</v>
      </c>
      <c r="B33" s="513">
        <v>35103</v>
      </c>
      <c r="C33" s="88" t="s">
        <v>585</v>
      </c>
      <c r="D33" s="346">
        <v>208.24541999999994</v>
      </c>
      <c r="E33" s="466">
        <v>1</v>
      </c>
      <c r="F33" s="465">
        <f t="shared" si="3"/>
        <v>1</v>
      </c>
      <c r="G33" s="465">
        <f t="shared" si="3"/>
        <v>1</v>
      </c>
      <c r="H33" s="429">
        <f t="shared" si="4"/>
        <v>208.24541999999994</v>
      </c>
    </row>
    <row r="34" spans="1:8">
      <c r="A34" s="854">
        <f t="shared" si="0"/>
        <v>20</v>
      </c>
      <c r="B34" s="513">
        <v>35104</v>
      </c>
      <c r="C34" s="88" t="s">
        <v>586</v>
      </c>
      <c r="D34" s="346">
        <v>1773.0086369999997</v>
      </c>
      <c r="E34" s="466">
        <v>1</v>
      </c>
      <c r="F34" s="465">
        <f t="shared" si="3"/>
        <v>1</v>
      </c>
      <c r="G34" s="465">
        <f t="shared" si="3"/>
        <v>1</v>
      </c>
      <c r="H34" s="429">
        <f t="shared" si="4"/>
        <v>1773.0086369999997</v>
      </c>
    </row>
    <row r="35" spans="1:8">
      <c r="A35" s="854">
        <f t="shared" si="0"/>
        <v>21</v>
      </c>
      <c r="B35" s="513">
        <v>35200</v>
      </c>
      <c r="C35" s="88" t="s">
        <v>441</v>
      </c>
      <c r="D35" s="346">
        <v>161121.79611350238</v>
      </c>
      <c r="E35" s="466">
        <v>1</v>
      </c>
      <c r="F35" s="465">
        <f t="shared" si="3"/>
        <v>1</v>
      </c>
      <c r="G35" s="465">
        <f t="shared" si="3"/>
        <v>1</v>
      </c>
      <c r="H35" s="429">
        <f t="shared" si="4"/>
        <v>161121.79611350238</v>
      </c>
    </row>
    <row r="36" spans="1:8">
      <c r="A36" s="854">
        <f t="shared" si="0"/>
        <v>22</v>
      </c>
      <c r="B36" s="513">
        <v>35201</v>
      </c>
      <c r="C36" s="88" t="s">
        <v>587</v>
      </c>
      <c r="D36" s="346">
        <v>25839.977807999992</v>
      </c>
      <c r="E36" s="466">
        <v>1</v>
      </c>
      <c r="F36" s="465">
        <f t="shared" si="3"/>
        <v>1</v>
      </c>
      <c r="G36" s="465">
        <f t="shared" si="3"/>
        <v>1</v>
      </c>
      <c r="H36" s="429">
        <f t="shared" si="4"/>
        <v>25839.977807999992</v>
      </c>
    </row>
    <row r="37" spans="1:8">
      <c r="A37" s="854">
        <f t="shared" si="0"/>
        <v>23</v>
      </c>
      <c r="B37" s="513">
        <v>35202</v>
      </c>
      <c r="C37" s="88" t="s">
        <v>588</v>
      </c>
      <c r="D37" s="346">
        <v>0</v>
      </c>
      <c r="E37" s="466">
        <v>1</v>
      </c>
      <c r="F37" s="465">
        <f t="shared" si="3"/>
        <v>1</v>
      </c>
      <c r="G37" s="465">
        <f t="shared" si="3"/>
        <v>1</v>
      </c>
      <c r="H37" s="429">
        <f t="shared" si="4"/>
        <v>0</v>
      </c>
    </row>
    <row r="38" spans="1:8">
      <c r="A38" s="854">
        <f t="shared" si="0"/>
        <v>24</v>
      </c>
      <c r="B38" s="513">
        <v>35203</v>
      </c>
      <c r="C38" s="88" t="s">
        <v>343</v>
      </c>
      <c r="D38" s="346">
        <v>23388.694848000003</v>
      </c>
      <c r="E38" s="466">
        <v>1</v>
      </c>
      <c r="F38" s="465">
        <f t="shared" si="3"/>
        <v>1</v>
      </c>
      <c r="G38" s="465">
        <f t="shared" si="3"/>
        <v>1</v>
      </c>
      <c r="H38" s="429">
        <f t="shared" si="4"/>
        <v>23388.694848000003</v>
      </c>
    </row>
    <row r="39" spans="1:8">
      <c r="A39" s="854">
        <f t="shared" si="0"/>
        <v>25</v>
      </c>
      <c r="B39" s="513">
        <v>35210</v>
      </c>
      <c r="C39" s="88" t="s">
        <v>589</v>
      </c>
      <c r="D39" s="346">
        <v>553.44327899999985</v>
      </c>
      <c r="E39" s="466">
        <v>1</v>
      </c>
      <c r="F39" s="465">
        <f t="shared" si="3"/>
        <v>1</v>
      </c>
      <c r="G39" s="465">
        <f t="shared" si="3"/>
        <v>1</v>
      </c>
      <c r="H39" s="429">
        <f t="shared" si="4"/>
        <v>553.44327899999985</v>
      </c>
    </row>
    <row r="40" spans="1:8">
      <c r="A40" s="854">
        <f t="shared" si="0"/>
        <v>26</v>
      </c>
      <c r="B40" s="513">
        <v>35211</v>
      </c>
      <c r="C40" s="88" t="s">
        <v>590</v>
      </c>
      <c r="D40" s="346">
        <v>480.60557599999987</v>
      </c>
      <c r="E40" s="466">
        <v>1</v>
      </c>
      <c r="F40" s="465">
        <f t="shared" si="3"/>
        <v>1</v>
      </c>
      <c r="G40" s="465">
        <f t="shared" si="3"/>
        <v>1</v>
      </c>
      <c r="H40" s="429">
        <f t="shared" si="4"/>
        <v>480.60557599999987</v>
      </c>
    </row>
    <row r="41" spans="1:8">
      <c r="A41" s="854">
        <f t="shared" si="0"/>
        <v>27</v>
      </c>
      <c r="B41" s="513">
        <v>35301</v>
      </c>
      <c r="C41" s="81" t="s">
        <v>162</v>
      </c>
      <c r="D41" s="346">
        <v>1595.6883670000004</v>
      </c>
      <c r="E41" s="466">
        <v>1</v>
      </c>
      <c r="F41" s="465">
        <f t="shared" si="3"/>
        <v>1</v>
      </c>
      <c r="G41" s="465">
        <f t="shared" si="3"/>
        <v>1</v>
      </c>
      <c r="H41" s="429">
        <f t="shared" si="4"/>
        <v>1595.6883670000004</v>
      </c>
    </row>
    <row r="42" spans="1:8">
      <c r="A42" s="854">
        <f t="shared" si="0"/>
        <v>28</v>
      </c>
      <c r="B42" s="513">
        <v>35302</v>
      </c>
      <c r="C42" s="88" t="s">
        <v>596</v>
      </c>
      <c r="D42" s="346">
        <v>1904.8019899999999</v>
      </c>
      <c r="E42" s="466">
        <v>1</v>
      </c>
      <c r="F42" s="465">
        <f t="shared" si="3"/>
        <v>1</v>
      </c>
      <c r="G42" s="465">
        <f t="shared" si="3"/>
        <v>1</v>
      </c>
      <c r="H42" s="429">
        <f t="shared" si="4"/>
        <v>1904.8019899999999</v>
      </c>
    </row>
    <row r="43" spans="1:8">
      <c r="A43" s="854">
        <f t="shared" si="0"/>
        <v>29</v>
      </c>
      <c r="B43" s="513">
        <v>35400</v>
      </c>
      <c r="C43" s="88" t="s">
        <v>591</v>
      </c>
      <c r="D43" s="346">
        <v>15698.582850000004</v>
      </c>
      <c r="E43" s="466">
        <v>1</v>
      </c>
      <c r="F43" s="465">
        <f t="shared" si="3"/>
        <v>1</v>
      </c>
      <c r="G43" s="465">
        <f t="shared" si="3"/>
        <v>1</v>
      </c>
      <c r="H43" s="429">
        <f t="shared" si="4"/>
        <v>15698.582850000004</v>
      </c>
    </row>
    <row r="44" spans="1:8">
      <c r="A44" s="854">
        <f t="shared" si="0"/>
        <v>30</v>
      </c>
      <c r="B44" s="513">
        <v>35500</v>
      </c>
      <c r="C44" s="88" t="s">
        <v>992</v>
      </c>
      <c r="D44" s="346">
        <v>4560.5091460000003</v>
      </c>
      <c r="E44" s="466">
        <v>1</v>
      </c>
      <c r="F44" s="465">
        <f t="shared" si="3"/>
        <v>1</v>
      </c>
      <c r="G44" s="465">
        <f t="shared" si="3"/>
        <v>1</v>
      </c>
      <c r="H44" s="429">
        <f t="shared" si="4"/>
        <v>4560.5091460000003</v>
      </c>
    </row>
    <row r="45" spans="1:8">
      <c r="A45" s="854">
        <f t="shared" si="0"/>
        <v>31</v>
      </c>
      <c r="B45" s="513">
        <v>35600</v>
      </c>
      <c r="C45" s="88" t="s">
        <v>1040</v>
      </c>
      <c r="D45" s="346">
        <v>8210.3363100000006</v>
      </c>
      <c r="E45" s="466">
        <v>1</v>
      </c>
      <c r="F45" s="465">
        <f t="shared" si="3"/>
        <v>1</v>
      </c>
      <c r="G45" s="465">
        <f t="shared" si="3"/>
        <v>1</v>
      </c>
      <c r="H45" s="1042">
        <f t="shared" si="4"/>
        <v>8210.3363100000006</v>
      </c>
    </row>
    <row r="46" spans="1:8">
      <c r="A46" s="854">
        <f t="shared" si="0"/>
        <v>32</v>
      </c>
      <c r="B46" s="513"/>
      <c r="C46" s="88"/>
      <c r="D46" s="1056"/>
      <c r="E46" s="466"/>
      <c r="F46" s="465"/>
      <c r="G46" s="465"/>
      <c r="H46" s="429"/>
    </row>
    <row r="47" spans="1:8">
      <c r="A47" s="854">
        <f t="shared" si="0"/>
        <v>33</v>
      </c>
      <c r="B47" s="513"/>
      <c r="C47" s="88" t="s">
        <v>1334</v>
      </c>
      <c r="D47" s="346">
        <f>SUM(D29:D46)</f>
        <v>247570.86877450242</v>
      </c>
      <c r="E47" s="466"/>
      <c r="F47" s="465"/>
      <c r="G47" s="465"/>
      <c r="H47" s="346">
        <f>SUM(H29:H46)</f>
        <v>247570.86877450242</v>
      </c>
    </row>
    <row r="48" spans="1:8">
      <c r="A48" s="854">
        <f t="shared" si="0"/>
        <v>34</v>
      </c>
      <c r="B48" s="513"/>
      <c r="C48" s="88"/>
      <c r="D48" s="429"/>
      <c r="E48" s="466"/>
      <c r="F48" s="465"/>
      <c r="G48" s="465"/>
      <c r="H48" s="429"/>
    </row>
    <row r="49" spans="1:8">
      <c r="A49" s="854">
        <f t="shared" si="0"/>
        <v>35</v>
      </c>
      <c r="B49" s="513"/>
      <c r="C49" s="619" t="s">
        <v>993</v>
      </c>
      <c r="D49" s="429"/>
      <c r="E49" s="466"/>
      <c r="F49" s="465"/>
      <c r="G49" s="465"/>
      <c r="H49" s="429"/>
    </row>
    <row r="50" spans="1:8">
      <c r="A50" s="854">
        <f t="shared" si="0"/>
        <v>36</v>
      </c>
      <c r="B50" s="513">
        <v>36510</v>
      </c>
      <c r="C50" s="88" t="s">
        <v>292</v>
      </c>
      <c r="D50" s="346">
        <v>0</v>
      </c>
      <c r="E50" s="466">
        <v>1</v>
      </c>
      <c r="F50" s="465">
        <f t="shared" ref="F50:G58" si="5">$F$16</f>
        <v>1</v>
      </c>
      <c r="G50" s="465">
        <f t="shared" si="5"/>
        <v>1</v>
      </c>
      <c r="H50" s="346">
        <f t="shared" ref="H50:H58" si="6">D50*E50*F50*G50</f>
        <v>0</v>
      </c>
    </row>
    <row r="51" spans="1:8">
      <c r="A51" s="854">
        <f t="shared" si="0"/>
        <v>37</v>
      </c>
      <c r="B51" s="513">
        <v>36520</v>
      </c>
      <c r="C51" s="88" t="s">
        <v>792</v>
      </c>
      <c r="D51" s="346">
        <v>9111.6059999999998</v>
      </c>
      <c r="E51" s="466">
        <v>1</v>
      </c>
      <c r="F51" s="465">
        <f t="shared" si="5"/>
        <v>1</v>
      </c>
      <c r="G51" s="465">
        <f t="shared" si="5"/>
        <v>1</v>
      </c>
      <c r="H51" s="429">
        <f t="shared" si="6"/>
        <v>9111.6059999999998</v>
      </c>
    </row>
    <row r="52" spans="1:8">
      <c r="A52" s="854">
        <f t="shared" si="0"/>
        <v>38</v>
      </c>
      <c r="B52" s="513">
        <v>36602</v>
      </c>
      <c r="C52" s="88" t="s">
        <v>856</v>
      </c>
      <c r="D52" s="346">
        <v>607.62132799999995</v>
      </c>
      <c r="E52" s="466">
        <v>1</v>
      </c>
      <c r="F52" s="465">
        <f t="shared" si="5"/>
        <v>1</v>
      </c>
      <c r="G52" s="465">
        <f t="shared" si="5"/>
        <v>1</v>
      </c>
      <c r="H52" s="429">
        <f t="shared" si="6"/>
        <v>607.62132799999995</v>
      </c>
    </row>
    <row r="53" spans="1:8">
      <c r="A53" s="854">
        <f t="shared" si="0"/>
        <v>39</v>
      </c>
      <c r="B53" s="513">
        <v>36603</v>
      </c>
      <c r="C53" s="88" t="s">
        <v>994</v>
      </c>
      <c r="D53" s="346">
        <v>754.24599599999999</v>
      </c>
      <c r="E53" s="466">
        <v>1</v>
      </c>
      <c r="F53" s="465">
        <f t="shared" si="5"/>
        <v>1</v>
      </c>
      <c r="G53" s="465">
        <f t="shared" si="5"/>
        <v>1</v>
      </c>
      <c r="H53" s="429">
        <f t="shared" si="6"/>
        <v>754.24599599999999</v>
      </c>
    </row>
    <row r="54" spans="1:8">
      <c r="A54" s="854">
        <f t="shared" si="0"/>
        <v>40</v>
      </c>
      <c r="B54" s="513">
        <v>36700</v>
      </c>
      <c r="C54" s="88" t="s">
        <v>844</v>
      </c>
      <c r="D54" s="346">
        <v>5362.0869119999988</v>
      </c>
      <c r="E54" s="466">
        <v>1</v>
      </c>
      <c r="F54" s="465">
        <f t="shared" si="5"/>
        <v>1</v>
      </c>
      <c r="G54" s="465">
        <f t="shared" si="5"/>
        <v>1</v>
      </c>
      <c r="H54" s="429">
        <f t="shared" si="6"/>
        <v>5362.0869119999988</v>
      </c>
    </row>
    <row r="55" spans="1:8">
      <c r="A55" s="854">
        <f t="shared" si="0"/>
        <v>41</v>
      </c>
      <c r="B55" s="513">
        <v>36701</v>
      </c>
      <c r="C55" s="88" t="s">
        <v>16</v>
      </c>
      <c r="D55" s="346">
        <v>381166.59547307726</v>
      </c>
      <c r="E55" s="466">
        <v>1</v>
      </c>
      <c r="F55" s="465">
        <f t="shared" si="5"/>
        <v>1</v>
      </c>
      <c r="G55" s="465">
        <f t="shared" si="5"/>
        <v>1</v>
      </c>
      <c r="H55" s="429">
        <f t="shared" si="6"/>
        <v>381166.59547307726</v>
      </c>
    </row>
    <row r="56" spans="1:8">
      <c r="A56" s="1153">
        <f t="shared" si="0"/>
        <v>42</v>
      </c>
      <c r="B56" s="513">
        <v>36703</v>
      </c>
      <c r="C56" s="80" t="s">
        <v>1640</v>
      </c>
      <c r="D56" s="346">
        <v>0</v>
      </c>
      <c r="E56" s="466"/>
      <c r="F56" s="465"/>
      <c r="G56" s="465"/>
      <c r="H56" s="429"/>
    </row>
    <row r="57" spans="1:8">
      <c r="A57" s="1153">
        <f t="shared" si="0"/>
        <v>43</v>
      </c>
      <c r="B57" s="513">
        <v>36900</v>
      </c>
      <c r="C57" s="88" t="s">
        <v>995</v>
      </c>
      <c r="D57" s="346">
        <v>11264.586256000001</v>
      </c>
      <c r="E57" s="466">
        <v>1</v>
      </c>
      <c r="F57" s="465">
        <f t="shared" si="5"/>
        <v>1</v>
      </c>
      <c r="G57" s="465">
        <f t="shared" si="5"/>
        <v>1</v>
      </c>
      <c r="H57" s="429">
        <f t="shared" si="6"/>
        <v>11264.586256000001</v>
      </c>
    </row>
    <row r="58" spans="1:8">
      <c r="A58" s="1153">
        <f t="shared" si="0"/>
        <v>44</v>
      </c>
      <c r="B58" s="513">
        <v>36901</v>
      </c>
      <c r="C58" s="88" t="s">
        <v>995</v>
      </c>
      <c r="D58" s="346">
        <v>34951.161014000005</v>
      </c>
      <c r="E58" s="466">
        <v>1</v>
      </c>
      <c r="F58" s="465">
        <f t="shared" si="5"/>
        <v>1</v>
      </c>
      <c r="G58" s="465">
        <f t="shared" si="5"/>
        <v>1</v>
      </c>
      <c r="H58" s="1042">
        <f t="shared" si="6"/>
        <v>34951.161014000005</v>
      </c>
    </row>
    <row r="59" spans="1:8">
      <c r="A59" s="1153">
        <f t="shared" si="0"/>
        <v>45</v>
      </c>
      <c r="B59" s="513"/>
      <c r="C59" s="88"/>
      <c r="D59" s="1056"/>
      <c r="E59" s="466"/>
      <c r="F59" s="465"/>
      <c r="G59" s="465"/>
      <c r="H59" s="429"/>
    </row>
    <row r="60" spans="1:8">
      <c r="A60" s="1153">
        <f t="shared" si="0"/>
        <v>46</v>
      </c>
      <c r="B60" s="706"/>
      <c r="C60" s="88" t="s">
        <v>1335</v>
      </c>
      <c r="D60" s="346">
        <f>SUM(D50:D59)</f>
        <v>443217.90297907725</v>
      </c>
      <c r="E60" s="466"/>
      <c r="F60" s="465"/>
      <c r="G60" s="465"/>
      <c r="H60" s="346">
        <f>SUM(H50:H59)</f>
        <v>443217.90297907725</v>
      </c>
    </row>
    <row r="61" spans="1:8">
      <c r="A61" s="1153">
        <f t="shared" si="0"/>
        <v>47</v>
      </c>
      <c r="B61" s="706"/>
      <c r="C61" s="81"/>
      <c r="D61" s="429"/>
      <c r="E61" s="466"/>
      <c r="F61" s="465"/>
      <c r="G61" s="465"/>
      <c r="H61" s="429"/>
    </row>
    <row r="62" spans="1:8">
      <c r="A62" s="1153">
        <f t="shared" si="0"/>
        <v>48</v>
      </c>
      <c r="B62" s="706"/>
      <c r="C62" s="619" t="s">
        <v>299</v>
      </c>
      <c r="D62" s="429"/>
      <c r="E62" s="466"/>
      <c r="F62" s="465"/>
      <c r="G62" s="465"/>
      <c r="H62" s="429"/>
    </row>
    <row r="63" spans="1:8">
      <c r="A63" s="1153">
        <f t="shared" si="0"/>
        <v>49</v>
      </c>
      <c r="B63" s="513">
        <v>37400</v>
      </c>
      <c r="C63" s="88" t="s">
        <v>1147</v>
      </c>
      <c r="D63" s="346">
        <v>0</v>
      </c>
      <c r="E63" s="466">
        <v>1</v>
      </c>
      <c r="F63" s="465">
        <f t="shared" ref="F63:G84" si="7">$F$16</f>
        <v>1</v>
      </c>
      <c r="G63" s="465">
        <f t="shared" si="7"/>
        <v>1</v>
      </c>
      <c r="H63" s="346">
        <f t="shared" ref="H63:H84" si="8">D63*E63*F63*G63</f>
        <v>0</v>
      </c>
    </row>
    <row r="64" spans="1:8">
      <c r="A64" s="1153">
        <f t="shared" si="0"/>
        <v>50</v>
      </c>
      <c r="B64" s="513">
        <v>37401</v>
      </c>
      <c r="C64" s="88" t="s">
        <v>292</v>
      </c>
      <c r="D64" s="346">
        <v>0</v>
      </c>
      <c r="E64" s="466">
        <v>1</v>
      </c>
      <c r="F64" s="465">
        <f t="shared" si="7"/>
        <v>1</v>
      </c>
      <c r="G64" s="465">
        <f t="shared" si="7"/>
        <v>1</v>
      </c>
      <c r="H64" s="429">
        <f t="shared" si="8"/>
        <v>0</v>
      </c>
    </row>
    <row r="65" spans="1:8">
      <c r="A65" s="1153">
        <f t="shared" si="0"/>
        <v>51</v>
      </c>
      <c r="B65" s="513">
        <v>37402</v>
      </c>
      <c r="C65" s="88" t="s">
        <v>999</v>
      </c>
      <c r="D65" s="346">
        <v>49907.826002742251</v>
      </c>
      <c r="E65" s="466">
        <v>1</v>
      </c>
      <c r="F65" s="465">
        <f t="shared" si="7"/>
        <v>1</v>
      </c>
      <c r="G65" s="465">
        <f t="shared" si="7"/>
        <v>1</v>
      </c>
      <c r="H65" s="429">
        <f t="shared" si="8"/>
        <v>49907.826002742251</v>
      </c>
    </row>
    <row r="66" spans="1:8">
      <c r="A66" s="1153">
        <f t="shared" si="0"/>
        <v>52</v>
      </c>
      <c r="B66" s="513">
        <v>37403</v>
      </c>
      <c r="C66" s="88" t="s">
        <v>996</v>
      </c>
      <c r="D66" s="346">
        <v>0</v>
      </c>
      <c r="E66" s="466">
        <v>1</v>
      </c>
      <c r="F66" s="465">
        <f t="shared" si="7"/>
        <v>1</v>
      </c>
      <c r="G66" s="465">
        <f t="shared" si="7"/>
        <v>1</v>
      </c>
      <c r="H66" s="429">
        <f t="shared" si="8"/>
        <v>0</v>
      </c>
    </row>
    <row r="67" spans="1:8">
      <c r="A67" s="1153">
        <f t="shared" si="0"/>
        <v>53</v>
      </c>
      <c r="B67" s="513">
        <v>37500</v>
      </c>
      <c r="C67" s="88" t="s">
        <v>856</v>
      </c>
      <c r="D67" s="346">
        <v>6017.3989659999979</v>
      </c>
      <c r="E67" s="466">
        <v>1</v>
      </c>
      <c r="F67" s="465">
        <f t="shared" si="7"/>
        <v>1</v>
      </c>
      <c r="G67" s="465">
        <f t="shared" si="7"/>
        <v>1</v>
      </c>
      <c r="H67" s="429">
        <f t="shared" si="8"/>
        <v>6017.3989659999979</v>
      </c>
    </row>
    <row r="68" spans="1:8">
      <c r="A68" s="1153">
        <f t="shared" si="0"/>
        <v>54</v>
      </c>
      <c r="B68" s="513">
        <v>37501</v>
      </c>
      <c r="C68" s="88" t="s">
        <v>997</v>
      </c>
      <c r="D68" s="346">
        <v>1786.7445269999996</v>
      </c>
      <c r="E68" s="466">
        <v>1</v>
      </c>
      <c r="F68" s="465">
        <f t="shared" si="7"/>
        <v>1</v>
      </c>
      <c r="G68" s="465">
        <f t="shared" si="7"/>
        <v>1</v>
      </c>
      <c r="H68" s="429">
        <f t="shared" si="8"/>
        <v>1786.7445269999996</v>
      </c>
    </row>
    <row r="69" spans="1:8">
      <c r="A69" s="1153">
        <f t="shared" si="0"/>
        <v>55</v>
      </c>
      <c r="B69" s="513">
        <v>37502</v>
      </c>
      <c r="C69" s="88" t="s">
        <v>999</v>
      </c>
      <c r="D69" s="346">
        <v>828.12900099999979</v>
      </c>
      <c r="E69" s="466">
        <v>1</v>
      </c>
      <c r="F69" s="465">
        <f t="shared" si="7"/>
        <v>1</v>
      </c>
      <c r="G69" s="465">
        <f t="shared" si="7"/>
        <v>1</v>
      </c>
      <c r="H69" s="429">
        <f t="shared" si="8"/>
        <v>828.12900099999979</v>
      </c>
    </row>
    <row r="70" spans="1:8">
      <c r="A70" s="1153">
        <f t="shared" si="0"/>
        <v>56</v>
      </c>
      <c r="B70" s="513">
        <v>37503</v>
      </c>
      <c r="C70" s="88" t="s">
        <v>998</v>
      </c>
      <c r="D70" s="346">
        <v>71.690931999999989</v>
      </c>
      <c r="E70" s="466">
        <v>1</v>
      </c>
      <c r="F70" s="465">
        <f t="shared" si="7"/>
        <v>1</v>
      </c>
      <c r="G70" s="465">
        <f t="shared" si="7"/>
        <v>1</v>
      </c>
      <c r="H70" s="429">
        <f t="shared" si="8"/>
        <v>71.690931999999989</v>
      </c>
    </row>
    <row r="71" spans="1:8">
      <c r="A71" s="1153">
        <f t="shared" si="0"/>
        <v>57</v>
      </c>
      <c r="B71" s="513">
        <v>37600</v>
      </c>
      <c r="C71" s="88" t="s">
        <v>844</v>
      </c>
      <c r="D71" s="346">
        <v>873542.18538209004</v>
      </c>
      <c r="E71" s="466">
        <v>1</v>
      </c>
      <c r="F71" s="465">
        <f t="shared" si="7"/>
        <v>1</v>
      </c>
      <c r="G71" s="465">
        <f t="shared" si="7"/>
        <v>1</v>
      </c>
      <c r="H71" s="429">
        <f t="shared" si="8"/>
        <v>873542.18538209004</v>
      </c>
    </row>
    <row r="72" spans="1:8">
      <c r="A72" s="1153">
        <f t="shared" si="0"/>
        <v>58</v>
      </c>
      <c r="B72" s="513">
        <v>37601</v>
      </c>
      <c r="C72" s="88" t="s">
        <v>16</v>
      </c>
      <c r="D72" s="346">
        <v>4454842.4768153885</v>
      </c>
      <c r="E72" s="466">
        <v>1</v>
      </c>
      <c r="F72" s="465">
        <f t="shared" si="7"/>
        <v>1</v>
      </c>
      <c r="G72" s="465">
        <f t="shared" si="7"/>
        <v>1</v>
      </c>
      <c r="H72" s="429">
        <f t="shared" si="8"/>
        <v>4454842.4768153885</v>
      </c>
    </row>
    <row r="73" spans="1:8">
      <c r="A73" s="1153">
        <f t="shared" si="0"/>
        <v>59</v>
      </c>
      <c r="B73" s="513">
        <v>37602</v>
      </c>
      <c r="C73" s="88" t="s">
        <v>845</v>
      </c>
      <c r="D73" s="346">
        <v>3376200.6444386542</v>
      </c>
      <c r="E73" s="466">
        <v>1</v>
      </c>
      <c r="F73" s="465">
        <f t="shared" si="7"/>
        <v>1</v>
      </c>
      <c r="G73" s="465">
        <f t="shared" si="7"/>
        <v>1</v>
      </c>
      <c r="H73" s="429">
        <f t="shared" si="8"/>
        <v>3376200.6444386542</v>
      </c>
    </row>
    <row r="74" spans="1:8">
      <c r="A74" s="1153">
        <f t="shared" si="0"/>
        <v>60</v>
      </c>
      <c r="B74" s="513">
        <v>37603</v>
      </c>
      <c r="C74" s="88" t="s">
        <v>1640</v>
      </c>
      <c r="D74" s="346">
        <v>0</v>
      </c>
      <c r="E74" s="466">
        <v>1</v>
      </c>
      <c r="F74" s="465">
        <f t="shared" si="7"/>
        <v>1</v>
      </c>
      <c r="G74" s="465">
        <f t="shared" si="7"/>
        <v>1</v>
      </c>
      <c r="H74" s="429">
        <f t="shared" ref="H74:H75" si="9">D74*E74*F74*G74</f>
        <v>0</v>
      </c>
    </row>
    <row r="75" spans="1:8">
      <c r="A75" s="1153">
        <f t="shared" si="0"/>
        <v>61</v>
      </c>
      <c r="B75" s="513">
        <v>37604</v>
      </c>
      <c r="C75" s="88" t="s">
        <v>1641</v>
      </c>
      <c r="D75" s="346">
        <v>0</v>
      </c>
      <c r="E75" s="466">
        <v>1</v>
      </c>
      <c r="F75" s="465">
        <f t="shared" si="7"/>
        <v>1</v>
      </c>
      <c r="G75" s="465">
        <f t="shared" si="7"/>
        <v>1</v>
      </c>
      <c r="H75" s="429">
        <f t="shared" si="9"/>
        <v>0</v>
      </c>
    </row>
    <row r="76" spans="1:8">
      <c r="A76" s="1153">
        <f t="shared" si="0"/>
        <v>62</v>
      </c>
      <c r="B76" s="513">
        <v>37800</v>
      </c>
      <c r="C76" s="88" t="s">
        <v>229</v>
      </c>
      <c r="D76" s="346">
        <v>925640.34282668494</v>
      </c>
      <c r="E76" s="466">
        <v>1</v>
      </c>
      <c r="F76" s="465">
        <f t="shared" si="7"/>
        <v>1</v>
      </c>
      <c r="G76" s="465">
        <f t="shared" si="7"/>
        <v>1</v>
      </c>
      <c r="H76" s="429">
        <f t="shared" si="8"/>
        <v>925640.34282668494</v>
      </c>
    </row>
    <row r="77" spans="1:8">
      <c r="A77" s="1153">
        <f t="shared" si="0"/>
        <v>63</v>
      </c>
      <c r="B77" s="513">
        <v>37900</v>
      </c>
      <c r="C77" s="88" t="s">
        <v>1190</v>
      </c>
      <c r="D77" s="346">
        <v>145903.43331509008</v>
      </c>
      <c r="E77" s="466">
        <v>1</v>
      </c>
      <c r="F77" s="465">
        <f t="shared" si="7"/>
        <v>1</v>
      </c>
      <c r="G77" s="465">
        <f t="shared" si="7"/>
        <v>1</v>
      </c>
      <c r="H77" s="429">
        <f t="shared" si="8"/>
        <v>145903.43331509008</v>
      </c>
    </row>
    <row r="78" spans="1:8">
      <c r="A78" s="1153">
        <f t="shared" si="0"/>
        <v>64</v>
      </c>
      <c r="B78" s="513">
        <v>37905</v>
      </c>
      <c r="C78" s="88" t="s">
        <v>725</v>
      </c>
      <c r="D78" s="346">
        <v>46758.916681999988</v>
      </c>
      <c r="E78" s="466">
        <v>1</v>
      </c>
      <c r="F78" s="465">
        <f t="shared" si="7"/>
        <v>1</v>
      </c>
      <c r="G78" s="465">
        <f t="shared" si="7"/>
        <v>1</v>
      </c>
      <c r="H78" s="429">
        <f t="shared" si="8"/>
        <v>46758.916681999988</v>
      </c>
    </row>
    <row r="79" spans="1:8">
      <c r="A79" s="1153">
        <f t="shared" si="0"/>
        <v>65</v>
      </c>
      <c r="B79" s="513">
        <v>38000</v>
      </c>
      <c r="C79" s="88" t="s">
        <v>1052</v>
      </c>
      <c r="D79" s="346">
        <v>4817587.7995780176</v>
      </c>
      <c r="E79" s="466">
        <v>1</v>
      </c>
      <c r="F79" s="465">
        <f t="shared" si="7"/>
        <v>1</v>
      </c>
      <c r="G79" s="465">
        <f t="shared" si="7"/>
        <v>1</v>
      </c>
      <c r="H79" s="429">
        <f t="shared" si="8"/>
        <v>4817587.7995780176</v>
      </c>
    </row>
    <row r="80" spans="1:8">
      <c r="A80" s="1153">
        <f t="shared" si="0"/>
        <v>66</v>
      </c>
      <c r="B80" s="513">
        <v>38100</v>
      </c>
      <c r="C80" s="88" t="s">
        <v>846</v>
      </c>
      <c r="D80" s="346">
        <v>2741748.6403643494</v>
      </c>
      <c r="E80" s="466">
        <v>1</v>
      </c>
      <c r="F80" s="465">
        <f t="shared" si="7"/>
        <v>1</v>
      </c>
      <c r="G80" s="465">
        <f t="shared" si="7"/>
        <v>1</v>
      </c>
      <c r="H80" s="429">
        <f t="shared" si="8"/>
        <v>2741748.6403643494</v>
      </c>
    </row>
    <row r="81" spans="1:13">
      <c r="A81" s="1153">
        <f t="shared" si="0"/>
        <v>67</v>
      </c>
      <c r="B81" s="513">
        <v>38200</v>
      </c>
      <c r="C81" s="88" t="s">
        <v>442</v>
      </c>
      <c r="D81" s="346">
        <v>2232936.8224954186</v>
      </c>
      <c r="E81" s="466">
        <v>1</v>
      </c>
      <c r="F81" s="465">
        <f t="shared" si="7"/>
        <v>1</v>
      </c>
      <c r="G81" s="465">
        <f t="shared" si="7"/>
        <v>1</v>
      </c>
      <c r="H81" s="429">
        <f t="shared" si="8"/>
        <v>2232936.8224954186</v>
      </c>
    </row>
    <row r="82" spans="1:13">
      <c r="A82" s="1153">
        <f t="shared" si="0"/>
        <v>68</v>
      </c>
      <c r="B82" s="513">
        <v>38300</v>
      </c>
      <c r="C82" s="88" t="s">
        <v>1053</v>
      </c>
      <c r="D82" s="346">
        <v>514355.19383525994</v>
      </c>
      <c r="E82" s="466">
        <v>1</v>
      </c>
      <c r="F82" s="465">
        <f t="shared" si="7"/>
        <v>1</v>
      </c>
      <c r="G82" s="465">
        <f t="shared" si="7"/>
        <v>1</v>
      </c>
      <c r="H82" s="429">
        <f t="shared" si="8"/>
        <v>514355.19383525994</v>
      </c>
    </row>
    <row r="83" spans="1:13">
      <c r="A83" s="1153">
        <f t="shared" si="0"/>
        <v>69</v>
      </c>
      <c r="B83" s="513">
        <v>38400</v>
      </c>
      <c r="C83" s="88" t="s">
        <v>443</v>
      </c>
      <c r="D83" s="346">
        <v>8806.6979691735396</v>
      </c>
      <c r="E83" s="466">
        <v>1</v>
      </c>
      <c r="F83" s="465">
        <f t="shared" si="7"/>
        <v>1</v>
      </c>
      <c r="G83" s="465">
        <f t="shared" si="7"/>
        <v>1</v>
      </c>
      <c r="H83" s="429">
        <f t="shared" si="8"/>
        <v>8806.6979691735396</v>
      </c>
    </row>
    <row r="84" spans="1:13">
      <c r="A84" s="1153">
        <f t="shared" ref="A84:A147" si="10">A83+1</f>
        <v>70</v>
      </c>
      <c r="B84" s="513">
        <v>38500</v>
      </c>
      <c r="C84" s="88" t="s">
        <v>444</v>
      </c>
      <c r="D84" s="346">
        <v>112194.38079677284</v>
      </c>
      <c r="E84" s="466">
        <v>1</v>
      </c>
      <c r="F84" s="465">
        <f t="shared" si="7"/>
        <v>1</v>
      </c>
      <c r="G84" s="465">
        <f t="shared" si="7"/>
        <v>1</v>
      </c>
      <c r="H84" s="429">
        <f t="shared" si="8"/>
        <v>112194.38079677284</v>
      </c>
      <c r="M84" s="712"/>
    </row>
    <row r="85" spans="1:13">
      <c r="A85" s="1153">
        <f t="shared" si="10"/>
        <v>71</v>
      </c>
      <c r="B85" s="513"/>
      <c r="C85" s="88"/>
      <c r="D85" s="1056"/>
      <c r="E85" s="466"/>
      <c r="F85" s="465"/>
      <c r="G85" s="465"/>
      <c r="H85" s="1056"/>
    </row>
    <row r="86" spans="1:13">
      <c r="A86" s="1153">
        <f t="shared" si="10"/>
        <v>72</v>
      </c>
      <c r="B86" s="513"/>
      <c r="C86" s="88" t="s">
        <v>1332</v>
      </c>
      <c r="D86" s="346">
        <f>SUM(D63:D85)</f>
        <v>20309129.323927637</v>
      </c>
      <c r="E86" s="466"/>
      <c r="F86" s="465"/>
      <c r="G86" s="465"/>
      <c r="H86" s="346">
        <f>SUM(H63:H85)</f>
        <v>20309129.323927637</v>
      </c>
    </row>
    <row r="87" spans="1:13">
      <c r="A87" s="1153">
        <f t="shared" si="10"/>
        <v>73</v>
      </c>
      <c r="B87" s="513"/>
      <c r="C87" s="88"/>
      <c r="D87" s="429"/>
      <c r="E87" s="466"/>
      <c r="F87" s="465"/>
      <c r="G87" s="465"/>
      <c r="H87" s="429"/>
    </row>
    <row r="88" spans="1:13">
      <c r="A88" s="1153">
        <f t="shared" si="10"/>
        <v>74</v>
      </c>
      <c r="B88" s="706"/>
      <c r="C88" s="619" t="s">
        <v>301</v>
      </c>
      <c r="D88" s="429"/>
      <c r="E88" s="466"/>
      <c r="F88" s="465"/>
      <c r="G88" s="465"/>
      <c r="H88" s="429"/>
    </row>
    <row r="89" spans="1:13">
      <c r="A89" s="1153">
        <f t="shared" si="10"/>
        <v>75</v>
      </c>
      <c r="B89" s="513">
        <v>38900</v>
      </c>
      <c r="C89" s="88" t="s">
        <v>1523</v>
      </c>
      <c r="D89" s="346">
        <v>0</v>
      </c>
      <c r="E89" s="466">
        <v>1</v>
      </c>
      <c r="F89" s="465">
        <f t="shared" ref="F89:G107" si="11">$F$16</f>
        <v>1</v>
      </c>
      <c r="G89" s="465">
        <f t="shared" si="11"/>
        <v>1</v>
      </c>
      <c r="H89" s="346">
        <f t="shared" ref="H89:H114" si="12">D89*E89*F89*G89</f>
        <v>0</v>
      </c>
    </row>
    <row r="90" spans="1:13">
      <c r="A90" s="1153">
        <f t="shared" si="10"/>
        <v>76</v>
      </c>
      <c r="B90" s="513">
        <v>39000</v>
      </c>
      <c r="C90" s="88" t="s">
        <v>1524</v>
      </c>
      <c r="D90" s="346">
        <v>244888.31473973577</v>
      </c>
      <c r="E90" s="466">
        <v>1</v>
      </c>
      <c r="F90" s="465">
        <f t="shared" si="11"/>
        <v>1</v>
      </c>
      <c r="G90" s="465">
        <f t="shared" si="11"/>
        <v>1</v>
      </c>
      <c r="H90" s="429">
        <f t="shared" si="12"/>
        <v>244888.31473973577</v>
      </c>
    </row>
    <row r="91" spans="1:13">
      <c r="A91" s="1153">
        <f t="shared" si="10"/>
        <v>77</v>
      </c>
      <c r="B91" s="513">
        <v>39002</v>
      </c>
      <c r="C91" s="88" t="s">
        <v>1525</v>
      </c>
      <c r="D91" s="346">
        <v>5574.2981699999991</v>
      </c>
      <c r="E91" s="466">
        <v>1</v>
      </c>
      <c r="F91" s="465">
        <f t="shared" si="11"/>
        <v>1</v>
      </c>
      <c r="G91" s="465">
        <f t="shared" si="11"/>
        <v>1</v>
      </c>
      <c r="H91" s="429">
        <f t="shared" si="12"/>
        <v>5574.2981699999991</v>
      </c>
    </row>
    <row r="92" spans="1:13">
      <c r="A92" s="1153">
        <f t="shared" si="10"/>
        <v>78</v>
      </c>
      <c r="B92" s="513">
        <v>39003</v>
      </c>
      <c r="C92" s="88" t="s">
        <v>1526</v>
      </c>
      <c r="D92" s="346">
        <v>22836.213596000005</v>
      </c>
      <c r="E92" s="466">
        <v>1</v>
      </c>
      <c r="F92" s="465">
        <f t="shared" si="11"/>
        <v>1</v>
      </c>
      <c r="G92" s="465">
        <f t="shared" si="11"/>
        <v>1</v>
      </c>
      <c r="H92" s="429">
        <f t="shared" si="12"/>
        <v>22836.213596000005</v>
      </c>
    </row>
    <row r="93" spans="1:13">
      <c r="A93" s="1153">
        <f t="shared" si="10"/>
        <v>79</v>
      </c>
      <c r="B93" s="513">
        <v>39004</v>
      </c>
      <c r="C93" s="88" t="s">
        <v>1527</v>
      </c>
      <c r="D93" s="346">
        <v>730.64733600000011</v>
      </c>
      <c r="E93" s="466">
        <v>1</v>
      </c>
      <c r="F93" s="465">
        <f t="shared" si="11"/>
        <v>1</v>
      </c>
      <c r="G93" s="465">
        <f t="shared" si="11"/>
        <v>1</v>
      </c>
      <c r="H93" s="429">
        <f t="shared" si="12"/>
        <v>730.64733600000011</v>
      </c>
    </row>
    <row r="94" spans="1:13">
      <c r="A94" s="1153">
        <f t="shared" si="10"/>
        <v>80</v>
      </c>
      <c r="B94" s="513">
        <v>39009</v>
      </c>
      <c r="C94" s="88" t="s">
        <v>1528</v>
      </c>
      <c r="D94" s="346">
        <v>0</v>
      </c>
      <c r="E94" s="466">
        <v>1</v>
      </c>
      <c r="F94" s="465">
        <f t="shared" si="11"/>
        <v>1</v>
      </c>
      <c r="G94" s="465">
        <f t="shared" si="11"/>
        <v>1</v>
      </c>
      <c r="H94" s="429">
        <f t="shared" si="12"/>
        <v>0</v>
      </c>
    </row>
    <row r="95" spans="1:13">
      <c r="A95" s="1153">
        <f t="shared" si="10"/>
        <v>81</v>
      </c>
      <c r="B95" s="513">
        <v>39100</v>
      </c>
      <c r="C95" s="88" t="s">
        <v>1529</v>
      </c>
      <c r="D95" s="346">
        <v>93447.823968755547</v>
      </c>
      <c r="E95" s="466">
        <v>1</v>
      </c>
      <c r="F95" s="465">
        <f t="shared" si="11"/>
        <v>1</v>
      </c>
      <c r="G95" s="465">
        <f t="shared" si="11"/>
        <v>1</v>
      </c>
      <c r="H95" s="429">
        <f t="shared" si="12"/>
        <v>93447.823968755547</v>
      </c>
    </row>
    <row r="96" spans="1:13">
      <c r="A96" s="1153">
        <f t="shared" si="10"/>
        <v>82</v>
      </c>
      <c r="B96" s="513">
        <v>39103</v>
      </c>
      <c r="C96" s="88" t="s">
        <v>780</v>
      </c>
      <c r="D96" s="346">
        <v>0</v>
      </c>
      <c r="E96" s="466">
        <v>1</v>
      </c>
      <c r="F96" s="465">
        <f t="shared" si="11"/>
        <v>1</v>
      </c>
      <c r="G96" s="465">
        <f t="shared" si="11"/>
        <v>1</v>
      </c>
      <c r="H96" s="429">
        <f t="shared" si="12"/>
        <v>0</v>
      </c>
    </row>
    <row r="97" spans="1:11">
      <c r="A97" s="1153">
        <f t="shared" si="10"/>
        <v>83</v>
      </c>
      <c r="B97" s="513">
        <v>39200</v>
      </c>
      <c r="C97" s="88" t="s">
        <v>1530</v>
      </c>
      <c r="D97" s="346">
        <v>11380.825350000001</v>
      </c>
      <c r="E97" s="466">
        <v>0.45615191876565997</v>
      </c>
      <c r="F97" s="465">
        <f t="shared" si="11"/>
        <v>1</v>
      </c>
      <c r="G97" s="465">
        <f t="shared" si="11"/>
        <v>1</v>
      </c>
      <c r="H97" s="429">
        <f t="shared" si="12"/>
        <v>5191.3853205393643</v>
      </c>
    </row>
    <row r="98" spans="1:11">
      <c r="A98" s="1153">
        <f t="shared" si="10"/>
        <v>84</v>
      </c>
      <c r="B98" s="513">
        <v>39202</v>
      </c>
      <c r="C98" s="88" t="s">
        <v>1531</v>
      </c>
      <c r="D98" s="346">
        <v>0</v>
      </c>
      <c r="E98" s="466">
        <v>0.45615191876565997</v>
      </c>
      <c r="F98" s="465">
        <f t="shared" si="11"/>
        <v>1</v>
      </c>
      <c r="G98" s="465">
        <f t="shared" si="11"/>
        <v>1</v>
      </c>
      <c r="H98" s="429">
        <f t="shared" si="12"/>
        <v>0</v>
      </c>
    </row>
    <row r="99" spans="1:11">
      <c r="A99" s="1153">
        <f t="shared" si="10"/>
        <v>85</v>
      </c>
      <c r="B99" s="513">
        <v>39400</v>
      </c>
      <c r="C99" s="88" t="s">
        <v>1532</v>
      </c>
      <c r="D99" s="346">
        <v>256177.92006595497</v>
      </c>
      <c r="E99" s="466">
        <v>0.45614668834079219</v>
      </c>
      <c r="F99" s="465">
        <f t="shared" si="11"/>
        <v>1</v>
      </c>
      <c r="G99" s="465">
        <f t="shared" si="11"/>
        <v>1</v>
      </c>
      <c r="H99" s="429">
        <f t="shared" si="12"/>
        <v>116854.70986411754</v>
      </c>
    </row>
    <row r="100" spans="1:11">
      <c r="A100" s="1153">
        <f t="shared" si="10"/>
        <v>86</v>
      </c>
      <c r="B100" s="513">
        <v>39603</v>
      </c>
      <c r="C100" s="88" t="s">
        <v>1533</v>
      </c>
      <c r="D100" s="346">
        <v>0</v>
      </c>
      <c r="E100" s="466">
        <v>1.9989267507378727E-2</v>
      </c>
      <c r="F100" s="465">
        <f t="shared" si="11"/>
        <v>1</v>
      </c>
      <c r="G100" s="465">
        <f t="shared" si="11"/>
        <v>1</v>
      </c>
      <c r="H100" s="429">
        <f t="shared" si="12"/>
        <v>0</v>
      </c>
    </row>
    <row r="101" spans="1:11">
      <c r="A101" s="1153">
        <f t="shared" si="10"/>
        <v>87</v>
      </c>
      <c r="B101" s="513">
        <v>39604</v>
      </c>
      <c r="C101" s="88" t="s">
        <v>1534</v>
      </c>
      <c r="D101" s="346">
        <v>0</v>
      </c>
      <c r="E101" s="1064">
        <v>1.9989267507378727E-2</v>
      </c>
      <c r="F101" s="465">
        <f t="shared" si="11"/>
        <v>1</v>
      </c>
      <c r="G101" s="465">
        <f t="shared" si="11"/>
        <v>1</v>
      </c>
      <c r="H101" s="429">
        <f t="shared" si="12"/>
        <v>0</v>
      </c>
      <c r="K101" s="690"/>
    </row>
    <row r="102" spans="1:11">
      <c r="A102" s="1153">
        <f t="shared" si="10"/>
        <v>88</v>
      </c>
      <c r="B102" s="513">
        <v>39605</v>
      </c>
      <c r="C102" s="88" t="s">
        <v>1535</v>
      </c>
      <c r="D102" s="346">
        <v>0</v>
      </c>
      <c r="E102" s="1064">
        <v>1.9989267507378727E-2</v>
      </c>
      <c r="F102" s="465">
        <f t="shared" si="11"/>
        <v>1</v>
      </c>
      <c r="G102" s="465">
        <f t="shared" si="11"/>
        <v>1</v>
      </c>
      <c r="H102" s="429">
        <f t="shared" si="12"/>
        <v>0</v>
      </c>
      <c r="K102" s="690"/>
    </row>
    <row r="103" spans="1:11">
      <c r="A103" s="1153">
        <f t="shared" si="10"/>
        <v>89</v>
      </c>
      <c r="B103" s="513">
        <v>39700</v>
      </c>
      <c r="C103" s="88" t="s">
        <v>1536</v>
      </c>
      <c r="D103" s="346">
        <v>34967.951905000009</v>
      </c>
      <c r="E103" s="466">
        <v>1</v>
      </c>
      <c r="F103" s="465">
        <f t="shared" si="11"/>
        <v>1</v>
      </c>
      <c r="G103" s="465">
        <f t="shared" si="11"/>
        <v>1</v>
      </c>
      <c r="H103" s="429">
        <f t="shared" si="12"/>
        <v>34967.951905000009</v>
      </c>
      <c r="K103" s="690"/>
    </row>
    <row r="104" spans="1:11">
      <c r="A104" s="1153">
        <f t="shared" si="10"/>
        <v>90</v>
      </c>
      <c r="B104" s="706">
        <v>39701</v>
      </c>
      <c r="C104" s="88" t="s">
        <v>1496</v>
      </c>
      <c r="D104" s="346">
        <v>0</v>
      </c>
      <c r="E104" s="466">
        <v>1</v>
      </c>
      <c r="F104" s="465">
        <f t="shared" si="11"/>
        <v>1</v>
      </c>
      <c r="G104" s="465">
        <f t="shared" si="11"/>
        <v>1</v>
      </c>
      <c r="H104" s="429">
        <f t="shared" si="12"/>
        <v>0</v>
      </c>
      <c r="K104" s="690"/>
    </row>
    <row r="105" spans="1:11">
      <c r="A105" s="1153">
        <f t="shared" si="10"/>
        <v>91</v>
      </c>
      <c r="B105" s="706">
        <v>39702</v>
      </c>
      <c r="C105" s="81" t="s">
        <v>1496</v>
      </c>
      <c r="D105" s="346">
        <v>0</v>
      </c>
      <c r="E105" s="466">
        <v>1</v>
      </c>
      <c r="F105" s="465">
        <f t="shared" si="11"/>
        <v>1</v>
      </c>
      <c r="G105" s="465">
        <f t="shared" si="11"/>
        <v>1</v>
      </c>
      <c r="H105" s="429">
        <f t="shared" si="12"/>
        <v>0</v>
      </c>
      <c r="K105" s="690"/>
    </row>
    <row r="106" spans="1:11">
      <c r="A106" s="1153">
        <f t="shared" si="10"/>
        <v>92</v>
      </c>
      <c r="B106" s="706">
        <v>39705</v>
      </c>
      <c r="C106" s="88" t="s">
        <v>1537</v>
      </c>
      <c r="D106" s="346">
        <v>0</v>
      </c>
      <c r="E106" s="466">
        <v>1</v>
      </c>
      <c r="F106" s="465">
        <f t="shared" si="11"/>
        <v>1</v>
      </c>
      <c r="G106" s="465">
        <f t="shared" si="11"/>
        <v>1</v>
      </c>
      <c r="H106" s="429">
        <f t="shared" si="12"/>
        <v>0</v>
      </c>
    </row>
    <row r="107" spans="1:11">
      <c r="A107" s="1153">
        <f t="shared" si="10"/>
        <v>93</v>
      </c>
      <c r="B107" s="706">
        <v>39800</v>
      </c>
      <c r="C107" s="88" t="s">
        <v>1538</v>
      </c>
      <c r="D107" s="346">
        <v>194588.5545</v>
      </c>
      <c r="E107" s="466">
        <v>1</v>
      </c>
      <c r="F107" s="465">
        <f t="shared" si="11"/>
        <v>1</v>
      </c>
      <c r="G107" s="465">
        <f t="shared" si="11"/>
        <v>1</v>
      </c>
      <c r="H107" s="429">
        <f t="shared" si="12"/>
        <v>194588.5545</v>
      </c>
    </row>
    <row r="108" spans="1:11">
      <c r="A108" s="1153">
        <f t="shared" si="10"/>
        <v>94</v>
      </c>
      <c r="B108" s="706">
        <v>39901</v>
      </c>
      <c r="C108" s="88" t="s">
        <v>1497</v>
      </c>
      <c r="D108" s="346">
        <v>2056.2967039999999</v>
      </c>
      <c r="E108" s="466">
        <v>1</v>
      </c>
      <c r="F108" s="465">
        <f t="shared" ref="F108:G114" si="13">$F$16</f>
        <v>1</v>
      </c>
      <c r="G108" s="465">
        <f t="shared" si="13"/>
        <v>1</v>
      </c>
      <c r="H108" s="429">
        <f t="shared" si="12"/>
        <v>2056.2967039999999</v>
      </c>
    </row>
    <row r="109" spans="1:11">
      <c r="A109" s="1153">
        <f t="shared" si="10"/>
        <v>95</v>
      </c>
      <c r="B109" s="706">
        <v>39902</v>
      </c>
      <c r="C109" s="88" t="s">
        <v>1498</v>
      </c>
      <c r="D109" s="346">
        <v>0</v>
      </c>
      <c r="E109" s="466">
        <v>1</v>
      </c>
      <c r="F109" s="465">
        <f t="shared" si="13"/>
        <v>1</v>
      </c>
      <c r="G109" s="465">
        <f t="shared" si="13"/>
        <v>1</v>
      </c>
      <c r="H109" s="429">
        <f t="shared" si="12"/>
        <v>0</v>
      </c>
    </row>
    <row r="110" spans="1:11">
      <c r="A110" s="1153">
        <f t="shared" si="10"/>
        <v>96</v>
      </c>
      <c r="B110" s="706">
        <v>39903</v>
      </c>
      <c r="C110" s="88" t="s">
        <v>1539</v>
      </c>
      <c r="D110" s="346">
        <v>13459.885999999997</v>
      </c>
      <c r="E110" s="466">
        <v>1</v>
      </c>
      <c r="F110" s="465">
        <f t="shared" si="13"/>
        <v>1</v>
      </c>
      <c r="G110" s="465">
        <f t="shared" si="13"/>
        <v>1</v>
      </c>
      <c r="H110" s="429">
        <f t="shared" si="12"/>
        <v>13459.885999999997</v>
      </c>
    </row>
    <row r="111" spans="1:11">
      <c r="A111" s="1153">
        <f t="shared" si="10"/>
        <v>97</v>
      </c>
      <c r="B111" s="706">
        <v>39906</v>
      </c>
      <c r="C111" s="88" t="s">
        <v>1540</v>
      </c>
      <c r="D111" s="346">
        <v>89350.691999029921</v>
      </c>
      <c r="E111" s="466">
        <v>1</v>
      </c>
      <c r="F111" s="465">
        <f t="shared" si="13"/>
        <v>1</v>
      </c>
      <c r="G111" s="465">
        <f t="shared" si="13"/>
        <v>1</v>
      </c>
      <c r="H111" s="429">
        <f t="shared" si="12"/>
        <v>89350.691999029921</v>
      </c>
    </row>
    <row r="112" spans="1:11">
      <c r="A112" s="1153">
        <f t="shared" si="10"/>
        <v>98</v>
      </c>
      <c r="B112" s="706">
        <v>39907</v>
      </c>
      <c r="C112" s="88" t="s">
        <v>1541</v>
      </c>
      <c r="D112" s="346">
        <v>0</v>
      </c>
      <c r="E112" s="466">
        <v>1</v>
      </c>
      <c r="F112" s="465">
        <f t="shared" si="13"/>
        <v>1</v>
      </c>
      <c r="G112" s="465">
        <f t="shared" si="13"/>
        <v>1</v>
      </c>
      <c r="H112" s="429">
        <f t="shared" si="12"/>
        <v>0</v>
      </c>
    </row>
    <row r="113" spans="1:14">
      <c r="A113" s="1153">
        <f t="shared" si="10"/>
        <v>99</v>
      </c>
      <c r="B113" s="706">
        <v>39908</v>
      </c>
      <c r="C113" s="88" t="s">
        <v>1542</v>
      </c>
      <c r="D113" s="346">
        <v>10288.785339000002</v>
      </c>
      <c r="E113" s="466">
        <v>1</v>
      </c>
      <c r="F113" s="465">
        <f t="shared" si="13"/>
        <v>1</v>
      </c>
      <c r="G113" s="465">
        <f t="shared" si="13"/>
        <v>1</v>
      </c>
      <c r="H113" s="429">
        <f t="shared" si="12"/>
        <v>10288.785339000002</v>
      </c>
    </row>
    <row r="114" spans="1:14" ht="15.75">
      <c r="A114" s="1153">
        <f t="shared" si="10"/>
        <v>100</v>
      </c>
      <c r="B114" s="706"/>
      <c r="C114" s="88" t="s">
        <v>1255</v>
      </c>
      <c r="D114" s="346">
        <v>0</v>
      </c>
      <c r="E114" s="466">
        <v>1</v>
      </c>
      <c r="F114" s="465">
        <f t="shared" si="13"/>
        <v>1</v>
      </c>
      <c r="G114" s="465">
        <f t="shared" si="13"/>
        <v>1</v>
      </c>
      <c r="H114" s="429">
        <f t="shared" si="12"/>
        <v>0</v>
      </c>
      <c r="J114" s="901"/>
      <c r="K114" s="690"/>
    </row>
    <row r="115" spans="1:14">
      <c r="A115" s="1153">
        <f t="shared" si="10"/>
        <v>101</v>
      </c>
      <c r="B115" s="706"/>
      <c r="C115" s="88"/>
      <c r="D115" s="1056"/>
      <c r="E115" s="711"/>
      <c r="H115" s="1056"/>
    </row>
    <row r="116" spans="1:14">
      <c r="A116" s="1153">
        <f t="shared" si="10"/>
        <v>102</v>
      </c>
      <c r="B116" s="389"/>
      <c r="C116" s="88" t="s">
        <v>1331</v>
      </c>
      <c r="D116" s="346">
        <f>SUM(D89:D115)</f>
        <v>979748.20967347617</v>
      </c>
      <c r="E116" s="710"/>
      <c r="H116" s="346">
        <f>SUM(H89:H115)</f>
        <v>834235.55944217811</v>
      </c>
    </row>
    <row r="117" spans="1:14">
      <c r="A117" s="1153">
        <f t="shared" si="10"/>
        <v>103</v>
      </c>
      <c r="B117" s="389"/>
      <c r="C117" s="88"/>
      <c r="D117" s="429"/>
      <c r="E117" s="711"/>
      <c r="H117" s="429"/>
    </row>
    <row r="118" spans="1:14">
      <c r="A118" s="1153">
        <f t="shared" si="10"/>
        <v>104</v>
      </c>
      <c r="B118" s="389"/>
      <c r="C118" s="88" t="s">
        <v>1328</v>
      </c>
      <c r="D118" s="346">
        <f>D116+D86+D60+D47+D26+D19</f>
        <v>21979666.305354692</v>
      </c>
      <c r="E118" s="710"/>
      <c r="H118" s="346">
        <f>H116+H86+H60+H47+H26+H19</f>
        <v>21834153.655123394</v>
      </c>
      <c r="M118" s="670"/>
      <c r="N118" s="670"/>
    </row>
    <row r="119" spans="1:14">
      <c r="A119" s="1153">
        <f t="shared" si="10"/>
        <v>105</v>
      </c>
      <c r="B119" s="389"/>
      <c r="C119" s="88"/>
      <c r="D119" s="429"/>
    </row>
    <row r="120" spans="1:14">
      <c r="A120" s="1153">
        <f t="shared" si="10"/>
        <v>106</v>
      </c>
      <c r="B120" s="389"/>
      <c r="C120" s="81"/>
      <c r="D120" s="429"/>
    </row>
    <row r="121" spans="1:14">
      <c r="A121" s="1153">
        <f t="shared" si="10"/>
        <v>107</v>
      </c>
      <c r="B121" s="1038"/>
      <c r="D121" s="429"/>
    </row>
    <row r="122" spans="1:14" ht="15.75">
      <c r="A122" s="1153">
        <f t="shared" si="10"/>
        <v>108</v>
      </c>
      <c r="B122" s="1043" t="s">
        <v>7</v>
      </c>
      <c r="D122" s="429"/>
    </row>
    <row r="123" spans="1:14">
      <c r="A123" s="1153">
        <f t="shared" si="10"/>
        <v>109</v>
      </c>
      <c r="B123" s="1038"/>
      <c r="D123" s="429"/>
    </row>
    <row r="124" spans="1:14">
      <c r="A124" s="1153">
        <f t="shared" si="10"/>
        <v>110</v>
      </c>
      <c r="B124" s="389"/>
      <c r="C124" s="619" t="s">
        <v>297</v>
      </c>
      <c r="D124" s="429"/>
    </row>
    <row r="125" spans="1:14">
      <c r="A125" s="1153">
        <f t="shared" si="10"/>
        <v>111</v>
      </c>
      <c r="B125" s="513">
        <v>30100</v>
      </c>
      <c r="C125" s="88" t="s">
        <v>291</v>
      </c>
      <c r="D125" s="346">
        <v>0</v>
      </c>
      <c r="E125" s="466">
        <v>1</v>
      </c>
      <c r="F125" s="465">
        <f>$F$16</f>
        <v>1</v>
      </c>
      <c r="G125" s="466">
        <f>Allocation!$D$17</f>
        <v>0.49780000000000002</v>
      </c>
      <c r="H125" s="346">
        <f>D125*E125*F125*G125</f>
        <v>0</v>
      </c>
    </row>
    <row r="126" spans="1:14">
      <c r="A126" s="1153">
        <f t="shared" si="10"/>
        <v>112</v>
      </c>
      <c r="B126" s="513">
        <v>30300</v>
      </c>
      <c r="C126" s="88" t="s">
        <v>542</v>
      </c>
      <c r="D126" s="346">
        <v>0</v>
      </c>
      <c r="E126" s="466">
        <v>1</v>
      </c>
      <c r="F126" s="465">
        <f>$F$16</f>
        <v>1</v>
      </c>
      <c r="G126" s="466">
        <f>$G$125</f>
        <v>0.49780000000000002</v>
      </c>
      <c r="H126" s="1042">
        <f>D126*E126*F126*G126</f>
        <v>0</v>
      </c>
    </row>
    <row r="127" spans="1:14">
      <c r="A127" s="1153">
        <f t="shared" si="10"/>
        <v>113</v>
      </c>
      <c r="B127" s="513"/>
      <c r="C127" s="88"/>
    </row>
    <row r="128" spans="1:14">
      <c r="A128" s="1153">
        <f t="shared" si="10"/>
        <v>114</v>
      </c>
      <c r="B128" s="706"/>
      <c r="C128" s="88" t="s">
        <v>1333</v>
      </c>
      <c r="D128" s="346">
        <f>SUM(D125:D127)</f>
        <v>0</v>
      </c>
      <c r="E128" s="710"/>
      <c r="F128" s="465"/>
      <c r="G128" s="465"/>
      <c r="H128" s="346">
        <f>SUM(H125:H127)</f>
        <v>0</v>
      </c>
    </row>
    <row r="129" spans="1:15">
      <c r="A129" s="1153">
        <f t="shared" si="10"/>
        <v>115</v>
      </c>
      <c r="B129" s="1058"/>
    </row>
    <row r="130" spans="1:15">
      <c r="A130" s="1153">
        <f t="shared" si="10"/>
        <v>116</v>
      </c>
      <c r="B130" s="706"/>
      <c r="C130" s="619" t="s">
        <v>299</v>
      </c>
    </row>
    <row r="131" spans="1:15">
      <c r="A131" s="1153">
        <f t="shared" si="10"/>
        <v>117</v>
      </c>
      <c r="B131" s="513">
        <v>37400</v>
      </c>
      <c r="C131" s="88" t="s">
        <v>1147</v>
      </c>
      <c r="D131" s="346">
        <v>0</v>
      </c>
      <c r="E131" s="466">
        <v>1</v>
      </c>
      <c r="F131" s="465">
        <f t="shared" ref="F131:F151" si="14">$F$16</f>
        <v>1</v>
      </c>
      <c r="G131" s="466">
        <f t="shared" ref="G131:G151" si="15">$G$125</f>
        <v>0.49780000000000002</v>
      </c>
      <c r="H131" s="346">
        <f>D131*E131*F131*G131</f>
        <v>0</v>
      </c>
    </row>
    <row r="132" spans="1:15">
      <c r="A132" s="1153">
        <f t="shared" si="10"/>
        <v>118</v>
      </c>
      <c r="B132" s="513">
        <v>35010</v>
      </c>
      <c r="C132" s="88" t="s">
        <v>292</v>
      </c>
      <c r="D132" s="429">
        <v>0</v>
      </c>
      <c r="E132" s="466">
        <v>1</v>
      </c>
      <c r="F132" s="465">
        <f t="shared" si="14"/>
        <v>1</v>
      </c>
      <c r="G132" s="466">
        <f t="shared" si="15"/>
        <v>0.49780000000000002</v>
      </c>
      <c r="H132" s="429">
        <f t="shared" ref="H132:H151" si="16">D132*E132*F132*G132</f>
        <v>0</v>
      </c>
    </row>
    <row r="133" spans="1:15">
      <c r="A133" s="1153">
        <f t="shared" si="10"/>
        <v>119</v>
      </c>
      <c r="B133" s="513">
        <v>37402</v>
      </c>
      <c r="C133" s="88" t="s">
        <v>999</v>
      </c>
      <c r="D133" s="429">
        <v>0</v>
      </c>
      <c r="E133" s="466">
        <v>1</v>
      </c>
      <c r="F133" s="465">
        <f t="shared" si="14"/>
        <v>1</v>
      </c>
      <c r="G133" s="466">
        <f t="shared" si="15"/>
        <v>0.49780000000000002</v>
      </c>
      <c r="H133" s="429">
        <f t="shared" si="16"/>
        <v>0</v>
      </c>
    </row>
    <row r="134" spans="1:15">
      <c r="A134" s="1153">
        <f t="shared" si="10"/>
        <v>120</v>
      </c>
      <c r="B134" s="513">
        <v>37403</v>
      </c>
      <c r="C134" s="88" t="s">
        <v>996</v>
      </c>
      <c r="D134" s="429">
        <v>0</v>
      </c>
      <c r="E134" s="466">
        <v>1</v>
      </c>
      <c r="F134" s="465">
        <f t="shared" si="14"/>
        <v>1</v>
      </c>
      <c r="G134" s="466">
        <f t="shared" si="15"/>
        <v>0.49780000000000002</v>
      </c>
      <c r="H134" s="429">
        <f t="shared" si="16"/>
        <v>0</v>
      </c>
      <c r="O134" s="88"/>
    </row>
    <row r="135" spans="1:15">
      <c r="A135" s="1153">
        <f t="shared" si="10"/>
        <v>121</v>
      </c>
      <c r="B135" s="513">
        <v>36602</v>
      </c>
      <c r="C135" s="88" t="s">
        <v>856</v>
      </c>
      <c r="D135" s="429">
        <v>0</v>
      </c>
      <c r="E135" s="466">
        <v>1</v>
      </c>
      <c r="F135" s="465">
        <f t="shared" si="14"/>
        <v>1</v>
      </c>
      <c r="G135" s="466">
        <f t="shared" si="15"/>
        <v>0.49780000000000002</v>
      </c>
      <c r="H135" s="429">
        <f t="shared" si="16"/>
        <v>0</v>
      </c>
    </row>
    <row r="136" spans="1:15">
      <c r="A136" s="1153">
        <f t="shared" si="10"/>
        <v>122</v>
      </c>
      <c r="B136" s="513">
        <v>37501</v>
      </c>
      <c r="C136" s="88" t="s">
        <v>997</v>
      </c>
      <c r="D136" s="429">
        <v>0</v>
      </c>
      <c r="E136" s="466">
        <v>1</v>
      </c>
      <c r="F136" s="465">
        <f t="shared" si="14"/>
        <v>1</v>
      </c>
      <c r="G136" s="466">
        <f t="shared" si="15"/>
        <v>0.49780000000000002</v>
      </c>
      <c r="H136" s="429">
        <f t="shared" si="16"/>
        <v>0</v>
      </c>
      <c r="O136" s="513"/>
    </row>
    <row r="137" spans="1:15">
      <c r="A137" s="1153">
        <f t="shared" si="10"/>
        <v>123</v>
      </c>
      <c r="B137" s="513">
        <v>37402</v>
      </c>
      <c r="C137" s="88" t="s">
        <v>999</v>
      </c>
      <c r="D137" s="429">
        <v>0</v>
      </c>
      <c r="E137" s="466">
        <v>1</v>
      </c>
      <c r="F137" s="465">
        <f t="shared" si="14"/>
        <v>1</v>
      </c>
      <c r="G137" s="466">
        <f t="shared" si="15"/>
        <v>0.49780000000000002</v>
      </c>
      <c r="H137" s="429">
        <f t="shared" si="16"/>
        <v>0</v>
      </c>
    </row>
    <row r="138" spans="1:15">
      <c r="A138" s="1153">
        <f t="shared" si="10"/>
        <v>124</v>
      </c>
      <c r="B138" s="513">
        <v>37503</v>
      </c>
      <c r="C138" s="88" t="s">
        <v>998</v>
      </c>
      <c r="D138" s="429">
        <v>0</v>
      </c>
      <c r="E138" s="466">
        <v>1</v>
      </c>
      <c r="F138" s="465">
        <f t="shared" si="14"/>
        <v>1</v>
      </c>
      <c r="G138" s="466">
        <f t="shared" si="15"/>
        <v>0.49780000000000002</v>
      </c>
      <c r="H138" s="429">
        <f t="shared" si="16"/>
        <v>0</v>
      </c>
      <c r="O138" s="513"/>
    </row>
    <row r="139" spans="1:15">
      <c r="A139" s="1153">
        <f t="shared" si="10"/>
        <v>125</v>
      </c>
      <c r="B139" s="513">
        <v>36700</v>
      </c>
      <c r="C139" s="88" t="s">
        <v>844</v>
      </c>
      <c r="D139" s="429">
        <v>0</v>
      </c>
      <c r="E139" s="466">
        <v>1</v>
      </c>
      <c r="F139" s="465">
        <f t="shared" si="14"/>
        <v>1</v>
      </c>
      <c r="G139" s="466">
        <f t="shared" si="15"/>
        <v>0.49780000000000002</v>
      </c>
      <c r="H139" s="429">
        <f t="shared" si="16"/>
        <v>0</v>
      </c>
    </row>
    <row r="140" spans="1:15">
      <c r="A140" s="1153">
        <f t="shared" si="10"/>
        <v>126</v>
      </c>
      <c r="B140" s="513">
        <v>36701</v>
      </c>
      <c r="C140" s="88" t="s">
        <v>16</v>
      </c>
      <c r="D140" s="429">
        <v>0</v>
      </c>
      <c r="E140" s="466">
        <v>1</v>
      </c>
      <c r="F140" s="465">
        <f t="shared" si="14"/>
        <v>1</v>
      </c>
      <c r="G140" s="466">
        <f t="shared" si="15"/>
        <v>0.49780000000000002</v>
      </c>
      <c r="H140" s="429">
        <f t="shared" si="16"/>
        <v>0</v>
      </c>
    </row>
    <row r="141" spans="1:15">
      <c r="A141" s="1153">
        <f t="shared" si="10"/>
        <v>127</v>
      </c>
      <c r="B141" s="513">
        <v>37602</v>
      </c>
      <c r="C141" s="88" t="s">
        <v>845</v>
      </c>
      <c r="D141" s="429">
        <v>0</v>
      </c>
      <c r="E141" s="466">
        <v>1</v>
      </c>
      <c r="F141" s="465">
        <f t="shared" si="14"/>
        <v>1</v>
      </c>
      <c r="G141" s="466">
        <f t="shared" si="15"/>
        <v>0.49780000000000002</v>
      </c>
      <c r="H141" s="429">
        <f t="shared" si="16"/>
        <v>0</v>
      </c>
    </row>
    <row r="142" spans="1:15">
      <c r="A142" s="1153">
        <f t="shared" si="10"/>
        <v>128</v>
      </c>
      <c r="B142" s="513">
        <v>37800</v>
      </c>
      <c r="C142" s="88" t="s">
        <v>229</v>
      </c>
      <c r="D142" s="429">
        <v>0</v>
      </c>
      <c r="E142" s="466">
        <v>1</v>
      </c>
      <c r="F142" s="465">
        <f t="shared" si="14"/>
        <v>1</v>
      </c>
      <c r="G142" s="466">
        <f t="shared" si="15"/>
        <v>0.49780000000000002</v>
      </c>
      <c r="H142" s="429">
        <f t="shared" si="16"/>
        <v>0</v>
      </c>
      <c r="M142" s="715"/>
      <c r="N142" s="713"/>
    </row>
    <row r="143" spans="1:15">
      <c r="A143" s="1153">
        <f t="shared" si="10"/>
        <v>129</v>
      </c>
      <c r="B143" s="513">
        <v>37900</v>
      </c>
      <c r="C143" s="88" t="s">
        <v>1190</v>
      </c>
      <c r="D143" s="429">
        <v>0</v>
      </c>
      <c r="E143" s="466">
        <v>1</v>
      </c>
      <c r="F143" s="465">
        <f t="shared" si="14"/>
        <v>1</v>
      </c>
      <c r="G143" s="466">
        <f t="shared" si="15"/>
        <v>0.49780000000000002</v>
      </c>
      <c r="H143" s="429">
        <f t="shared" si="16"/>
        <v>0</v>
      </c>
    </row>
    <row r="144" spans="1:15">
      <c r="A144" s="1153">
        <f t="shared" si="10"/>
        <v>130</v>
      </c>
      <c r="B144" s="513">
        <v>37905</v>
      </c>
      <c r="C144" s="88" t="s">
        <v>725</v>
      </c>
      <c r="D144" s="429">
        <v>0</v>
      </c>
      <c r="E144" s="466">
        <v>1</v>
      </c>
      <c r="F144" s="465">
        <f t="shared" si="14"/>
        <v>1</v>
      </c>
      <c r="G144" s="466">
        <f t="shared" si="15"/>
        <v>0.49780000000000002</v>
      </c>
      <c r="H144" s="429">
        <f t="shared" si="16"/>
        <v>0</v>
      </c>
      <c r="M144" s="712"/>
      <c r="N144" s="714"/>
    </row>
    <row r="145" spans="1:14">
      <c r="A145" s="1153">
        <f t="shared" si="10"/>
        <v>131</v>
      </c>
      <c r="B145" s="513">
        <v>38000</v>
      </c>
      <c r="C145" s="88" t="s">
        <v>1052</v>
      </c>
      <c r="D145" s="429">
        <v>0</v>
      </c>
      <c r="E145" s="466">
        <v>1</v>
      </c>
      <c r="F145" s="465">
        <f t="shared" si="14"/>
        <v>1</v>
      </c>
      <c r="G145" s="466">
        <f t="shared" si="15"/>
        <v>0.49780000000000002</v>
      </c>
      <c r="H145" s="429">
        <f t="shared" si="16"/>
        <v>0</v>
      </c>
    </row>
    <row r="146" spans="1:14">
      <c r="A146" s="1153">
        <f t="shared" si="10"/>
        <v>132</v>
      </c>
      <c r="B146" s="513">
        <v>38100</v>
      </c>
      <c r="C146" s="88" t="s">
        <v>846</v>
      </c>
      <c r="D146" s="429">
        <v>0</v>
      </c>
      <c r="E146" s="466">
        <v>1</v>
      </c>
      <c r="F146" s="465">
        <f t="shared" si="14"/>
        <v>1</v>
      </c>
      <c r="G146" s="466">
        <f t="shared" si="15"/>
        <v>0.49780000000000002</v>
      </c>
      <c r="H146" s="429">
        <f t="shared" si="16"/>
        <v>0</v>
      </c>
      <c r="M146" s="712"/>
      <c r="N146" s="713"/>
    </row>
    <row r="147" spans="1:14">
      <c r="A147" s="1153">
        <f t="shared" si="10"/>
        <v>133</v>
      </c>
      <c r="B147" s="513">
        <v>38200</v>
      </c>
      <c r="C147" s="88" t="s">
        <v>442</v>
      </c>
      <c r="D147" s="429">
        <v>0</v>
      </c>
      <c r="E147" s="466">
        <v>1</v>
      </c>
      <c r="F147" s="465">
        <f t="shared" si="14"/>
        <v>1</v>
      </c>
      <c r="G147" s="466">
        <f t="shared" si="15"/>
        <v>0.49780000000000002</v>
      </c>
      <c r="H147" s="429">
        <f t="shared" si="16"/>
        <v>0</v>
      </c>
    </row>
    <row r="148" spans="1:14">
      <c r="A148" s="1153">
        <f t="shared" ref="A148:A211" si="17">A147+1</f>
        <v>134</v>
      </c>
      <c r="B148" s="513">
        <v>38300</v>
      </c>
      <c r="C148" s="88" t="s">
        <v>1053</v>
      </c>
      <c r="D148" s="429">
        <v>0</v>
      </c>
      <c r="E148" s="466">
        <v>1</v>
      </c>
      <c r="F148" s="465">
        <f t="shared" si="14"/>
        <v>1</v>
      </c>
      <c r="G148" s="466">
        <f t="shared" si="15"/>
        <v>0.49780000000000002</v>
      </c>
      <c r="H148" s="429">
        <f t="shared" si="16"/>
        <v>0</v>
      </c>
      <c r="M148" s="712"/>
      <c r="N148" s="713"/>
    </row>
    <row r="149" spans="1:14">
      <c r="A149" s="1153">
        <f t="shared" si="17"/>
        <v>135</v>
      </c>
      <c r="B149" s="513">
        <v>38400</v>
      </c>
      <c r="C149" s="88" t="s">
        <v>443</v>
      </c>
      <c r="D149" s="429">
        <v>0</v>
      </c>
      <c r="E149" s="466">
        <v>1</v>
      </c>
      <c r="F149" s="465">
        <f t="shared" si="14"/>
        <v>1</v>
      </c>
      <c r="G149" s="466">
        <f t="shared" si="15"/>
        <v>0.49780000000000002</v>
      </c>
      <c r="H149" s="429">
        <f t="shared" si="16"/>
        <v>0</v>
      </c>
    </row>
    <row r="150" spans="1:14">
      <c r="A150" s="1153">
        <f t="shared" si="17"/>
        <v>136</v>
      </c>
      <c r="B150" s="513">
        <v>38500</v>
      </c>
      <c r="C150" s="88" t="s">
        <v>444</v>
      </c>
      <c r="D150" s="429">
        <v>0</v>
      </c>
      <c r="E150" s="466">
        <v>1</v>
      </c>
      <c r="F150" s="465">
        <f t="shared" si="14"/>
        <v>1</v>
      </c>
      <c r="G150" s="466">
        <f t="shared" si="15"/>
        <v>0.49780000000000002</v>
      </c>
      <c r="H150" s="429">
        <f t="shared" si="16"/>
        <v>0</v>
      </c>
    </row>
    <row r="151" spans="1:14">
      <c r="A151" s="1153">
        <f t="shared" si="17"/>
        <v>137</v>
      </c>
      <c r="B151" s="513">
        <v>38600</v>
      </c>
      <c r="C151" s="88" t="s">
        <v>106</v>
      </c>
      <c r="D151" s="1042">
        <v>0</v>
      </c>
      <c r="E151" s="466">
        <v>1</v>
      </c>
      <c r="F151" s="465">
        <f t="shared" si="14"/>
        <v>1</v>
      </c>
      <c r="G151" s="466">
        <f t="shared" si="15"/>
        <v>0.49780000000000002</v>
      </c>
      <c r="H151" s="1042">
        <f t="shared" si="16"/>
        <v>0</v>
      </c>
    </row>
    <row r="152" spans="1:14">
      <c r="A152" s="1153">
        <f t="shared" si="17"/>
        <v>138</v>
      </c>
      <c r="B152" s="513"/>
      <c r="C152" s="88"/>
    </row>
    <row r="153" spans="1:14">
      <c r="A153" s="1153">
        <f t="shared" si="17"/>
        <v>139</v>
      </c>
      <c r="B153" s="513"/>
      <c r="C153" s="88" t="s">
        <v>1332</v>
      </c>
      <c r="D153" s="346">
        <f>SUM(D131:D152)</f>
        <v>0</v>
      </c>
      <c r="E153" s="710"/>
      <c r="H153" s="346">
        <f>SUM(H131:H152)</f>
        <v>0</v>
      </c>
    </row>
    <row r="154" spans="1:14">
      <c r="A154" s="1153">
        <f t="shared" si="17"/>
        <v>140</v>
      </c>
      <c r="B154" s="513"/>
      <c r="C154" s="88"/>
    </row>
    <row r="155" spans="1:14">
      <c r="A155" s="1153">
        <f t="shared" si="17"/>
        <v>141</v>
      </c>
      <c r="B155" s="706"/>
      <c r="C155" s="619" t="s">
        <v>301</v>
      </c>
    </row>
    <row r="156" spans="1:14">
      <c r="A156" s="1153">
        <f t="shared" si="17"/>
        <v>142</v>
      </c>
      <c r="B156" s="513">
        <v>39001</v>
      </c>
      <c r="C156" s="88" t="s">
        <v>1543</v>
      </c>
      <c r="D156" s="346">
        <v>5021.4785599999996</v>
      </c>
      <c r="E156" s="466">
        <v>1</v>
      </c>
      <c r="F156" s="465">
        <f t="shared" ref="F156:F176" si="18">$F$16</f>
        <v>1</v>
      </c>
      <c r="G156" s="466">
        <f t="shared" ref="G156:G176" si="19">$G$125</f>
        <v>0.49780000000000002</v>
      </c>
      <c r="H156" s="346">
        <f t="shared" ref="H156:H176" si="20">D156*E156*F156*G156</f>
        <v>2499.6920271680001</v>
      </c>
      <c r="N156" s="466"/>
    </row>
    <row r="157" spans="1:14">
      <c r="A157" s="1153">
        <f t="shared" si="17"/>
        <v>143</v>
      </c>
      <c r="B157" s="513">
        <v>39004</v>
      </c>
      <c r="C157" s="88" t="s">
        <v>1527</v>
      </c>
      <c r="D157" s="346">
        <v>1127.6406030000001</v>
      </c>
      <c r="E157" s="466">
        <v>1</v>
      </c>
      <c r="F157" s="465">
        <f t="shared" si="18"/>
        <v>1</v>
      </c>
      <c r="G157" s="466">
        <f t="shared" si="19"/>
        <v>0.49780000000000002</v>
      </c>
      <c r="H157" s="429">
        <f t="shared" si="20"/>
        <v>561.3394921734</v>
      </c>
      <c r="N157" s="466"/>
    </row>
    <row r="158" spans="1:14">
      <c r="A158" s="1153">
        <f t="shared" si="17"/>
        <v>144</v>
      </c>
      <c r="B158" s="513">
        <v>39009</v>
      </c>
      <c r="C158" s="88" t="s">
        <v>1528</v>
      </c>
      <c r="D158" s="346">
        <v>0</v>
      </c>
      <c r="E158" s="466">
        <v>1</v>
      </c>
      <c r="F158" s="465">
        <f t="shared" si="18"/>
        <v>1</v>
      </c>
      <c r="G158" s="466">
        <f t="shared" si="19"/>
        <v>0.49780000000000002</v>
      </c>
      <c r="H158" s="429">
        <f t="shared" si="20"/>
        <v>0</v>
      </c>
      <c r="N158" s="466"/>
    </row>
    <row r="159" spans="1:14">
      <c r="A159" s="1153">
        <f t="shared" si="17"/>
        <v>145</v>
      </c>
      <c r="B159" s="513">
        <v>39100</v>
      </c>
      <c r="C159" s="88" t="s">
        <v>1529</v>
      </c>
      <c r="D159" s="346">
        <v>0</v>
      </c>
      <c r="E159" s="466">
        <v>1</v>
      </c>
      <c r="F159" s="465">
        <f t="shared" si="18"/>
        <v>1</v>
      </c>
      <c r="G159" s="466">
        <f t="shared" si="19"/>
        <v>0.49780000000000002</v>
      </c>
      <c r="H159" s="429">
        <f t="shared" si="20"/>
        <v>0</v>
      </c>
      <c r="N159" s="466"/>
    </row>
    <row r="160" spans="1:14">
      <c r="A160" s="1153">
        <f t="shared" si="17"/>
        <v>146</v>
      </c>
      <c r="B160" s="513">
        <v>39101</v>
      </c>
      <c r="C160" s="88" t="s">
        <v>1499</v>
      </c>
      <c r="D160" s="346">
        <v>0</v>
      </c>
      <c r="E160" s="466">
        <v>1</v>
      </c>
      <c r="F160" s="465">
        <f t="shared" si="18"/>
        <v>1</v>
      </c>
      <c r="G160" s="466">
        <f t="shared" si="19"/>
        <v>0.49780000000000002</v>
      </c>
      <c r="H160" s="429">
        <f t="shared" si="20"/>
        <v>0</v>
      </c>
      <c r="K160" s="690"/>
      <c r="N160" s="466"/>
    </row>
    <row r="161" spans="1:14">
      <c r="A161" s="1153">
        <f t="shared" si="17"/>
        <v>147</v>
      </c>
      <c r="B161" s="513">
        <v>39103</v>
      </c>
      <c r="C161" s="88" t="s">
        <v>780</v>
      </c>
      <c r="D161" s="346">
        <v>0</v>
      </c>
      <c r="E161" s="466">
        <v>1</v>
      </c>
      <c r="F161" s="465">
        <f t="shared" si="18"/>
        <v>1</v>
      </c>
      <c r="G161" s="466">
        <f t="shared" si="19"/>
        <v>0.49780000000000002</v>
      </c>
      <c r="H161" s="429">
        <f t="shared" si="20"/>
        <v>0</v>
      </c>
      <c r="K161" s="690"/>
      <c r="N161" s="466"/>
    </row>
    <row r="162" spans="1:14">
      <c r="A162" s="1153">
        <f t="shared" si="17"/>
        <v>148</v>
      </c>
      <c r="B162" s="513">
        <v>39200</v>
      </c>
      <c r="C162" s="88" t="s">
        <v>1544</v>
      </c>
      <c r="D162" s="346">
        <v>1759.8625049999998</v>
      </c>
      <c r="E162" s="1064">
        <v>0.45615191876565997</v>
      </c>
      <c r="F162" s="465">
        <f t="shared" si="18"/>
        <v>1</v>
      </c>
      <c r="G162" s="466">
        <f t="shared" si="19"/>
        <v>0.49780000000000002</v>
      </c>
      <c r="H162" s="429">
        <f t="shared" si="20"/>
        <v>399.61624696122249</v>
      </c>
      <c r="K162" s="690"/>
      <c r="N162" s="466"/>
    </row>
    <row r="163" spans="1:14">
      <c r="A163" s="1153">
        <f t="shared" si="17"/>
        <v>149</v>
      </c>
      <c r="B163" s="513">
        <v>39300</v>
      </c>
      <c r="C163" s="88" t="s">
        <v>649</v>
      </c>
      <c r="D163" s="346">
        <v>0</v>
      </c>
      <c r="E163" s="466">
        <v>1</v>
      </c>
      <c r="F163" s="465">
        <f t="shared" si="18"/>
        <v>1</v>
      </c>
      <c r="G163" s="466">
        <f t="shared" si="19"/>
        <v>0.49780000000000002</v>
      </c>
      <c r="H163" s="429">
        <f t="shared" si="20"/>
        <v>0</v>
      </c>
      <c r="K163" s="690"/>
      <c r="N163" s="466"/>
    </row>
    <row r="164" spans="1:14">
      <c r="A164" s="1153">
        <f t="shared" si="17"/>
        <v>150</v>
      </c>
      <c r="B164" s="513">
        <v>39400</v>
      </c>
      <c r="C164" s="88" t="s">
        <v>1532</v>
      </c>
      <c r="D164" s="346">
        <v>8916.4792080000025</v>
      </c>
      <c r="E164" s="1064">
        <v>0.45614668834079219</v>
      </c>
      <c r="F164" s="465">
        <f t="shared" si="18"/>
        <v>1</v>
      </c>
      <c r="G164" s="466">
        <f t="shared" si="19"/>
        <v>0.49780000000000002</v>
      </c>
      <c r="H164" s="429">
        <f t="shared" si="20"/>
        <v>2024.6633417771104</v>
      </c>
      <c r="K164" s="690"/>
      <c r="N164" s="466"/>
    </row>
    <row r="165" spans="1:14">
      <c r="A165" s="1153">
        <f t="shared" si="17"/>
        <v>151</v>
      </c>
      <c r="B165" s="513">
        <v>39600</v>
      </c>
      <c r="C165" s="88" t="s">
        <v>1545</v>
      </c>
      <c r="D165" s="346">
        <v>1220.6835550000001</v>
      </c>
      <c r="E165" s="1064">
        <v>1.9989267507378727E-2</v>
      </c>
      <c r="F165" s="465">
        <f t="shared" si="18"/>
        <v>1</v>
      </c>
      <c r="G165" s="466">
        <f t="shared" si="19"/>
        <v>0.49780000000000002</v>
      </c>
      <c r="H165" s="429">
        <f t="shared" si="20"/>
        <v>12.146603807106471</v>
      </c>
      <c r="K165" s="690"/>
      <c r="N165" s="466"/>
    </row>
    <row r="166" spans="1:14">
      <c r="A166" s="1153">
        <f t="shared" si="17"/>
        <v>152</v>
      </c>
      <c r="B166" s="513">
        <v>39700</v>
      </c>
      <c r="C166" s="88" t="s">
        <v>1536</v>
      </c>
      <c r="D166" s="346">
        <v>3318.6244000000002</v>
      </c>
      <c r="E166" s="466">
        <v>1</v>
      </c>
      <c r="F166" s="465">
        <f t="shared" si="18"/>
        <v>1</v>
      </c>
      <c r="G166" s="466">
        <f t="shared" si="19"/>
        <v>0.49780000000000002</v>
      </c>
      <c r="H166" s="429">
        <f t="shared" si="20"/>
        <v>1652.0112263200001</v>
      </c>
      <c r="K166" s="690"/>
      <c r="N166" s="466"/>
    </row>
    <row r="167" spans="1:14">
      <c r="A167" s="1153">
        <f t="shared" si="17"/>
        <v>153</v>
      </c>
      <c r="B167" s="513">
        <v>39701</v>
      </c>
      <c r="C167" s="88" t="s">
        <v>1496</v>
      </c>
      <c r="D167" s="346">
        <v>0</v>
      </c>
      <c r="E167" s="466">
        <v>1</v>
      </c>
      <c r="F167" s="465">
        <f t="shared" si="18"/>
        <v>1</v>
      </c>
      <c r="G167" s="466">
        <f t="shared" si="19"/>
        <v>0.49780000000000002</v>
      </c>
      <c r="H167" s="429">
        <f t="shared" si="20"/>
        <v>0</v>
      </c>
      <c r="K167" s="690"/>
      <c r="N167" s="466"/>
    </row>
    <row r="168" spans="1:14">
      <c r="A168" s="1153">
        <f t="shared" si="17"/>
        <v>154</v>
      </c>
      <c r="B168" s="706">
        <v>39702</v>
      </c>
      <c r="C168" s="88" t="s">
        <v>1496</v>
      </c>
      <c r="D168" s="346">
        <v>0</v>
      </c>
      <c r="E168" s="466">
        <v>1</v>
      </c>
      <c r="F168" s="465">
        <f t="shared" si="18"/>
        <v>1</v>
      </c>
      <c r="G168" s="466">
        <f t="shared" si="19"/>
        <v>0.49780000000000002</v>
      </c>
      <c r="H168" s="429">
        <f t="shared" si="20"/>
        <v>0</v>
      </c>
      <c r="N168" s="466"/>
    </row>
    <row r="169" spans="1:14">
      <c r="A169" s="1153">
        <f t="shared" si="17"/>
        <v>155</v>
      </c>
      <c r="B169" s="706">
        <v>39800</v>
      </c>
      <c r="C169" s="88" t="s">
        <v>1538</v>
      </c>
      <c r="D169" s="346">
        <v>24587.839775999993</v>
      </c>
      <c r="E169" s="466">
        <v>1</v>
      </c>
      <c r="F169" s="465">
        <f t="shared" si="18"/>
        <v>1</v>
      </c>
      <c r="G169" s="466">
        <f t="shared" si="19"/>
        <v>0.49780000000000002</v>
      </c>
      <c r="H169" s="429">
        <f t="shared" si="20"/>
        <v>12239.826640492798</v>
      </c>
      <c r="N169" s="466"/>
    </row>
    <row r="170" spans="1:14">
      <c r="A170" s="1153">
        <f t="shared" si="17"/>
        <v>156</v>
      </c>
      <c r="B170" s="706">
        <v>39900</v>
      </c>
      <c r="C170" s="88" t="s">
        <v>1546</v>
      </c>
      <c r="D170" s="346">
        <v>0</v>
      </c>
      <c r="E170" s="466">
        <v>1</v>
      </c>
      <c r="F170" s="465">
        <f t="shared" si="18"/>
        <v>1</v>
      </c>
      <c r="G170" s="466">
        <f t="shared" si="19"/>
        <v>0.49780000000000002</v>
      </c>
      <c r="H170" s="429">
        <f t="shared" si="20"/>
        <v>0</v>
      </c>
      <c r="N170" s="466"/>
    </row>
    <row r="171" spans="1:14">
      <c r="A171" s="1153">
        <f t="shared" si="17"/>
        <v>157</v>
      </c>
      <c r="B171" s="706">
        <v>39901</v>
      </c>
      <c r="C171" s="88" t="s">
        <v>1547</v>
      </c>
      <c r="D171" s="346">
        <v>0</v>
      </c>
      <c r="E171" s="466">
        <v>1</v>
      </c>
      <c r="F171" s="465">
        <f t="shared" si="18"/>
        <v>1</v>
      </c>
      <c r="G171" s="466">
        <f t="shared" si="19"/>
        <v>0.49780000000000002</v>
      </c>
      <c r="H171" s="429">
        <f t="shared" si="20"/>
        <v>0</v>
      </c>
      <c r="N171" s="466"/>
    </row>
    <row r="172" spans="1:14">
      <c r="A172" s="1153">
        <f t="shared" si="17"/>
        <v>158</v>
      </c>
      <c r="B172" s="706">
        <v>39902</v>
      </c>
      <c r="C172" s="88" t="s">
        <v>1548</v>
      </c>
      <c r="D172" s="346">
        <v>0</v>
      </c>
      <c r="E172" s="466">
        <v>1</v>
      </c>
      <c r="F172" s="465">
        <f t="shared" si="18"/>
        <v>1</v>
      </c>
      <c r="G172" s="466">
        <f t="shared" si="19"/>
        <v>0.49780000000000002</v>
      </c>
      <c r="H172" s="429">
        <f t="shared" si="20"/>
        <v>0</v>
      </c>
      <c r="N172" s="466"/>
    </row>
    <row r="173" spans="1:14">
      <c r="A173" s="1153">
        <f t="shared" si="17"/>
        <v>159</v>
      </c>
      <c r="B173" s="706">
        <v>39903</v>
      </c>
      <c r="C173" s="88" t="s">
        <v>1539</v>
      </c>
      <c r="D173" s="346">
        <v>0</v>
      </c>
      <c r="E173" s="466">
        <v>1</v>
      </c>
      <c r="F173" s="465">
        <f t="shared" si="18"/>
        <v>1</v>
      </c>
      <c r="G173" s="466">
        <f t="shared" si="19"/>
        <v>0.49780000000000002</v>
      </c>
      <c r="H173" s="429">
        <f t="shared" si="20"/>
        <v>0</v>
      </c>
      <c r="N173" s="466"/>
    </row>
    <row r="174" spans="1:14">
      <c r="A174" s="1153">
        <f t="shared" si="17"/>
        <v>160</v>
      </c>
      <c r="B174" s="706">
        <v>39906</v>
      </c>
      <c r="C174" s="88" t="s">
        <v>1540</v>
      </c>
      <c r="D174" s="346">
        <v>0</v>
      </c>
      <c r="E174" s="466">
        <v>1</v>
      </c>
      <c r="F174" s="465">
        <f t="shared" si="18"/>
        <v>1</v>
      </c>
      <c r="G174" s="466">
        <f t="shared" si="19"/>
        <v>0.49780000000000002</v>
      </c>
      <c r="H174" s="429">
        <f t="shared" si="20"/>
        <v>0</v>
      </c>
      <c r="N174" s="466"/>
    </row>
    <row r="175" spans="1:14">
      <c r="A175" s="1153">
        <f t="shared" si="17"/>
        <v>161</v>
      </c>
      <c r="B175" s="706">
        <v>39907</v>
      </c>
      <c r="C175" s="88" t="s">
        <v>1541</v>
      </c>
      <c r="D175" s="346">
        <v>22389.470228000002</v>
      </c>
      <c r="E175" s="466">
        <v>1</v>
      </c>
      <c r="F175" s="465">
        <f t="shared" si="18"/>
        <v>1</v>
      </c>
      <c r="G175" s="466">
        <f t="shared" si="19"/>
        <v>0.49780000000000002</v>
      </c>
      <c r="H175" s="429">
        <f t="shared" si="20"/>
        <v>11145.478279498402</v>
      </c>
      <c r="N175" s="466"/>
    </row>
    <row r="176" spans="1:14">
      <c r="A176" s="1153">
        <f t="shared" si="17"/>
        <v>162</v>
      </c>
      <c r="B176" s="706">
        <v>39908</v>
      </c>
      <c r="C176" s="88" t="s">
        <v>1542</v>
      </c>
      <c r="D176" s="346">
        <v>0</v>
      </c>
      <c r="E176" s="466">
        <v>1</v>
      </c>
      <c r="F176" s="465">
        <f t="shared" si="18"/>
        <v>1</v>
      </c>
      <c r="G176" s="466">
        <f t="shared" si="19"/>
        <v>0.49780000000000002</v>
      </c>
      <c r="H176" s="429">
        <f t="shared" si="20"/>
        <v>0</v>
      </c>
      <c r="N176" s="466"/>
    </row>
    <row r="177" spans="1:14">
      <c r="A177" s="1153">
        <f t="shared" si="17"/>
        <v>163</v>
      </c>
      <c r="B177" s="706"/>
      <c r="C177" s="88"/>
      <c r="D177" s="429"/>
      <c r="E177" s="466"/>
      <c r="F177" s="465"/>
      <c r="G177" s="466"/>
      <c r="H177" s="429"/>
    </row>
    <row r="178" spans="1:14">
      <c r="A178" s="1153">
        <f t="shared" si="17"/>
        <v>164</v>
      </c>
      <c r="B178" s="389"/>
      <c r="C178" s="88"/>
      <c r="D178" s="618"/>
      <c r="E178" s="1025"/>
      <c r="H178" s="618"/>
    </row>
    <row r="179" spans="1:14">
      <c r="A179" s="1153">
        <f t="shared" si="17"/>
        <v>165</v>
      </c>
      <c r="B179" s="389"/>
      <c r="C179" s="88" t="s">
        <v>1331</v>
      </c>
      <c r="D179" s="346">
        <f>SUM(D156:D177)</f>
        <v>68342.078834999993</v>
      </c>
      <c r="E179" s="1065"/>
      <c r="H179" s="346">
        <f>SUM(H156:H177)</f>
        <v>30534.773858198041</v>
      </c>
    </row>
    <row r="180" spans="1:14">
      <c r="A180" s="1153">
        <f t="shared" si="17"/>
        <v>166</v>
      </c>
      <c r="B180" s="389"/>
      <c r="C180" s="88"/>
      <c r="E180" s="1025"/>
    </row>
    <row r="181" spans="1:14" ht="15.75" thickBot="1">
      <c r="A181" s="1153">
        <f t="shared" si="17"/>
        <v>167</v>
      </c>
      <c r="B181" s="389"/>
      <c r="C181" s="88" t="s">
        <v>1327</v>
      </c>
      <c r="D181" s="329">
        <f>D128+D153+D179</f>
        <v>68342.078834999993</v>
      </c>
      <c r="E181" s="1065"/>
      <c r="H181" s="329">
        <f>H128+H153+H179</f>
        <v>30534.773858198041</v>
      </c>
    </row>
    <row r="182" spans="1:14" ht="15.75" thickTop="1">
      <c r="A182" s="1153">
        <f t="shared" si="17"/>
        <v>168</v>
      </c>
      <c r="B182" s="1038"/>
      <c r="D182" s="429"/>
      <c r="E182" s="1025"/>
    </row>
    <row r="183" spans="1:14" ht="15.75">
      <c r="A183" s="1153">
        <f t="shared" si="17"/>
        <v>169</v>
      </c>
      <c r="B183" s="1043" t="s">
        <v>8</v>
      </c>
      <c r="D183" s="429"/>
    </row>
    <row r="184" spans="1:14">
      <c r="A184" s="1153">
        <f t="shared" si="17"/>
        <v>170</v>
      </c>
      <c r="D184" s="429"/>
    </row>
    <row r="185" spans="1:14">
      <c r="A185" s="1153">
        <f t="shared" si="17"/>
        <v>171</v>
      </c>
      <c r="B185" s="389"/>
      <c r="C185" s="619" t="s">
        <v>301</v>
      </c>
      <c r="D185" s="429"/>
    </row>
    <row r="186" spans="1:14">
      <c r="A186" s="1153">
        <f t="shared" si="17"/>
        <v>172</v>
      </c>
      <c r="B186" s="513">
        <v>39000</v>
      </c>
      <c r="C186" s="88" t="s">
        <v>1524</v>
      </c>
      <c r="D186" s="346">
        <v>53868.556450375138</v>
      </c>
      <c r="E186" s="465">
        <v>1</v>
      </c>
      <c r="F186" s="466">
        <f>Allocation!$C$14</f>
        <v>0.104</v>
      </c>
      <c r="G186" s="466">
        <f>Allocation!$D$14</f>
        <v>0.49780000000000002</v>
      </c>
      <c r="H186" s="346">
        <f>D186*E186*F186*G186</f>
        <v>2788.8398097036611</v>
      </c>
      <c r="N186" s="466"/>
    </row>
    <row r="187" spans="1:14">
      <c r="A187" s="1153">
        <f t="shared" si="17"/>
        <v>173</v>
      </c>
      <c r="B187" s="513">
        <v>39005</v>
      </c>
      <c r="C187" s="88" t="s">
        <v>1549</v>
      </c>
      <c r="D187" s="346">
        <v>276532.97329699987</v>
      </c>
      <c r="E187" s="465">
        <v>1</v>
      </c>
      <c r="F187" s="466">
        <v>1</v>
      </c>
      <c r="G187" s="466">
        <f>Allocation!$I$20</f>
        <v>1.570628E-2</v>
      </c>
      <c r="H187" s="429">
        <f t="shared" ref="H187:H221" si="21">D187*E187*F187*G187</f>
        <v>4343.304307835203</v>
      </c>
      <c r="N187" s="466"/>
    </row>
    <row r="188" spans="1:14">
      <c r="A188" s="1153">
        <f t="shared" si="17"/>
        <v>174</v>
      </c>
      <c r="B188" s="513">
        <v>39009</v>
      </c>
      <c r="C188" s="88" t="s">
        <v>1528</v>
      </c>
      <c r="D188" s="346">
        <v>0</v>
      </c>
      <c r="E188" s="465">
        <v>1</v>
      </c>
      <c r="F188" s="466">
        <f t="shared" ref="F188:F201" si="22">$F$186</f>
        <v>0.104</v>
      </c>
      <c r="G188" s="466">
        <f t="shared" ref="G188:G201" si="23">$G$186</f>
        <v>0.49780000000000002</v>
      </c>
      <c r="H188" s="429">
        <f t="shared" si="21"/>
        <v>0</v>
      </c>
      <c r="N188" s="466"/>
    </row>
    <row r="189" spans="1:14">
      <c r="A189" s="1153">
        <f t="shared" si="17"/>
        <v>175</v>
      </c>
      <c r="B189" s="513">
        <v>39020</v>
      </c>
      <c r="C189" s="88" t="s">
        <v>1500</v>
      </c>
      <c r="D189" s="346">
        <v>0</v>
      </c>
      <c r="E189" s="465">
        <v>1</v>
      </c>
      <c r="F189" s="466">
        <v>1</v>
      </c>
      <c r="G189" s="466">
        <f>Allocation!$E$22</f>
        <v>6.3622429999999994E-2</v>
      </c>
      <c r="H189" s="429">
        <f t="shared" si="21"/>
        <v>0</v>
      </c>
      <c r="N189" s="466"/>
    </row>
    <row r="190" spans="1:14">
      <c r="A190" s="1153">
        <f t="shared" si="17"/>
        <v>176</v>
      </c>
      <c r="B190" s="513">
        <v>39029</v>
      </c>
      <c r="C190" s="88" t="s">
        <v>1501</v>
      </c>
      <c r="D190" s="346">
        <v>554.6882895194791</v>
      </c>
      <c r="E190" s="465">
        <v>1</v>
      </c>
      <c r="F190" s="466">
        <v>1</v>
      </c>
      <c r="G190" s="466">
        <f>Allocation!$E$22</f>
        <v>6.3622429999999994E-2</v>
      </c>
      <c r="H190" s="429">
        <f t="shared" si="21"/>
        <v>35.290616871772791</v>
      </c>
      <c r="N190" s="466"/>
    </row>
    <row r="191" spans="1:14">
      <c r="A191" s="1153">
        <f t="shared" si="17"/>
        <v>177</v>
      </c>
      <c r="B191" s="513">
        <v>39100</v>
      </c>
      <c r="C191" s="88" t="s">
        <v>1529</v>
      </c>
      <c r="D191" s="346">
        <v>204916.63164689764</v>
      </c>
      <c r="E191" s="465">
        <v>1</v>
      </c>
      <c r="F191" s="466">
        <f t="shared" si="22"/>
        <v>0.104</v>
      </c>
      <c r="G191" s="466">
        <f t="shared" si="23"/>
        <v>0.49780000000000002</v>
      </c>
      <c r="H191" s="429">
        <f t="shared" si="21"/>
        <v>10608.779920317867</v>
      </c>
      <c r="N191" s="466"/>
    </row>
    <row r="192" spans="1:14">
      <c r="A192" s="1153">
        <f t="shared" si="17"/>
        <v>178</v>
      </c>
      <c r="B192" s="513">
        <v>39102</v>
      </c>
      <c r="C192" s="88" t="s">
        <v>1550</v>
      </c>
      <c r="D192" s="346">
        <v>0</v>
      </c>
      <c r="E192" s="465">
        <v>1</v>
      </c>
      <c r="F192" s="466">
        <f t="shared" si="22"/>
        <v>0.104</v>
      </c>
      <c r="G192" s="466">
        <f t="shared" si="23"/>
        <v>0.49780000000000002</v>
      </c>
      <c r="H192" s="429">
        <f t="shared" si="21"/>
        <v>0</v>
      </c>
      <c r="N192" s="466"/>
    </row>
    <row r="193" spans="1:14">
      <c r="A193" s="1153">
        <f t="shared" si="17"/>
        <v>179</v>
      </c>
      <c r="B193" s="513">
        <v>39103</v>
      </c>
      <c r="C193" s="88" t="s">
        <v>1320</v>
      </c>
      <c r="D193" s="346">
        <v>0</v>
      </c>
      <c r="E193" s="465">
        <v>1</v>
      </c>
      <c r="F193" s="466">
        <f t="shared" si="22"/>
        <v>0.104</v>
      </c>
      <c r="G193" s="466">
        <f t="shared" si="23"/>
        <v>0.49780000000000002</v>
      </c>
      <c r="H193" s="429">
        <f t="shared" si="21"/>
        <v>0</v>
      </c>
      <c r="N193" s="466"/>
    </row>
    <row r="194" spans="1:14">
      <c r="A194" s="1153">
        <f t="shared" si="17"/>
        <v>180</v>
      </c>
      <c r="B194" s="513">
        <v>39104</v>
      </c>
      <c r="C194" s="88" t="s">
        <v>1551</v>
      </c>
      <c r="D194" s="346">
        <v>5999.3670946783368</v>
      </c>
      <c r="E194" s="465">
        <v>1</v>
      </c>
      <c r="F194" s="466">
        <v>1</v>
      </c>
      <c r="G194" s="466">
        <f>Allocation!$I$20</f>
        <v>1.570628E-2</v>
      </c>
      <c r="H194" s="429">
        <f t="shared" si="21"/>
        <v>94.227739411804464</v>
      </c>
      <c r="N194" s="466"/>
    </row>
    <row r="195" spans="1:14">
      <c r="A195" s="1153">
        <f t="shared" si="17"/>
        <v>181</v>
      </c>
      <c r="B195" s="513">
        <v>39120</v>
      </c>
      <c r="C195" s="88" t="s">
        <v>1502</v>
      </c>
      <c r="D195" s="346">
        <v>10428.180444000001</v>
      </c>
      <c r="E195" s="465">
        <v>1</v>
      </c>
      <c r="F195" s="466">
        <v>1</v>
      </c>
      <c r="G195" s="466">
        <f>Allocation!$E$22</f>
        <v>6.3622429999999994E-2</v>
      </c>
      <c r="H195" s="429">
        <f t="shared" si="21"/>
        <v>663.46618032575896</v>
      </c>
      <c r="N195" s="466"/>
    </row>
    <row r="196" spans="1:14">
      <c r="A196" s="1153">
        <f t="shared" si="17"/>
        <v>182</v>
      </c>
      <c r="B196" s="513">
        <v>39200</v>
      </c>
      <c r="C196" s="88" t="s">
        <v>1530</v>
      </c>
      <c r="D196" s="346">
        <v>594.25919399999987</v>
      </c>
      <c r="E196" s="465">
        <v>1</v>
      </c>
      <c r="F196" s="466">
        <f t="shared" si="22"/>
        <v>0.104</v>
      </c>
      <c r="G196" s="466">
        <f t="shared" si="23"/>
        <v>0.49780000000000002</v>
      </c>
      <c r="H196" s="429">
        <f t="shared" si="21"/>
        <v>30.765511584412792</v>
      </c>
      <c r="N196" s="466"/>
    </row>
    <row r="197" spans="1:14">
      <c r="A197" s="1153">
        <f t="shared" si="17"/>
        <v>183</v>
      </c>
      <c r="B197" s="513">
        <v>39300</v>
      </c>
      <c r="C197" s="88" t="s">
        <v>1552</v>
      </c>
      <c r="D197" s="346">
        <v>0</v>
      </c>
      <c r="E197" s="465">
        <v>1</v>
      </c>
      <c r="F197" s="466">
        <f t="shared" si="22"/>
        <v>0.104</v>
      </c>
      <c r="G197" s="466">
        <f t="shared" si="23"/>
        <v>0.49780000000000002</v>
      </c>
      <c r="H197" s="429">
        <f t="shared" si="21"/>
        <v>0</v>
      </c>
      <c r="N197" s="466"/>
    </row>
    <row r="198" spans="1:14">
      <c r="A198" s="1153">
        <f t="shared" si="17"/>
        <v>184</v>
      </c>
      <c r="B198" s="513">
        <v>39400</v>
      </c>
      <c r="C198" s="88" t="s">
        <v>1532</v>
      </c>
      <c r="D198" s="346">
        <v>6367.1711579999983</v>
      </c>
      <c r="E198" s="465">
        <v>1</v>
      </c>
      <c r="F198" s="466">
        <f t="shared" si="22"/>
        <v>0.104</v>
      </c>
      <c r="G198" s="466">
        <f t="shared" si="23"/>
        <v>0.49780000000000002</v>
      </c>
      <c r="H198" s="429">
        <f t="shared" si="21"/>
        <v>329.63609145504955</v>
      </c>
      <c r="N198" s="466"/>
    </row>
    <row r="199" spans="1:14">
      <c r="A199" s="1153">
        <f t="shared" si="17"/>
        <v>185</v>
      </c>
      <c r="B199" s="513">
        <v>39420</v>
      </c>
      <c r="C199" s="88" t="s">
        <v>1503</v>
      </c>
      <c r="D199" s="346">
        <v>0</v>
      </c>
      <c r="E199" s="465">
        <v>1</v>
      </c>
      <c r="F199" s="466">
        <v>1</v>
      </c>
      <c r="G199" s="466">
        <f>Allocation!$E$22</f>
        <v>6.3622429999999994E-2</v>
      </c>
      <c r="H199" s="429">
        <f t="shared" si="21"/>
        <v>0</v>
      </c>
      <c r="N199" s="466"/>
    </row>
    <row r="200" spans="1:14">
      <c r="A200" s="1153">
        <f t="shared" si="17"/>
        <v>186</v>
      </c>
      <c r="B200" s="513">
        <v>39500</v>
      </c>
      <c r="C200" s="88" t="s">
        <v>1553</v>
      </c>
      <c r="D200" s="346">
        <v>0</v>
      </c>
      <c r="E200" s="465">
        <v>1</v>
      </c>
      <c r="F200" s="466">
        <f t="shared" si="22"/>
        <v>0.104</v>
      </c>
      <c r="G200" s="466">
        <f t="shared" si="23"/>
        <v>0.49780000000000002</v>
      </c>
      <c r="H200" s="429">
        <f t="shared" si="21"/>
        <v>0</v>
      </c>
      <c r="N200" s="466"/>
    </row>
    <row r="201" spans="1:14">
      <c r="A201" s="1153">
        <f t="shared" si="17"/>
        <v>187</v>
      </c>
      <c r="B201" s="513">
        <v>39700</v>
      </c>
      <c r="C201" s="88" t="s">
        <v>1536</v>
      </c>
      <c r="D201" s="346">
        <v>60801.647985000011</v>
      </c>
      <c r="E201" s="465">
        <v>1</v>
      </c>
      <c r="F201" s="466">
        <f t="shared" si="22"/>
        <v>0.104</v>
      </c>
      <c r="G201" s="466">
        <f t="shared" si="23"/>
        <v>0.49780000000000002</v>
      </c>
      <c r="H201" s="429">
        <f t="shared" si="21"/>
        <v>3147.7742781610327</v>
      </c>
      <c r="N201" s="466"/>
    </row>
    <row r="202" spans="1:14">
      <c r="A202" s="1153">
        <f t="shared" si="17"/>
        <v>188</v>
      </c>
      <c r="B202" s="513">
        <v>39720</v>
      </c>
      <c r="C202" s="88" t="s">
        <v>1504</v>
      </c>
      <c r="D202" s="346">
        <v>516.2238900000001</v>
      </c>
      <c r="E202" s="465">
        <v>1</v>
      </c>
      <c r="F202" s="466">
        <v>1</v>
      </c>
      <c r="G202" s="466">
        <f>Allocation!$E$22</f>
        <v>6.3622429999999994E-2</v>
      </c>
      <c r="H202" s="429">
        <f t="shared" si="21"/>
        <v>32.843418305852701</v>
      </c>
      <c r="N202" s="466"/>
    </row>
    <row r="203" spans="1:14">
      <c r="A203" s="1153">
        <f t="shared" si="17"/>
        <v>189</v>
      </c>
      <c r="B203" s="513">
        <v>39800</v>
      </c>
      <c r="C203" s="88" t="s">
        <v>1538</v>
      </c>
      <c r="D203" s="346">
        <v>7221.3536080000013</v>
      </c>
      <c r="E203" s="465">
        <v>1</v>
      </c>
      <c r="F203" s="466">
        <f t="shared" ref="F203:F218" si="24">$F$186</f>
        <v>0.104</v>
      </c>
      <c r="G203" s="466">
        <f t="shared" ref="G203:G218" si="25">$G$186</f>
        <v>0.49780000000000002</v>
      </c>
      <c r="H203" s="429">
        <f t="shared" si="21"/>
        <v>373.85814191048968</v>
      </c>
      <c r="N203" s="466"/>
    </row>
    <row r="204" spans="1:14">
      <c r="A204" s="1153">
        <f t="shared" si="17"/>
        <v>190</v>
      </c>
      <c r="B204" s="513">
        <v>39820</v>
      </c>
      <c r="C204" s="88" t="s">
        <v>1505</v>
      </c>
      <c r="D204" s="346">
        <v>390.84583099999992</v>
      </c>
      <c r="E204" s="465">
        <v>1</v>
      </c>
      <c r="F204" s="466">
        <v>1</v>
      </c>
      <c r="G204" s="466">
        <f>Allocation!$E$22</f>
        <v>6.3622429999999994E-2</v>
      </c>
      <c r="H204" s="429">
        <f t="shared" si="21"/>
        <v>24.866561523589322</v>
      </c>
      <c r="N204" s="466"/>
    </row>
    <row r="205" spans="1:14">
      <c r="A205" s="1153">
        <f t="shared" si="17"/>
        <v>191</v>
      </c>
      <c r="B205" s="513">
        <v>39900</v>
      </c>
      <c r="C205" s="88" t="s">
        <v>1554</v>
      </c>
      <c r="D205" s="346">
        <v>0</v>
      </c>
      <c r="E205" s="465">
        <v>1</v>
      </c>
      <c r="F205" s="466">
        <f t="shared" si="24"/>
        <v>0.104</v>
      </c>
      <c r="G205" s="466">
        <f t="shared" si="25"/>
        <v>0.49780000000000002</v>
      </c>
      <c r="H205" s="429">
        <f t="shared" si="21"/>
        <v>0</v>
      </c>
      <c r="N205" s="466"/>
    </row>
    <row r="206" spans="1:14">
      <c r="A206" s="1153">
        <f t="shared" si="17"/>
        <v>192</v>
      </c>
      <c r="B206" s="513">
        <v>39901</v>
      </c>
      <c r="C206" s="80" t="s">
        <v>1547</v>
      </c>
      <c r="D206" s="346">
        <v>4077237.3795535923</v>
      </c>
      <c r="E206" s="465">
        <v>1</v>
      </c>
      <c r="F206" s="466">
        <f t="shared" si="24"/>
        <v>0.104</v>
      </c>
      <c r="G206" s="466">
        <f t="shared" si="25"/>
        <v>0.49780000000000002</v>
      </c>
      <c r="H206" s="429">
        <f t="shared" si="21"/>
        <v>211083.47182434495</v>
      </c>
      <c r="N206" s="466"/>
    </row>
    <row r="207" spans="1:14">
      <c r="A207" s="1153">
        <f t="shared" si="17"/>
        <v>193</v>
      </c>
      <c r="B207" s="513">
        <v>39902</v>
      </c>
      <c r="C207" s="88" t="s">
        <v>1548</v>
      </c>
      <c r="D207" s="346">
        <v>2330513.6949328436</v>
      </c>
      <c r="E207" s="465">
        <v>1</v>
      </c>
      <c r="F207" s="466">
        <f t="shared" si="24"/>
        <v>0.104</v>
      </c>
      <c r="G207" s="466">
        <f t="shared" si="25"/>
        <v>0.49780000000000002</v>
      </c>
      <c r="H207" s="429">
        <f t="shared" si="21"/>
        <v>120653.49060310723</v>
      </c>
      <c r="N207" s="466"/>
    </row>
    <row r="208" spans="1:14">
      <c r="A208" s="1153">
        <f t="shared" si="17"/>
        <v>194</v>
      </c>
      <c r="B208" s="513">
        <v>39903</v>
      </c>
      <c r="C208" s="88" t="s">
        <v>1539</v>
      </c>
      <c r="D208" s="346">
        <v>601480.2866666395</v>
      </c>
      <c r="E208" s="465">
        <v>1</v>
      </c>
      <c r="F208" s="466">
        <f t="shared" si="24"/>
        <v>0.104</v>
      </c>
      <c r="G208" s="466">
        <f t="shared" si="25"/>
        <v>0.49780000000000002</v>
      </c>
      <c r="H208" s="429">
        <f t="shared" si="21"/>
        <v>31139.356217075925</v>
      </c>
      <c r="N208" s="466"/>
    </row>
    <row r="209" spans="1:14">
      <c r="A209" s="1153">
        <f t="shared" si="17"/>
        <v>195</v>
      </c>
      <c r="B209" s="513">
        <v>39904</v>
      </c>
      <c r="C209" s="88" t="s">
        <v>1555</v>
      </c>
      <c r="D209" s="346">
        <v>0</v>
      </c>
      <c r="E209" s="465">
        <v>1</v>
      </c>
      <c r="F209" s="466">
        <f t="shared" si="24"/>
        <v>0.104</v>
      </c>
      <c r="G209" s="466">
        <f t="shared" si="25"/>
        <v>0.49780000000000002</v>
      </c>
      <c r="H209" s="429">
        <f t="shared" si="21"/>
        <v>0</v>
      </c>
      <c r="N209" s="466"/>
    </row>
    <row r="210" spans="1:14">
      <c r="A210" s="1153">
        <f t="shared" si="17"/>
        <v>196</v>
      </c>
      <c r="B210" s="513">
        <v>39905</v>
      </c>
      <c r="C210" s="88" t="s">
        <v>1556</v>
      </c>
      <c r="D210" s="346">
        <v>0</v>
      </c>
      <c r="E210" s="465">
        <v>1</v>
      </c>
      <c r="F210" s="466">
        <f t="shared" si="24"/>
        <v>0.104</v>
      </c>
      <c r="G210" s="466">
        <f t="shared" si="25"/>
        <v>0.49780000000000002</v>
      </c>
      <c r="H210" s="429">
        <f t="shared" si="21"/>
        <v>0</v>
      </c>
      <c r="N210" s="466"/>
    </row>
    <row r="211" spans="1:14">
      <c r="A211" s="1153">
        <f t="shared" si="17"/>
        <v>197</v>
      </c>
      <c r="B211" s="706">
        <v>39906</v>
      </c>
      <c r="C211" s="88" t="s">
        <v>1540</v>
      </c>
      <c r="D211" s="346">
        <v>275762.48677954247</v>
      </c>
      <c r="E211" s="465">
        <v>1</v>
      </c>
      <c r="F211" s="466">
        <f t="shared" si="24"/>
        <v>0.104</v>
      </c>
      <c r="G211" s="466">
        <f t="shared" si="25"/>
        <v>0.49780000000000002</v>
      </c>
      <c r="H211" s="429">
        <f t="shared" si="21"/>
        <v>14276.554855561048</v>
      </c>
      <c r="N211" s="466"/>
    </row>
    <row r="212" spans="1:14">
      <c r="A212" s="1153">
        <f t="shared" ref="A212:A264" si="26">A211+1</f>
        <v>198</v>
      </c>
      <c r="B212" s="706">
        <v>39907</v>
      </c>
      <c r="C212" s="88" t="s">
        <v>1541</v>
      </c>
      <c r="D212" s="346">
        <v>110759.09900814816</v>
      </c>
      <c r="E212" s="465">
        <v>1</v>
      </c>
      <c r="F212" s="466">
        <f t="shared" si="24"/>
        <v>0.104</v>
      </c>
      <c r="G212" s="466">
        <f t="shared" si="25"/>
        <v>0.49780000000000002</v>
      </c>
      <c r="H212" s="429">
        <f t="shared" si="21"/>
        <v>5734.1314665706395</v>
      </c>
      <c r="N212" s="466"/>
    </row>
    <row r="213" spans="1:14">
      <c r="A213" s="1153">
        <f t="shared" si="26"/>
        <v>199</v>
      </c>
      <c r="B213" s="706">
        <v>39908</v>
      </c>
      <c r="C213" s="88" t="s">
        <v>1542</v>
      </c>
      <c r="D213" s="346">
        <v>4899829.9211724494</v>
      </c>
      <c r="E213" s="465">
        <v>1</v>
      </c>
      <c r="F213" s="466">
        <f t="shared" si="24"/>
        <v>0.104</v>
      </c>
      <c r="G213" s="466">
        <f t="shared" si="25"/>
        <v>0.49780000000000002</v>
      </c>
      <c r="H213" s="429">
        <f t="shared" si="21"/>
        <v>253670.07481500311</v>
      </c>
      <c r="N213" s="466"/>
    </row>
    <row r="214" spans="1:14">
      <c r="A214" s="1153">
        <f t="shared" si="26"/>
        <v>200</v>
      </c>
      <c r="B214" s="706">
        <v>39909</v>
      </c>
      <c r="C214" s="88" t="s">
        <v>1557</v>
      </c>
      <c r="D214" s="346">
        <v>0</v>
      </c>
      <c r="E214" s="465">
        <v>1</v>
      </c>
      <c r="F214" s="466">
        <f t="shared" si="24"/>
        <v>0.104</v>
      </c>
      <c r="G214" s="466">
        <f t="shared" si="25"/>
        <v>0.49780000000000002</v>
      </c>
      <c r="H214" s="429">
        <f t="shared" si="21"/>
        <v>0</v>
      </c>
      <c r="N214" s="466"/>
    </row>
    <row r="215" spans="1:14">
      <c r="A215" s="1153">
        <f t="shared" si="26"/>
        <v>201</v>
      </c>
      <c r="B215" s="706">
        <v>39921</v>
      </c>
      <c r="C215" s="88" t="s">
        <v>1506</v>
      </c>
      <c r="D215" s="346">
        <v>154419.71146799999</v>
      </c>
      <c r="E215" s="465">
        <v>1</v>
      </c>
      <c r="F215" s="466">
        <v>1</v>
      </c>
      <c r="G215" s="466">
        <f>Allocation!$E$22</f>
        <v>6.3622429999999994E-2</v>
      </c>
      <c r="H215" s="429">
        <f t="shared" si="21"/>
        <v>9824.5572834930263</v>
      </c>
      <c r="N215" s="466"/>
    </row>
    <row r="216" spans="1:14">
      <c r="A216" s="1153">
        <f t="shared" si="26"/>
        <v>202</v>
      </c>
      <c r="B216" s="706">
        <v>39922</v>
      </c>
      <c r="C216" s="88" t="s">
        <v>1507</v>
      </c>
      <c r="D216" s="346">
        <v>85840.128651999985</v>
      </c>
      <c r="E216" s="465">
        <v>1</v>
      </c>
      <c r="F216" s="466">
        <v>1</v>
      </c>
      <c r="G216" s="466">
        <f>Allocation!$E$22</f>
        <v>6.3622429999999994E-2</v>
      </c>
      <c r="H216" s="429">
        <f t="shared" si="21"/>
        <v>5461.3575763528625</v>
      </c>
      <c r="N216" s="466"/>
    </row>
    <row r="217" spans="1:14">
      <c r="A217" s="1153">
        <f t="shared" si="26"/>
        <v>203</v>
      </c>
      <c r="B217" s="706">
        <v>39923</v>
      </c>
      <c r="C217" s="88" t="s">
        <v>1508</v>
      </c>
      <c r="D217" s="346">
        <v>4205.9081639999995</v>
      </c>
      <c r="E217" s="465">
        <v>1</v>
      </c>
      <c r="F217" s="466">
        <v>1</v>
      </c>
      <c r="G217" s="466">
        <f>Allocation!$E$22</f>
        <v>6.3622429999999994E-2</v>
      </c>
      <c r="H217" s="429">
        <f t="shared" si="21"/>
        <v>267.59009775051845</v>
      </c>
      <c r="N217" s="466"/>
    </row>
    <row r="218" spans="1:14">
      <c r="A218" s="1153">
        <f t="shared" si="26"/>
        <v>204</v>
      </c>
      <c r="B218" s="706">
        <v>39924</v>
      </c>
      <c r="C218" s="88" t="s">
        <v>1389</v>
      </c>
      <c r="D218" s="346">
        <v>0</v>
      </c>
      <c r="E218" s="465">
        <v>1</v>
      </c>
      <c r="F218" s="466">
        <f t="shared" si="24"/>
        <v>0.104</v>
      </c>
      <c r="G218" s="466">
        <f t="shared" si="25"/>
        <v>0.49780000000000002</v>
      </c>
      <c r="H218" s="429">
        <f t="shared" si="21"/>
        <v>0</v>
      </c>
      <c r="N218" s="466"/>
    </row>
    <row r="219" spans="1:14">
      <c r="A219" s="1153">
        <f t="shared" si="26"/>
        <v>205</v>
      </c>
      <c r="B219" s="706">
        <v>39926</v>
      </c>
      <c r="C219" s="88" t="s">
        <v>1517</v>
      </c>
      <c r="D219" s="346">
        <v>32978.401158000001</v>
      </c>
      <c r="E219" s="465">
        <v>1</v>
      </c>
      <c r="F219" s="466">
        <v>1</v>
      </c>
      <c r="G219" s="466">
        <f>Allocation!$E$22</f>
        <v>6.3622429999999994E-2</v>
      </c>
      <c r="H219" s="429">
        <f t="shared" si="21"/>
        <v>2098.1660191867736</v>
      </c>
      <c r="N219" s="466"/>
    </row>
    <row r="220" spans="1:14">
      <c r="A220" s="1153">
        <f t="shared" si="26"/>
        <v>206</v>
      </c>
      <c r="B220" s="706">
        <v>39928</v>
      </c>
      <c r="C220" s="88" t="s">
        <v>1518</v>
      </c>
      <c r="D220" s="346">
        <v>1353831.8564921373</v>
      </c>
      <c r="E220" s="465">
        <v>1</v>
      </c>
      <c r="F220" s="466">
        <v>1</v>
      </c>
      <c r="G220" s="466">
        <f>Allocation!$E$22</f>
        <v>6.3622429999999994E-2</v>
      </c>
      <c r="H220" s="429">
        <f t="shared" si="21"/>
        <v>86134.072521441049</v>
      </c>
      <c r="N220" s="466"/>
    </row>
    <row r="221" spans="1:14">
      <c r="A221" s="1153">
        <f t="shared" si="26"/>
        <v>207</v>
      </c>
      <c r="B221" s="706">
        <v>39931</v>
      </c>
      <c r="C221" s="88" t="s">
        <v>1519</v>
      </c>
      <c r="D221" s="346">
        <v>28180.874628000001</v>
      </c>
      <c r="E221" s="465">
        <v>1</v>
      </c>
      <c r="F221" s="466">
        <v>1</v>
      </c>
      <c r="G221" s="466">
        <f>Allocation!$E$23</f>
        <v>0</v>
      </c>
      <c r="H221" s="429">
        <f t="shared" si="21"/>
        <v>0</v>
      </c>
      <c r="N221" s="466"/>
    </row>
    <row r="222" spans="1:14">
      <c r="A222" s="1153">
        <f t="shared" si="26"/>
        <v>208</v>
      </c>
      <c r="B222" s="706">
        <v>39932</v>
      </c>
      <c r="C222" s="88" t="s">
        <v>1520</v>
      </c>
      <c r="D222" s="346">
        <v>30873.656851999996</v>
      </c>
      <c r="E222" s="465">
        <v>1</v>
      </c>
      <c r="F222" s="466">
        <v>1</v>
      </c>
      <c r="G222" s="466">
        <f>Allocation!$E$23</f>
        <v>0</v>
      </c>
      <c r="H222" s="429">
        <f t="shared" ref="H222:H223" si="27">D222*E222*F222*G222</f>
        <v>0</v>
      </c>
      <c r="N222" s="466"/>
    </row>
    <row r="223" spans="1:14">
      <c r="A223" s="1153">
        <f t="shared" si="26"/>
        <v>209</v>
      </c>
      <c r="B223" s="706">
        <v>39938</v>
      </c>
      <c r="C223" s="88" t="s">
        <v>1521</v>
      </c>
      <c r="D223" s="346">
        <v>1316546.1098785701</v>
      </c>
      <c r="E223" s="465">
        <v>1</v>
      </c>
      <c r="F223" s="466">
        <v>1</v>
      </c>
      <c r="G223" s="466">
        <f>Allocation!$E$23</f>
        <v>0</v>
      </c>
      <c r="H223" s="429">
        <f t="shared" si="27"/>
        <v>0</v>
      </c>
      <c r="N223" s="466"/>
    </row>
    <row r="224" spans="1:14">
      <c r="A224" s="1153">
        <f t="shared" si="26"/>
        <v>210</v>
      </c>
      <c r="B224" s="787"/>
      <c r="C224" s="831"/>
      <c r="D224" s="922"/>
      <c r="E224" s="382"/>
      <c r="F224" s="422"/>
      <c r="G224" s="422"/>
      <c r="H224" s="1042"/>
    </row>
    <row r="225" spans="1:14">
      <c r="A225" s="1153">
        <f t="shared" si="26"/>
        <v>211</v>
      </c>
      <c r="B225" s="389"/>
      <c r="C225" s="88"/>
      <c r="E225" s="1025"/>
    </row>
    <row r="226" spans="1:14" ht="15.75" thickBot="1">
      <c r="A226" s="1153">
        <f t="shared" si="26"/>
        <v>212</v>
      </c>
      <c r="B226" s="389"/>
      <c r="C226" s="88" t="s">
        <v>1329</v>
      </c>
      <c r="D226" s="329">
        <f>SUM(D186:D224)</f>
        <v>15930651.414294392</v>
      </c>
      <c r="E226" s="1065"/>
      <c r="H226" s="329">
        <f>SUM(H186:H224)</f>
        <v>762816.4758572937</v>
      </c>
      <c r="M226" s="670"/>
      <c r="N226" s="670"/>
    </row>
    <row r="227" spans="1:14" ht="15.75" thickTop="1">
      <c r="A227" s="1153">
        <f t="shared" si="26"/>
        <v>213</v>
      </c>
      <c r="B227" s="1038"/>
      <c r="D227" s="429"/>
      <c r="E227" s="1025"/>
    </row>
    <row r="228" spans="1:14" ht="15.75">
      <c r="A228" s="1153">
        <f t="shared" si="26"/>
        <v>214</v>
      </c>
      <c r="B228" s="1043" t="s">
        <v>9</v>
      </c>
      <c r="D228" s="429"/>
    </row>
    <row r="229" spans="1:14">
      <c r="A229" s="1153">
        <f t="shared" si="26"/>
        <v>215</v>
      </c>
      <c r="B229" s="1038"/>
      <c r="D229" s="429"/>
      <c r="K229" s="670"/>
    </row>
    <row r="230" spans="1:14">
      <c r="A230" s="1153">
        <f t="shared" si="26"/>
        <v>216</v>
      </c>
      <c r="B230" s="389"/>
      <c r="C230" s="619" t="s">
        <v>301</v>
      </c>
      <c r="D230" s="429"/>
    </row>
    <row r="231" spans="1:14">
      <c r="A231" s="1153">
        <f t="shared" si="26"/>
        <v>217</v>
      </c>
      <c r="B231" s="513">
        <v>38900</v>
      </c>
      <c r="C231" s="88" t="s">
        <v>1558</v>
      </c>
      <c r="D231" s="346">
        <v>0</v>
      </c>
      <c r="E231" s="465">
        <v>1</v>
      </c>
      <c r="F231" s="466">
        <f>Allocation!$C$15</f>
        <v>0.1095</v>
      </c>
      <c r="G231" s="466">
        <f>Allocation!$D$15</f>
        <v>0.51517972406888612</v>
      </c>
      <c r="H231" s="346">
        <f>D231*E231*F231*G231</f>
        <v>0</v>
      </c>
      <c r="J231" s="423"/>
      <c r="N231" s="466"/>
    </row>
    <row r="232" spans="1:14">
      <c r="A232" s="1153">
        <f t="shared" si="26"/>
        <v>218</v>
      </c>
      <c r="B232" s="513">
        <v>38910</v>
      </c>
      <c r="C232" s="88" t="s">
        <v>1559</v>
      </c>
      <c r="D232" s="346">
        <v>0</v>
      </c>
      <c r="E232" s="623">
        <v>1</v>
      </c>
      <c r="F232" s="466">
        <v>1</v>
      </c>
      <c r="G232" s="466">
        <f>Allocation!$E$21</f>
        <v>2.3186160000000001E-2</v>
      </c>
      <c r="H232" s="429">
        <f t="shared" ref="H232:H259" si="28">D232*E232*F232*G232</f>
        <v>0</v>
      </c>
      <c r="N232" s="466"/>
    </row>
    <row r="233" spans="1:14">
      <c r="A233" s="1153">
        <f t="shared" si="26"/>
        <v>219</v>
      </c>
      <c r="B233" s="513">
        <v>39000</v>
      </c>
      <c r="C233" s="88" t="s">
        <v>1524</v>
      </c>
      <c r="D233" s="346">
        <v>381336.97856099991</v>
      </c>
      <c r="E233" s="623">
        <v>1</v>
      </c>
      <c r="F233" s="466">
        <f>Allocation!$C$15</f>
        <v>0.1095</v>
      </c>
      <c r="G233" s="466">
        <f>Allocation!$D$15</f>
        <v>0.51517972406888612</v>
      </c>
      <c r="H233" s="429">
        <f t="shared" si="28"/>
        <v>21512.050193458894</v>
      </c>
      <c r="N233" s="466"/>
    </row>
    <row r="234" spans="1:14">
      <c r="A234" s="1153">
        <f t="shared" si="26"/>
        <v>220</v>
      </c>
      <c r="B234" s="513">
        <v>39009</v>
      </c>
      <c r="C234" s="88" t="s">
        <v>1528</v>
      </c>
      <c r="D234" s="346">
        <v>91669.940375000006</v>
      </c>
      <c r="E234" s="623">
        <v>1</v>
      </c>
      <c r="F234" s="466">
        <f>Allocation!$C$15</f>
        <v>0.1095</v>
      </c>
      <c r="G234" s="466">
        <f>Allocation!$D$15</f>
        <v>0.51517972406888612</v>
      </c>
      <c r="H234" s="429">
        <f t="shared" si="28"/>
        <v>5171.3011573645099</v>
      </c>
      <c r="N234" s="466"/>
    </row>
    <row r="235" spans="1:14">
      <c r="A235" s="1153">
        <f t="shared" si="26"/>
        <v>221</v>
      </c>
      <c r="B235" s="513">
        <v>39010</v>
      </c>
      <c r="C235" s="88" t="s">
        <v>1560</v>
      </c>
      <c r="D235" s="346">
        <v>370405.78399999993</v>
      </c>
      <c r="E235" s="623">
        <v>1</v>
      </c>
      <c r="F235" s="466">
        <v>1</v>
      </c>
      <c r="G235" s="466">
        <f>Allocation!$E$21</f>
        <v>2.3186160000000001E-2</v>
      </c>
      <c r="H235" s="429">
        <f t="shared" si="28"/>
        <v>8588.2877727494379</v>
      </c>
      <c r="N235" s="466"/>
    </row>
    <row r="236" spans="1:14">
      <c r="A236" s="1153">
        <f t="shared" si="26"/>
        <v>222</v>
      </c>
      <c r="B236" s="513">
        <v>39100</v>
      </c>
      <c r="C236" s="88" t="s">
        <v>1529</v>
      </c>
      <c r="D236" s="346">
        <v>100367.52508654985</v>
      </c>
      <c r="E236" s="623">
        <v>1</v>
      </c>
      <c r="F236" s="466">
        <f>Allocation!$C$15</f>
        <v>0.1095</v>
      </c>
      <c r="G236" s="466">
        <f>Allocation!$D$15</f>
        <v>0.51517972406888612</v>
      </c>
      <c r="H236" s="429">
        <f t="shared" si="28"/>
        <v>5661.9508698124509</v>
      </c>
      <c r="N236" s="466"/>
    </row>
    <row r="237" spans="1:14">
      <c r="A237" s="1153">
        <f t="shared" si="26"/>
        <v>223</v>
      </c>
      <c r="B237" s="513">
        <v>39101</v>
      </c>
      <c r="C237" s="88" t="s">
        <v>1499</v>
      </c>
      <c r="D237" s="346">
        <v>0</v>
      </c>
      <c r="E237" s="623">
        <v>1</v>
      </c>
      <c r="F237" s="466">
        <f>Allocation!$C$15</f>
        <v>0.1095</v>
      </c>
      <c r="G237" s="466">
        <f>Allocation!$D$15</f>
        <v>0.51517972406888612</v>
      </c>
      <c r="H237" s="429">
        <f t="shared" si="28"/>
        <v>0</v>
      </c>
      <c r="N237" s="466"/>
    </row>
    <row r="238" spans="1:14">
      <c r="A238" s="1153">
        <f t="shared" si="26"/>
        <v>224</v>
      </c>
      <c r="B238" s="513">
        <v>39102</v>
      </c>
      <c r="C238" s="88" t="s">
        <v>1509</v>
      </c>
      <c r="D238" s="346">
        <v>0</v>
      </c>
      <c r="E238" s="623">
        <v>1</v>
      </c>
      <c r="F238" s="466">
        <f>Allocation!$C$15</f>
        <v>0.1095</v>
      </c>
      <c r="G238" s="466">
        <f>Allocation!$D$15</f>
        <v>0.51517972406888612</v>
      </c>
      <c r="H238" s="429">
        <f t="shared" si="28"/>
        <v>0</v>
      </c>
      <c r="N238" s="466"/>
    </row>
    <row r="239" spans="1:14">
      <c r="A239" s="1153">
        <f t="shared" si="26"/>
        <v>225</v>
      </c>
      <c r="B239" s="513">
        <v>39103</v>
      </c>
      <c r="C239" s="88" t="s">
        <v>1320</v>
      </c>
      <c r="D239" s="346">
        <v>0</v>
      </c>
      <c r="E239" s="623">
        <v>1</v>
      </c>
      <c r="F239" s="466">
        <f>Allocation!$C$15</f>
        <v>0.1095</v>
      </c>
      <c r="G239" s="466">
        <f>Allocation!$D$15</f>
        <v>0.51517972406888612</v>
      </c>
      <c r="H239" s="429">
        <f t="shared" si="28"/>
        <v>0</v>
      </c>
      <c r="N239" s="466"/>
    </row>
    <row r="240" spans="1:14">
      <c r="A240" s="1153">
        <f t="shared" si="26"/>
        <v>226</v>
      </c>
      <c r="B240" s="513">
        <v>39110</v>
      </c>
      <c r="C240" s="88" t="s">
        <v>1510</v>
      </c>
      <c r="D240" s="346">
        <v>20583.335275661611</v>
      </c>
      <c r="E240" s="623">
        <v>1</v>
      </c>
      <c r="F240" s="466">
        <v>1</v>
      </c>
      <c r="G240" s="466">
        <f>Allocation!$E$21</f>
        <v>2.3186160000000001E-2</v>
      </c>
      <c r="H240" s="429">
        <f t="shared" si="28"/>
        <v>477.24850503513426</v>
      </c>
      <c r="N240" s="466"/>
    </row>
    <row r="241" spans="1:14">
      <c r="A241" s="1153">
        <f t="shared" si="26"/>
        <v>227</v>
      </c>
      <c r="B241" s="513">
        <v>39210</v>
      </c>
      <c r="C241" s="88" t="s">
        <v>1511</v>
      </c>
      <c r="D241" s="346">
        <v>0</v>
      </c>
      <c r="E241" s="623">
        <v>1</v>
      </c>
      <c r="F241" s="466">
        <v>1</v>
      </c>
      <c r="G241" s="466">
        <f>Allocation!$E$21</f>
        <v>2.3186160000000001E-2</v>
      </c>
      <c r="H241" s="429">
        <f t="shared" si="28"/>
        <v>0</v>
      </c>
      <c r="N241" s="466"/>
    </row>
    <row r="242" spans="1:14">
      <c r="A242" s="1153">
        <f t="shared" si="26"/>
        <v>228</v>
      </c>
      <c r="B242" s="513">
        <v>39410</v>
      </c>
      <c r="C242" s="88" t="s">
        <v>1512</v>
      </c>
      <c r="D242" s="346">
        <v>51366.695806878066</v>
      </c>
      <c r="E242" s="623">
        <v>1</v>
      </c>
      <c r="F242" s="466">
        <v>1</v>
      </c>
      <c r="G242" s="466">
        <f>Allocation!$E$21</f>
        <v>2.3186160000000001E-2</v>
      </c>
      <c r="H242" s="429">
        <f t="shared" si="28"/>
        <v>1190.9964276496039</v>
      </c>
      <c r="N242" s="466"/>
    </row>
    <row r="243" spans="1:14">
      <c r="A243" s="1153">
        <f t="shared" si="26"/>
        <v>229</v>
      </c>
      <c r="B243" s="513">
        <v>39510</v>
      </c>
      <c r="C243" s="88" t="s">
        <v>1513</v>
      </c>
      <c r="D243" s="346">
        <v>2375.0230350000002</v>
      </c>
      <c r="E243" s="623">
        <v>1</v>
      </c>
      <c r="F243" s="466">
        <v>1</v>
      </c>
      <c r="G243" s="466">
        <f>Allocation!$E$21</f>
        <v>2.3186160000000001E-2</v>
      </c>
      <c r="H243" s="429">
        <f t="shared" si="28"/>
        <v>55.067664093195603</v>
      </c>
      <c r="N243" s="466"/>
    </row>
    <row r="244" spans="1:14">
      <c r="A244" s="1153">
        <f t="shared" si="26"/>
        <v>230</v>
      </c>
      <c r="B244" s="513">
        <v>39700</v>
      </c>
      <c r="C244" s="88" t="s">
        <v>1536</v>
      </c>
      <c r="D244" s="346">
        <v>111917.35093500004</v>
      </c>
      <c r="E244" s="623">
        <v>1</v>
      </c>
      <c r="F244" s="466">
        <f>Allocation!$C$15</f>
        <v>0.1095</v>
      </c>
      <c r="G244" s="466">
        <f>Allocation!$D$15</f>
        <v>0.51517972406888612</v>
      </c>
      <c r="H244" s="429">
        <f t="shared" si="28"/>
        <v>6313.5017220669342</v>
      </c>
      <c r="N244" s="466"/>
    </row>
    <row r="245" spans="1:14">
      <c r="A245" s="1153">
        <f t="shared" si="26"/>
        <v>231</v>
      </c>
      <c r="B245" s="513">
        <v>39710</v>
      </c>
      <c r="C245" s="88" t="s">
        <v>1561</v>
      </c>
      <c r="D245" s="346">
        <v>17052.786270000004</v>
      </c>
      <c r="E245" s="623">
        <v>1</v>
      </c>
      <c r="F245" s="466">
        <v>1</v>
      </c>
      <c r="G245" s="466">
        <f>Allocation!$E$21</f>
        <v>2.3186160000000001E-2</v>
      </c>
      <c r="H245" s="429">
        <f t="shared" si="28"/>
        <v>395.38863090202329</v>
      </c>
      <c r="N245" s="466"/>
    </row>
    <row r="246" spans="1:14">
      <c r="A246" s="1153">
        <f t="shared" si="26"/>
        <v>232</v>
      </c>
      <c r="B246" s="513">
        <v>39800</v>
      </c>
      <c r="C246" s="88" t="s">
        <v>1538</v>
      </c>
      <c r="D246" s="346">
        <v>3703.8284140000001</v>
      </c>
      <c r="E246" s="623">
        <v>1</v>
      </c>
      <c r="F246" s="466">
        <f>Allocation!$C$15</f>
        <v>0.1095</v>
      </c>
      <c r="G246" s="466">
        <f>Allocation!$D$15</f>
        <v>0.51517972406888612</v>
      </c>
      <c r="H246" s="429">
        <f t="shared" si="28"/>
        <v>208.9410343853707</v>
      </c>
      <c r="N246" s="466"/>
    </row>
    <row r="247" spans="1:14">
      <c r="A247" s="1153">
        <f t="shared" si="26"/>
        <v>233</v>
      </c>
      <c r="B247" s="706">
        <v>39810</v>
      </c>
      <c r="C247" s="88" t="s">
        <v>1514</v>
      </c>
      <c r="D247" s="346">
        <v>26941.062764999999</v>
      </c>
      <c r="E247" s="623">
        <v>1</v>
      </c>
      <c r="F247" s="466">
        <v>1</v>
      </c>
      <c r="G247" s="466">
        <f>Allocation!$E$21</f>
        <v>2.3186160000000001E-2</v>
      </c>
      <c r="H247" s="429">
        <f t="shared" si="28"/>
        <v>624.65979183933234</v>
      </c>
      <c r="N247" s="466"/>
    </row>
    <row r="248" spans="1:14">
      <c r="A248" s="1153">
        <f t="shared" si="26"/>
        <v>234</v>
      </c>
      <c r="B248" s="706">
        <v>39900</v>
      </c>
      <c r="C248" s="88" t="s">
        <v>1546</v>
      </c>
      <c r="D248" s="346">
        <v>82169.139675999992</v>
      </c>
      <c r="E248" s="623">
        <v>1</v>
      </c>
      <c r="F248" s="466">
        <f>Allocation!$C$15</f>
        <v>0.1095</v>
      </c>
      <c r="G248" s="466">
        <f>Allocation!$D$15</f>
        <v>0.51517972406888612</v>
      </c>
      <c r="H248" s="429">
        <f t="shared" si="28"/>
        <v>4635.3402802259088</v>
      </c>
      <c r="N248" s="466"/>
    </row>
    <row r="249" spans="1:14">
      <c r="A249" s="1153">
        <f t="shared" si="26"/>
        <v>235</v>
      </c>
      <c r="B249" s="706">
        <v>39901</v>
      </c>
      <c r="C249" s="88" t="s">
        <v>1547</v>
      </c>
      <c r="D249" s="346">
        <v>980539.97107199987</v>
      </c>
      <c r="E249" s="623">
        <v>1</v>
      </c>
      <c r="F249" s="466">
        <f>Allocation!$C$15</f>
        <v>0.1095</v>
      </c>
      <c r="G249" s="466">
        <f>Allocation!$D$15</f>
        <v>0.51517972406888612</v>
      </c>
      <c r="H249" s="429">
        <f t="shared" si="28"/>
        <v>55314.397135024825</v>
      </c>
      <c r="N249" s="466"/>
    </row>
    <row r="250" spans="1:14">
      <c r="A250" s="1153">
        <f t="shared" si="26"/>
        <v>236</v>
      </c>
      <c r="B250" s="706">
        <v>39902</v>
      </c>
      <c r="C250" s="88" t="s">
        <v>1548</v>
      </c>
      <c r="D250" s="346">
        <v>180737.52498499994</v>
      </c>
      <c r="E250" s="623">
        <v>1</v>
      </c>
      <c r="F250" s="466">
        <f>Allocation!$C$15</f>
        <v>0.1095</v>
      </c>
      <c r="G250" s="466">
        <f>Allocation!$D$15</f>
        <v>0.51517972406888612</v>
      </c>
      <c r="H250" s="429">
        <f t="shared" si="28"/>
        <v>10195.797753447892</v>
      </c>
      <c r="N250" s="466"/>
    </row>
    <row r="251" spans="1:14">
      <c r="A251" s="1153">
        <f t="shared" si="26"/>
        <v>237</v>
      </c>
      <c r="B251" s="706">
        <v>39903</v>
      </c>
      <c r="C251" s="88" t="s">
        <v>1539</v>
      </c>
      <c r="D251" s="346">
        <v>43982.870837999995</v>
      </c>
      <c r="E251" s="623">
        <v>1</v>
      </c>
      <c r="F251" s="466">
        <f>Allocation!$C$15</f>
        <v>0.1095</v>
      </c>
      <c r="G251" s="466">
        <f>Allocation!$D$15</f>
        <v>0.51517972406888612</v>
      </c>
      <c r="H251" s="429">
        <f t="shared" si="28"/>
        <v>2481.1696171975732</v>
      </c>
      <c r="N251" s="466"/>
    </row>
    <row r="252" spans="1:14">
      <c r="A252" s="1153">
        <f t="shared" si="26"/>
        <v>238</v>
      </c>
      <c r="B252" s="706">
        <v>39906</v>
      </c>
      <c r="C252" s="88" t="s">
        <v>1540</v>
      </c>
      <c r="D252" s="346">
        <v>109947.11531251865</v>
      </c>
      <c r="E252" s="623">
        <v>1</v>
      </c>
      <c r="F252" s="466">
        <f>Allocation!$C$15</f>
        <v>0.1095</v>
      </c>
      <c r="G252" s="466">
        <f>Allocation!$D$15</f>
        <v>0.51517972406888612</v>
      </c>
      <c r="H252" s="429">
        <f t="shared" si="28"/>
        <v>6202.3564359116335</v>
      </c>
      <c r="N252" s="466"/>
    </row>
    <row r="253" spans="1:14">
      <c r="A253" s="1153">
        <f t="shared" si="26"/>
        <v>239</v>
      </c>
      <c r="B253" s="706">
        <v>39907</v>
      </c>
      <c r="C253" s="88" t="s">
        <v>1541</v>
      </c>
      <c r="D253" s="346">
        <v>12613.374110999996</v>
      </c>
      <c r="E253" s="623">
        <v>1</v>
      </c>
      <c r="F253" s="466">
        <f>Allocation!$C$15</f>
        <v>0.1095</v>
      </c>
      <c r="G253" s="466">
        <f>Allocation!$D$15</f>
        <v>0.51517972406888612</v>
      </c>
      <c r="H253" s="429">
        <f t="shared" si="28"/>
        <v>711.54792805204579</v>
      </c>
      <c r="N253" s="466"/>
    </row>
    <row r="254" spans="1:14">
      <c r="A254" s="1153">
        <f t="shared" si="26"/>
        <v>240</v>
      </c>
      <c r="B254" s="706">
        <v>39908</v>
      </c>
      <c r="C254" s="88" t="s">
        <v>1542</v>
      </c>
      <c r="D254" s="346">
        <v>6071828.5696497187</v>
      </c>
      <c r="E254" s="623">
        <v>1</v>
      </c>
      <c r="F254" s="466">
        <f>Allocation!$C$15</f>
        <v>0.1095</v>
      </c>
      <c r="G254" s="466">
        <f>Allocation!$D$15</f>
        <v>0.51517972406888612</v>
      </c>
      <c r="H254" s="429">
        <f t="shared" si="28"/>
        <v>342525.08489807649</v>
      </c>
      <c r="N254" s="466"/>
    </row>
    <row r="255" spans="1:14">
      <c r="A255" s="1153">
        <f t="shared" si="26"/>
        <v>241</v>
      </c>
      <c r="B255" s="706">
        <v>39910</v>
      </c>
      <c r="C255" s="88" t="s">
        <v>1562</v>
      </c>
      <c r="D255" s="346">
        <v>44359.299537999999</v>
      </c>
      <c r="E255" s="623">
        <v>1</v>
      </c>
      <c r="F255" s="466">
        <v>1</v>
      </c>
      <c r="G255" s="466">
        <f>Allocation!$E$21</f>
        <v>2.3186160000000001E-2</v>
      </c>
      <c r="H255" s="429">
        <f t="shared" si="28"/>
        <v>1028.5218165759941</v>
      </c>
      <c r="N255" s="466"/>
    </row>
    <row r="256" spans="1:14">
      <c r="A256" s="1153">
        <f t="shared" si="26"/>
        <v>242</v>
      </c>
      <c r="B256" s="706">
        <v>39916</v>
      </c>
      <c r="C256" s="88" t="s">
        <v>1563</v>
      </c>
      <c r="D256" s="346">
        <v>47730.09565948118</v>
      </c>
      <c r="E256" s="623">
        <v>1</v>
      </c>
      <c r="F256" s="466">
        <v>1</v>
      </c>
      <c r="G256" s="466">
        <f>Allocation!$E$21</f>
        <v>2.3186160000000001E-2</v>
      </c>
      <c r="H256" s="429">
        <f t="shared" si="28"/>
        <v>1106.6776347760363</v>
      </c>
      <c r="N256" s="466"/>
    </row>
    <row r="257" spans="1:14">
      <c r="A257" s="1153">
        <f t="shared" si="26"/>
        <v>243</v>
      </c>
      <c r="B257" s="706">
        <v>39917</v>
      </c>
      <c r="C257" s="88" t="s">
        <v>1564</v>
      </c>
      <c r="D257" s="346">
        <v>6888.0250139999998</v>
      </c>
      <c r="E257" s="623">
        <v>1</v>
      </c>
      <c r="F257" s="466">
        <v>1</v>
      </c>
      <c r="G257" s="466">
        <f>Allocation!$E$21</f>
        <v>2.3186160000000001E-2</v>
      </c>
      <c r="H257" s="429">
        <f t="shared" si="28"/>
        <v>159.70685005860625</v>
      </c>
      <c r="N257" s="466"/>
    </row>
    <row r="258" spans="1:14">
      <c r="A258" s="1153">
        <f t="shared" si="26"/>
        <v>244</v>
      </c>
      <c r="B258" s="706">
        <v>39918</v>
      </c>
      <c r="C258" s="88" t="s">
        <v>1515</v>
      </c>
      <c r="D258" s="346">
        <v>1340.522432</v>
      </c>
      <c r="E258" s="623">
        <v>1</v>
      </c>
      <c r="F258" s="466">
        <v>1</v>
      </c>
      <c r="G258" s="466">
        <f>Allocation!$E$21</f>
        <v>2.3186160000000001E-2</v>
      </c>
      <c r="H258" s="429">
        <f t="shared" si="28"/>
        <v>31.08156759194112</v>
      </c>
      <c r="N258" s="466"/>
    </row>
    <row r="259" spans="1:14">
      <c r="A259" s="1153">
        <f t="shared" si="26"/>
        <v>245</v>
      </c>
      <c r="B259" s="706">
        <v>39924</v>
      </c>
      <c r="C259" s="88" t="s">
        <v>1516</v>
      </c>
      <c r="D259" s="346">
        <v>0</v>
      </c>
      <c r="E259" s="623">
        <v>1</v>
      </c>
      <c r="F259" s="466">
        <f>Allocation!$C$15</f>
        <v>0.1095</v>
      </c>
      <c r="G259" s="466">
        <f>Allocation!$D$15</f>
        <v>0.51517972406888612</v>
      </c>
      <c r="H259" s="429">
        <f t="shared" si="28"/>
        <v>0</v>
      </c>
      <c r="N259" s="466"/>
    </row>
    <row r="260" spans="1:14">
      <c r="A260" s="1153">
        <f t="shared" si="26"/>
        <v>246</v>
      </c>
      <c r="B260" s="706"/>
      <c r="C260" s="88"/>
      <c r="D260" s="1042"/>
      <c r="E260" s="1066"/>
      <c r="F260" s="466"/>
      <c r="G260" s="466"/>
      <c r="H260" s="1042"/>
    </row>
    <row r="261" spans="1:14">
      <c r="A261" s="1153">
        <f t="shared" si="26"/>
        <v>247</v>
      </c>
      <c r="B261" s="81"/>
      <c r="C261" s="88"/>
      <c r="D261" s="429"/>
      <c r="E261" s="1025"/>
    </row>
    <row r="262" spans="1:14" ht="15.75" thickBot="1">
      <c r="A262" s="1153">
        <f t="shared" si="26"/>
        <v>248</v>
      </c>
      <c r="B262" s="81"/>
      <c r="C262" s="88" t="s">
        <v>1330</v>
      </c>
      <c r="D262" s="467">
        <f>SUM(D231:D261)</f>
        <v>8759856.8188118059</v>
      </c>
      <c r="E262" s="1065"/>
      <c r="H262" s="467">
        <f>SUM(H231:H261)</f>
        <v>474591.07568629587</v>
      </c>
    </row>
    <row r="263" spans="1:14" ht="15.75" thickTop="1">
      <c r="A263" s="1153">
        <f t="shared" si="26"/>
        <v>249</v>
      </c>
      <c r="E263" s="1025"/>
    </row>
    <row r="264" spans="1:14" ht="30.75" thickBot="1">
      <c r="A264" s="1153">
        <f t="shared" si="26"/>
        <v>250</v>
      </c>
      <c r="C264" s="614" t="s">
        <v>1145</v>
      </c>
      <c r="D264" s="467">
        <f>D262+D226+D181+D118</f>
        <v>46738516.617295891</v>
      </c>
      <c r="E264" s="1065"/>
      <c r="H264" s="467">
        <f>H262+H226+H181+H118</f>
        <v>23102095.980525181</v>
      </c>
    </row>
    <row r="265" spans="1:14" ht="15.75" thickTop="1"/>
    <row r="266" spans="1:14">
      <c r="C266" s="80" t="s">
        <v>684</v>
      </c>
      <c r="D266" s="423"/>
    </row>
    <row r="267" spans="1:14">
      <c r="C267" s="80" t="s">
        <v>1673</v>
      </c>
    </row>
  </sheetData>
  <mergeCells count="4">
    <mergeCell ref="A1:I1"/>
    <mergeCell ref="A2:I2"/>
    <mergeCell ref="A3:I3"/>
    <mergeCell ref="A4:I4"/>
  </mergeCells>
  <phoneticPr fontId="23" type="noConversion"/>
  <printOptions horizontalCentered="1"/>
  <pageMargins left="0.75" right="0.49" top="0.78" bottom="1" header="0.5" footer="0.33"/>
  <pageSetup scale="16" fitToHeight="15" orientation="portrait" r:id="rId1"/>
  <headerFooter alignWithMargins="0">
    <oddFooter>&amp;RSchedule &amp;A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33"/>
  <sheetViews>
    <sheetView view="pageBreakPreview" zoomScale="60" zoomScaleNormal="100" workbookViewId="0">
      <selection sqref="A1:E1"/>
    </sheetView>
  </sheetViews>
  <sheetFormatPr defaultColWidth="8.44140625" defaultRowHeight="15"/>
  <cols>
    <col min="1" max="1" width="6.6640625" style="40" customWidth="1"/>
    <col min="2" max="2" width="30.6640625" style="40" customWidth="1"/>
    <col min="3" max="3" width="24.6640625" style="40" customWidth="1"/>
    <col min="4" max="4" width="17" style="40" customWidth="1"/>
    <col min="5" max="5" width="22" style="40" customWidth="1"/>
    <col min="6" max="6" width="11.88671875" style="40" customWidth="1"/>
    <col min="7" max="16384" width="8.44140625" style="40"/>
  </cols>
  <sheetData>
    <row r="1" spans="1:7" s="1" customFormat="1">
      <c r="A1" s="1195" t="str">
        <f>'Table of Contents'!A1:C1</f>
        <v>Atmos Energy Corporation, Kentucky/Mid-States Division</v>
      </c>
      <c r="B1" s="1195"/>
      <c r="C1" s="1195"/>
      <c r="D1" s="1195"/>
      <c r="E1" s="1195"/>
    </row>
    <row r="2" spans="1:7" s="1" customFormat="1">
      <c r="A2" s="1195" t="str">
        <f>'Table of Contents'!A2:C2</f>
        <v>Kentucky Jurisdiction Case No. 2018-00281</v>
      </c>
      <c r="B2" s="1195"/>
      <c r="C2" s="1195"/>
      <c r="D2" s="1195"/>
      <c r="E2" s="1195"/>
    </row>
    <row r="3" spans="1:7" s="1" customFormat="1">
      <c r="A3" s="1195" t="s">
        <v>431</v>
      </c>
      <c r="B3" s="1195"/>
      <c r="C3" s="1195"/>
      <c r="D3" s="1195"/>
      <c r="E3" s="1195"/>
    </row>
    <row r="4" spans="1:7" s="1" customFormat="1">
      <c r="A4" s="1195" t="str">
        <f>'B.1 B'!A4</f>
        <v>as of December 31, 2018</v>
      </c>
      <c r="B4" s="1195"/>
      <c r="C4" s="1195"/>
      <c r="D4" s="1195"/>
      <c r="E4" s="1195"/>
    </row>
    <row r="5" spans="1:7" s="1" customFormat="1">
      <c r="A5" s="81"/>
    </row>
    <row r="6" spans="1:7" s="1" customFormat="1">
      <c r="A6" s="4" t="str">
        <f>'B.1 B'!A6</f>
        <v>Data:__X___Base Period______Forecasted Period</v>
      </c>
      <c r="E6" s="1" t="s">
        <v>1418</v>
      </c>
    </row>
    <row r="7" spans="1:7" s="1" customFormat="1">
      <c r="A7" s="4" t="str">
        <f>'B.1 B'!A7</f>
        <v>Type of Filing:___X____Original________Updated ________Revised</v>
      </c>
      <c r="B7" s="4"/>
      <c r="E7" s="4" t="s">
        <v>701</v>
      </c>
    </row>
    <row r="8" spans="1:7" s="1" customFormat="1">
      <c r="A8" s="51" t="str">
        <f>'B.1 B'!A8</f>
        <v>Workpaper Reference No(s).</v>
      </c>
      <c r="B8" s="6"/>
      <c r="C8" s="6"/>
      <c r="D8" s="6"/>
      <c r="E8" s="5" t="s">
        <v>1680</v>
      </c>
    </row>
    <row r="9" spans="1:7" s="1" customFormat="1">
      <c r="C9" s="2" t="s">
        <v>699</v>
      </c>
    </row>
    <row r="10" spans="1:7" s="1" customFormat="1">
      <c r="A10" s="2" t="s">
        <v>93</v>
      </c>
      <c r="B10" s="4" t="s">
        <v>785</v>
      </c>
      <c r="C10" s="2" t="s">
        <v>700</v>
      </c>
      <c r="D10" s="2" t="s">
        <v>95</v>
      </c>
      <c r="E10" s="2" t="s">
        <v>96</v>
      </c>
    </row>
    <row r="11" spans="1:7" s="1" customFormat="1">
      <c r="A11" s="9" t="s">
        <v>99</v>
      </c>
      <c r="B11" s="5" t="s">
        <v>1189</v>
      </c>
      <c r="C11" s="9" t="s">
        <v>560</v>
      </c>
      <c r="D11" s="9" t="s">
        <v>528</v>
      </c>
      <c r="E11" s="9" t="s">
        <v>102</v>
      </c>
    </row>
    <row r="12" spans="1:7" s="1" customFormat="1">
      <c r="E12" s="2"/>
    </row>
    <row r="14" spans="1:7" s="1" customFormat="1">
      <c r="A14" s="2" t="s">
        <v>1095</v>
      </c>
      <c r="B14" s="88" t="s">
        <v>784</v>
      </c>
      <c r="C14" s="88" t="s">
        <v>1679</v>
      </c>
      <c r="D14" s="117"/>
      <c r="E14" s="306">
        <v>2678216.8007644988</v>
      </c>
      <c r="F14" s="81"/>
      <c r="G14" s="81"/>
    </row>
    <row r="15" spans="1:7" s="1" customFormat="1">
      <c r="D15" s="11"/>
      <c r="E15" s="73"/>
      <c r="F15" s="81"/>
      <c r="G15" s="81"/>
    </row>
    <row r="16" spans="1:7" s="1" customFormat="1">
      <c r="A16" s="2">
        <v>2</v>
      </c>
      <c r="B16" s="4" t="s">
        <v>791</v>
      </c>
      <c r="C16" s="4" t="s">
        <v>83</v>
      </c>
      <c r="D16" s="2" t="s">
        <v>82</v>
      </c>
      <c r="E16" s="356">
        <f>'B.4.1 B'!K21</f>
        <v>116341.14814593483</v>
      </c>
      <c r="F16" s="81"/>
      <c r="G16" s="81"/>
    </row>
    <row r="17" spans="1:7" s="1" customFormat="1">
      <c r="D17" s="11"/>
      <c r="E17" s="356"/>
      <c r="F17" s="81"/>
      <c r="G17" s="81"/>
    </row>
    <row r="18" spans="1:7" s="1" customFormat="1">
      <c r="A18" s="2">
        <v>3</v>
      </c>
      <c r="B18" s="4" t="s">
        <v>1087</v>
      </c>
      <c r="C18" s="4" t="s">
        <v>83</v>
      </c>
      <c r="D18" s="2" t="s">
        <v>82</v>
      </c>
      <c r="E18" s="356">
        <f>'B.4.1 B'!K28</f>
        <v>14143959.242307693</v>
      </c>
      <c r="F18" s="81"/>
      <c r="G18" s="81"/>
    </row>
    <row r="19" spans="1:7" s="1" customFormat="1">
      <c r="D19" s="11"/>
      <c r="E19" s="356"/>
      <c r="F19" s="81"/>
      <c r="G19" s="81"/>
    </row>
    <row r="20" spans="1:7" s="1" customFormat="1">
      <c r="A20" s="2">
        <v>4</v>
      </c>
      <c r="B20" s="4" t="s">
        <v>790</v>
      </c>
      <c r="C20" s="4" t="s">
        <v>83</v>
      </c>
      <c r="D20" s="2" t="s">
        <v>82</v>
      </c>
      <c r="E20" s="430">
        <f>'B.4.1 B'!K35</f>
        <v>0</v>
      </c>
      <c r="F20" s="81"/>
      <c r="G20" s="81"/>
    </row>
    <row r="21" spans="1:7" s="1" customFormat="1">
      <c r="D21" s="11"/>
      <c r="E21" s="10"/>
      <c r="F21" s="81"/>
      <c r="G21" s="81"/>
    </row>
    <row r="22" spans="1:7" ht="15.75" thickBot="1">
      <c r="A22" s="2">
        <v>5</v>
      </c>
      <c r="B22" s="4" t="s">
        <v>490</v>
      </c>
      <c r="C22" s="1"/>
      <c r="D22" s="1"/>
      <c r="E22" s="308">
        <f>SUM(E14:E20)</f>
        <v>16938517.191218127</v>
      </c>
      <c r="F22" s="195"/>
      <c r="G22" s="195"/>
    </row>
    <row r="23" spans="1:7" ht="15.75" thickTop="1">
      <c r="D23" s="227"/>
      <c r="E23" s="187"/>
      <c r="F23" s="195"/>
      <c r="G23" s="195"/>
    </row>
    <row r="24" spans="1:7">
      <c r="E24" s="187"/>
      <c r="F24" s="195"/>
      <c r="G24" s="195"/>
    </row>
    <row r="25" spans="1:7">
      <c r="D25" s="227"/>
      <c r="E25" s="187"/>
      <c r="F25" s="195"/>
      <c r="G25" s="195"/>
    </row>
    <row r="26" spans="1:7">
      <c r="E26" s="187"/>
      <c r="F26" s="195"/>
      <c r="G26" s="195"/>
    </row>
    <row r="27" spans="1:7">
      <c r="D27" s="227"/>
      <c r="E27" s="187"/>
      <c r="F27" s="195"/>
      <c r="G27" s="195"/>
    </row>
    <row r="28" spans="1:7">
      <c r="E28" s="187"/>
      <c r="F28" s="195"/>
      <c r="G28" s="195"/>
    </row>
    <row r="29" spans="1:7">
      <c r="D29" s="227"/>
      <c r="E29" s="187"/>
    </row>
    <row r="30" spans="1:7">
      <c r="E30" s="187"/>
    </row>
    <row r="31" spans="1:7">
      <c r="E31" s="187"/>
    </row>
    <row r="32" spans="1:7">
      <c r="E32" s="187"/>
    </row>
    <row r="33" spans="5:5">
      <c r="E33" s="187"/>
    </row>
  </sheetData>
  <mergeCells count="4">
    <mergeCell ref="A1:E1"/>
    <mergeCell ref="A2:E2"/>
    <mergeCell ref="A3:E3"/>
    <mergeCell ref="A4:E4"/>
  </mergeCells>
  <phoneticPr fontId="23" type="noConversion"/>
  <printOptions horizontalCentered="1"/>
  <pageMargins left="0.75" right="0.75" top="1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/>
  <dimension ref="A1:F39"/>
  <sheetViews>
    <sheetView view="pageBreakPreview" zoomScale="90" zoomScaleNormal="100" zoomScaleSheetLayoutView="90" workbookViewId="0">
      <selection sqref="A1:E1"/>
    </sheetView>
  </sheetViews>
  <sheetFormatPr defaultColWidth="8.44140625" defaultRowHeight="15"/>
  <cols>
    <col min="1" max="1" width="6.6640625" style="40" customWidth="1"/>
    <col min="2" max="2" width="30.6640625" style="40" customWidth="1"/>
    <col min="3" max="3" width="24.6640625" style="40" customWidth="1"/>
    <col min="4" max="4" width="17" style="40" customWidth="1"/>
    <col min="5" max="5" width="20.21875" style="40" customWidth="1"/>
    <col min="6" max="6" width="11.88671875" style="40" customWidth="1"/>
    <col min="7" max="16384" width="8.44140625" style="40"/>
  </cols>
  <sheetData>
    <row r="1" spans="1:6" s="1" customFormat="1">
      <c r="A1" s="1195" t="str">
        <f>'Table of Contents'!A1:C1</f>
        <v>Atmos Energy Corporation, Kentucky/Mid-States Division</v>
      </c>
      <c r="B1" s="1195"/>
      <c r="C1" s="1195"/>
      <c r="D1" s="1195"/>
      <c r="E1" s="1195"/>
    </row>
    <row r="2" spans="1:6" s="1" customFormat="1">
      <c r="A2" s="1195" t="str">
        <f>'Table of Contents'!A2:C2</f>
        <v>Kentucky Jurisdiction Case No. 2018-00281</v>
      </c>
      <c r="B2" s="1195"/>
      <c r="C2" s="1195"/>
      <c r="D2" s="1195"/>
      <c r="E2" s="1195"/>
    </row>
    <row r="3" spans="1:6" s="1" customFormat="1">
      <c r="A3" s="1195" t="s">
        <v>431</v>
      </c>
      <c r="B3" s="1195"/>
      <c r="C3" s="1195"/>
      <c r="D3" s="1195"/>
      <c r="E3" s="1195"/>
    </row>
    <row r="4" spans="1:6" s="1" customFormat="1">
      <c r="A4" s="1195" t="str">
        <f>'B.1 F '!A4</f>
        <v>as of March 31, 2020</v>
      </c>
      <c r="B4" s="1195"/>
      <c r="C4" s="1195"/>
      <c r="D4" s="1195"/>
      <c r="E4" s="1195"/>
    </row>
    <row r="5" spans="1:6" s="1" customFormat="1">
      <c r="A5" s="81"/>
    </row>
    <row r="6" spans="1:6" s="1" customFormat="1">
      <c r="A6" s="4" t="str">
        <f>'B.1 F '!A6</f>
        <v>Data:______Base Period__X___Forecasted Period</v>
      </c>
      <c r="E6" s="1" t="s">
        <v>1418</v>
      </c>
    </row>
    <row r="7" spans="1:6" s="1" customFormat="1">
      <c r="A7" s="4" t="str">
        <f>'B.1 F '!A7</f>
        <v>Type of Filing:___X____Original________Updated ________Revised</v>
      </c>
      <c r="B7" s="4"/>
      <c r="E7" s="4" t="s">
        <v>702</v>
      </c>
    </row>
    <row r="8" spans="1:6" s="1" customFormat="1">
      <c r="A8" s="51" t="str">
        <f>'B.1 F '!A8</f>
        <v>Workpaper Reference No(s).</v>
      </c>
      <c r="B8" s="6"/>
      <c r="C8" s="6"/>
      <c r="D8" s="6"/>
      <c r="E8" s="5" t="str">
        <f>'B.4 B'!E8</f>
        <v>Witness: Waller, Christian</v>
      </c>
    </row>
    <row r="9" spans="1:6" s="1" customFormat="1">
      <c r="C9" s="2" t="s">
        <v>699</v>
      </c>
    </row>
    <row r="10" spans="1:6" s="1" customFormat="1">
      <c r="A10" s="2" t="s">
        <v>93</v>
      </c>
      <c r="B10" s="4" t="s">
        <v>785</v>
      </c>
      <c r="C10" s="2" t="s">
        <v>700</v>
      </c>
      <c r="D10" s="2" t="s">
        <v>95</v>
      </c>
      <c r="E10" s="2" t="s">
        <v>96</v>
      </c>
    </row>
    <row r="11" spans="1:6" s="1" customFormat="1">
      <c r="A11" s="9" t="s">
        <v>99</v>
      </c>
      <c r="B11" s="5" t="s">
        <v>1189</v>
      </c>
      <c r="C11" s="9" t="s">
        <v>560</v>
      </c>
      <c r="D11" s="9" t="s">
        <v>528</v>
      </c>
      <c r="E11" s="9" t="s">
        <v>102</v>
      </c>
    </row>
    <row r="12" spans="1:6" s="1" customFormat="1">
      <c r="E12" s="2"/>
    </row>
    <row r="14" spans="1:6" s="1" customFormat="1">
      <c r="A14" s="2">
        <v>1</v>
      </c>
      <c r="B14" s="4" t="s">
        <v>784</v>
      </c>
      <c r="C14" s="4" t="s">
        <v>1679</v>
      </c>
      <c r="D14" s="2"/>
      <c r="E14" s="306">
        <v>2692758.7072114237</v>
      </c>
      <c r="F14" s="81"/>
    </row>
    <row r="15" spans="1:6" s="1" customFormat="1">
      <c r="D15" s="11"/>
      <c r="E15" s="73"/>
      <c r="F15" s="81"/>
    </row>
    <row r="16" spans="1:6" s="1" customFormat="1">
      <c r="A16" s="2">
        <v>2</v>
      </c>
      <c r="B16" s="4" t="s">
        <v>791</v>
      </c>
      <c r="C16" s="4" t="s">
        <v>83</v>
      </c>
      <c r="D16" s="2" t="s">
        <v>82</v>
      </c>
      <c r="E16" s="73">
        <f>'B.4.1 F'!K21</f>
        <v>117865.99729495458</v>
      </c>
      <c r="F16" s="81"/>
    </row>
    <row r="17" spans="1:6" s="1" customFormat="1">
      <c r="D17" s="11"/>
      <c r="E17" s="73"/>
      <c r="F17" s="81"/>
    </row>
    <row r="18" spans="1:6" s="1" customFormat="1">
      <c r="A18" s="2">
        <v>3</v>
      </c>
      <c r="B18" s="4" t="s">
        <v>1087</v>
      </c>
      <c r="C18" s="4" t="s">
        <v>83</v>
      </c>
      <c r="D18" s="2" t="s">
        <v>82</v>
      </c>
      <c r="E18" s="73">
        <f>'B.4.1 F'!K28</f>
        <v>8905991.3794295546</v>
      </c>
      <c r="F18" s="81"/>
    </row>
    <row r="19" spans="1:6" s="1" customFormat="1">
      <c r="D19" s="11"/>
      <c r="E19" s="73"/>
      <c r="F19" s="81"/>
    </row>
    <row r="20" spans="1:6" s="1" customFormat="1">
      <c r="A20" s="2">
        <v>4</v>
      </c>
      <c r="B20" s="4" t="s">
        <v>790</v>
      </c>
      <c r="C20" s="4" t="s">
        <v>83</v>
      </c>
      <c r="D20" s="2" t="s">
        <v>82</v>
      </c>
      <c r="E20" s="85">
        <f>'B.4.1 F'!K35</f>
        <v>0</v>
      </c>
      <c r="F20" s="81"/>
    </row>
    <row r="21" spans="1:6" s="1" customFormat="1">
      <c r="D21" s="2"/>
      <c r="E21" s="10"/>
      <c r="F21" s="81"/>
    </row>
    <row r="22" spans="1:6" ht="15.75" thickBot="1">
      <c r="A22" s="2">
        <v>5</v>
      </c>
      <c r="B22" s="4" t="s">
        <v>490</v>
      </c>
      <c r="C22" s="1"/>
      <c r="D22" s="1"/>
      <c r="E22" s="308">
        <f>SUM(E14:E20)</f>
        <v>11716616.083935933</v>
      </c>
      <c r="F22" s="195"/>
    </row>
    <row r="23" spans="1:6" ht="15.75" thickTop="1">
      <c r="E23" s="187"/>
      <c r="F23" s="195"/>
    </row>
    <row r="24" spans="1:6">
      <c r="D24" s="227"/>
      <c r="E24" s="187"/>
      <c r="F24" s="195"/>
    </row>
    <row r="25" spans="1:6">
      <c r="E25" s="187"/>
      <c r="F25" s="195"/>
    </row>
    <row r="26" spans="1:6">
      <c r="D26" s="227"/>
      <c r="E26" s="187"/>
      <c r="F26" s="195"/>
    </row>
    <row r="27" spans="1:6">
      <c r="E27" s="187"/>
      <c r="F27" s="195"/>
    </row>
    <row r="28" spans="1:6">
      <c r="D28" s="227"/>
      <c r="E28" s="187"/>
      <c r="F28" s="195"/>
    </row>
    <row r="29" spans="1:6">
      <c r="E29" s="187"/>
      <c r="F29" s="195"/>
    </row>
    <row r="30" spans="1:6">
      <c r="E30" s="187"/>
      <c r="F30" s="195"/>
    </row>
    <row r="31" spans="1:6">
      <c r="E31" s="187"/>
    </row>
    <row r="32" spans="1:6">
      <c r="A32" s="180"/>
      <c r="B32" s="180"/>
      <c r="E32" s="187"/>
    </row>
    <row r="33" spans="2:5">
      <c r="B33" s="180"/>
      <c r="E33" s="187"/>
    </row>
    <row r="34" spans="2:5">
      <c r="B34" s="180"/>
      <c r="E34" s="187"/>
    </row>
    <row r="35" spans="2:5">
      <c r="B35" s="180"/>
      <c r="E35" s="187"/>
    </row>
    <row r="36" spans="2:5">
      <c r="E36" s="187"/>
    </row>
    <row r="37" spans="2:5">
      <c r="E37" s="187"/>
    </row>
    <row r="38" spans="2:5">
      <c r="E38" s="187"/>
    </row>
    <row r="39" spans="2:5">
      <c r="E39" s="187"/>
    </row>
  </sheetData>
  <mergeCells count="4">
    <mergeCell ref="A1:E1"/>
    <mergeCell ref="A2:E2"/>
    <mergeCell ref="A3:E3"/>
    <mergeCell ref="A4:E4"/>
  </mergeCells>
  <phoneticPr fontId="23" type="noConversion"/>
  <printOptions horizontalCentered="1"/>
  <pageMargins left="0.75" right="0.75" top="1.08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47"/>
  <sheetViews>
    <sheetView view="pageBreakPreview" zoomScale="70" zoomScaleNormal="80" zoomScaleSheetLayoutView="70" workbookViewId="0">
      <selection activeCell="H28" sqref="H28"/>
    </sheetView>
  </sheetViews>
  <sheetFormatPr defaultColWidth="8.44140625" defaultRowHeight="15"/>
  <cols>
    <col min="1" max="1" width="5" style="62" customWidth="1"/>
    <col min="2" max="2" width="42.77734375" style="62" customWidth="1"/>
    <col min="3" max="3" width="14.109375" style="62" customWidth="1"/>
    <col min="4" max="4" width="13.5546875" style="62" customWidth="1"/>
    <col min="5" max="5" width="11.77734375" style="62" customWidth="1"/>
    <col min="6" max="6" width="12.5546875" style="62" customWidth="1"/>
    <col min="7" max="7" width="2.88671875" style="94" customWidth="1"/>
    <col min="8" max="8" width="13.33203125" style="62" bestFit="1" customWidth="1"/>
    <col min="9" max="9" width="12.6640625" style="62" customWidth="1"/>
    <col min="10" max="10" width="10.77734375" style="62" customWidth="1"/>
    <col min="11" max="11" width="11.6640625" style="62" customWidth="1"/>
    <col min="12" max="16384" width="8.44140625" style="62"/>
  </cols>
  <sheetData>
    <row r="1" spans="1:11">
      <c r="A1" s="1202" t="str">
        <f>Allocation!A1</f>
        <v>Atmos Energy Corporation, Kentucky/Mid-States Division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</row>
    <row r="2" spans="1:11">
      <c r="A2" s="1202" t="str">
        <f>Allocation!A2</f>
        <v>Kentucky Jurisdiction Case No. 2018-00281</v>
      </c>
      <c r="B2" s="1202"/>
      <c r="C2" s="1202"/>
      <c r="D2" s="1202"/>
      <c r="E2" s="1202"/>
      <c r="F2" s="1202"/>
      <c r="G2" s="1202"/>
      <c r="H2" s="1202"/>
      <c r="I2" s="1202"/>
      <c r="J2" s="1202"/>
      <c r="K2" s="1202"/>
    </row>
    <row r="3" spans="1:11">
      <c r="A3" s="1202" t="s">
        <v>975</v>
      </c>
      <c r="B3" s="1202"/>
      <c r="C3" s="1202"/>
      <c r="D3" s="1202"/>
      <c r="E3" s="1202"/>
      <c r="F3" s="1202"/>
      <c r="G3" s="1202"/>
      <c r="H3" s="1202"/>
      <c r="I3" s="1202"/>
      <c r="J3" s="1202"/>
      <c r="K3" s="1202"/>
    </row>
    <row r="4" spans="1:11">
      <c r="A4" s="1202" t="str">
        <f>'B.1 B'!A4</f>
        <v>as of December 31, 2018</v>
      </c>
      <c r="B4" s="1202"/>
      <c r="C4" s="1202"/>
      <c r="D4" s="1202"/>
      <c r="E4" s="1202"/>
      <c r="F4" s="1202"/>
      <c r="G4" s="1202"/>
      <c r="H4" s="1202"/>
      <c r="I4" s="1202"/>
      <c r="J4" s="1202"/>
      <c r="K4" s="1202"/>
    </row>
    <row r="7" spans="1:11">
      <c r="A7" s="66" t="str">
        <f>'B.1 B'!A6</f>
        <v>Data:__X___Base Period______Forecasted Period</v>
      </c>
      <c r="K7" s="496" t="s">
        <v>1419</v>
      </c>
    </row>
    <row r="8" spans="1:11">
      <c r="A8" s="66" t="str">
        <f>'B.1 B'!A7</f>
        <v>Type of Filing:___X____Original________Updated ________Revised</v>
      </c>
      <c r="B8" s="4"/>
      <c r="K8" s="695" t="s">
        <v>703</v>
      </c>
    </row>
    <row r="9" spans="1:11">
      <c r="A9" s="469" t="str">
        <f>'B.1 B'!A8</f>
        <v>Workpaper Reference No(s).</v>
      </c>
      <c r="B9" s="94"/>
      <c r="C9" s="94"/>
      <c r="D9" s="94"/>
      <c r="E9" s="94"/>
      <c r="F9" s="94"/>
      <c r="H9" s="94"/>
      <c r="I9" s="94"/>
      <c r="K9" s="696" t="str">
        <f>'B.2 B'!N8</f>
        <v>Witness: Waller</v>
      </c>
    </row>
    <row r="10" spans="1:11">
      <c r="A10" s="341"/>
      <c r="B10" s="342"/>
      <c r="C10" s="1196" t="s">
        <v>1170</v>
      </c>
      <c r="D10" s="1197"/>
      <c r="E10" s="1197"/>
      <c r="F10" s="1198"/>
      <c r="H10" s="1199" t="s">
        <v>512</v>
      </c>
      <c r="I10" s="1200"/>
      <c r="J10" s="1200"/>
      <c r="K10" s="1201"/>
    </row>
    <row r="11" spans="1:11">
      <c r="A11" s="470"/>
      <c r="B11" s="471"/>
      <c r="C11" s="341"/>
      <c r="D11" s="338" t="s">
        <v>13</v>
      </c>
      <c r="E11" s="339" t="s">
        <v>11</v>
      </c>
      <c r="F11" s="342"/>
      <c r="H11" s="341"/>
      <c r="I11" s="338" t="s">
        <v>13</v>
      </c>
      <c r="J11" s="339" t="s">
        <v>11</v>
      </c>
      <c r="K11" s="342"/>
    </row>
    <row r="12" spans="1:11">
      <c r="A12" s="472" t="s">
        <v>93</v>
      </c>
      <c r="B12" s="471"/>
      <c r="C12" s="594">
        <f>'B.2 B'!D10</f>
        <v>43465</v>
      </c>
      <c r="D12" s="34" t="s">
        <v>14</v>
      </c>
      <c r="E12" s="75" t="s">
        <v>594</v>
      </c>
      <c r="F12" s="343" t="s">
        <v>12</v>
      </c>
      <c r="G12" s="242"/>
      <c r="H12" s="594">
        <f>C12</f>
        <v>43465</v>
      </c>
      <c r="I12" s="34" t="s">
        <v>14</v>
      </c>
      <c r="J12" s="75" t="s">
        <v>594</v>
      </c>
      <c r="K12" s="343" t="s">
        <v>12</v>
      </c>
    </row>
    <row r="13" spans="1:11">
      <c r="A13" s="473" t="s">
        <v>99</v>
      </c>
      <c r="B13" s="474" t="s">
        <v>985</v>
      </c>
      <c r="C13" s="332" t="s">
        <v>317</v>
      </c>
      <c r="D13" s="185" t="s">
        <v>627</v>
      </c>
      <c r="E13" s="185" t="s">
        <v>627</v>
      </c>
      <c r="F13" s="344" t="s">
        <v>104</v>
      </c>
      <c r="G13" s="242"/>
      <c r="H13" s="332" t="s">
        <v>380</v>
      </c>
      <c r="I13" s="185" t="s">
        <v>627</v>
      </c>
      <c r="J13" s="185" t="s">
        <v>627</v>
      </c>
      <c r="K13" s="344" t="s">
        <v>104</v>
      </c>
    </row>
    <row r="14" spans="1:11">
      <c r="C14" s="241"/>
      <c r="F14" s="241"/>
      <c r="G14" s="242"/>
      <c r="H14" s="241"/>
      <c r="I14" s="241"/>
      <c r="K14" s="241"/>
    </row>
    <row r="16" spans="1:11">
      <c r="A16" s="241">
        <v>1</v>
      </c>
      <c r="B16" s="66" t="s">
        <v>519</v>
      </c>
      <c r="C16" s="86"/>
      <c r="D16" s="241"/>
      <c r="E16" s="241"/>
      <c r="F16" s="63"/>
      <c r="G16" s="84"/>
      <c r="H16" s="86"/>
      <c r="I16" s="86"/>
      <c r="J16" s="241"/>
      <c r="K16" s="63"/>
    </row>
    <row r="17" spans="1:11">
      <c r="A17" s="241">
        <v>2</v>
      </c>
      <c r="B17" s="320" t="s">
        <v>1171</v>
      </c>
      <c r="C17" s="340">
        <f>'WP B.4.1B'!O15</f>
        <v>-226582.76</v>
      </c>
      <c r="D17" s="358">
        <v>1</v>
      </c>
      <c r="E17" s="358">
        <v>1</v>
      </c>
      <c r="F17" s="351">
        <f>C17*D17*E17</f>
        <v>-226582.76</v>
      </c>
      <c r="G17" s="84"/>
      <c r="H17" s="340">
        <f>'WP B.4.1B'!P15</f>
        <v>-387670.42153846152</v>
      </c>
      <c r="I17" s="345">
        <f t="shared" ref="I17:J20" si="0">D17</f>
        <v>1</v>
      </c>
      <c r="J17" s="345">
        <f t="shared" si="0"/>
        <v>1</v>
      </c>
      <c r="K17" s="351">
        <f>H17*I17*J17</f>
        <v>-387670.42153846152</v>
      </c>
    </row>
    <row r="18" spans="1:11">
      <c r="A18" s="241">
        <v>3</v>
      </c>
      <c r="B18" s="320" t="s">
        <v>1172</v>
      </c>
      <c r="C18" s="353">
        <f>'WP B.4.1B'!O20</f>
        <v>618072.63</v>
      </c>
      <c r="D18" s="358">
        <v>1</v>
      </c>
      <c r="E18" s="359">
        <f>Allocation!H17</f>
        <v>0.49780000000000002</v>
      </c>
      <c r="F18" s="352">
        <f>C18*D18*E18</f>
        <v>307676.55521399999</v>
      </c>
      <c r="G18" s="357"/>
      <c r="H18" s="353">
        <f>'WP B.4.1B'!P20</f>
        <v>1012478.0430769231</v>
      </c>
      <c r="I18" s="345">
        <f t="shared" si="0"/>
        <v>1</v>
      </c>
      <c r="J18" s="70">
        <f t="shared" si="0"/>
        <v>0.49780000000000002</v>
      </c>
      <c r="K18" s="352">
        <f>H18*I18*J18</f>
        <v>504011.56984369236</v>
      </c>
    </row>
    <row r="19" spans="1:11">
      <c r="A19" s="241">
        <v>4</v>
      </c>
      <c r="B19" s="320" t="s">
        <v>1173</v>
      </c>
      <c r="C19" s="353">
        <f>'WP B.4.1B'!O25</f>
        <v>-0.01</v>
      </c>
      <c r="D19" s="359">
        <f>Allocation!C14</f>
        <v>0.104</v>
      </c>
      <c r="E19" s="359">
        <f>Allocation!H14</f>
        <v>0.49780000000000002</v>
      </c>
      <c r="F19" s="352">
        <f>C19*D19*E19</f>
        <v>-5.1771199999999992E-4</v>
      </c>
      <c r="G19" s="357"/>
      <c r="H19" s="353">
        <f>'WP B.4.1B'!P25</f>
        <v>-3.0769230735474529E-3</v>
      </c>
      <c r="I19" s="70">
        <f t="shared" si="0"/>
        <v>0.104</v>
      </c>
      <c r="J19" s="70">
        <f t="shared" si="0"/>
        <v>0.49780000000000002</v>
      </c>
      <c r="K19" s="352">
        <f>H19*I19*J19</f>
        <v>-1.5929599982523991E-4</v>
      </c>
    </row>
    <row r="20" spans="1:11">
      <c r="A20" s="241">
        <v>5</v>
      </c>
      <c r="B20" s="320" t="s">
        <v>1174</v>
      </c>
      <c r="C20" s="354">
        <f>'WP B.4.1B'!O30</f>
        <v>0</v>
      </c>
      <c r="D20" s="359">
        <f>Allocation!C15</f>
        <v>0.1095</v>
      </c>
      <c r="E20" s="359">
        <f>Allocation!H15</f>
        <v>0.51517972406888612</v>
      </c>
      <c r="F20" s="355">
        <f>C20*D20*E20</f>
        <v>0</v>
      </c>
      <c r="G20" s="357"/>
      <c r="H20" s="354">
        <f>'WP B.4.1B'!P30</f>
        <v>0</v>
      </c>
      <c r="I20" s="70">
        <f t="shared" si="0"/>
        <v>0.1095</v>
      </c>
      <c r="J20" s="70">
        <f t="shared" si="0"/>
        <v>0.51517972406888612</v>
      </c>
      <c r="K20" s="355">
        <f>H20*I20*J20</f>
        <v>0</v>
      </c>
    </row>
    <row r="21" spans="1:11">
      <c r="A21" s="241">
        <v>6</v>
      </c>
      <c r="B21" s="288" t="s">
        <v>96</v>
      </c>
      <c r="C21" s="340">
        <f>SUM(C17:C20)</f>
        <v>391489.86</v>
      </c>
      <c r="D21" s="181"/>
      <c r="E21" s="241"/>
      <c r="F21" s="340">
        <f>SUM(F17:F20)</f>
        <v>81093.79469628798</v>
      </c>
      <c r="G21" s="84"/>
      <c r="H21" s="340">
        <f>SUM(H17:H20)</f>
        <v>624807.61846153857</v>
      </c>
      <c r="I21" s="86"/>
      <c r="J21" s="241"/>
      <c r="K21" s="340">
        <f>SUM(K17:K20)</f>
        <v>116341.14814593483</v>
      </c>
    </row>
    <row r="22" spans="1:11">
      <c r="A22" s="241">
        <v>7</v>
      </c>
      <c r="C22" s="96"/>
      <c r="F22" s="63"/>
      <c r="G22" s="84"/>
      <c r="H22" s="86"/>
      <c r="I22" s="86"/>
      <c r="K22" s="63"/>
    </row>
    <row r="23" spans="1:11">
      <c r="A23" s="241">
        <v>8</v>
      </c>
      <c r="B23" s="66" t="s">
        <v>520</v>
      </c>
      <c r="C23" s="86"/>
      <c r="D23" s="241"/>
      <c r="E23" s="241"/>
      <c r="F23" s="63"/>
      <c r="G23" s="84"/>
      <c r="H23" s="86"/>
      <c r="I23" s="86"/>
      <c r="J23" s="241"/>
      <c r="K23" s="63"/>
    </row>
    <row r="24" spans="1:11">
      <c r="A24" s="241">
        <v>9</v>
      </c>
      <c r="B24" s="320" t="s">
        <v>1171</v>
      </c>
      <c r="C24" s="340">
        <f>'WP B.4.1B'!O34</f>
        <v>16883248.949999999</v>
      </c>
      <c r="D24" s="345">
        <f>D17</f>
        <v>1</v>
      </c>
      <c r="E24" s="345">
        <f>E17</f>
        <v>1</v>
      </c>
      <c r="F24" s="351">
        <f>C24*D24*E24</f>
        <v>16883248.949999999</v>
      </c>
      <c r="G24" s="84"/>
      <c r="H24" s="340">
        <f>'WP B.4.1B'!P34</f>
        <v>14143959.242307693</v>
      </c>
      <c r="I24" s="345">
        <f>I17</f>
        <v>1</v>
      </c>
      <c r="J24" s="345">
        <f>J17</f>
        <v>1</v>
      </c>
      <c r="K24" s="351">
        <f>H24*I24*J24</f>
        <v>14143959.242307693</v>
      </c>
    </row>
    <row r="25" spans="1:11">
      <c r="A25" s="241">
        <v>10</v>
      </c>
      <c r="B25" s="320" t="s">
        <v>1172</v>
      </c>
      <c r="C25" s="349">
        <f>'WP B.4.1B'!O36</f>
        <v>0</v>
      </c>
      <c r="D25" s="345">
        <f t="shared" ref="D25:E27" si="1">D18</f>
        <v>1</v>
      </c>
      <c r="E25" s="70">
        <f t="shared" si="1"/>
        <v>0.49780000000000002</v>
      </c>
      <c r="F25" s="352">
        <f>C25*D25*E25</f>
        <v>0</v>
      </c>
      <c r="G25" s="357"/>
      <c r="H25" s="353">
        <f>'WP B.4.1B'!P36</f>
        <v>0</v>
      </c>
      <c r="I25" s="345">
        <f t="shared" ref="I25:J27" si="2">I18</f>
        <v>1</v>
      </c>
      <c r="J25" s="70">
        <f t="shared" si="2"/>
        <v>0.49780000000000002</v>
      </c>
      <c r="K25" s="352">
        <f>H25*I25*J25</f>
        <v>0</v>
      </c>
    </row>
    <row r="26" spans="1:11">
      <c r="A26" s="241">
        <v>11</v>
      </c>
      <c r="B26" s="320" t="s">
        <v>1173</v>
      </c>
      <c r="C26" s="349">
        <f>'WP B.4.1B'!O38</f>
        <v>0</v>
      </c>
      <c r="D26" s="70">
        <f t="shared" si="1"/>
        <v>0.104</v>
      </c>
      <c r="E26" s="70">
        <f t="shared" si="1"/>
        <v>0.49780000000000002</v>
      </c>
      <c r="F26" s="352">
        <f>C26*D26*E26</f>
        <v>0</v>
      </c>
      <c r="G26" s="357"/>
      <c r="H26" s="353">
        <f>'WP B.4.1B'!P38</f>
        <v>0</v>
      </c>
      <c r="I26" s="70">
        <f t="shared" si="2"/>
        <v>0.104</v>
      </c>
      <c r="J26" s="70">
        <f t="shared" si="2"/>
        <v>0.49780000000000002</v>
      </c>
      <c r="K26" s="352">
        <f>H26*I26*J26</f>
        <v>0</v>
      </c>
    </row>
    <row r="27" spans="1:11">
      <c r="A27" s="241">
        <v>12</v>
      </c>
      <c r="B27" s="320" t="s">
        <v>1174</v>
      </c>
      <c r="C27" s="350">
        <f>'WP B.4.1B'!O40</f>
        <v>0</v>
      </c>
      <c r="D27" s="70">
        <f t="shared" si="1"/>
        <v>0.1095</v>
      </c>
      <c r="E27" s="70">
        <f t="shared" si="1"/>
        <v>0.51517972406888612</v>
      </c>
      <c r="F27" s="355">
        <f>C27*D27*E27</f>
        <v>0</v>
      </c>
      <c r="G27" s="357"/>
      <c r="H27" s="354">
        <f>'WP B.4.1B'!P40</f>
        <v>0</v>
      </c>
      <c r="I27" s="70">
        <f t="shared" si="2"/>
        <v>0.1095</v>
      </c>
      <c r="J27" s="70">
        <f t="shared" si="2"/>
        <v>0.51517972406888612</v>
      </c>
      <c r="K27" s="355">
        <f>H27*I27*J27</f>
        <v>0</v>
      </c>
    </row>
    <row r="28" spans="1:11">
      <c r="A28" s="241">
        <v>13</v>
      </c>
      <c r="B28" s="288" t="s">
        <v>96</v>
      </c>
      <c r="C28" s="340">
        <f>SUM(C24:C27)</f>
        <v>16883248.949999999</v>
      </c>
      <c r="D28" s="241"/>
      <c r="E28" s="241"/>
      <c r="F28" s="340">
        <f>SUM(F24:F27)</f>
        <v>16883248.949999999</v>
      </c>
      <c r="G28" s="84"/>
      <c r="H28" s="340">
        <f>SUM(H24:H27)</f>
        <v>14143959.242307693</v>
      </c>
      <c r="I28" s="86"/>
      <c r="J28" s="241"/>
      <c r="K28" s="340">
        <f>SUM(K24:K27)</f>
        <v>14143959.242307693</v>
      </c>
    </row>
    <row r="29" spans="1:11">
      <c r="A29" s="241">
        <v>14</v>
      </c>
      <c r="B29" s="288"/>
      <c r="C29" s="107"/>
      <c r="D29" s="243"/>
      <c r="E29" s="243"/>
      <c r="F29" s="84"/>
      <c r="G29" s="84"/>
      <c r="H29" s="87"/>
      <c r="I29" s="87"/>
      <c r="J29" s="242"/>
      <c r="K29" s="63"/>
    </row>
    <row r="30" spans="1:11">
      <c r="A30" s="241">
        <v>15</v>
      </c>
      <c r="B30" s="66" t="s">
        <v>521</v>
      </c>
      <c r="C30" s="87"/>
      <c r="D30" s="241"/>
      <c r="E30" s="241"/>
      <c r="F30" s="84"/>
      <c r="G30" s="84"/>
      <c r="H30" s="87"/>
      <c r="I30" s="87"/>
      <c r="J30" s="241"/>
      <c r="K30" s="84"/>
    </row>
    <row r="31" spans="1:11">
      <c r="A31" s="241">
        <v>16</v>
      </c>
      <c r="B31" s="320" t="s">
        <v>1171</v>
      </c>
      <c r="C31" s="340">
        <f>'WP B.4.1B'!O44</f>
        <v>0</v>
      </c>
      <c r="D31" s="345">
        <f>D17</f>
        <v>1</v>
      </c>
      <c r="E31" s="345">
        <f>E17</f>
        <v>1</v>
      </c>
      <c r="F31" s="351">
        <f>C31*D31*E31</f>
        <v>0</v>
      </c>
      <c r="G31" s="84"/>
      <c r="H31" s="340">
        <f>'WP B.4.1B'!P44</f>
        <v>0</v>
      </c>
      <c r="I31" s="345">
        <f>I17</f>
        <v>1</v>
      </c>
      <c r="J31" s="345">
        <f>J17</f>
        <v>1</v>
      </c>
      <c r="K31" s="351">
        <f>H31*I31*J31</f>
        <v>0</v>
      </c>
    </row>
    <row r="32" spans="1:11">
      <c r="A32" s="241">
        <v>17</v>
      </c>
      <c r="B32" s="320" t="s">
        <v>1172</v>
      </c>
      <c r="C32" s="353">
        <f>'WP B.4.1B'!O46</f>
        <v>0</v>
      </c>
      <c r="D32" s="345">
        <f t="shared" ref="D32:E34" si="3">D18</f>
        <v>1</v>
      </c>
      <c r="E32" s="70">
        <f t="shared" si="3"/>
        <v>0.49780000000000002</v>
      </c>
      <c r="F32" s="352">
        <f>C32*D32*E32</f>
        <v>0</v>
      </c>
      <c r="G32" s="84"/>
      <c r="H32" s="353">
        <f>'WP B.4.1B'!P46</f>
        <v>0</v>
      </c>
      <c r="I32" s="345">
        <f t="shared" ref="I32:J34" si="4">I18</f>
        <v>1</v>
      </c>
      <c r="J32" s="70">
        <f t="shared" si="4"/>
        <v>0.49780000000000002</v>
      </c>
      <c r="K32" s="352">
        <f>H32*I32*J32</f>
        <v>0</v>
      </c>
    </row>
    <row r="33" spans="1:11">
      <c r="A33" s="241">
        <v>18</v>
      </c>
      <c r="B33" s="320" t="s">
        <v>1173</v>
      </c>
      <c r="C33" s="353">
        <f>'WP B.4.1B'!O48</f>
        <v>0</v>
      </c>
      <c r="D33" s="70">
        <f t="shared" si="3"/>
        <v>0.104</v>
      </c>
      <c r="E33" s="70">
        <f t="shared" si="3"/>
        <v>0.49780000000000002</v>
      </c>
      <c r="F33" s="352">
        <f>C33*D33*E33</f>
        <v>0</v>
      </c>
      <c r="G33" s="84"/>
      <c r="H33" s="353">
        <f>'WP B.4.1B'!P48</f>
        <v>0</v>
      </c>
      <c r="I33" s="70">
        <f t="shared" si="4"/>
        <v>0.104</v>
      </c>
      <c r="J33" s="70">
        <f t="shared" si="4"/>
        <v>0.49780000000000002</v>
      </c>
      <c r="K33" s="352">
        <f>H33*I33*J33</f>
        <v>0</v>
      </c>
    </row>
    <row r="34" spans="1:11">
      <c r="A34" s="241">
        <v>19</v>
      </c>
      <c r="B34" s="320" t="s">
        <v>1174</v>
      </c>
      <c r="C34" s="354">
        <f>'WP B.4.1B'!O50</f>
        <v>0</v>
      </c>
      <c r="D34" s="70">
        <f t="shared" si="3"/>
        <v>0.1095</v>
      </c>
      <c r="E34" s="70">
        <f t="shared" si="3"/>
        <v>0.51517972406888612</v>
      </c>
      <c r="F34" s="355">
        <f>C34*D34*E34</f>
        <v>0</v>
      </c>
      <c r="G34" s="84"/>
      <c r="H34" s="354">
        <f>'WP B.4.1B'!P50</f>
        <v>0</v>
      </c>
      <c r="I34" s="70">
        <f t="shared" si="4"/>
        <v>0.1095</v>
      </c>
      <c r="J34" s="70">
        <f t="shared" si="4"/>
        <v>0.51517972406888612</v>
      </c>
      <c r="K34" s="355">
        <f>H34*I34*J34</f>
        <v>0</v>
      </c>
    </row>
    <row r="35" spans="1:11">
      <c r="A35" s="241">
        <v>20</v>
      </c>
      <c r="B35" s="288" t="s">
        <v>96</v>
      </c>
      <c r="C35" s="340">
        <f>SUM(C31:C34)</f>
        <v>0</v>
      </c>
      <c r="D35" s="241"/>
      <c r="E35" s="241"/>
      <c r="F35" s="340">
        <f>SUM(F31:F34)</f>
        <v>0</v>
      </c>
      <c r="G35" s="84"/>
      <c r="H35" s="340">
        <f>SUM(H31:H34)</f>
        <v>0</v>
      </c>
      <c r="I35" s="86"/>
      <c r="J35" s="241"/>
      <c r="K35" s="340">
        <f>SUM(K31:K34)</f>
        <v>0</v>
      </c>
    </row>
    <row r="36" spans="1:11">
      <c r="A36" s="241">
        <v>21</v>
      </c>
      <c r="B36" s="288"/>
      <c r="D36" s="244"/>
      <c r="E36" s="244"/>
      <c r="F36" s="63"/>
      <c r="G36" s="84"/>
      <c r="H36" s="63"/>
      <c r="I36" s="63"/>
      <c r="K36" s="63"/>
    </row>
    <row r="37" spans="1:11" ht="15.75" thickBot="1">
      <c r="A37" s="241">
        <v>22</v>
      </c>
      <c r="B37" s="66" t="s">
        <v>489</v>
      </c>
      <c r="C37" s="347">
        <f>C35+C28+C21</f>
        <v>17274738.809999999</v>
      </c>
      <c r="F37" s="347">
        <f>F35+F28+F21</f>
        <v>16964342.744696286</v>
      </c>
      <c r="G37" s="84"/>
      <c r="H37" s="347">
        <f>H35+H28+H21</f>
        <v>14768766.860769231</v>
      </c>
      <c r="I37" s="84"/>
      <c r="K37" s="347">
        <f>K35+K28+K21</f>
        <v>14260300.390453627</v>
      </c>
    </row>
    <row r="38" spans="1:11" ht="15.75" thickTop="1">
      <c r="D38" s="244"/>
      <c r="E38" s="244"/>
      <c r="F38" s="63"/>
      <c r="G38" s="84"/>
      <c r="H38" s="63"/>
      <c r="I38" s="63"/>
    </row>
    <row r="39" spans="1:11">
      <c r="A39" s="241"/>
      <c r="F39" s="63"/>
      <c r="G39" s="84"/>
      <c r="H39" s="63"/>
      <c r="I39" s="63"/>
    </row>
    <row r="40" spans="1:11">
      <c r="D40" s="244"/>
      <c r="E40" s="244"/>
      <c r="F40" s="63"/>
      <c r="G40" s="84"/>
    </row>
    <row r="41" spans="1:11">
      <c r="C41" s="63"/>
      <c r="F41" s="63"/>
      <c r="G41" s="84"/>
    </row>
    <row r="42" spans="1:11">
      <c r="D42" s="244"/>
      <c r="E42" s="244"/>
      <c r="F42" s="63"/>
      <c r="G42" s="84"/>
    </row>
    <row r="43" spans="1:11">
      <c r="F43" s="63"/>
      <c r="G43" s="84"/>
    </row>
    <row r="44" spans="1:11">
      <c r="D44" s="244"/>
      <c r="E44" s="244"/>
      <c r="F44" s="63"/>
      <c r="G44" s="84"/>
    </row>
    <row r="45" spans="1:11">
      <c r="F45" s="63"/>
      <c r="G45" s="84"/>
    </row>
    <row r="46" spans="1:11">
      <c r="D46" s="244"/>
      <c r="E46" s="244"/>
      <c r="F46" s="63"/>
      <c r="G46" s="84"/>
    </row>
    <row r="47" spans="1:11">
      <c r="F47" s="63"/>
      <c r="G47" s="84"/>
    </row>
  </sheetData>
  <mergeCells count="6">
    <mergeCell ref="C10:F10"/>
    <mergeCell ref="H10:K10"/>
    <mergeCell ref="A1:K1"/>
    <mergeCell ref="A2:K2"/>
    <mergeCell ref="A3:K3"/>
    <mergeCell ref="A4:K4"/>
  </mergeCells>
  <phoneticPr fontId="23" type="noConversion"/>
  <pageMargins left="0.56999999999999995" right="0.5" top="0.75" bottom="0.5" header="0.5" footer="0.5"/>
  <pageSetup scale="70" orientation="landscape" verticalDpi="300" r:id="rId1"/>
  <headerFooter alignWithMargins="0">
    <oddFooter>&amp;RSchedule &amp;A
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47"/>
  <sheetViews>
    <sheetView view="pageBreakPreview" zoomScale="60" zoomScaleNormal="80" workbookViewId="0">
      <selection activeCell="C19" sqref="C19"/>
    </sheetView>
  </sheetViews>
  <sheetFormatPr defaultColWidth="8.44140625" defaultRowHeight="15"/>
  <cols>
    <col min="1" max="1" width="5" style="62" customWidth="1"/>
    <col min="2" max="2" width="42.77734375" style="62" customWidth="1"/>
    <col min="3" max="3" width="13.88671875" style="62" customWidth="1"/>
    <col min="4" max="4" width="13.6640625" style="62" customWidth="1"/>
    <col min="5" max="5" width="11.6640625" style="62" customWidth="1"/>
    <col min="6" max="6" width="13.5546875" style="62" customWidth="1"/>
    <col min="7" max="7" width="2.88671875" style="94" customWidth="1"/>
    <col min="8" max="8" width="13.33203125" style="62" bestFit="1" customWidth="1"/>
    <col min="9" max="9" width="13.109375" style="62" bestFit="1" customWidth="1"/>
    <col min="10" max="10" width="10.44140625" style="62" customWidth="1"/>
    <col min="11" max="11" width="13.33203125" style="62" customWidth="1"/>
    <col min="12" max="16384" width="8.44140625" style="62"/>
  </cols>
  <sheetData>
    <row r="1" spans="1:11">
      <c r="A1" s="1202" t="str">
        <f>Allocation!A1</f>
        <v>Atmos Energy Corporation, Kentucky/Mid-States Division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</row>
    <row r="2" spans="1:11">
      <c r="A2" s="1202" t="str">
        <f>Allocation!A2</f>
        <v>Kentucky Jurisdiction Case No. 2018-00281</v>
      </c>
      <c r="B2" s="1202"/>
      <c r="C2" s="1202"/>
      <c r="D2" s="1202"/>
      <c r="E2" s="1202"/>
      <c r="F2" s="1202"/>
      <c r="G2" s="1202"/>
      <c r="H2" s="1202"/>
      <c r="I2" s="1202"/>
      <c r="J2" s="1202"/>
      <c r="K2" s="1202"/>
    </row>
    <row r="3" spans="1:11">
      <c r="A3" s="1202" t="s">
        <v>975</v>
      </c>
      <c r="B3" s="1202"/>
      <c r="C3" s="1202"/>
      <c r="D3" s="1202"/>
      <c r="E3" s="1202"/>
      <c r="F3" s="1202"/>
      <c r="G3" s="1202"/>
      <c r="H3" s="1202"/>
      <c r="I3" s="1202"/>
      <c r="J3" s="1202"/>
      <c r="K3" s="1202"/>
    </row>
    <row r="4" spans="1:11">
      <c r="A4" s="1202" t="str">
        <f>'B.1 F '!A4</f>
        <v>as of March 31, 2020</v>
      </c>
      <c r="B4" s="1202"/>
      <c r="C4" s="1202"/>
      <c r="D4" s="1202"/>
      <c r="E4" s="1202"/>
      <c r="F4" s="1202"/>
      <c r="G4" s="1202"/>
      <c r="H4" s="1202"/>
      <c r="I4" s="1202"/>
      <c r="J4" s="1202"/>
      <c r="K4" s="1202"/>
    </row>
    <row r="7" spans="1:11">
      <c r="A7" s="66" t="str">
        <f>'B.1 F '!A6</f>
        <v>Data:______Base Period__X___Forecasted Period</v>
      </c>
      <c r="K7" s="496" t="s">
        <v>1419</v>
      </c>
    </row>
    <row r="8" spans="1:11">
      <c r="A8" s="66" t="str">
        <f>'B.1 F '!A7</f>
        <v>Type of Filing:___X____Original________Updated ________Revised</v>
      </c>
      <c r="B8" s="4"/>
      <c r="K8" s="695" t="s">
        <v>704</v>
      </c>
    </row>
    <row r="9" spans="1:11">
      <c r="A9" s="469" t="str">
        <f>'B.1 F '!A8</f>
        <v>Workpaper Reference No(s).</v>
      </c>
      <c r="B9" s="94"/>
      <c r="C9" s="94"/>
      <c r="D9" s="94"/>
      <c r="E9" s="94"/>
      <c r="F9" s="94"/>
      <c r="H9" s="94"/>
      <c r="I9" s="94"/>
      <c r="K9" s="696" t="str">
        <f>'B.4.1 B'!K9</f>
        <v>Witness: Waller</v>
      </c>
    </row>
    <row r="10" spans="1:11">
      <c r="A10" s="341"/>
      <c r="B10" s="342"/>
      <c r="C10" s="1196" t="s">
        <v>160</v>
      </c>
      <c r="D10" s="1197"/>
      <c r="E10" s="1197"/>
      <c r="F10" s="1198"/>
      <c r="H10" s="1199" t="s">
        <v>512</v>
      </c>
      <c r="I10" s="1200"/>
      <c r="J10" s="1200"/>
      <c r="K10" s="1201"/>
    </row>
    <row r="11" spans="1:11">
      <c r="A11" s="470"/>
      <c r="B11" s="471"/>
      <c r="C11" s="341"/>
      <c r="D11" s="338" t="s">
        <v>13</v>
      </c>
      <c r="E11" s="339" t="s">
        <v>11</v>
      </c>
      <c r="F11" s="342"/>
      <c r="H11" s="341"/>
      <c r="I11" s="338" t="s">
        <v>13</v>
      </c>
      <c r="J11" s="339" t="s">
        <v>11</v>
      </c>
      <c r="K11" s="342"/>
    </row>
    <row r="12" spans="1:11">
      <c r="A12" s="472" t="s">
        <v>93</v>
      </c>
      <c r="B12" s="471"/>
      <c r="C12" s="594">
        <f>'B.2 F'!D10</f>
        <v>43921</v>
      </c>
      <c r="D12" s="34" t="s">
        <v>14</v>
      </c>
      <c r="E12" s="75" t="s">
        <v>594</v>
      </c>
      <c r="F12" s="343" t="s">
        <v>12</v>
      </c>
      <c r="G12" s="242"/>
      <c r="H12" s="594">
        <f>C12</f>
        <v>43921</v>
      </c>
      <c r="I12" s="34" t="s">
        <v>14</v>
      </c>
      <c r="J12" s="75" t="s">
        <v>594</v>
      </c>
      <c r="K12" s="343" t="s">
        <v>12</v>
      </c>
    </row>
    <row r="13" spans="1:11">
      <c r="A13" s="473" t="s">
        <v>99</v>
      </c>
      <c r="B13" s="474" t="s">
        <v>985</v>
      </c>
      <c r="C13" s="332" t="s">
        <v>317</v>
      </c>
      <c r="D13" s="185" t="s">
        <v>627</v>
      </c>
      <c r="E13" s="185" t="s">
        <v>627</v>
      </c>
      <c r="F13" s="344" t="s">
        <v>104</v>
      </c>
      <c r="G13" s="242"/>
      <c r="H13" s="332" t="s">
        <v>380</v>
      </c>
      <c r="I13" s="185" t="s">
        <v>627</v>
      </c>
      <c r="J13" s="185" t="s">
        <v>627</v>
      </c>
      <c r="K13" s="344" t="s">
        <v>104</v>
      </c>
    </row>
    <row r="14" spans="1:11">
      <c r="C14" s="241"/>
      <c r="F14" s="241"/>
      <c r="G14" s="242"/>
      <c r="H14" s="241"/>
      <c r="I14" s="241"/>
      <c r="K14" s="241"/>
    </row>
    <row r="16" spans="1:11">
      <c r="A16" s="241">
        <v>1</v>
      </c>
      <c r="B16" s="66" t="s">
        <v>519</v>
      </c>
      <c r="C16" s="86"/>
      <c r="D16" s="241"/>
      <c r="E16" s="241"/>
      <c r="F16" s="63"/>
      <c r="G16" s="84"/>
      <c r="H16" s="86"/>
      <c r="I16" s="86"/>
      <c r="J16" s="241"/>
      <c r="K16" s="63"/>
    </row>
    <row r="17" spans="1:11">
      <c r="A17" s="241">
        <v>2</v>
      </c>
      <c r="B17" s="320" t="s">
        <v>1171</v>
      </c>
      <c r="C17" s="340">
        <f>'WP B.4.1F'!O15</f>
        <v>-402123.55499999999</v>
      </c>
      <c r="D17" s="358">
        <v>1</v>
      </c>
      <c r="E17" s="358">
        <v>1</v>
      </c>
      <c r="F17" s="351">
        <f>C17*D17*E17</f>
        <v>-402123.55499999999</v>
      </c>
      <c r="G17" s="84"/>
      <c r="H17" s="340">
        <f>'WP B.4.1F'!P15</f>
        <v>-402123.55499999999</v>
      </c>
      <c r="I17" s="345">
        <f t="shared" ref="I17:J20" si="0">D17</f>
        <v>1</v>
      </c>
      <c r="J17" s="345">
        <f t="shared" si="0"/>
        <v>1</v>
      </c>
      <c r="K17" s="351">
        <f>H17*I17*J17</f>
        <v>-402123.55499999999</v>
      </c>
    </row>
    <row r="18" spans="1:11">
      <c r="A18" s="241">
        <v>3</v>
      </c>
      <c r="B18" s="320" t="s">
        <v>1172</v>
      </c>
      <c r="C18" s="353">
        <f>'WP B.4.1F'!O20</f>
        <v>1044575.2366666667</v>
      </c>
      <c r="D18" s="358">
        <v>1</v>
      </c>
      <c r="E18" s="359">
        <f>Allocation!D17</f>
        <v>0.49780000000000002</v>
      </c>
      <c r="F18" s="352">
        <f>C18*D18*E18</f>
        <v>519989.55281266669</v>
      </c>
      <c r="G18" s="84"/>
      <c r="H18" s="353">
        <f>'WP B.4.1F'!P20</f>
        <v>1044575.2366666665</v>
      </c>
      <c r="I18" s="345">
        <f t="shared" si="0"/>
        <v>1</v>
      </c>
      <c r="J18" s="70">
        <f t="shared" si="0"/>
        <v>0.49780000000000002</v>
      </c>
      <c r="K18" s="352">
        <f>H18*I18*J18</f>
        <v>519989.55281266657</v>
      </c>
    </row>
    <row r="19" spans="1:11">
      <c r="A19" s="241">
        <v>4</v>
      </c>
      <c r="B19" s="320" t="s">
        <v>1173</v>
      </c>
      <c r="C19" s="353">
        <f>'WP B.4.1F'!O25</f>
        <v>-0.01</v>
      </c>
      <c r="D19" s="359">
        <f>Allocation!C14</f>
        <v>0.104</v>
      </c>
      <c r="E19" s="359">
        <f>Allocation!D14</f>
        <v>0.49780000000000002</v>
      </c>
      <c r="F19" s="352">
        <f>C19*D19*E19</f>
        <v>-5.1771199999999992E-4</v>
      </c>
      <c r="G19" s="84"/>
      <c r="H19" s="353">
        <f>'WP B.4.1F'!P25</f>
        <v>-9.9999999999999985E-3</v>
      </c>
      <c r="I19" s="70">
        <f t="shared" si="0"/>
        <v>0.104</v>
      </c>
      <c r="J19" s="70">
        <f t="shared" si="0"/>
        <v>0.49780000000000002</v>
      </c>
      <c r="K19" s="352">
        <f>H19*I19*J19</f>
        <v>-5.1771199999999982E-4</v>
      </c>
    </row>
    <row r="20" spans="1:11">
      <c r="A20" s="241">
        <v>5</v>
      </c>
      <c r="B20" s="320" t="s">
        <v>1174</v>
      </c>
      <c r="C20" s="354">
        <f>'WP B.4.1F'!O30</f>
        <v>0</v>
      </c>
      <c r="D20" s="359">
        <f>Allocation!C15</f>
        <v>0.1095</v>
      </c>
      <c r="E20" s="359">
        <f>Allocation!D15</f>
        <v>0.51517972406888612</v>
      </c>
      <c r="F20" s="355">
        <f>C20*D20*E20</f>
        <v>0</v>
      </c>
      <c r="G20" s="84"/>
      <c r="H20" s="354">
        <f>'WP B.4.1F'!T30</f>
        <v>0</v>
      </c>
      <c r="I20" s="70">
        <f t="shared" si="0"/>
        <v>0.1095</v>
      </c>
      <c r="J20" s="70">
        <f t="shared" si="0"/>
        <v>0.51517972406888612</v>
      </c>
      <c r="K20" s="355">
        <f>H20*I20*J20</f>
        <v>0</v>
      </c>
    </row>
    <row r="21" spans="1:11">
      <c r="A21" s="241">
        <v>6</v>
      </c>
      <c r="B21" s="288" t="s">
        <v>96</v>
      </c>
      <c r="C21" s="340">
        <f>SUM(C17:C20)</f>
        <v>642451.67166666663</v>
      </c>
      <c r="D21" s="181"/>
      <c r="E21" s="241"/>
      <c r="F21" s="340">
        <f>SUM(F17:F20)</f>
        <v>117865.99729495469</v>
      </c>
      <c r="G21" s="84"/>
      <c r="H21" s="340">
        <f>SUM(H17:H20)</f>
        <v>642451.6716666664</v>
      </c>
      <c r="I21" s="86"/>
      <c r="J21" s="241"/>
      <c r="K21" s="340">
        <f>SUM(K17:K20)</f>
        <v>117865.99729495458</v>
      </c>
    </row>
    <row r="22" spans="1:11">
      <c r="A22" s="241">
        <v>7</v>
      </c>
      <c r="C22" s="96"/>
      <c r="F22" s="63"/>
      <c r="G22" s="84"/>
      <c r="H22" s="96"/>
      <c r="I22" s="86"/>
      <c r="K22" s="63"/>
    </row>
    <row r="23" spans="1:11">
      <c r="A23" s="241">
        <v>8</v>
      </c>
      <c r="B23" s="66" t="s">
        <v>520</v>
      </c>
      <c r="C23" s="86"/>
      <c r="D23" s="241"/>
      <c r="E23" s="241"/>
      <c r="F23" s="63"/>
      <c r="G23" s="84"/>
      <c r="H23" s="86"/>
      <c r="I23" s="86"/>
      <c r="J23" s="241"/>
      <c r="K23" s="63"/>
    </row>
    <row r="24" spans="1:11">
      <c r="A24" s="241">
        <v>9</v>
      </c>
      <c r="B24" s="320" t="s">
        <v>1171</v>
      </c>
      <c r="C24" s="340">
        <f>'WP B.4.1F'!O34</f>
        <v>-1769904.1334066335</v>
      </c>
      <c r="D24" s="345">
        <f t="shared" ref="D24:E27" si="1">D17</f>
        <v>1</v>
      </c>
      <c r="E24" s="345">
        <f t="shared" si="1"/>
        <v>1</v>
      </c>
      <c r="F24" s="351">
        <f>C24*D24*E24</f>
        <v>-1769904.1334066335</v>
      </c>
      <c r="G24" s="84"/>
      <c r="H24" s="340">
        <f>'WP B.4.1F'!P34</f>
        <v>8905991.3794295546</v>
      </c>
      <c r="I24" s="345">
        <f t="shared" ref="I24:J27" si="2">I17</f>
        <v>1</v>
      </c>
      <c r="J24" s="345">
        <f t="shared" si="2"/>
        <v>1</v>
      </c>
      <c r="K24" s="351">
        <f>H24*I24*J24</f>
        <v>8905991.3794295546</v>
      </c>
    </row>
    <row r="25" spans="1:11">
      <c r="A25" s="241">
        <v>10</v>
      </c>
      <c r="B25" s="320" t="s">
        <v>1172</v>
      </c>
      <c r="C25" s="349">
        <f>'WP B.4.1F'!O36</f>
        <v>0</v>
      </c>
      <c r="D25" s="345">
        <f t="shared" si="1"/>
        <v>1</v>
      </c>
      <c r="E25" s="70">
        <f t="shared" si="1"/>
        <v>0.49780000000000002</v>
      </c>
      <c r="F25" s="352">
        <f>C25*D25*E25</f>
        <v>0</v>
      </c>
      <c r="G25" s="84"/>
      <c r="H25" s="349">
        <f>'WP B.4.1F'!P36</f>
        <v>0</v>
      </c>
      <c r="I25" s="345">
        <f t="shared" si="2"/>
        <v>1</v>
      </c>
      <c r="J25" s="70">
        <f t="shared" si="2"/>
        <v>0.49780000000000002</v>
      </c>
      <c r="K25" s="352">
        <f>H25*I25*J25</f>
        <v>0</v>
      </c>
    </row>
    <row r="26" spans="1:11">
      <c r="A26" s="241">
        <v>11</v>
      </c>
      <c r="B26" s="320" t="s">
        <v>1173</v>
      </c>
      <c r="C26" s="349">
        <f>'WP B.4.1F'!O38</f>
        <v>0</v>
      </c>
      <c r="D26" s="70">
        <f t="shared" si="1"/>
        <v>0.104</v>
      </c>
      <c r="E26" s="70">
        <f t="shared" si="1"/>
        <v>0.49780000000000002</v>
      </c>
      <c r="F26" s="352">
        <f>C26*D26*E26</f>
        <v>0</v>
      </c>
      <c r="G26" s="84"/>
      <c r="H26" s="349">
        <f>'WP B.4.1F'!P38</f>
        <v>0</v>
      </c>
      <c r="I26" s="70">
        <f t="shared" si="2"/>
        <v>0.104</v>
      </c>
      <c r="J26" s="70">
        <f t="shared" si="2"/>
        <v>0.49780000000000002</v>
      </c>
      <c r="K26" s="352">
        <f>H26*I26*J26</f>
        <v>0</v>
      </c>
    </row>
    <row r="27" spans="1:11">
      <c r="A27" s="241">
        <v>12</v>
      </c>
      <c r="B27" s="320" t="s">
        <v>1174</v>
      </c>
      <c r="C27" s="350">
        <f>'WP B.4.1F'!O40</f>
        <v>0</v>
      </c>
      <c r="D27" s="70">
        <f t="shared" si="1"/>
        <v>0.1095</v>
      </c>
      <c r="E27" s="70">
        <f t="shared" si="1"/>
        <v>0.51517972406888612</v>
      </c>
      <c r="F27" s="355">
        <f>C27*D27*E27</f>
        <v>0</v>
      </c>
      <c r="G27" s="84"/>
      <c r="H27" s="350">
        <f>'WP B.4.1F'!P40</f>
        <v>0</v>
      </c>
      <c r="I27" s="70">
        <f t="shared" si="2"/>
        <v>0.1095</v>
      </c>
      <c r="J27" s="70">
        <f t="shared" si="2"/>
        <v>0.51517972406888612</v>
      </c>
      <c r="K27" s="355">
        <f>H27*I27*J27</f>
        <v>0</v>
      </c>
    </row>
    <row r="28" spans="1:11">
      <c r="A28" s="241">
        <v>13</v>
      </c>
      <c r="B28" s="288" t="s">
        <v>96</v>
      </c>
      <c r="C28" s="340">
        <f>SUM(C24:C27)</f>
        <v>-1769904.1334066335</v>
      </c>
      <c r="D28" s="241"/>
      <c r="E28" s="241"/>
      <c r="F28" s="340">
        <f>SUM(F24:F27)</f>
        <v>-1769904.1334066335</v>
      </c>
      <c r="G28" s="84"/>
      <c r="H28" s="340">
        <f>SUM(H24:H27)</f>
        <v>8905991.3794295546</v>
      </c>
      <c r="I28" s="86"/>
      <c r="J28" s="241"/>
      <c r="K28" s="340">
        <f>SUM(K24:K27)</f>
        <v>8905991.3794295546</v>
      </c>
    </row>
    <row r="29" spans="1:11">
      <c r="A29" s="241">
        <v>14</v>
      </c>
      <c r="B29" s="288"/>
      <c r="C29" s="107"/>
      <c r="D29" s="243"/>
      <c r="E29" s="243"/>
      <c r="F29" s="84"/>
      <c r="G29" s="84"/>
      <c r="H29" s="107"/>
      <c r="I29" s="87"/>
      <c r="J29" s="242"/>
      <c r="K29" s="63"/>
    </row>
    <row r="30" spans="1:11">
      <c r="A30" s="241">
        <v>15</v>
      </c>
      <c r="B30" s="66" t="s">
        <v>521</v>
      </c>
      <c r="C30" s="87"/>
      <c r="D30" s="241"/>
      <c r="E30" s="241"/>
      <c r="F30" s="84"/>
      <c r="G30" s="84"/>
      <c r="H30" s="87"/>
      <c r="I30" s="87"/>
      <c r="J30" s="241"/>
      <c r="K30" s="84"/>
    </row>
    <row r="31" spans="1:11">
      <c r="A31" s="241">
        <v>16</v>
      </c>
      <c r="B31" s="320" t="s">
        <v>1171</v>
      </c>
      <c r="C31" s="340">
        <f>'WP B.4.1F'!O44</f>
        <v>0</v>
      </c>
      <c r="D31" s="345">
        <f t="shared" ref="D31:E34" si="3">D17</f>
        <v>1</v>
      </c>
      <c r="E31" s="345">
        <f t="shared" si="3"/>
        <v>1</v>
      </c>
      <c r="F31" s="351">
        <f>C31*D31*E31</f>
        <v>0</v>
      </c>
      <c r="G31" s="84"/>
      <c r="H31" s="340">
        <f>'WP B.4.1F'!P44</f>
        <v>0</v>
      </c>
      <c r="I31" s="345">
        <f t="shared" ref="I31:J34" si="4">I17</f>
        <v>1</v>
      </c>
      <c r="J31" s="345">
        <f t="shared" si="4"/>
        <v>1</v>
      </c>
      <c r="K31" s="351">
        <f>H31*I31*J31</f>
        <v>0</v>
      </c>
    </row>
    <row r="32" spans="1:11">
      <c r="A32" s="241">
        <v>17</v>
      </c>
      <c r="B32" s="320" t="s">
        <v>1172</v>
      </c>
      <c r="C32" s="353">
        <f>'WP B.4.1F'!O46</f>
        <v>0</v>
      </c>
      <c r="D32" s="345">
        <f t="shared" si="3"/>
        <v>1</v>
      </c>
      <c r="E32" s="70">
        <f t="shared" si="3"/>
        <v>0.49780000000000002</v>
      </c>
      <c r="F32" s="352">
        <f>C32*D32*E32</f>
        <v>0</v>
      </c>
      <c r="G32" s="84"/>
      <c r="H32" s="353">
        <f>'WP B.4.1F'!P46</f>
        <v>0</v>
      </c>
      <c r="I32" s="345">
        <f t="shared" si="4"/>
        <v>1</v>
      </c>
      <c r="J32" s="70">
        <f t="shared" si="4"/>
        <v>0.49780000000000002</v>
      </c>
      <c r="K32" s="352">
        <f>H32*I32*J32</f>
        <v>0</v>
      </c>
    </row>
    <row r="33" spans="1:11">
      <c r="A33" s="241">
        <v>18</v>
      </c>
      <c r="B33" s="320" t="s">
        <v>1173</v>
      </c>
      <c r="C33" s="353">
        <f>'WP B.4.1F'!O48</f>
        <v>0</v>
      </c>
      <c r="D33" s="70">
        <f t="shared" si="3"/>
        <v>0.104</v>
      </c>
      <c r="E33" s="70">
        <f t="shared" si="3"/>
        <v>0.49780000000000002</v>
      </c>
      <c r="F33" s="352">
        <f>C33*D33*E33</f>
        <v>0</v>
      </c>
      <c r="G33" s="84"/>
      <c r="H33" s="353">
        <f>'WP B.4.1F'!P48</f>
        <v>0</v>
      </c>
      <c r="I33" s="70">
        <f t="shared" si="4"/>
        <v>0.104</v>
      </c>
      <c r="J33" s="70">
        <f t="shared" si="4"/>
        <v>0.49780000000000002</v>
      </c>
      <c r="K33" s="352">
        <f>H33*I33*J33</f>
        <v>0</v>
      </c>
    </row>
    <row r="34" spans="1:11">
      <c r="A34" s="241">
        <v>19</v>
      </c>
      <c r="B34" s="320" t="s">
        <v>1174</v>
      </c>
      <c r="C34" s="354">
        <f>'WP B.4.1F'!O50</f>
        <v>0</v>
      </c>
      <c r="D34" s="70">
        <f t="shared" si="3"/>
        <v>0.1095</v>
      </c>
      <c r="E34" s="70">
        <f t="shared" si="3"/>
        <v>0.51517972406888612</v>
      </c>
      <c r="F34" s="355">
        <f>C34*D34*E34</f>
        <v>0</v>
      </c>
      <c r="G34" s="84"/>
      <c r="H34" s="354">
        <f>'WP B.4.1F'!P50</f>
        <v>0</v>
      </c>
      <c r="I34" s="70">
        <f t="shared" si="4"/>
        <v>0.1095</v>
      </c>
      <c r="J34" s="70">
        <f t="shared" si="4"/>
        <v>0.51517972406888612</v>
      </c>
      <c r="K34" s="355">
        <f>H34*I34*J34</f>
        <v>0</v>
      </c>
    </row>
    <row r="35" spans="1:11">
      <c r="A35" s="241">
        <v>20</v>
      </c>
      <c r="B35" s="288" t="s">
        <v>96</v>
      </c>
      <c r="C35" s="340">
        <f>SUM(C31:C34)</f>
        <v>0</v>
      </c>
      <c r="D35" s="241"/>
      <c r="E35" s="241"/>
      <c r="F35" s="340">
        <f>SUM(F31:F34)</f>
        <v>0</v>
      </c>
      <c r="G35" s="84"/>
      <c r="H35" s="340">
        <f>SUM(H31:H34)</f>
        <v>0</v>
      </c>
      <c r="I35" s="86"/>
      <c r="J35" s="241"/>
      <c r="K35" s="340">
        <f>SUM(K31:K34)</f>
        <v>0</v>
      </c>
    </row>
    <row r="36" spans="1:11">
      <c r="A36" s="241">
        <v>21</v>
      </c>
      <c r="B36" s="288"/>
      <c r="D36" s="244"/>
      <c r="E36" s="244"/>
      <c r="F36" s="63"/>
      <c r="G36" s="84"/>
      <c r="H36" s="63"/>
      <c r="I36" s="63"/>
      <c r="K36" s="63"/>
    </row>
    <row r="37" spans="1:11" ht="15.75" thickBot="1">
      <c r="A37" s="241">
        <v>22</v>
      </c>
      <c r="B37" s="66" t="s">
        <v>489</v>
      </c>
      <c r="C37" s="347">
        <f>C35+C28+C21</f>
        <v>-1127452.4617399669</v>
      </c>
      <c r="F37" s="347">
        <f>F35+F28+F21</f>
        <v>-1652038.1361116788</v>
      </c>
      <c r="G37" s="84"/>
      <c r="H37" s="347">
        <f>H35+H28+H21</f>
        <v>9548443.0510962214</v>
      </c>
      <c r="I37" s="84"/>
      <c r="K37" s="347">
        <f>K21+K28+K35</f>
        <v>9023857.3767245095</v>
      </c>
    </row>
    <row r="38" spans="1:11" ht="15.75" thickTop="1">
      <c r="D38" s="244"/>
      <c r="E38" s="244"/>
      <c r="F38" s="63"/>
      <c r="G38" s="84"/>
      <c r="H38" s="63"/>
      <c r="I38" s="63"/>
    </row>
    <row r="39" spans="1:11">
      <c r="A39" s="241"/>
      <c r="F39" s="63"/>
      <c r="G39" s="84"/>
      <c r="H39" s="63"/>
      <c r="I39" s="63"/>
    </row>
    <row r="40" spans="1:11">
      <c r="D40" s="244"/>
      <c r="E40" s="244"/>
      <c r="F40" s="63"/>
      <c r="G40" s="84"/>
    </row>
    <row r="41" spans="1:11">
      <c r="C41" s="63"/>
      <c r="F41" s="63"/>
      <c r="G41" s="84"/>
    </row>
    <row r="42" spans="1:11">
      <c r="D42" s="244"/>
      <c r="E42" s="244"/>
      <c r="F42" s="63"/>
      <c r="G42" s="84"/>
    </row>
    <row r="43" spans="1:11">
      <c r="F43" s="63"/>
      <c r="G43" s="84"/>
    </row>
    <row r="44" spans="1:11">
      <c r="D44" s="244"/>
      <c r="E44" s="244"/>
      <c r="F44" s="63"/>
      <c r="G44" s="84"/>
    </row>
    <row r="45" spans="1:11">
      <c r="F45" s="63"/>
      <c r="G45" s="84"/>
    </row>
    <row r="46" spans="1:11">
      <c r="D46" s="244"/>
      <c r="E46" s="244"/>
      <c r="F46" s="63"/>
      <c r="G46" s="84"/>
    </row>
    <row r="47" spans="1:11">
      <c r="F47" s="63"/>
      <c r="G47" s="84"/>
    </row>
  </sheetData>
  <mergeCells count="6">
    <mergeCell ref="C10:F10"/>
    <mergeCell ref="H10:K10"/>
    <mergeCell ref="A1:K1"/>
    <mergeCell ref="A2:K2"/>
    <mergeCell ref="A3:K3"/>
    <mergeCell ref="A4:K4"/>
  </mergeCells>
  <phoneticPr fontId="23" type="noConversion"/>
  <pageMargins left="0.56999999999999995" right="0.59" top="0.85" bottom="0.5" header="0.5" footer="0.5"/>
  <pageSetup scale="68" orientation="landscape" verticalDpi="300" r:id="rId1"/>
  <headerFooter alignWithMargins="0">
    <oddFooter>&amp;RSchedule &amp;A
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41"/>
  <sheetViews>
    <sheetView view="pageBreakPreview" zoomScale="60" zoomScaleNormal="90" workbookViewId="0">
      <selection sqref="A1:H1"/>
    </sheetView>
  </sheetViews>
  <sheetFormatPr defaultColWidth="8.44140625" defaultRowHeight="15"/>
  <cols>
    <col min="1" max="1" width="6.6640625" style="40" customWidth="1"/>
    <col min="2" max="2" width="34.109375" style="40" customWidth="1"/>
    <col min="3" max="3" width="3.88671875" style="40" customWidth="1"/>
    <col min="4" max="4" width="13.109375" style="40" customWidth="1"/>
    <col min="5" max="5" width="4.33203125" style="40" customWidth="1"/>
    <col min="6" max="6" width="14.44140625" style="40" customWidth="1"/>
    <col min="7" max="7" width="3.88671875" style="40" customWidth="1"/>
    <col min="8" max="8" width="13.109375" style="40" customWidth="1"/>
    <col min="9" max="9" width="6.6640625" style="40" customWidth="1"/>
    <col min="10" max="10" width="7.5546875" style="40" customWidth="1"/>
    <col min="11" max="11" width="3.33203125" style="40" customWidth="1"/>
    <col min="12" max="12" width="11.88671875" style="40" customWidth="1"/>
    <col min="13" max="13" width="3.33203125" style="40" customWidth="1"/>
    <col min="14" max="14" width="14.44140625" style="40" customWidth="1"/>
    <col min="15" max="16384" width="8.44140625" style="40"/>
  </cols>
  <sheetData>
    <row r="1" spans="1:11" s="1" customFormat="1">
      <c r="A1" s="1203" t="str">
        <f>'Table of Contents'!A1:C1</f>
        <v>Atmos Energy Corporation, Kentucky/Mid-States Division</v>
      </c>
      <c r="B1" s="1203"/>
      <c r="C1" s="1203"/>
      <c r="D1" s="1203"/>
      <c r="E1" s="1203"/>
      <c r="F1" s="1203"/>
      <c r="G1" s="1203"/>
      <c r="H1" s="1203"/>
    </row>
    <row r="2" spans="1:11" s="1" customFormat="1">
      <c r="A2" s="1203" t="str">
        <f>'Table of Contents'!A2:C2</f>
        <v>Kentucky Jurisdiction Case No. 2018-00281</v>
      </c>
      <c r="B2" s="1203"/>
      <c r="C2" s="1203"/>
      <c r="D2" s="1203"/>
      <c r="E2" s="1203"/>
      <c r="F2" s="1203"/>
      <c r="G2" s="1203"/>
      <c r="H2" s="1203"/>
    </row>
    <row r="3" spans="1:11" s="1" customFormat="1">
      <c r="A3" s="1203" t="s">
        <v>1165</v>
      </c>
      <c r="B3" s="1203"/>
      <c r="C3" s="1203"/>
      <c r="D3" s="1203"/>
      <c r="E3" s="1203"/>
      <c r="F3" s="1203"/>
      <c r="G3" s="1203"/>
      <c r="H3" s="1203"/>
    </row>
    <row r="4" spans="1:11">
      <c r="A4" s="1203" t="str">
        <f>'B.1 B'!A4</f>
        <v>as of December 31, 2018</v>
      </c>
      <c r="B4" s="1203"/>
      <c r="C4" s="1203"/>
      <c r="D4" s="1203"/>
      <c r="E4" s="1203"/>
      <c r="F4" s="1203"/>
      <c r="G4" s="1203"/>
      <c r="H4" s="1203"/>
    </row>
    <row r="7" spans="1:11">
      <c r="A7" s="180" t="str">
        <f>'B.1 B'!A6</f>
        <v>Data:__X___Base Period______Forecasted Period</v>
      </c>
      <c r="H7" s="510" t="s">
        <v>1420</v>
      </c>
    </row>
    <row r="8" spans="1:11">
      <c r="A8" s="180" t="str">
        <f>'B.1 B'!A7</f>
        <v>Type of Filing:___X____Original________Updated ________Revised</v>
      </c>
      <c r="B8" s="4"/>
      <c r="H8" s="677" t="s">
        <v>705</v>
      </c>
    </row>
    <row r="9" spans="1:11">
      <c r="A9" s="193" t="str">
        <f>'B.1 B'!A8</f>
        <v>Workpaper Reference No(s).</v>
      </c>
      <c r="B9" s="190"/>
      <c r="C9" s="190"/>
      <c r="D9" s="190"/>
      <c r="E9" s="190"/>
      <c r="F9" s="190"/>
      <c r="G9" s="190"/>
      <c r="H9" s="678" t="str">
        <f>'B.4 B'!E8</f>
        <v>Witness: Waller, Christian</v>
      </c>
      <c r="I9" s="191"/>
    </row>
    <row r="10" spans="1:11">
      <c r="A10" s="188" t="s">
        <v>93</v>
      </c>
      <c r="D10" s="188" t="s">
        <v>488</v>
      </c>
      <c r="F10" s="188" t="s">
        <v>32</v>
      </c>
      <c r="H10" s="188" t="s">
        <v>97</v>
      </c>
      <c r="I10" s="191"/>
    </row>
    <row r="11" spans="1:11">
      <c r="A11" s="228" t="s">
        <v>99</v>
      </c>
      <c r="B11" s="228" t="s">
        <v>985</v>
      </c>
      <c r="C11" s="190"/>
      <c r="D11" s="228" t="s">
        <v>102</v>
      </c>
      <c r="E11" s="190"/>
      <c r="F11" s="228" t="s">
        <v>103</v>
      </c>
      <c r="G11" s="190"/>
      <c r="H11" s="228" t="s">
        <v>104</v>
      </c>
      <c r="I11" s="191"/>
    </row>
    <row r="12" spans="1:11">
      <c r="D12" s="188" t="s">
        <v>1092</v>
      </c>
      <c r="F12" s="188" t="s">
        <v>1093</v>
      </c>
      <c r="H12" s="188" t="s">
        <v>1094</v>
      </c>
      <c r="I12" s="191"/>
    </row>
    <row r="14" spans="1:11">
      <c r="A14" s="78">
        <v>1</v>
      </c>
      <c r="B14" s="180" t="s">
        <v>784</v>
      </c>
      <c r="D14" s="187"/>
      <c r="F14" s="300"/>
      <c r="H14" s="187"/>
      <c r="K14" s="187"/>
    </row>
    <row r="15" spans="1:11">
      <c r="A15" s="78"/>
      <c r="E15" s="187"/>
      <c r="F15" s="227"/>
      <c r="G15" s="187"/>
      <c r="H15" s="187"/>
      <c r="I15" s="187"/>
      <c r="K15" s="187"/>
    </row>
    <row r="16" spans="1:11">
      <c r="A16" s="78">
        <f>1+A14</f>
        <v>2</v>
      </c>
      <c r="B16" s="245" t="str">
        <f>+'C.2'!C18</f>
        <v>Production O&amp;M Expense</v>
      </c>
      <c r="D16" s="475">
        <f>+'C.2'!D18</f>
        <v>0</v>
      </c>
      <c r="F16" s="188" t="s">
        <v>1096</v>
      </c>
      <c r="H16" s="475">
        <f>(D16*0.125)</f>
        <v>0</v>
      </c>
      <c r="K16" s="187"/>
    </row>
    <row r="17" spans="1:11">
      <c r="A17" s="78"/>
      <c r="B17" s="246"/>
      <c r="K17" s="187"/>
    </row>
    <row r="18" spans="1:11">
      <c r="A18" s="78">
        <f>1+A16</f>
        <v>3</v>
      </c>
      <c r="B18" s="245" t="str">
        <f>+'C.2'!C19</f>
        <v>Storage O&amp;M Expense</v>
      </c>
      <c r="D18" s="187">
        <f>+'C.2'!D19</f>
        <v>709797.99</v>
      </c>
      <c r="E18" s="187"/>
      <c r="F18" s="188" t="s">
        <v>1096</v>
      </c>
      <c r="G18" s="187"/>
      <c r="H18" s="187">
        <f>(D18*0.125)</f>
        <v>88724.748749999999</v>
      </c>
      <c r="I18" s="187"/>
      <c r="K18" s="187"/>
    </row>
    <row r="19" spans="1:11">
      <c r="A19" s="78"/>
      <c r="B19" s="246"/>
      <c r="E19" s="187"/>
      <c r="H19" s="187"/>
      <c r="I19" s="187"/>
      <c r="K19" s="187"/>
    </row>
    <row r="20" spans="1:11">
      <c r="A20" s="78">
        <f>1+A18</f>
        <v>4</v>
      </c>
      <c r="B20" s="245" t="str">
        <f>+'C.2'!C20</f>
        <v>Transmission O&amp;M Expense</v>
      </c>
      <c r="D20" s="187">
        <f>+'C.2'!D20</f>
        <v>479476.08</v>
      </c>
      <c r="E20" s="187"/>
      <c r="F20" s="188" t="s">
        <v>1096</v>
      </c>
      <c r="G20" s="187"/>
      <c r="H20" s="187">
        <f>(D20*0.125)</f>
        <v>59934.51</v>
      </c>
      <c r="K20" s="187"/>
    </row>
    <row r="21" spans="1:11">
      <c r="A21" s="78"/>
      <c r="B21" s="246"/>
      <c r="E21" s="187"/>
      <c r="F21" s="227"/>
      <c r="G21" s="187"/>
      <c r="H21" s="187"/>
      <c r="I21" s="187"/>
      <c r="K21" s="187"/>
    </row>
    <row r="22" spans="1:11">
      <c r="A22" s="78">
        <f>1+A20</f>
        <v>5</v>
      </c>
      <c r="B22" s="245" t="str">
        <f>+'C.2'!C21</f>
        <v>Distribution O&amp;M Expense</v>
      </c>
      <c r="D22" s="187">
        <f>+'C.2'!D21</f>
        <v>9376799.950000003</v>
      </c>
      <c r="E22" s="187"/>
      <c r="F22" s="188" t="s">
        <v>1096</v>
      </c>
      <c r="G22" s="187"/>
      <c r="H22" s="187">
        <f>(D22*0.125)</f>
        <v>1172099.9937500004</v>
      </c>
      <c r="I22" s="187"/>
      <c r="K22" s="187"/>
    </row>
    <row r="23" spans="1:11">
      <c r="A23" s="78"/>
      <c r="B23" s="246"/>
      <c r="E23" s="187"/>
      <c r="F23" s="227"/>
      <c r="G23" s="187"/>
      <c r="H23" s="187"/>
      <c r="I23" s="187"/>
      <c r="K23" s="187"/>
    </row>
    <row r="24" spans="1:11">
      <c r="A24" s="78">
        <f>1+A22</f>
        <v>6</v>
      </c>
      <c r="B24" s="246" t="str">
        <f>+'C.2'!C22</f>
        <v>Customer Accting. &amp; Collection</v>
      </c>
      <c r="D24" s="40">
        <f>+'C.2'!D22</f>
        <v>3471519.4699999997</v>
      </c>
      <c r="E24" s="187"/>
      <c r="F24" s="188" t="s">
        <v>1096</v>
      </c>
      <c r="G24" s="187"/>
      <c r="H24" s="187">
        <f>(D24*0.125)</f>
        <v>433939.93374999997</v>
      </c>
      <c r="I24" s="187"/>
      <c r="K24" s="187"/>
    </row>
    <row r="25" spans="1:11">
      <c r="A25" s="78"/>
      <c r="B25" s="246"/>
      <c r="E25" s="187"/>
      <c r="F25" s="227"/>
      <c r="G25" s="187"/>
      <c r="H25" s="187"/>
      <c r="I25" s="187"/>
      <c r="K25" s="187"/>
    </row>
    <row r="26" spans="1:11">
      <c r="A26" s="78">
        <f>1+A24</f>
        <v>7</v>
      </c>
      <c r="B26" s="245" t="str">
        <f>+'C.2'!C23</f>
        <v>Customer Service &amp; Information</v>
      </c>
      <c r="D26" s="187">
        <f>+'C.2'!D23</f>
        <v>113725.03</v>
      </c>
      <c r="E26" s="187"/>
      <c r="F26" s="188" t="s">
        <v>1096</v>
      </c>
      <c r="G26" s="187"/>
      <c r="H26" s="187">
        <f>(D26*0.125)</f>
        <v>14215.62875</v>
      </c>
      <c r="I26" s="187"/>
      <c r="K26" s="187"/>
    </row>
    <row r="27" spans="1:11">
      <c r="A27" s="78"/>
      <c r="B27" s="246"/>
      <c r="D27" s="187"/>
      <c r="E27" s="187"/>
      <c r="F27" s="227"/>
      <c r="G27" s="187"/>
      <c r="H27" s="187"/>
      <c r="I27" s="187"/>
      <c r="K27" s="187"/>
    </row>
    <row r="28" spans="1:11">
      <c r="A28" s="78">
        <f>1+A26</f>
        <v>8</v>
      </c>
      <c r="B28" s="245" t="str">
        <f>+'C.2'!C24</f>
        <v>Sales Expense</v>
      </c>
      <c r="D28" s="187">
        <f>+'C.2'!D24</f>
        <v>416913.23000000004</v>
      </c>
      <c r="E28" s="187"/>
      <c r="F28" s="188" t="s">
        <v>1096</v>
      </c>
      <c r="G28" s="187"/>
      <c r="H28" s="187">
        <f>(D28*0.125)</f>
        <v>52114.153750000005</v>
      </c>
      <c r="I28" s="187"/>
      <c r="K28" s="187"/>
    </row>
    <row r="29" spans="1:11">
      <c r="A29" s="78"/>
      <c r="B29" s="246"/>
      <c r="D29" s="187"/>
      <c r="E29" s="187"/>
      <c r="F29" s="227"/>
      <c r="G29" s="187"/>
      <c r="H29" s="187"/>
      <c r="I29" s="187"/>
      <c r="K29" s="187"/>
    </row>
    <row r="30" spans="1:11">
      <c r="A30" s="78">
        <f>1+A28</f>
        <v>9</v>
      </c>
      <c r="B30" s="245" t="str">
        <f>+'C.2'!C25</f>
        <v>Admin. &amp; General Expense</v>
      </c>
      <c r="D30" s="192">
        <f>+'C.2'!D25</f>
        <v>14769692.249999998</v>
      </c>
      <c r="E30" s="187"/>
      <c r="F30" s="188" t="s">
        <v>1096</v>
      </c>
      <c r="G30" s="187"/>
      <c r="H30" s="192">
        <f>(D30*0.125)</f>
        <v>1846211.5312499998</v>
      </c>
      <c r="I30" s="187"/>
      <c r="K30" s="187"/>
    </row>
    <row r="31" spans="1:11">
      <c r="A31" s="78"/>
      <c r="D31" s="187"/>
      <c r="E31" s="187"/>
      <c r="F31" s="227"/>
      <c r="G31" s="187"/>
      <c r="H31" s="187"/>
      <c r="I31" s="187"/>
      <c r="K31" s="187"/>
    </row>
    <row r="32" spans="1:11" ht="15.75" thickBot="1">
      <c r="A32" s="78">
        <f>1+A30</f>
        <v>10</v>
      </c>
      <c r="B32" s="180" t="s">
        <v>134</v>
      </c>
      <c r="C32" s="195"/>
      <c r="D32" s="476">
        <f>SUM(D16:D30)</f>
        <v>29337924</v>
      </c>
      <c r="E32" s="187"/>
      <c r="G32" s="195"/>
      <c r="H32" s="476">
        <f>+D32*0.125</f>
        <v>3667240.5</v>
      </c>
      <c r="I32" s="187"/>
      <c r="J32" s="40">
        <f>SUM(H16:H30)-H32</f>
        <v>0</v>
      </c>
      <c r="K32" s="187"/>
    </row>
    <row r="33" spans="2:11" ht="15.75" thickTop="1">
      <c r="E33" s="187"/>
      <c r="F33" s="227"/>
      <c r="G33" s="187"/>
      <c r="H33" s="187"/>
      <c r="I33" s="187"/>
      <c r="K33" s="187"/>
    </row>
    <row r="34" spans="2:11">
      <c r="E34" s="187"/>
      <c r="G34" s="187"/>
      <c r="H34" s="187"/>
      <c r="I34" s="187"/>
    </row>
    <row r="35" spans="2:11">
      <c r="B35" s="180"/>
      <c r="G35" s="187"/>
      <c r="H35" s="187"/>
      <c r="I35" s="187"/>
    </row>
    <row r="36" spans="2:11">
      <c r="B36" s="180"/>
      <c r="G36" s="187"/>
      <c r="H36" s="187"/>
      <c r="I36" s="187"/>
    </row>
    <row r="37" spans="2:11">
      <c r="B37" s="180"/>
      <c r="G37" s="187"/>
      <c r="H37" s="187"/>
      <c r="I37" s="187"/>
    </row>
    <row r="38" spans="2:11">
      <c r="G38" s="187"/>
      <c r="H38" s="187"/>
      <c r="I38" s="187"/>
    </row>
    <row r="39" spans="2:11">
      <c r="G39" s="187"/>
      <c r="H39" s="187"/>
      <c r="I39" s="187"/>
    </row>
    <row r="40" spans="2:11">
      <c r="G40" s="187"/>
      <c r="H40" s="187"/>
      <c r="I40" s="187"/>
    </row>
    <row r="41" spans="2:11">
      <c r="G41" s="187"/>
      <c r="H41" s="187"/>
      <c r="I41" s="187"/>
    </row>
  </sheetData>
  <mergeCells count="4">
    <mergeCell ref="A1:H1"/>
    <mergeCell ref="A2:H2"/>
    <mergeCell ref="A3:H3"/>
    <mergeCell ref="A4:H4"/>
  </mergeCells>
  <phoneticPr fontId="23" type="noConversion"/>
  <printOptions horizontalCentered="1"/>
  <pageMargins left="0.75" right="0.75" top="0.83" bottom="1.02" header="0.5" footer="0.5"/>
  <pageSetup scale="94" orientation="landscape" verticalDpi="300" r:id="rId1"/>
  <headerFooter alignWithMargins="0">
    <oddFooter>&amp;RSchedule &amp;A
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>
    <pageSetUpPr fitToPage="1"/>
  </sheetPr>
  <dimension ref="A1:K46"/>
  <sheetViews>
    <sheetView view="pageBreakPreview" zoomScale="70" zoomScaleNormal="90" zoomScaleSheetLayoutView="70" workbookViewId="0">
      <selection sqref="A1:H1"/>
    </sheetView>
  </sheetViews>
  <sheetFormatPr defaultColWidth="8.44140625" defaultRowHeight="15"/>
  <cols>
    <col min="1" max="1" width="6.6640625" style="1" customWidth="1"/>
    <col min="2" max="2" width="34.109375" style="1" customWidth="1"/>
    <col min="3" max="3" width="4.44140625" style="1" customWidth="1"/>
    <col min="4" max="4" width="12.6640625" style="1" customWidth="1"/>
    <col min="5" max="5" width="4.6640625" style="1" customWidth="1"/>
    <col min="6" max="6" width="13.5546875" style="1" customWidth="1"/>
    <col min="7" max="7" width="3.21875" style="1" customWidth="1"/>
    <col min="8" max="8" width="14.44140625" style="1" customWidth="1"/>
    <col min="9" max="9" width="6.6640625" style="1" customWidth="1"/>
    <col min="10" max="10" width="7.5546875" style="1" customWidth="1"/>
    <col min="11" max="11" width="3.33203125" style="1" customWidth="1"/>
    <col min="12" max="12" width="11.88671875" style="1" customWidth="1"/>
    <col min="13" max="13" width="3.33203125" style="1" customWidth="1"/>
    <col min="14" max="14" width="14.44140625" style="1" customWidth="1"/>
    <col min="15" max="16384" width="8.44140625" style="1"/>
  </cols>
  <sheetData>
    <row r="1" spans="1:11">
      <c r="A1" s="1203" t="str">
        <f>'Table of Contents'!A1:C1</f>
        <v>Atmos Energy Corporation, Kentucky/Mid-States Division</v>
      </c>
      <c r="B1" s="1203"/>
      <c r="C1" s="1203"/>
      <c r="D1" s="1203"/>
      <c r="E1" s="1203"/>
      <c r="F1" s="1203"/>
      <c r="G1" s="1203"/>
      <c r="H1" s="1203"/>
    </row>
    <row r="2" spans="1:11">
      <c r="A2" s="1203" t="str">
        <f>'Table of Contents'!A2:C2</f>
        <v>Kentucky Jurisdiction Case No. 2018-00281</v>
      </c>
      <c r="B2" s="1203"/>
      <c r="C2" s="1203"/>
      <c r="D2" s="1203"/>
      <c r="E2" s="1203"/>
      <c r="F2" s="1203"/>
      <c r="G2" s="1203"/>
      <c r="H2" s="1203"/>
    </row>
    <row r="3" spans="1:11">
      <c r="A3" s="1203" t="s">
        <v>1165</v>
      </c>
      <c r="B3" s="1203"/>
      <c r="C3" s="1203"/>
      <c r="D3" s="1203"/>
      <c r="E3" s="1203"/>
      <c r="F3" s="1203"/>
      <c r="G3" s="1203"/>
      <c r="H3" s="1203"/>
    </row>
    <row r="4" spans="1:11">
      <c r="A4" s="1203" t="str">
        <f>'B.1 F '!A4</f>
        <v>as of March 31, 2020</v>
      </c>
      <c r="B4" s="1203"/>
      <c r="C4" s="1203"/>
      <c r="D4" s="1203"/>
      <c r="E4" s="1203"/>
      <c r="F4" s="1203"/>
      <c r="G4" s="1203"/>
      <c r="H4" s="1203"/>
    </row>
    <row r="5" spans="1:11">
      <c r="A5" s="169"/>
      <c r="B5" s="169"/>
      <c r="C5" s="169"/>
      <c r="D5" s="169"/>
      <c r="E5" s="169"/>
      <c r="F5" s="169"/>
      <c r="G5" s="169"/>
      <c r="H5" s="169"/>
    </row>
    <row r="7" spans="1:11">
      <c r="A7" s="4" t="str">
        <f>'B.1 F '!A6</f>
        <v>Data:______Base Period__X___Forecasted Period</v>
      </c>
      <c r="H7" s="375" t="s">
        <v>1420</v>
      </c>
    </row>
    <row r="8" spans="1:11">
      <c r="A8" s="4" t="str">
        <f>'B.1 F '!A7</f>
        <v>Type of Filing:___X____Original________Updated ________Revised</v>
      </c>
      <c r="B8" s="4"/>
      <c r="H8" s="488" t="s">
        <v>706</v>
      </c>
    </row>
    <row r="9" spans="1:11">
      <c r="A9" s="51" t="str">
        <f>'B.1 F '!A8</f>
        <v>Workpaper Reference No(s).</v>
      </c>
      <c r="B9" s="6"/>
      <c r="C9" s="6"/>
      <c r="D9" s="6"/>
      <c r="E9" s="6"/>
      <c r="F9" s="6"/>
      <c r="G9" s="6"/>
      <c r="H9" s="489" t="str">
        <f>'B.4.2 B'!H9</f>
        <v>Witness: Waller, Christian</v>
      </c>
      <c r="I9" s="35"/>
    </row>
    <row r="10" spans="1:11">
      <c r="A10" s="2" t="s">
        <v>93</v>
      </c>
      <c r="D10" s="2" t="s">
        <v>488</v>
      </c>
      <c r="F10" s="2" t="s">
        <v>32</v>
      </c>
      <c r="H10" s="2" t="s">
        <v>97</v>
      </c>
      <c r="I10" s="35"/>
    </row>
    <row r="11" spans="1:11">
      <c r="A11" s="32" t="s">
        <v>99</v>
      </c>
      <c r="B11" s="32" t="s">
        <v>985</v>
      </c>
      <c r="C11" s="33"/>
      <c r="D11" s="32" t="s">
        <v>102</v>
      </c>
      <c r="E11" s="33"/>
      <c r="F11" s="32" t="s">
        <v>103</v>
      </c>
      <c r="G11" s="33"/>
      <c r="H11" s="32" t="s">
        <v>104</v>
      </c>
      <c r="I11" s="35"/>
    </row>
    <row r="12" spans="1:11">
      <c r="A12" s="34"/>
      <c r="B12" s="34"/>
      <c r="C12" s="35"/>
      <c r="D12" s="34" t="s">
        <v>1092</v>
      </c>
      <c r="E12" s="35"/>
      <c r="F12" s="34" t="s">
        <v>1093</v>
      </c>
      <c r="G12" s="35"/>
      <c r="H12" s="34" t="s">
        <v>1094</v>
      </c>
      <c r="I12" s="35"/>
    </row>
    <row r="13" spans="1:11">
      <c r="I13" s="35"/>
    </row>
    <row r="14" spans="1:11">
      <c r="A14" s="54">
        <v>1</v>
      </c>
      <c r="B14" s="4" t="s">
        <v>784</v>
      </c>
      <c r="D14" s="10"/>
      <c r="H14" s="10"/>
      <c r="I14" s="35"/>
      <c r="K14" s="10"/>
    </row>
    <row r="15" spans="1:11">
      <c r="A15" s="54"/>
      <c r="E15" s="10"/>
      <c r="F15" s="11"/>
      <c r="G15" s="10"/>
      <c r="H15" s="10"/>
      <c r="I15" s="42"/>
      <c r="K15" s="10"/>
    </row>
    <row r="16" spans="1:11">
      <c r="A16" s="54">
        <f>1+A14</f>
        <v>2</v>
      </c>
      <c r="B16" s="165" t="str">
        <f>+'C.2'!C18</f>
        <v>Production O&amp;M Expense</v>
      </c>
      <c r="D16" s="468">
        <f>+'C.2'!O18</f>
        <v>0</v>
      </c>
      <c r="F16" s="2" t="s">
        <v>1096</v>
      </c>
      <c r="H16" s="468">
        <f>(D16*0.125)</f>
        <v>0</v>
      </c>
    </row>
    <row r="17" spans="1:11">
      <c r="A17" s="54"/>
      <c r="B17" s="156"/>
    </row>
    <row r="18" spans="1:11">
      <c r="A18" s="54">
        <f>1+A16</f>
        <v>3</v>
      </c>
      <c r="B18" s="165" t="str">
        <f>+'C.2'!C19</f>
        <v>Storage O&amp;M Expense</v>
      </c>
      <c r="D18" s="10">
        <f>+'C.2'!O19</f>
        <v>488914.10970909288</v>
      </c>
      <c r="E18" s="10"/>
      <c r="F18" s="2" t="s">
        <v>1096</v>
      </c>
      <c r="G18" s="10"/>
      <c r="H18" s="10">
        <f>(D18*0.125)</f>
        <v>61114.26371363661</v>
      </c>
      <c r="I18" s="10"/>
      <c r="K18" s="10"/>
    </row>
    <row r="19" spans="1:11">
      <c r="A19" s="54"/>
      <c r="B19" s="156"/>
      <c r="E19" s="10"/>
      <c r="H19" s="10"/>
      <c r="I19" s="10"/>
      <c r="K19" s="10"/>
    </row>
    <row r="20" spans="1:11">
      <c r="A20" s="54">
        <f>1+A18</f>
        <v>4</v>
      </c>
      <c r="B20" s="165" t="str">
        <f>+'C.2'!C20</f>
        <v>Transmission O&amp;M Expense</v>
      </c>
      <c r="D20" s="10">
        <f>+'C.2'!O20</f>
        <v>410103.04958446958</v>
      </c>
      <c r="E20" s="10"/>
      <c r="F20" s="2" t="s">
        <v>1096</v>
      </c>
      <c r="G20" s="10"/>
      <c r="H20" s="10">
        <f>(D20*0.125)</f>
        <v>51262.881198058698</v>
      </c>
      <c r="K20" s="10"/>
    </row>
    <row r="21" spans="1:11">
      <c r="A21" s="54"/>
      <c r="B21" s="156"/>
      <c r="E21" s="10"/>
      <c r="F21" s="11"/>
      <c r="G21" s="10"/>
      <c r="H21" s="10"/>
      <c r="I21" s="10"/>
      <c r="K21" s="10"/>
    </row>
    <row r="22" spans="1:11">
      <c r="A22" s="54">
        <f>1+A20</f>
        <v>5</v>
      </c>
      <c r="B22" s="165" t="str">
        <f>+'C.2'!C21</f>
        <v>Distribution O&amp;M Expense</v>
      </c>
      <c r="D22" s="10">
        <f>+'C.2'!O21</f>
        <v>7342105.8008699305</v>
      </c>
      <c r="E22" s="10"/>
      <c r="F22" s="2" t="s">
        <v>1096</v>
      </c>
      <c r="G22" s="10"/>
      <c r="H22" s="10">
        <f>(D22*0.125)</f>
        <v>917763.22510874132</v>
      </c>
      <c r="I22" s="10"/>
      <c r="K22" s="10"/>
    </row>
    <row r="23" spans="1:11">
      <c r="A23" s="54"/>
      <c r="B23" s="156"/>
      <c r="E23" s="10"/>
      <c r="F23" s="11"/>
      <c r="G23" s="10"/>
      <c r="H23" s="10"/>
      <c r="I23" s="10"/>
      <c r="K23" s="10"/>
    </row>
    <row r="24" spans="1:11">
      <c r="A24" s="54">
        <f>1+A22</f>
        <v>6</v>
      </c>
      <c r="B24" s="156" t="str">
        <f>+'C.2'!C22</f>
        <v>Customer Accting. &amp; Collection</v>
      </c>
      <c r="D24" s="1">
        <f>+'C.2'!O22</f>
        <v>2646899.916810086</v>
      </c>
      <c r="E24" s="10"/>
      <c r="F24" s="2" t="s">
        <v>1096</v>
      </c>
      <c r="G24" s="10"/>
      <c r="H24" s="10">
        <f>(D24*0.125)</f>
        <v>330862.48960126075</v>
      </c>
      <c r="I24" s="10"/>
      <c r="K24" s="10"/>
    </row>
    <row r="25" spans="1:11">
      <c r="A25" s="54"/>
      <c r="B25" s="156"/>
      <c r="E25" s="10"/>
      <c r="F25" s="11"/>
      <c r="G25" s="10"/>
      <c r="H25" s="10"/>
      <c r="I25" s="10"/>
      <c r="K25" s="10"/>
    </row>
    <row r="26" spans="1:11">
      <c r="A26" s="54">
        <f>1+A24</f>
        <v>7</v>
      </c>
      <c r="B26" s="165" t="str">
        <f>+'C.2'!C23</f>
        <v>Customer Service &amp; Information</v>
      </c>
      <c r="D26" s="10">
        <f>+'C.2'!O23</f>
        <v>128271.64717990512</v>
      </c>
      <c r="E26" s="10"/>
      <c r="F26" s="2" t="s">
        <v>1096</v>
      </c>
      <c r="G26" s="10"/>
      <c r="H26" s="10">
        <f>(D26*0.125)</f>
        <v>16033.95589748814</v>
      </c>
      <c r="I26" s="10"/>
      <c r="K26" s="10"/>
    </row>
    <row r="27" spans="1:11">
      <c r="A27" s="54"/>
      <c r="B27" s="156"/>
      <c r="D27" s="10"/>
      <c r="E27" s="10"/>
      <c r="F27" s="11"/>
      <c r="G27" s="10"/>
      <c r="H27" s="10"/>
      <c r="I27" s="10"/>
      <c r="K27" s="10"/>
    </row>
    <row r="28" spans="1:11">
      <c r="A28" s="54">
        <f>1+A26</f>
        <v>8</v>
      </c>
      <c r="B28" s="165" t="str">
        <f>+'C.2'!C24</f>
        <v>Sales Expense</v>
      </c>
      <c r="D28" s="10">
        <f>+'C.2'!O24</f>
        <v>208277.70350632601</v>
      </c>
      <c r="E28" s="10"/>
      <c r="F28" s="2" t="s">
        <v>1096</v>
      </c>
      <c r="G28" s="10"/>
      <c r="H28" s="10">
        <f>(D28*0.125)</f>
        <v>26034.712938290751</v>
      </c>
      <c r="I28" s="10"/>
      <c r="K28" s="10"/>
    </row>
    <row r="29" spans="1:11">
      <c r="A29" s="54"/>
      <c r="B29" s="156"/>
      <c r="D29" s="10"/>
      <c r="E29" s="10"/>
      <c r="F29" s="11"/>
      <c r="G29" s="10"/>
      <c r="H29" s="10"/>
      <c r="I29" s="10"/>
      <c r="K29" s="10"/>
    </row>
    <row r="30" spans="1:11">
      <c r="A30" s="54">
        <f>1+A28</f>
        <v>9</v>
      </c>
      <c r="B30" s="165" t="str">
        <f>+'C.2'!C25</f>
        <v>Admin. &amp; General Expense</v>
      </c>
      <c r="D30" s="17">
        <f>+'C.2'!O25</f>
        <v>15996974.126131296</v>
      </c>
      <c r="E30" s="10"/>
      <c r="F30" s="2" t="s">
        <v>1096</v>
      </c>
      <c r="G30" s="10"/>
      <c r="H30" s="17">
        <f>(D30*0.125)</f>
        <v>1999621.765766412</v>
      </c>
      <c r="I30" s="10"/>
      <c r="K30" s="10"/>
    </row>
    <row r="31" spans="1:11">
      <c r="A31" s="54"/>
      <c r="D31" s="10"/>
      <c r="E31" s="10"/>
      <c r="F31" s="11"/>
      <c r="G31" s="10"/>
      <c r="H31" s="10"/>
      <c r="I31" s="10"/>
      <c r="K31" s="10"/>
    </row>
    <row r="32" spans="1:11" ht="15.75" thickBot="1">
      <c r="A32" s="54">
        <f>1+A30</f>
        <v>10</v>
      </c>
      <c r="B32" s="4" t="s">
        <v>134</v>
      </c>
      <c r="C32" s="81"/>
      <c r="D32" s="308">
        <f>SUM(D16:D30)</f>
        <v>27221546.353791106</v>
      </c>
      <c r="E32" s="10"/>
      <c r="G32" s="81"/>
      <c r="H32" s="308">
        <f>+D32*0.125</f>
        <v>3402693.2942238883</v>
      </c>
      <c r="I32" s="10"/>
      <c r="K32" s="10"/>
    </row>
    <row r="33" spans="1:11" ht="15.75" thickTop="1">
      <c r="E33" s="10"/>
      <c r="F33" s="11"/>
      <c r="G33" s="10"/>
      <c r="H33" s="10"/>
      <c r="I33" s="10"/>
      <c r="K33" s="10"/>
    </row>
    <row r="34" spans="1:11">
      <c r="E34" s="10"/>
      <c r="G34" s="10"/>
      <c r="H34" s="73"/>
      <c r="I34" s="10"/>
      <c r="K34" s="10"/>
    </row>
    <row r="35" spans="1:11">
      <c r="E35" s="10"/>
      <c r="F35" s="11"/>
      <c r="G35" s="10"/>
      <c r="H35" s="10"/>
      <c r="I35" s="10"/>
      <c r="K35" s="10"/>
    </row>
    <row r="36" spans="1:11">
      <c r="E36" s="10"/>
      <c r="G36" s="10"/>
      <c r="H36" s="10"/>
      <c r="I36" s="10"/>
    </row>
    <row r="37" spans="1:11">
      <c r="E37" s="10"/>
      <c r="G37" s="10"/>
      <c r="H37" s="10"/>
      <c r="I37" s="10"/>
      <c r="K37" s="10"/>
    </row>
    <row r="38" spans="1:11">
      <c r="E38" s="10"/>
      <c r="G38" s="10"/>
      <c r="H38" s="40"/>
      <c r="I38" s="10"/>
    </row>
    <row r="39" spans="1:11">
      <c r="A39" s="4"/>
      <c r="B39" s="4"/>
      <c r="G39" s="10"/>
      <c r="H39" s="10"/>
      <c r="I39" s="10"/>
    </row>
    <row r="40" spans="1:11">
      <c r="B40" s="4"/>
      <c r="G40" s="10"/>
      <c r="H40" s="10"/>
      <c r="I40" s="10"/>
    </row>
    <row r="41" spans="1:11">
      <c r="B41" s="4"/>
      <c r="G41" s="10"/>
      <c r="H41" s="10"/>
      <c r="I41" s="10"/>
    </row>
    <row r="42" spans="1:11">
      <c r="B42" s="4"/>
      <c r="G42" s="10"/>
      <c r="H42" s="10"/>
      <c r="I42" s="10"/>
    </row>
    <row r="43" spans="1:11">
      <c r="G43" s="10"/>
      <c r="H43" s="10"/>
      <c r="I43" s="10"/>
    </row>
    <row r="44" spans="1:11">
      <c r="G44" s="10"/>
      <c r="H44" s="10"/>
      <c r="I44" s="10"/>
    </row>
    <row r="45" spans="1:11">
      <c r="G45" s="10"/>
      <c r="H45" s="10"/>
      <c r="I45" s="10"/>
    </row>
    <row r="46" spans="1:11">
      <c r="G46" s="10"/>
      <c r="H46" s="10"/>
      <c r="I46" s="10"/>
    </row>
  </sheetData>
  <mergeCells count="4">
    <mergeCell ref="A1:H1"/>
    <mergeCell ref="A2:H2"/>
    <mergeCell ref="A3:H3"/>
    <mergeCell ref="A4:H4"/>
  </mergeCells>
  <phoneticPr fontId="23" type="noConversion"/>
  <printOptions horizontalCentered="1"/>
  <pageMargins left="0.75" right="0.75" top="0.86" bottom="1.18" header="0.5" footer="0.45"/>
  <pageSetup scale="94" orientation="landscape" verticalDpi="300" r:id="rId1"/>
  <headerFooter alignWithMargins="0">
    <oddFooter>&amp;RSchedule &amp;A
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Q70"/>
  <sheetViews>
    <sheetView view="pageBreakPreview" zoomScale="70" zoomScaleNormal="70" zoomScaleSheetLayoutView="70" workbookViewId="0">
      <pane ySplit="11" topLeftCell="A12" activePane="bottomLeft" state="frozen"/>
      <selection activeCell="B6" sqref="B6"/>
      <selection pane="bottomLeft" activeCell="H42" sqref="H42"/>
    </sheetView>
  </sheetViews>
  <sheetFormatPr defaultColWidth="8.44140625" defaultRowHeight="15"/>
  <cols>
    <col min="1" max="1" width="5.77734375" style="1" customWidth="1"/>
    <col min="2" max="2" width="4.21875" style="1" customWidth="1"/>
    <col min="3" max="3" width="49.33203125" style="1" customWidth="1"/>
    <col min="4" max="4" width="13.109375" style="1" customWidth="1"/>
    <col min="5" max="5" width="11.77734375" style="54" bestFit="1" customWidth="1"/>
    <col min="6" max="6" width="11.77734375" style="54" customWidth="1"/>
    <col min="7" max="7" width="14" style="1" customWidth="1"/>
    <col min="8" max="8" width="4.33203125" style="74" customWidth="1"/>
    <col min="9" max="9" width="13.109375" style="1" customWidth="1"/>
    <col min="10" max="11" width="11.88671875" style="54" customWidth="1"/>
    <col min="12" max="12" width="18.33203125" style="1" customWidth="1"/>
    <col min="13" max="16384" width="8.44140625" style="1"/>
  </cols>
  <sheetData>
    <row r="1" spans="1:12">
      <c r="A1" s="1193" t="str">
        <f>Allocation!A1</f>
        <v>Atmos Energy Corporation, Kentucky/Mid-States Division</v>
      </c>
      <c r="B1" s="1193"/>
      <c r="C1" s="1193"/>
      <c r="D1" s="1193"/>
      <c r="E1" s="1193"/>
      <c r="F1" s="1193"/>
      <c r="G1" s="1193"/>
      <c r="H1" s="1193"/>
      <c r="I1" s="1193"/>
      <c r="J1" s="1193"/>
      <c r="K1" s="1193"/>
      <c r="L1" s="1193"/>
    </row>
    <row r="2" spans="1:12">
      <c r="A2" s="1193" t="str">
        <f>Allocation!A2</f>
        <v>Kentucky Jurisdiction Case No. 2018-00281</v>
      </c>
      <c r="B2" s="1193"/>
      <c r="C2" s="1193"/>
      <c r="D2" s="1193"/>
      <c r="E2" s="1193"/>
      <c r="F2" s="1193"/>
      <c r="G2" s="1193"/>
      <c r="H2" s="1193"/>
      <c r="I2" s="1193"/>
      <c r="J2" s="1193"/>
      <c r="K2" s="1193"/>
      <c r="L2" s="1193"/>
    </row>
    <row r="3" spans="1:12">
      <c r="A3" s="1193" t="s">
        <v>510</v>
      </c>
      <c r="B3" s="1193"/>
      <c r="C3" s="1193"/>
      <c r="D3" s="1193"/>
      <c r="E3" s="1193"/>
      <c r="F3" s="1193"/>
      <c r="G3" s="1193"/>
      <c r="H3" s="1193"/>
      <c r="I3" s="1193"/>
      <c r="J3" s="1193"/>
      <c r="K3" s="1193"/>
      <c r="L3" s="1193"/>
    </row>
    <row r="4" spans="1:12">
      <c r="A4" s="1193" t="str">
        <f>'B.1 B'!A4</f>
        <v>as of December 31, 2018</v>
      </c>
      <c r="B4" s="1193"/>
      <c r="C4" s="1193"/>
      <c r="D4" s="1193"/>
      <c r="E4" s="1193"/>
      <c r="F4" s="1193"/>
      <c r="G4" s="1193"/>
      <c r="H4" s="1193"/>
      <c r="I4" s="1193"/>
      <c r="J4" s="1193"/>
      <c r="K4" s="1193"/>
      <c r="L4" s="1193"/>
    </row>
    <row r="5" spans="1:12">
      <c r="A5" s="31"/>
      <c r="B5" s="30"/>
      <c r="C5" s="30"/>
      <c r="D5" s="30"/>
      <c r="G5" s="30"/>
      <c r="H5" s="370"/>
      <c r="I5" s="30"/>
    </row>
    <row r="6" spans="1:12" ht="15.75">
      <c r="A6" s="48" t="s">
        <v>788</v>
      </c>
      <c r="B6" s="48"/>
      <c r="C6" s="35"/>
      <c r="D6" s="592"/>
      <c r="L6" s="1" t="s">
        <v>1421</v>
      </c>
    </row>
    <row r="7" spans="1:12">
      <c r="A7" s="48" t="s">
        <v>1121</v>
      </c>
      <c r="B7" s="35"/>
      <c r="C7" s="48"/>
      <c r="L7" s="1" t="s">
        <v>707</v>
      </c>
    </row>
    <row r="8" spans="1:12">
      <c r="A8" s="48" t="s">
        <v>426</v>
      </c>
      <c r="B8" s="35"/>
      <c r="C8" s="35"/>
      <c r="D8" s="35"/>
      <c r="E8" s="221"/>
      <c r="F8" s="221"/>
      <c r="G8" s="35"/>
      <c r="I8" s="35"/>
      <c r="J8" s="221"/>
      <c r="K8" s="221"/>
      <c r="L8" s="35" t="s">
        <v>1682</v>
      </c>
    </row>
    <row r="9" spans="1:12">
      <c r="A9" s="248"/>
      <c r="B9" s="59"/>
      <c r="C9" s="59"/>
      <c r="D9" s="481"/>
      <c r="E9" s="338" t="s">
        <v>13</v>
      </c>
      <c r="F9" s="339" t="s">
        <v>11</v>
      </c>
      <c r="G9" s="482" t="s">
        <v>97</v>
      </c>
      <c r="H9" s="75"/>
      <c r="I9" s="484"/>
      <c r="J9" s="338" t="s">
        <v>13</v>
      </c>
      <c r="K9" s="339" t="s">
        <v>11</v>
      </c>
      <c r="L9" s="388"/>
    </row>
    <row r="10" spans="1:12">
      <c r="A10" s="334" t="s">
        <v>93</v>
      </c>
      <c r="B10" s="34"/>
      <c r="C10" s="35"/>
      <c r="D10" s="335"/>
      <c r="E10" s="34" t="s">
        <v>14</v>
      </c>
      <c r="F10" s="75" t="s">
        <v>594</v>
      </c>
      <c r="G10" s="331" t="s">
        <v>1166</v>
      </c>
      <c r="H10" s="75"/>
      <c r="I10" s="334" t="s">
        <v>92</v>
      </c>
      <c r="J10" s="34" t="s">
        <v>14</v>
      </c>
      <c r="K10" s="75" t="s">
        <v>594</v>
      </c>
      <c r="L10" s="485" t="s">
        <v>12</v>
      </c>
    </row>
    <row r="11" spans="1:12">
      <c r="A11" s="332" t="s">
        <v>99</v>
      </c>
      <c r="B11" s="32"/>
      <c r="C11" s="56" t="s">
        <v>338</v>
      </c>
      <c r="D11" s="483" t="s">
        <v>1056</v>
      </c>
      <c r="E11" s="185" t="s">
        <v>627</v>
      </c>
      <c r="F11" s="185" t="s">
        <v>627</v>
      </c>
      <c r="G11" s="333" t="s">
        <v>105</v>
      </c>
      <c r="H11" s="75"/>
      <c r="I11" s="332" t="s">
        <v>98</v>
      </c>
      <c r="J11" s="185" t="s">
        <v>627</v>
      </c>
      <c r="K11" s="185" t="s">
        <v>627</v>
      </c>
      <c r="L11" s="486" t="s">
        <v>104</v>
      </c>
    </row>
    <row r="12" spans="1:12" ht="15.75">
      <c r="B12" s="12" t="s">
        <v>213</v>
      </c>
      <c r="G12" s="81"/>
    </row>
    <row r="13" spans="1:12">
      <c r="A13" s="2">
        <v>1</v>
      </c>
      <c r="C13" s="16" t="s">
        <v>773</v>
      </c>
      <c r="D13" s="306">
        <f>'WP B.5 B'!P13</f>
        <v>10483201</v>
      </c>
      <c r="E13" s="477">
        <v>1</v>
      </c>
      <c r="F13" s="477">
        <v>1</v>
      </c>
      <c r="G13" s="306">
        <f>D13*E13*F13</f>
        <v>10483201</v>
      </c>
      <c r="H13" s="77"/>
      <c r="I13" s="306">
        <f>'WP B.5 B'!Q13</f>
        <v>9788364.63722088</v>
      </c>
      <c r="J13" s="477">
        <v>1</v>
      </c>
      <c r="K13" s="477">
        <v>1</v>
      </c>
      <c r="L13" s="306">
        <f>I13*J13*K13</f>
        <v>9788364.63722088</v>
      </c>
    </row>
    <row r="14" spans="1:12" ht="14.25" customHeight="1">
      <c r="A14" s="2">
        <v>2</v>
      </c>
      <c r="B14" s="373"/>
      <c r="C14" s="4"/>
      <c r="D14" s="77"/>
      <c r="E14" s="477"/>
      <c r="F14" s="477"/>
      <c r="G14" s="77"/>
      <c r="H14" s="77"/>
      <c r="I14" s="77"/>
      <c r="J14" s="479"/>
      <c r="K14" s="479"/>
      <c r="L14" s="77"/>
    </row>
    <row r="15" spans="1:12">
      <c r="A15" s="2">
        <v>3</v>
      </c>
      <c r="C15" s="16" t="s">
        <v>674</v>
      </c>
      <c r="D15" s="73">
        <f>'WP B.5 B'!P15</f>
        <v>-66268035</v>
      </c>
      <c r="E15" s="477">
        <f>$E$13</f>
        <v>1</v>
      </c>
      <c r="F15" s="477">
        <f>$E$13</f>
        <v>1</v>
      </c>
      <c r="G15" s="73">
        <f>D15*E15*F15</f>
        <v>-66268035</v>
      </c>
      <c r="H15" s="77"/>
      <c r="I15" s="73">
        <f>'WP B.5 B'!Q15</f>
        <v>-66268035</v>
      </c>
      <c r="J15" s="477">
        <f>$E$13</f>
        <v>1</v>
      </c>
      <c r="K15" s="477">
        <f>$E$13</f>
        <v>1</v>
      </c>
      <c r="L15" s="73">
        <f>I15*J15*K15</f>
        <v>-66268035</v>
      </c>
    </row>
    <row r="16" spans="1:12" ht="14.25" customHeight="1">
      <c r="A16" s="2">
        <v>4</v>
      </c>
      <c r="B16" s="373"/>
      <c r="C16" s="4"/>
      <c r="D16" s="77"/>
      <c r="E16" s="477"/>
      <c r="F16" s="477"/>
      <c r="G16" s="77"/>
      <c r="H16" s="77"/>
      <c r="I16" s="77"/>
      <c r="J16" s="479"/>
      <c r="K16" s="479"/>
      <c r="L16" s="77"/>
    </row>
    <row r="17" spans="1:17">
      <c r="A17" s="2">
        <v>5</v>
      </c>
      <c r="C17" s="16" t="s">
        <v>675</v>
      </c>
      <c r="D17" s="73">
        <f>'WP B.5 B'!P17</f>
        <v>-7784</v>
      </c>
      <c r="E17" s="477">
        <f>$E$13</f>
        <v>1</v>
      </c>
      <c r="F17" s="477">
        <f>$E$13</f>
        <v>1</v>
      </c>
      <c r="G17" s="73">
        <f>D17*E17*F17</f>
        <v>-7784</v>
      </c>
      <c r="H17" s="77"/>
      <c r="I17" s="73">
        <f>'WP B.5 B'!Q17</f>
        <v>-7784</v>
      </c>
      <c r="J17" s="477">
        <f>$E$13</f>
        <v>1</v>
      </c>
      <c r="K17" s="477">
        <f>$E$13</f>
        <v>1</v>
      </c>
      <c r="L17" s="73">
        <f>I17*J17*K17</f>
        <v>-7784</v>
      </c>
    </row>
    <row r="18" spans="1:17" ht="14.25" customHeight="1">
      <c r="A18" s="2">
        <v>6</v>
      </c>
      <c r="B18" s="373"/>
      <c r="C18" s="4"/>
      <c r="D18" s="77"/>
      <c r="E18" s="21"/>
      <c r="F18" s="21"/>
      <c r="G18" s="77"/>
      <c r="H18" s="77"/>
      <c r="I18" s="77"/>
      <c r="J18" s="76"/>
      <c r="K18" s="76"/>
      <c r="L18" s="77"/>
    </row>
    <row r="19" spans="1:17">
      <c r="A19" s="2">
        <v>7</v>
      </c>
      <c r="C19" s="22" t="s">
        <v>31</v>
      </c>
      <c r="D19" s="574">
        <f>SUM(D13:D17)</f>
        <v>-55792618</v>
      </c>
      <c r="E19" s="21"/>
      <c r="F19" s="21"/>
      <c r="G19" s="574">
        <f>SUM(G13:G17)</f>
        <v>-55792618</v>
      </c>
      <c r="I19" s="574">
        <f>SUM(I13:I17)</f>
        <v>-56487454.362779118</v>
      </c>
      <c r="J19" s="221"/>
      <c r="K19" s="221"/>
      <c r="L19" s="574">
        <f>SUM(L13:L17)</f>
        <v>-56487454.362779118</v>
      </c>
    </row>
    <row r="20" spans="1:17" ht="14.25" customHeight="1">
      <c r="A20" s="2">
        <v>8</v>
      </c>
      <c r="B20" s="373"/>
      <c r="C20" s="4"/>
      <c r="D20" s="77"/>
      <c r="E20" s="21"/>
      <c r="F20" s="21"/>
      <c r="G20" s="77"/>
      <c r="H20" s="77"/>
      <c r="I20" s="77"/>
      <c r="J20" s="76"/>
      <c r="K20" s="76"/>
      <c r="L20" s="77"/>
    </row>
    <row r="21" spans="1:17" ht="15.75">
      <c r="A21" s="2">
        <v>9</v>
      </c>
      <c r="B21" s="12" t="s">
        <v>214</v>
      </c>
    </row>
    <row r="22" spans="1:17">
      <c r="A22" s="2">
        <v>10</v>
      </c>
      <c r="C22" s="16" t="s">
        <v>673</v>
      </c>
      <c r="D22" s="306">
        <f>'WP B.5 B'!P22</f>
        <v>644283058</v>
      </c>
      <c r="E22" s="398">
        <f>Allocation!G14</f>
        <v>0.104</v>
      </c>
      <c r="F22" s="398">
        <f>Allocation!H14</f>
        <v>0.49780000000000002</v>
      </c>
      <c r="G22" s="306">
        <f>D22*E22*F22</f>
        <v>33355307.0523296</v>
      </c>
      <c r="H22" s="77"/>
      <c r="I22" s="306">
        <f>'WP B.5 B'!Q22</f>
        <v>509750524.69230771</v>
      </c>
      <c r="J22" s="422">
        <f>E22</f>
        <v>0.104</v>
      </c>
      <c r="K22" s="422">
        <f>F22</f>
        <v>0.49780000000000002</v>
      </c>
      <c r="L22" s="306">
        <f>I22*J22*K22</f>
        <v>26390396.363950398</v>
      </c>
      <c r="P22" s="817">
        <f>E22*F22</f>
        <v>5.1771199999999996E-2</v>
      </c>
      <c r="Q22" s="817">
        <f>J22*K22</f>
        <v>5.1771199999999996E-2</v>
      </c>
    </row>
    <row r="23" spans="1:17" ht="14.25" customHeight="1">
      <c r="A23" s="2">
        <v>11</v>
      </c>
      <c r="B23" s="373"/>
      <c r="C23" s="4"/>
      <c r="D23" s="77"/>
      <c r="E23" s="21"/>
      <c r="F23" s="21"/>
      <c r="G23" s="77"/>
      <c r="H23" s="77"/>
      <c r="I23" s="77"/>
      <c r="J23" s="76"/>
      <c r="K23" s="76"/>
      <c r="L23" s="77"/>
      <c r="P23" s="817"/>
      <c r="Q23" s="818"/>
    </row>
    <row r="24" spans="1:17">
      <c r="A24" s="2">
        <v>12</v>
      </c>
      <c r="C24" s="16" t="s">
        <v>674</v>
      </c>
      <c r="D24" s="73">
        <f>'WP B.5 B'!P24</f>
        <v>-19248322</v>
      </c>
      <c r="E24" s="398">
        <f>$E$22</f>
        <v>0.104</v>
      </c>
      <c r="F24" s="398">
        <f>$F$22</f>
        <v>0.49780000000000002</v>
      </c>
      <c r="G24" s="73">
        <f>D24*E24*F24</f>
        <v>-996508.72792640002</v>
      </c>
      <c r="H24" s="77"/>
      <c r="I24" s="73">
        <f>'WP B.5 B'!Q24</f>
        <v>-13953199.923076924</v>
      </c>
      <c r="J24" s="422">
        <f>E24</f>
        <v>0.104</v>
      </c>
      <c r="K24" s="422">
        <f>F24</f>
        <v>0.49780000000000002</v>
      </c>
      <c r="L24" s="73">
        <f>I24*J24*K24</f>
        <v>-722373.90385760006</v>
      </c>
      <c r="P24" s="817">
        <f>E24*F24</f>
        <v>5.1771199999999996E-2</v>
      </c>
      <c r="Q24" s="817">
        <f>J24*K24</f>
        <v>5.1771199999999996E-2</v>
      </c>
    </row>
    <row r="25" spans="1:17" ht="14.25" customHeight="1">
      <c r="A25" s="2">
        <v>13</v>
      </c>
      <c r="B25" s="373"/>
      <c r="C25" s="4"/>
      <c r="D25" s="77"/>
      <c r="E25" s="21"/>
      <c r="F25" s="21"/>
      <c r="G25" s="77"/>
      <c r="H25" s="77"/>
      <c r="I25" s="77"/>
      <c r="J25" s="76"/>
      <c r="K25" s="76"/>
      <c r="L25" s="77"/>
      <c r="P25" s="817"/>
      <c r="Q25" s="818"/>
    </row>
    <row r="26" spans="1:17">
      <c r="A26" s="2">
        <v>14</v>
      </c>
      <c r="C26" s="16" t="s">
        <v>675</v>
      </c>
      <c r="D26" s="73">
        <f>'WP B.5 B'!P26</f>
        <v>25526700.891761616</v>
      </c>
      <c r="E26" s="398">
        <f>$E$22</f>
        <v>0.104</v>
      </c>
      <c r="F26" s="398">
        <f>$F$22</f>
        <v>0.49780000000000002</v>
      </c>
      <c r="G26" s="73">
        <f>D26*E26*F26</f>
        <v>1321547.9372075689</v>
      </c>
      <c r="H26" s="77"/>
      <c r="I26" s="73">
        <f>'WP B.5 B'!Q26</f>
        <v>22614466.344673138</v>
      </c>
      <c r="J26" s="422">
        <f>E26</f>
        <v>0.104</v>
      </c>
      <c r="K26" s="422">
        <f>F26</f>
        <v>0.49780000000000002</v>
      </c>
      <c r="L26" s="73">
        <f>I26*J26*K26</f>
        <v>1170778.060023342</v>
      </c>
      <c r="P26" s="817">
        <f>E26*F26</f>
        <v>5.1771199999999996E-2</v>
      </c>
      <c r="Q26" s="817">
        <f>J26*K26</f>
        <v>5.1771199999999996E-2</v>
      </c>
    </row>
    <row r="27" spans="1:17" ht="14.25" customHeight="1">
      <c r="A27" s="2">
        <v>15</v>
      </c>
      <c r="D27" s="73"/>
      <c r="E27" s="21"/>
      <c r="F27" s="21"/>
      <c r="G27" s="73"/>
      <c r="H27" s="77"/>
      <c r="I27" s="73"/>
      <c r="J27" s="480"/>
      <c r="K27" s="480"/>
      <c r="L27" s="73"/>
      <c r="P27" s="818"/>
      <c r="Q27" s="818"/>
    </row>
    <row r="28" spans="1:17">
      <c r="A28" s="2">
        <v>16</v>
      </c>
      <c r="C28" s="22" t="s">
        <v>68</v>
      </c>
      <c r="D28" s="574">
        <f>SUM(D22:D26)</f>
        <v>650561436.89176166</v>
      </c>
      <c r="E28" s="21"/>
      <c r="F28" s="21"/>
      <c r="G28" s="574">
        <f>SUM(G22:G26)</f>
        <v>33680346.261610769</v>
      </c>
      <c r="I28" s="574">
        <f>SUM(I22:I26)</f>
        <v>518411791.11390394</v>
      </c>
      <c r="J28" s="76"/>
      <c r="K28" s="76"/>
      <c r="L28" s="574">
        <f>SUM(L22:L26)</f>
        <v>26838800.520116139</v>
      </c>
      <c r="P28" s="818"/>
      <c r="Q28" s="818"/>
    </row>
    <row r="29" spans="1:17" ht="15.75">
      <c r="A29" s="2">
        <v>17</v>
      </c>
      <c r="B29" s="12" t="s">
        <v>1116</v>
      </c>
      <c r="P29" s="818"/>
      <c r="Q29" s="818"/>
    </row>
    <row r="30" spans="1:17">
      <c r="A30" s="2">
        <v>18</v>
      </c>
      <c r="C30" s="16" t="s">
        <v>673</v>
      </c>
      <c r="D30" s="306">
        <f>'WP B.5 B'!P30</f>
        <v>18620</v>
      </c>
      <c r="E30" s="398">
        <f>Allocation!G15</f>
        <v>0.1095</v>
      </c>
      <c r="F30" s="398">
        <f>Allocation!H15</f>
        <v>0.51517972406888612</v>
      </c>
      <c r="G30" s="306">
        <f>D30*E30*F30</f>
        <v>1050.3947876068112</v>
      </c>
      <c r="H30" s="77"/>
      <c r="I30" s="306">
        <f>'WP B.5 B'!Q30</f>
        <v>21214.076923076922</v>
      </c>
      <c r="J30" s="422">
        <f>E30</f>
        <v>0.1095</v>
      </c>
      <c r="K30" s="422">
        <f>F30</f>
        <v>0.51517972406888612</v>
      </c>
      <c r="L30" s="306">
        <f>I30*J30*K30</f>
        <v>1196.7323213689549</v>
      </c>
      <c r="P30" s="817">
        <f>E30*F30</f>
        <v>5.6412179785543033E-2</v>
      </c>
      <c r="Q30" s="817">
        <f>J30*K30</f>
        <v>5.6412179785543033E-2</v>
      </c>
    </row>
    <row r="31" spans="1:17">
      <c r="A31" s="2">
        <v>19</v>
      </c>
      <c r="D31" s="73"/>
      <c r="E31" s="21"/>
      <c r="F31" s="21"/>
      <c r="G31" s="73"/>
      <c r="H31" s="77"/>
      <c r="I31" s="73"/>
      <c r="J31" s="480"/>
      <c r="K31" s="480"/>
      <c r="L31" s="73"/>
      <c r="P31" s="817"/>
      <c r="Q31" s="818"/>
    </row>
    <row r="32" spans="1:17">
      <c r="A32" s="2">
        <v>20</v>
      </c>
      <c r="C32" s="16" t="s">
        <v>674</v>
      </c>
      <c r="D32" s="73">
        <f>'WP B.5 B'!P32</f>
        <v>-17001478</v>
      </c>
      <c r="E32" s="398">
        <f>$E$30</f>
        <v>0.1095</v>
      </c>
      <c r="F32" s="398">
        <f>$F$30</f>
        <v>0.51517972406888612</v>
      </c>
      <c r="G32" s="73">
        <f>D32*E32*F32</f>
        <v>-959090.4335559546</v>
      </c>
      <c r="H32" s="77"/>
      <c r="I32" s="73">
        <f>'WP B.5 B'!Q32</f>
        <v>-16925634.076923076</v>
      </c>
      <c r="J32" s="422">
        <f>E32</f>
        <v>0.1095</v>
      </c>
      <c r="K32" s="422">
        <f>F32</f>
        <v>0.51517972406888612</v>
      </c>
      <c r="L32" s="73">
        <f>I32*J32*K32</f>
        <v>-954811.91253169824</v>
      </c>
      <c r="P32" s="817">
        <f>E32*F32</f>
        <v>5.6412179785543033E-2</v>
      </c>
      <c r="Q32" s="817">
        <f>J32*K32</f>
        <v>5.6412179785543033E-2</v>
      </c>
    </row>
    <row r="33" spans="1:17">
      <c r="A33" s="2">
        <v>21</v>
      </c>
      <c r="B33" s="373"/>
      <c r="C33" s="4"/>
      <c r="D33" s="77"/>
      <c r="E33" s="21"/>
      <c r="F33" s="21"/>
      <c r="G33" s="77"/>
      <c r="H33" s="77"/>
      <c r="I33" s="77"/>
      <c r="J33" s="76"/>
      <c r="K33" s="76"/>
      <c r="L33" s="77"/>
      <c r="P33" s="817"/>
      <c r="Q33" s="818"/>
    </row>
    <row r="34" spans="1:17">
      <c r="A34" s="2">
        <v>22</v>
      </c>
      <c r="C34" s="16" t="s">
        <v>675</v>
      </c>
      <c r="D34" s="73">
        <f>'WP B.5 B'!P34</f>
        <v>0</v>
      </c>
      <c r="E34" s="398">
        <f>$E$30</f>
        <v>0.1095</v>
      </c>
      <c r="F34" s="398">
        <f>$F$30</f>
        <v>0.51517972406888612</v>
      </c>
      <c r="G34" s="73">
        <f>D34*E34*F34</f>
        <v>0</v>
      </c>
      <c r="H34" s="77"/>
      <c r="I34" s="73">
        <f>'WP B.5 B'!Q34</f>
        <v>0</v>
      </c>
      <c r="J34" s="422">
        <f>E34</f>
        <v>0.1095</v>
      </c>
      <c r="K34" s="422">
        <f>F34</f>
        <v>0.51517972406888612</v>
      </c>
      <c r="L34" s="73">
        <f>I34*J34*K34</f>
        <v>0</v>
      </c>
      <c r="P34" s="817">
        <f>E34*F34</f>
        <v>5.6412179785543033E-2</v>
      </c>
      <c r="Q34" s="817">
        <f>J34*K34</f>
        <v>5.6412179785543033E-2</v>
      </c>
    </row>
    <row r="35" spans="1:17">
      <c r="A35" s="2">
        <v>23</v>
      </c>
      <c r="D35" s="73"/>
      <c r="E35" s="21"/>
      <c r="F35" s="21"/>
      <c r="G35" s="73"/>
      <c r="H35" s="77"/>
      <c r="I35" s="73"/>
      <c r="J35" s="480"/>
      <c r="K35" s="480"/>
      <c r="L35" s="73"/>
      <c r="P35" s="818"/>
      <c r="Q35" s="818"/>
    </row>
    <row r="36" spans="1:17">
      <c r="A36" s="2">
        <v>24</v>
      </c>
      <c r="C36" s="22" t="s">
        <v>718</v>
      </c>
      <c r="D36" s="574">
        <f>SUM(D30:D34)</f>
        <v>-16982858</v>
      </c>
      <c r="E36" s="21"/>
      <c r="F36" s="21"/>
      <c r="G36" s="574">
        <f>SUM(G30:G34)</f>
        <v>-958040.03876834782</v>
      </c>
      <c r="I36" s="574">
        <f>SUM(I30:I34)</f>
        <v>-16904420</v>
      </c>
      <c r="J36" s="76"/>
      <c r="K36" s="76"/>
      <c r="L36" s="574">
        <f>SUM(L30:L34)</f>
        <v>-953615.18021032924</v>
      </c>
      <c r="P36" s="818"/>
      <c r="Q36" s="818"/>
    </row>
    <row r="37" spans="1:17" ht="15.75">
      <c r="A37" s="2">
        <v>25</v>
      </c>
      <c r="B37" s="12" t="s">
        <v>676</v>
      </c>
      <c r="P37" s="818"/>
      <c r="Q37" s="818"/>
    </row>
    <row r="38" spans="1:17" ht="15.75">
      <c r="A38" s="2">
        <v>26</v>
      </c>
      <c r="B38" s="12"/>
      <c r="P38" s="818"/>
      <c r="Q38" s="818"/>
    </row>
    <row r="39" spans="1:17">
      <c r="A39" s="2">
        <v>27</v>
      </c>
      <c r="C39" s="16" t="s">
        <v>673</v>
      </c>
      <c r="D39" s="306">
        <f>'WP B.5 B'!P39</f>
        <v>1294590</v>
      </c>
      <c r="E39" s="478">
        <v>1</v>
      </c>
      <c r="F39" s="398">
        <f>Allocation!H17</f>
        <v>0.49780000000000002</v>
      </c>
      <c r="G39" s="306">
        <f>D39*$E$39*F39</f>
        <v>644446.902</v>
      </c>
      <c r="H39" s="77"/>
      <c r="I39" s="306">
        <f>'WP B.5 B'!Q39</f>
        <v>1507157.7692307692</v>
      </c>
      <c r="J39" s="478">
        <f>E39</f>
        <v>1</v>
      </c>
      <c r="K39" s="398">
        <f>F39</f>
        <v>0.49780000000000002</v>
      </c>
      <c r="L39" s="306">
        <f>I39*$E$39*K39</f>
        <v>750263.13752307696</v>
      </c>
      <c r="P39" s="817">
        <f>E39*F39</f>
        <v>0.49780000000000002</v>
      </c>
      <c r="Q39" s="817">
        <f>J39*K39</f>
        <v>0.49780000000000002</v>
      </c>
    </row>
    <row r="40" spans="1:17">
      <c r="A40" s="2">
        <v>28</v>
      </c>
      <c r="D40" s="73"/>
      <c r="E40" s="21"/>
      <c r="F40" s="21"/>
      <c r="G40" s="73"/>
      <c r="H40" s="77"/>
      <c r="I40" s="73"/>
      <c r="J40" s="480"/>
      <c r="K40" s="480"/>
      <c r="L40" s="73"/>
      <c r="P40" s="817"/>
      <c r="Q40" s="818"/>
    </row>
    <row r="41" spans="1:17">
      <c r="A41" s="2">
        <v>29</v>
      </c>
      <c r="C41" s="16" t="s">
        <v>439</v>
      </c>
      <c r="D41" s="73">
        <f>'WP B.5 B'!P45</f>
        <v>0</v>
      </c>
      <c r="E41" s="478">
        <f>$E$39</f>
        <v>1</v>
      </c>
      <c r="F41" s="398">
        <f>$F$39</f>
        <v>0.49780000000000002</v>
      </c>
      <c r="G41" s="73">
        <f>D41*E41*F41</f>
        <v>0</v>
      </c>
      <c r="H41" s="77"/>
      <c r="I41" s="73">
        <f>'WP B.5 B'!Q45</f>
        <v>0</v>
      </c>
      <c r="J41" s="478">
        <f>E41</f>
        <v>1</v>
      </c>
      <c r="K41" s="398">
        <f>F41</f>
        <v>0.49780000000000002</v>
      </c>
      <c r="L41" s="73">
        <f>I41*J41*K41</f>
        <v>0</v>
      </c>
      <c r="P41" s="817">
        <f>E41*F41</f>
        <v>0.49780000000000002</v>
      </c>
      <c r="Q41" s="817">
        <f>J41*K41</f>
        <v>0.49780000000000002</v>
      </c>
    </row>
    <row r="42" spans="1:17">
      <c r="A42" s="2">
        <v>30</v>
      </c>
      <c r="D42" s="73"/>
      <c r="E42" s="21"/>
      <c r="F42" s="21"/>
      <c r="G42" s="73"/>
      <c r="H42" s="77"/>
      <c r="I42" s="73"/>
      <c r="J42" s="480"/>
      <c r="K42" s="480"/>
      <c r="L42" s="73"/>
      <c r="P42" s="817"/>
      <c r="Q42" s="818"/>
    </row>
    <row r="43" spans="1:17">
      <c r="A43" s="2">
        <v>31</v>
      </c>
      <c r="C43" s="16" t="s">
        <v>674</v>
      </c>
      <c r="D43" s="73">
        <f>'WP B.5 B'!P41</f>
        <v>-1066727</v>
      </c>
      <c r="E43" s="478">
        <f>$E$39</f>
        <v>1</v>
      </c>
      <c r="F43" s="398">
        <f>$F$39</f>
        <v>0.49780000000000002</v>
      </c>
      <c r="G43" s="73">
        <f>D43*$E$39*F43</f>
        <v>-531016.70059999998</v>
      </c>
      <c r="H43" s="77"/>
      <c r="I43" s="73">
        <f>'WP B.5 B'!Q41</f>
        <v>-1580949.1538461538</v>
      </c>
      <c r="J43" s="478">
        <f>E43</f>
        <v>1</v>
      </c>
      <c r="K43" s="398">
        <f>F43</f>
        <v>0.49780000000000002</v>
      </c>
      <c r="L43" s="73">
        <f>I43*$E$39*K43</f>
        <v>-786996.48878461542</v>
      </c>
      <c r="P43" s="817">
        <f>E43*F43</f>
        <v>0.49780000000000002</v>
      </c>
      <c r="Q43" s="817">
        <f>J43*K43</f>
        <v>0.49780000000000002</v>
      </c>
    </row>
    <row r="44" spans="1:17">
      <c r="A44" s="2">
        <v>32</v>
      </c>
      <c r="D44" s="73"/>
      <c r="E44" s="21"/>
      <c r="F44" s="21"/>
      <c r="G44" s="73"/>
      <c r="H44" s="77"/>
      <c r="I44" s="73"/>
      <c r="J44" s="480"/>
      <c r="K44" s="480"/>
      <c r="L44" s="73"/>
      <c r="P44" s="818"/>
      <c r="Q44" s="818"/>
    </row>
    <row r="45" spans="1:17">
      <c r="A45" s="2">
        <v>33</v>
      </c>
      <c r="C45" s="16" t="s">
        <v>675</v>
      </c>
      <c r="D45" s="73">
        <f>'WP B.5 B'!P43</f>
        <v>-978139</v>
      </c>
      <c r="E45" s="478">
        <f>$E$39</f>
        <v>1</v>
      </c>
      <c r="F45" s="398">
        <f>$F$39</f>
        <v>0.49780000000000002</v>
      </c>
      <c r="G45" s="73">
        <f>D45*$E$39*F45</f>
        <v>-486917.59419999999</v>
      </c>
      <c r="H45" s="77"/>
      <c r="I45" s="73">
        <f>'WP B.5 B'!Q43</f>
        <v>-906325.23076923075</v>
      </c>
      <c r="J45" s="478">
        <f>E45</f>
        <v>1</v>
      </c>
      <c r="K45" s="398">
        <f>F45</f>
        <v>0.49780000000000002</v>
      </c>
      <c r="L45" s="73">
        <f>I45*$E$39*K45</f>
        <v>-451168.69987692311</v>
      </c>
      <c r="P45" s="817">
        <f>E45*F45</f>
        <v>0.49780000000000002</v>
      </c>
      <c r="Q45" s="817">
        <f>J45*K45</f>
        <v>0.49780000000000002</v>
      </c>
    </row>
    <row r="46" spans="1:17">
      <c r="A46" s="2">
        <v>34</v>
      </c>
      <c r="D46" s="73"/>
      <c r="E46" s="21"/>
      <c r="F46" s="21"/>
      <c r="G46" s="73"/>
      <c r="H46" s="77"/>
      <c r="I46" s="73"/>
      <c r="J46" s="480"/>
      <c r="K46" s="480"/>
      <c r="L46" s="73"/>
    </row>
    <row r="47" spans="1:17">
      <c r="A47" s="2">
        <v>35</v>
      </c>
      <c r="C47" s="22" t="s">
        <v>438</v>
      </c>
      <c r="D47" s="574">
        <f>SUM(D39:D45)</f>
        <v>-750276</v>
      </c>
      <c r="E47" s="21"/>
      <c r="F47" s="21"/>
      <c r="G47" s="574">
        <f>SUM(G39:G45)</f>
        <v>-373487.39279999997</v>
      </c>
      <c r="I47" s="574">
        <f>SUM(I39:I45)</f>
        <v>-980116.61538461526</v>
      </c>
      <c r="J47" s="76"/>
      <c r="K47" s="76"/>
      <c r="L47" s="574">
        <f>SUM(L39:L45)</f>
        <v>-487902.05113846157</v>
      </c>
    </row>
    <row r="48" spans="1:17">
      <c r="A48" s="2">
        <v>36</v>
      </c>
    </row>
    <row r="49" spans="1:12" ht="16.5" thickBot="1">
      <c r="A49" s="2">
        <v>37</v>
      </c>
      <c r="B49" s="35"/>
      <c r="C49" s="514" t="s">
        <v>720</v>
      </c>
      <c r="D49" s="330">
        <f>D47+D36+D28+D19</f>
        <v>577035684.89176166</v>
      </c>
      <c r="G49" s="330">
        <f>G47+G36+G28+G19</f>
        <v>-23443799.169957578</v>
      </c>
      <c r="I49" s="330">
        <f>I47+I36+I28+I19</f>
        <v>444039800.13574016</v>
      </c>
      <c r="L49" s="330">
        <f>L47+L36+L28+L19</f>
        <v>-31090171.074011769</v>
      </c>
    </row>
    <row r="50" spans="1:12" ht="15.75" thickTop="1">
      <c r="A50" s="35"/>
      <c r="B50" s="35"/>
    </row>
    <row r="51" spans="1:12">
      <c r="A51" s="35"/>
      <c r="B51" s="35"/>
    </row>
    <row r="52" spans="1:12">
      <c r="A52" s="35"/>
      <c r="B52" s="35"/>
    </row>
    <row r="53" spans="1:12">
      <c r="A53" s="35"/>
      <c r="B53" s="35"/>
    </row>
    <row r="54" spans="1:12">
      <c r="A54" s="35"/>
      <c r="B54" s="35"/>
      <c r="E54" s="375"/>
    </row>
    <row r="55" spans="1:12">
      <c r="A55" s="35"/>
      <c r="B55" s="35"/>
    </row>
    <row r="56" spans="1:12">
      <c r="A56" s="35"/>
    </row>
    <row r="57" spans="1:12">
      <c r="A57" s="35"/>
      <c r="B57" s="35"/>
    </row>
    <row r="58" spans="1:12">
      <c r="A58" s="35"/>
      <c r="B58" s="35"/>
    </row>
    <row r="59" spans="1:12">
      <c r="A59" s="35"/>
      <c r="B59" s="35"/>
    </row>
    <row r="60" spans="1:12">
      <c r="A60" s="35"/>
      <c r="B60" s="35"/>
    </row>
    <row r="61" spans="1:12">
      <c r="A61" s="35"/>
      <c r="B61" s="35"/>
    </row>
    <row r="62" spans="1:12">
      <c r="A62" s="35"/>
      <c r="B62" s="35"/>
    </row>
    <row r="63" spans="1:12">
      <c r="A63" s="35"/>
      <c r="B63" s="35"/>
    </row>
    <row r="64" spans="1:12">
      <c r="A64" s="35"/>
      <c r="B64" s="35"/>
    </row>
    <row r="65" spans="1:2">
      <c r="A65" s="35"/>
      <c r="B65" s="35"/>
    </row>
    <row r="66" spans="1:2">
      <c r="A66" s="35"/>
      <c r="B66" s="35"/>
    </row>
    <row r="67" spans="1:2">
      <c r="A67" s="35"/>
      <c r="B67" s="35"/>
    </row>
    <row r="68" spans="1:2">
      <c r="A68" s="35"/>
      <c r="B68" s="35"/>
    </row>
    <row r="69" spans="1:2">
      <c r="A69" s="35"/>
      <c r="B69" s="35"/>
    </row>
    <row r="70" spans="1:2">
      <c r="A70" s="35"/>
      <c r="B70" s="35"/>
    </row>
  </sheetData>
  <mergeCells count="4">
    <mergeCell ref="A1:L1"/>
    <mergeCell ref="A2:L2"/>
    <mergeCell ref="A3:L3"/>
    <mergeCell ref="A4:L4"/>
  </mergeCells>
  <phoneticPr fontId="23" type="noConversion"/>
  <printOptions horizontalCentered="1"/>
  <pageMargins left="0.75" right="0.5" top="0.75" bottom="0.3" header="0.5" footer="0.17"/>
  <pageSetup scale="61" fitToHeight="2" orientation="landscape" verticalDpi="300" r:id="rId1"/>
  <headerFooter alignWithMargins="0"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1"/>
  <sheetViews>
    <sheetView topLeftCell="A7" zoomScale="90" zoomScaleNormal="90" workbookViewId="0">
      <selection activeCell="H32" sqref="H32"/>
    </sheetView>
  </sheetViews>
  <sheetFormatPr defaultRowHeight="15"/>
  <cols>
    <col min="1" max="1" width="7.44140625" bestFit="1" customWidth="1"/>
    <col min="2" max="2" width="34.44140625" customWidth="1"/>
    <col min="3" max="3" width="10.33203125" customWidth="1"/>
    <col min="4" max="5" width="10.44140625" customWidth="1"/>
    <col min="6" max="6" width="7" bestFit="1" customWidth="1"/>
    <col min="7" max="7" width="10" customWidth="1"/>
    <col min="8" max="8" width="10.21875" customWidth="1"/>
    <col min="9" max="9" width="10.109375" customWidth="1"/>
    <col min="13" max="13" width="10.44140625" bestFit="1" customWidth="1"/>
    <col min="15" max="15" width="6.77734375" customWidth="1"/>
    <col min="16" max="17" width="10.44140625" bestFit="1" customWidth="1"/>
  </cols>
  <sheetData>
    <row r="1" spans="1:10">
      <c r="A1" s="1188" t="str">
        <f>'Table of Contents'!A1:C1</f>
        <v>Atmos Energy Corporation, Kentucky/Mid-States Division</v>
      </c>
      <c r="B1" s="1188"/>
      <c r="C1" s="1188"/>
      <c r="D1" s="1188"/>
      <c r="E1" s="1188"/>
      <c r="F1" s="1188"/>
      <c r="G1" s="1188"/>
      <c r="H1" s="1188"/>
      <c r="I1" s="1188"/>
    </row>
    <row r="2" spans="1:10">
      <c r="A2" s="1188" t="str">
        <f>'Table of Contents'!A2:C2</f>
        <v>Kentucky Jurisdiction Case No. 2018-00281</v>
      </c>
      <c r="B2" s="1188"/>
      <c r="C2" s="1188"/>
      <c r="D2" s="1188"/>
      <c r="E2" s="1188"/>
      <c r="F2" s="1188"/>
      <c r="G2" s="1188"/>
      <c r="H2" s="1188"/>
      <c r="I2" s="1188"/>
    </row>
    <row r="3" spans="1:10">
      <c r="A3" s="1188" t="str">
        <f>'Table of Contents'!A3:C3</f>
        <v>Base Period: Twelve Months Ended December 31, 2018</v>
      </c>
      <c r="B3" s="1188"/>
      <c r="C3" s="1188"/>
      <c r="D3" s="1188"/>
      <c r="E3" s="1188"/>
      <c r="F3" s="1188"/>
      <c r="G3" s="1188"/>
      <c r="H3" s="1188"/>
      <c r="I3" s="1188"/>
    </row>
    <row r="4" spans="1:10">
      <c r="A4" s="1188" t="str">
        <f>'Table of Contents'!A4:C4</f>
        <v>Forecasted Test Period: Twelve Months Ended March 31, 2020</v>
      </c>
      <c r="B4" s="1188"/>
      <c r="C4" s="1188"/>
      <c r="D4" s="1188"/>
      <c r="E4" s="1188"/>
      <c r="F4" s="1188"/>
      <c r="G4" s="1188"/>
      <c r="H4" s="1188"/>
      <c r="I4" s="1188"/>
    </row>
    <row r="6" spans="1:10" ht="15.75">
      <c r="A6" s="1191" t="s">
        <v>1216</v>
      </c>
      <c r="B6" s="1191"/>
      <c r="C6" s="1191"/>
      <c r="D6" s="1191"/>
      <c r="E6" s="1191"/>
      <c r="F6" s="1191"/>
      <c r="G6" s="1191"/>
      <c r="H6" s="1191"/>
      <c r="I6" s="1191"/>
    </row>
    <row r="7" spans="1:10" ht="15.75">
      <c r="A7" s="602"/>
      <c r="B7" s="602"/>
      <c r="C7" s="602"/>
      <c r="D7" s="602"/>
      <c r="E7" s="602"/>
      <c r="F7" s="602"/>
      <c r="G7" s="602"/>
      <c r="H7" s="602"/>
      <c r="I7" s="602"/>
    </row>
    <row r="8" spans="1:10">
      <c r="C8" s="52"/>
      <c r="D8" s="603" t="s">
        <v>1217</v>
      </c>
      <c r="E8" s="52"/>
      <c r="G8" s="95"/>
      <c r="H8" s="603" t="s">
        <v>324</v>
      </c>
      <c r="I8" s="95"/>
    </row>
    <row r="9" spans="1:10">
      <c r="C9" s="318" t="s">
        <v>1218</v>
      </c>
      <c r="D9" s="318" t="s">
        <v>196</v>
      </c>
      <c r="E9" s="53" t="s">
        <v>11</v>
      </c>
      <c r="F9" s="601"/>
      <c r="G9" s="318" t="s">
        <v>1218</v>
      </c>
      <c r="H9" s="318" t="s">
        <v>196</v>
      </c>
      <c r="I9" s="601" t="s">
        <v>11</v>
      </c>
    </row>
    <row r="10" spans="1:10">
      <c r="A10" s="52" t="s">
        <v>204</v>
      </c>
      <c r="B10" s="58" t="s">
        <v>985</v>
      </c>
      <c r="C10" s="317" t="s">
        <v>155</v>
      </c>
      <c r="D10" s="58" t="s">
        <v>594</v>
      </c>
      <c r="E10" s="58" t="s">
        <v>1144</v>
      </c>
      <c r="F10" s="64"/>
      <c r="G10" s="317" t="s">
        <v>155</v>
      </c>
      <c r="H10" s="58" t="s">
        <v>594</v>
      </c>
      <c r="I10" s="58" t="s">
        <v>1144</v>
      </c>
    </row>
    <row r="11" spans="1:10">
      <c r="A11" s="57"/>
      <c r="B11" s="57"/>
      <c r="C11" s="318"/>
      <c r="D11" s="318"/>
    </row>
    <row r="12" spans="1:10" ht="15.75">
      <c r="A12" s="57"/>
      <c r="B12" s="384" t="s">
        <v>1142</v>
      </c>
      <c r="C12" s="318"/>
      <c r="D12" s="318"/>
    </row>
    <row r="13" spans="1:10" ht="15.75">
      <c r="A13" s="53">
        <v>1</v>
      </c>
      <c r="B13" s="161" t="s">
        <v>199</v>
      </c>
      <c r="I13" s="325"/>
    </row>
    <row r="14" spans="1:10">
      <c r="A14" s="53">
        <f>A13+1</f>
        <v>2</v>
      </c>
      <c r="B14" s="383" t="s">
        <v>201</v>
      </c>
      <c r="C14" s="722">
        <v>0.104</v>
      </c>
      <c r="D14" s="722">
        <v>0.49780000000000002</v>
      </c>
      <c r="E14" s="325">
        <f>C14*D14</f>
        <v>5.1771199999999996E-2</v>
      </c>
      <c r="F14" s="325"/>
      <c r="G14" s="722">
        <v>0.104</v>
      </c>
      <c r="H14" s="722">
        <v>0.49780000000000002</v>
      </c>
      <c r="I14" s="325">
        <f>G14*H14</f>
        <v>5.1771199999999996E-2</v>
      </c>
      <c r="J14" s="591"/>
    </row>
    <row r="15" spans="1:10">
      <c r="A15" s="601">
        <f t="shared" ref="A15:A31" si="0">A14+1</f>
        <v>3</v>
      </c>
      <c r="B15" s="383" t="s">
        <v>202</v>
      </c>
      <c r="C15" s="722">
        <v>0.1095</v>
      </c>
      <c r="D15" s="722">
        <v>0.51517972406888612</v>
      </c>
      <c r="E15" s="325">
        <f>C15*D15</f>
        <v>5.6412179785543033E-2</v>
      </c>
      <c r="F15" s="325"/>
      <c r="G15" s="722">
        <v>0.1095</v>
      </c>
      <c r="H15" s="722">
        <v>0.51517972406888612</v>
      </c>
      <c r="I15" s="325">
        <f>G15*H15</f>
        <v>5.6412179785543033E-2</v>
      </c>
      <c r="J15" s="591"/>
    </row>
    <row r="16" spans="1:10" ht="15.75">
      <c r="A16" s="601">
        <f t="shared" si="0"/>
        <v>4</v>
      </c>
      <c r="B16" s="161" t="s">
        <v>200</v>
      </c>
      <c r="C16" s="53"/>
      <c r="D16" s="794"/>
      <c r="E16" s="325"/>
      <c r="F16" s="325"/>
      <c r="G16" s="601"/>
      <c r="H16" s="601"/>
      <c r="I16" s="325"/>
    </row>
    <row r="17" spans="1:10">
      <c r="A17" s="601">
        <f t="shared" si="0"/>
        <v>5</v>
      </c>
      <c r="B17" s="383" t="s">
        <v>203</v>
      </c>
      <c r="C17" s="337">
        <v>1</v>
      </c>
      <c r="D17" s="722">
        <v>0.49780000000000002</v>
      </c>
      <c r="E17" s="325">
        <f>C17*D17</f>
        <v>0.49780000000000002</v>
      </c>
      <c r="F17" s="325"/>
      <c r="G17" s="337">
        <v>1</v>
      </c>
      <c r="H17" s="722">
        <v>0.49780000000000002</v>
      </c>
      <c r="I17" s="325">
        <f>G17*H17</f>
        <v>0.49780000000000002</v>
      </c>
      <c r="J17" s="591"/>
    </row>
    <row r="18" spans="1:10">
      <c r="A18" s="601">
        <f t="shared" si="0"/>
        <v>6</v>
      </c>
      <c r="C18" s="53"/>
      <c r="D18" s="53"/>
      <c r="E18" s="53"/>
      <c r="F18" s="601"/>
      <c r="G18" s="601"/>
      <c r="H18" s="601"/>
      <c r="I18" s="601"/>
    </row>
    <row r="19" spans="1:10">
      <c r="A19" s="709">
        <f t="shared" si="0"/>
        <v>7</v>
      </c>
      <c r="B19" s="383"/>
      <c r="C19" s="53"/>
      <c r="D19" s="53"/>
      <c r="E19" s="53"/>
      <c r="F19" s="601"/>
      <c r="G19" s="601"/>
      <c r="H19" s="601"/>
      <c r="I19" s="601"/>
    </row>
    <row r="20" spans="1:10" ht="15.75">
      <c r="A20" s="601">
        <f t="shared" si="0"/>
        <v>8</v>
      </c>
      <c r="B20" s="604" t="s">
        <v>1220</v>
      </c>
      <c r="C20" s="601"/>
      <c r="D20" s="601"/>
      <c r="E20" s="722">
        <v>1.570628E-2</v>
      </c>
      <c r="F20" s="601"/>
      <c r="G20" s="601"/>
      <c r="H20" s="601"/>
      <c r="I20" s="325">
        <f>E20</f>
        <v>1.570628E-2</v>
      </c>
    </row>
    <row r="21" spans="1:10" ht="15.75">
      <c r="A21" s="601">
        <f t="shared" si="0"/>
        <v>9</v>
      </c>
      <c r="B21" s="604" t="s">
        <v>1219</v>
      </c>
      <c r="C21" s="601"/>
      <c r="D21" s="601"/>
      <c r="E21" s="722">
        <v>2.3186160000000001E-2</v>
      </c>
      <c r="F21" s="601"/>
      <c r="G21" s="601"/>
      <c r="H21" s="601"/>
      <c r="I21" s="325">
        <f>E21</f>
        <v>2.3186160000000001E-2</v>
      </c>
    </row>
    <row r="22" spans="1:10" s="792" customFormat="1" ht="15.75">
      <c r="A22" s="842">
        <f t="shared" si="0"/>
        <v>10</v>
      </c>
      <c r="B22" s="844" t="s">
        <v>1566</v>
      </c>
      <c r="C22" s="842"/>
      <c r="D22" s="842"/>
      <c r="E22" s="722">
        <v>6.3622429999999994E-2</v>
      </c>
      <c r="F22" s="842"/>
      <c r="G22" s="842"/>
      <c r="H22" s="842"/>
      <c r="I22" s="325">
        <f>E22</f>
        <v>6.3622429999999994E-2</v>
      </c>
    </row>
    <row r="23" spans="1:10" s="792" customFormat="1" ht="15.75">
      <c r="A23" s="843">
        <f t="shared" si="0"/>
        <v>11</v>
      </c>
      <c r="B23" s="844" t="s">
        <v>1567</v>
      </c>
      <c r="C23" s="843"/>
      <c r="D23" s="843"/>
      <c r="E23" s="722">
        <v>0</v>
      </c>
      <c r="F23" s="843"/>
      <c r="G23" s="843"/>
      <c r="H23" s="843"/>
      <c r="I23" s="325"/>
    </row>
    <row r="24" spans="1:10">
      <c r="A24" s="843">
        <f t="shared" si="0"/>
        <v>12</v>
      </c>
      <c r="B24" s="383"/>
      <c r="C24" s="601"/>
      <c r="D24" s="601"/>
      <c r="E24" s="601"/>
      <c r="F24" s="601"/>
      <c r="G24" s="601"/>
      <c r="H24" s="601"/>
      <c r="I24" s="601"/>
    </row>
    <row r="25" spans="1:10" ht="15.75">
      <c r="A25" s="843">
        <f t="shared" si="0"/>
        <v>13</v>
      </c>
      <c r="B25" s="395" t="s">
        <v>1131</v>
      </c>
      <c r="C25" s="53"/>
      <c r="D25" s="53"/>
      <c r="E25" s="1179">
        <f>ROUND(0.05+0.21*(1-0.05),5)</f>
        <v>0.2495</v>
      </c>
      <c r="F25" s="601"/>
      <c r="G25" s="601"/>
      <c r="H25" s="601"/>
      <c r="I25" s="601"/>
      <c r="J25" s="591"/>
    </row>
    <row r="26" spans="1:10">
      <c r="A26" s="843">
        <f t="shared" si="0"/>
        <v>14</v>
      </c>
      <c r="B26" s="218"/>
      <c r="C26" s="53"/>
      <c r="D26" s="53"/>
      <c r="E26" s="324"/>
      <c r="F26" s="601"/>
      <c r="G26" s="601"/>
      <c r="H26" s="601"/>
      <c r="I26" s="601"/>
    </row>
    <row r="27" spans="1:10" ht="15.75">
      <c r="A27" s="843">
        <f t="shared" si="0"/>
        <v>15</v>
      </c>
      <c r="B27" s="395" t="s">
        <v>1355</v>
      </c>
      <c r="C27" s="53"/>
      <c r="D27" s="53"/>
      <c r="E27" s="761">
        <v>0.104</v>
      </c>
      <c r="F27" s="601"/>
      <c r="G27" s="601"/>
      <c r="H27" s="601"/>
      <c r="I27" s="601"/>
    </row>
    <row r="28" spans="1:10">
      <c r="A28" s="843">
        <f t="shared" si="0"/>
        <v>16</v>
      </c>
      <c r="B28" s="218"/>
      <c r="C28" s="53"/>
      <c r="D28" s="53"/>
      <c r="E28" s="53"/>
      <c r="F28" s="601"/>
      <c r="G28" s="601"/>
      <c r="H28" s="601"/>
      <c r="I28" s="601"/>
    </row>
    <row r="29" spans="1:10" ht="15.75">
      <c r="A29" s="843">
        <f t="shared" si="0"/>
        <v>17</v>
      </c>
      <c r="B29" s="395" t="s">
        <v>335</v>
      </c>
      <c r="C29" s="53"/>
      <c r="D29" s="53"/>
      <c r="E29" s="325">
        <f>ROUND(+'J-2 F'!L20,4)</f>
        <v>2.4E-2</v>
      </c>
      <c r="F29" s="601"/>
      <c r="G29" s="601"/>
      <c r="H29" s="601"/>
      <c r="I29" s="601"/>
    </row>
    <row r="30" spans="1:10">
      <c r="A30" s="843">
        <f t="shared" si="0"/>
        <v>18</v>
      </c>
      <c r="B30" s="218"/>
      <c r="C30" s="53"/>
      <c r="D30" s="53"/>
      <c r="E30" s="53"/>
      <c r="F30" s="601"/>
      <c r="G30" s="601"/>
      <c r="H30" s="601"/>
      <c r="I30" s="601"/>
    </row>
    <row r="31" spans="1:10" ht="15.75">
      <c r="A31" s="843">
        <f t="shared" si="0"/>
        <v>19</v>
      </c>
      <c r="B31" s="395" t="s">
        <v>336</v>
      </c>
      <c r="C31" s="53"/>
      <c r="D31" s="53"/>
      <c r="E31" s="325">
        <f>ROUND('J-3 F'!K33,4)</f>
        <v>4.7199999999999999E-2</v>
      </c>
      <c r="F31" s="325"/>
      <c r="G31" s="325"/>
      <c r="H31" s="325"/>
      <c r="I31" s="325"/>
    </row>
  </sheetData>
  <mergeCells count="5">
    <mergeCell ref="A1:I1"/>
    <mergeCell ref="A2:I2"/>
    <mergeCell ref="A3:I3"/>
    <mergeCell ref="A4:I4"/>
    <mergeCell ref="A6:I6"/>
  </mergeCells>
  <phoneticPr fontId="23" type="noConversion"/>
  <pageMargins left="0.83" right="0.75" top="0.74" bottom="0.75" header="0.5" footer="0.19"/>
  <pageSetup scale="9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Q140"/>
  <sheetViews>
    <sheetView view="pageBreakPreview" zoomScale="70" zoomScaleNormal="70" zoomScaleSheetLayoutView="70" workbookViewId="0">
      <pane ySplit="11" topLeftCell="A54" activePane="bottomLeft" state="frozen"/>
      <selection activeCell="B6" sqref="B6"/>
      <selection pane="bottomLeft" activeCell="D50" sqref="D50"/>
    </sheetView>
  </sheetViews>
  <sheetFormatPr defaultColWidth="8.44140625" defaultRowHeight="15"/>
  <cols>
    <col min="1" max="1" width="5.77734375" style="1" customWidth="1"/>
    <col min="2" max="2" width="4" style="1" customWidth="1"/>
    <col min="3" max="3" width="49.33203125" style="1" customWidth="1"/>
    <col min="4" max="4" width="12.88671875" style="1" customWidth="1"/>
    <col min="5" max="5" width="11.88671875" style="1" bestFit="1" customWidth="1"/>
    <col min="6" max="6" width="11.77734375" style="1" customWidth="1"/>
    <col min="7" max="7" width="14" style="1" bestFit="1" customWidth="1"/>
    <col min="8" max="8" width="4.33203125" style="74" customWidth="1"/>
    <col min="9" max="9" width="14.77734375" style="1" bestFit="1" customWidth="1"/>
    <col min="10" max="11" width="11.88671875" style="1" customWidth="1"/>
    <col min="12" max="12" width="18.33203125" style="1" customWidth="1"/>
    <col min="13" max="13" width="12.44140625" style="1" customWidth="1"/>
    <col min="14" max="14" width="7.21875" style="1" customWidth="1"/>
    <col min="15" max="15" width="7.5546875" style="1" customWidth="1"/>
    <col min="16" max="17" width="8.5546875" style="1" bestFit="1" customWidth="1"/>
    <col min="18" max="16384" width="8.44140625" style="1"/>
  </cols>
  <sheetData>
    <row r="1" spans="1:13">
      <c r="A1" s="1193" t="s">
        <v>346</v>
      </c>
      <c r="B1" s="1193"/>
      <c r="C1" s="1193"/>
      <c r="D1" s="1193"/>
      <c r="E1" s="1193"/>
      <c r="F1" s="1193"/>
      <c r="G1" s="1193"/>
      <c r="H1" s="1193"/>
      <c r="I1" s="1193"/>
      <c r="J1" s="1193"/>
      <c r="K1" s="1193"/>
      <c r="L1" s="1193"/>
    </row>
    <row r="2" spans="1:13">
      <c r="A2" s="1193" t="s">
        <v>1656</v>
      </c>
      <c r="B2" s="1193"/>
      <c r="C2" s="1193"/>
      <c r="D2" s="1193"/>
      <c r="E2" s="1193"/>
      <c r="F2" s="1193"/>
      <c r="G2" s="1193"/>
      <c r="H2" s="1193"/>
      <c r="I2" s="1193"/>
      <c r="J2" s="1193"/>
      <c r="K2" s="1193"/>
      <c r="L2" s="1193"/>
    </row>
    <row r="3" spans="1:13">
      <c r="A3" s="1193" t="s">
        <v>510</v>
      </c>
      <c r="B3" s="1193"/>
      <c r="C3" s="1193"/>
      <c r="D3" s="1193"/>
      <c r="E3" s="1193"/>
      <c r="F3" s="1193"/>
      <c r="G3" s="1193"/>
      <c r="H3" s="1193"/>
      <c r="I3" s="1193"/>
      <c r="J3" s="1193"/>
      <c r="K3" s="1193"/>
      <c r="L3" s="1193"/>
    </row>
    <row r="4" spans="1:13">
      <c r="A4" s="1193" t="s">
        <v>1615</v>
      </c>
      <c r="B4" s="1193"/>
      <c r="C4" s="1193"/>
      <c r="D4" s="1193"/>
      <c r="E4" s="1193"/>
      <c r="F4" s="1193"/>
      <c r="G4" s="1193"/>
      <c r="H4" s="1193"/>
      <c r="I4" s="1193"/>
      <c r="J4" s="1193"/>
      <c r="K4" s="1193"/>
      <c r="L4" s="1193"/>
    </row>
    <row r="5" spans="1:13">
      <c r="A5" s="31"/>
      <c r="B5" s="30"/>
      <c r="C5" s="30"/>
      <c r="D5" s="30"/>
      <c r="E5" s="30"/>
      <c r="F5" s="30"/>
      <c r="G5" s="30"/>
      <c r="H5" s="370"/>
      <c r="I5" s="30"/>
      <c r="J5" s="30"/>
      <c r="K5" s="30"/>
    </row>
    <row r="6" spans="1:13" ht="15.75">
      <c r="A6" s="48" t="s">
        <v>1055</v>
      </c>
      <c r="B6" s="48"/>
      <c r="C6" s="35"/>
      <c r="D6" s="592"/>
      <c r="L6" s="1" t="s">
        <v>1421</v>
      </c>
    </row>
    <row r="7" spans="1:13">
      <c r="A7" s="48" t="s">
        <v>1121</v>
      </c>
      <c r="B7" s="35"/>
      <c r="C7" s="48"/>
      <c r="L7" s="1" t="s">
        <v>708</v>
      </c>
    </row>
    <row r="8" spans="1:13">
      <c r="A8" s="48" t="s">
        <v>426</v>
      </c>
      <c r="B8" s="35"/>
      <c r="C8" s="35"/>
      <c r="D8" s="33"/>
      <c r="E8" s="35"/>
      <c r="F8" s="35"/>
      <c r="G8" s="35"/>
      <c r="I8" s="35"/>
      <c r="J8" s="35"/>
      <c r="L8" s="35" t="s">
        <v>1682</v>
      </c>
    </row>
    <row r="9" spans="1:13">
      <c r="A9" s="248"/>
      <c r="B9" s="59"/>
      <c r="C9" s="59"/>
      <c r="D9" s="481"/>
      <c r="E9" s="338" t="s">
        <v>13</v>
      </c>
      <c r="F9" s="339" t="s">
        <v>11</v>
      </c>
      <c r="G9" s="482" t="s">
        <v>97</v>
      </c>
      <c r="H9" s="75"/>
      <c r="I9" s="484"/>
      <c r="J9" s="338" t="s">
        <v>13</v>
      </c>
      <c r="K9" s="339" t="s">
        <v>11</v>
      </c>
      <c r="L9" s="388"/>
    </row>
    <row r="10" spans="1:13">
      <c r="A10" s="334" t="s">
        <v>93</v>
      </c>
      <c r="B10" s="34"/>
      <c r="C10" s="35"/>
      <c r="D10" s="335"/>
      <c r="E10" s="34" t="s">
        <v>14</v>
      </c>
      <c r="F10" s="75" t="s">
        <v>594</v>
      </c>
      <c r="G10" s="331" t="s">
        <v>1166</v>
      </c>
      <c r="H10" s="75"/>
      <c r="I10" s="334" t="s">
        <v>92</v>
      </c>
      <c r="J10" s="34" t="s">
        <v>14</v>
      </c>
      <c r="K10" s="75" t="s">
        <v>594</v>
      </c>
      <c r="L10" s="485" t="s">
        <v>12</v>
      </c>
    </row>
    <row r="11" spans="1:13">
      <c r="A11" s="332" t="s">
        <v>99</v>
      </c>
      <c r="B11" s="32"/>
      <c r="C11" s="56" t="s">
        <v>338</v>
      </c>
      <c r="D11" s="483" t="s">
        <v>1056</v>
      </c>
      <c r="E11" s="185" t="s">
        <v>627</v>
      </c>
      <c r="F11" s="185" t="s">
        <v>627</v>
      </c>
      <c r="G11" s="333" t="s">
        <v>105</v>
      </c>
      <c r="H11" s="75"/>
      <c r="I11" s="332" t="s">
        <v>98</v>
      </c>
      <c r="J11" s="185" t="s">
        <v>627</v>
      </c>
      <c r="K11" s="185" t="s">
        <v>627</v>
      </c>
      <c r="L11" s="486" t="s">
        <v>104</v>
      </c>
    </row>
    <row r="12" spans="1:13" ht="15.75">
      <c r="B12" s="12" t="s">
        <v>213</v>
      </c>
      <c r="E12" s="54"/>
      <c r="F12" s="54"/>
      <c r="G12" s="81"/>
      <c r="J12" s="54"/>
      <c r="K12" s="54"/>
    </row>
    <row r="13" spans="1:13">
      <c r="A13" s="2">
        <v>1</v>
      </c>
      <c r="C13" s="16" t="s">
        <v>673</v>
      </c>
      <c r="D13" s="306">
        <v>8610100.9438171871</v>
      </c>
      <c r="E13" s="477">
        <v>1</v>
      </c>
      <c r="F13" s="477">
        <v>1</v>
      </c>
      <c r="G13" s="306">
        <v>8610100.9438171871</v>
      </c>
      <c r="H13" s="77"/>
      <c r="I13" s="306">
        <v>8667730.5078675356</v>
      </c>
      <c r="J13" s="412">
        <v>1</v>
      </c>
      <c r="K13" s="412">
        <v>1</v>
      </c>
      <c r="L13" s="306">
        <v>8667730.5078675356</v>
      </c>
      <c r="M13" s="311"/>
    </row>
    <row r="14" spans="1:13" ht="14.25" customHeight="1">
      <c r="A14" s="2">
        <v>2</v>
      </c>
      <c r="B14" s="373"/>
      <c r="C14" s="4"/>
      <c r="D14" s="77"/>
      <c r="E14" s="477"/>
      <c r="F14" s="477"/>
      <c r="G14" s="77"/>
      <c r="H14" s="77"/>
      <c r="I14" s="77"/>
      <c r="J14" s="76"/>
      <c r="K14" s="76"/>
      <c r="L14" s="77"/>
      <c r="M14" s="311"/>
    </row>
    <row r="15" spans="1:13">
      <c r="A15" s="2">
        <v>3</v>
      </c>
      <c r="C15" s="16" t="s">
        <v>674</v>
      </c>
      <c r="D15" s="73">
        <v>-84778101.508996785</v>
      </c>
      <c r="E15" s="477">
        <v>1</v>
      </c>
      <c r="F15" s="477">
        <v>1</v>
      </c>
      <c r="G15" s="73">
        <v>-84778101.508996785</v>
      </c>
      <c r="H15" s="77"/>
      <c r="I15" s="73">
        <v>-83737702.026743874</v>
      </c>
      <c r="J15" s="412">
        <v>1</v>
      </c>
      <c r="K15" s="412">
        <v>1</v>
      </c>
      <c r="L15" s="73">
        <v>-83737702.026743874</v>
      </c>
      <c r="M15" s="311"/>
    </row>
    <row r="16" spans="1:13" ht="14.25" customHeight="1">
      <c r="A16" s="2">
        <v>4</v>
      </c>
      <c r="B16" s="373"/>
      <c r="C16" s="4"/>
      <c r="D16" s="77"/>
      <c r="E16" s="477"/>
      <c r="F16" s="477"/>
      <c r="G16" s="77"/>
      <c r="H16" s="77"/>
      <c r="I16" s="77"/>
      <c r="J16" s="76"/>
      <c r="K16" s="76"/>
      <c r="L16" s="77"/>
      <c r="M16" s="311"/>
    </row>
    <row r="17" spans="1:17">
      <c r="A17" s="2">
        <v>5</v>
      </c>
      <c r="C17" s="16" t="s">
        <v>675</v>
      </c>
      <c r="D17" s="73">
        <v>-47285</v>
      </c>
      <c r="E17" s="477">
        <v>1</v>
      </c>
      <c r="F17" s="477">
        <v>1</v>
      </c>
      <c r="G17" s="73">
        <v>-47285</v>
      </c>
      <c r="H17" s="77"/>
      <c r="I17" s="73">
        <v>-47285</v>
      </c>
      <c r="J17" s="412">
        <v>1</v>
      </c>
      <c r="K17" s="412">
        <v>1</v>
      </c>
      <c r="L17" s="73">
        <v>-47285</v>
      </c>
      <c r="M17" s="311"/>
    </row>
    <row r="18" spans="1:17" ht="14.25" customHeight="1">
      <c r="A18" s="2">
        <v>6</v>
      </c>
      <c r="B18" s="373"/>
      <c r="C18" s="4"/>
      <c r="D18" s="77"/>
      <c r="E18" s="21"/>
      <c r="F18" s="21"/>
      <c r="G18" s="77"/>
      <c r="H18" s="77"/>
      <c r="I18" s="77"/>
      <c r="J18" s="76"/>
      <c r="K18" s="76"/>
      <c r="L18" s="77"/>
      <c r="M18" s="311"/>
    </row>
    <row r="19" spans="1:17">
      <c r="A19" s="2">
        <v>7</v>
      </c>
      <c r="C19" s="22" t="s">
        <v>31</v>
      </c>
      <c r="D19" s="574">
        <v>-76215285.565179601</v>
      </c>
      <c r="E19" s="21"/>
      <c r="F19" s="21"/>
      <c r="G19" s="574">
        <v>-76215285.565179601</v>
      </c>
      <c r="I19" s="574">
        <v>-75117256.518876344</v>
      </c>
      <c r="J19" s="221"/>
      <c r="K19" s="221"/>
      <c r="L19" s="574">
        <v>-75117256.518876344</v>
      </c>
      <c r="M19" s="311"/>
    </row>
    <row r="20" spans="1:17" ht="14.25" customHeight="1">
      <c r="A20" s="2">
        <v>8</v>
      </c>
      <c r="B20" s="373"/>
      <c r="C20" s="4"/>
      <c r="D20" s="77"/>
      <c r="E20" s="21"/>
      <c r="F20" s="21"/>
      <c r="G20" s="77"/>
      <c r="H20" s="77"/>
      <c r="I20" s="77"/>
      <c r="J20" s="76"/>
      <c r="K20" s="76"/>
      <c r="L20" s="77"/>
      <c r="M20" s="311"/>
    </row>
    <row r="21" spans="1:17" ht="15.75">
      <c r="A21" s="2">
        <v>9</v>
      </c>
      <c r="B21" s="12" t="s">
        <v>214</v>
      </c>
      <c r="E21" s="54"/>
      <c r="F21" s="54"/>
      <c r="J21" s="54"/>
      <c r="K21" s="54"/>
      <c r="M21" s="311"/>
    </row>
    <row r="22" spans="1:17">
      <c r="A22" s="2">
        <v>10</v>
      </c>
      <c r="C22" s="16" t="s">
        <v>673</v>
      </c>
      <c r="D22" s="306">
        <v>437021385</v>
      </c>
      <c r="E22" s="398">
        <v>0.104</v>
      </c>
      <c r="F22" s="398">
        <v>0.49780000000000002</v>
      </c>
      <c r="G22" s="306">
        <v>22625121.527112</v>
      </c>
      <c r="H22" s="77"/>
      <c r="I22" s="306">
        <v>437021385</v>
      </c>
      <c r="J22" s="422">
        <v>0.104</v>
      </c>
      <c r="K22" s="422">
        <v>0.49780000000000002</v>
      </c>
      <c r="L22" s="306">
        <v>22625121.527112</v>
      </c>
      <c r="M22" s="311"/>
      <c r="P22" s="814">
        <f>E22*F22</f>
        <v>5.1771199999999996E-2</v>
      </c>
      <c r="Q22" s="814">
        <f>J22*K22</f>
        <v>5.1771199999999996E-2</v>
      </c>
    </row>
    <row r="23" spans="1:17">
      <c r="A23" s="2">
        <v>11</v>
      </c>
      <c r="D23" s="73"/>
      <c r="E23" s="21"/>
      <c r="F23" s="21"/>
      <c r="G23" s="73"/>
      <c r="H23" s="77"/>
      <c r="I23" s="73"/>
      <c r="J23" s="480"/>
      <c r="K23" s="480"/>
      <c r="L23" s="73"/>
      <c r="M23" s="311"/>
      <c r="P23" s="814"/>
      <c r="Q23" s="815"/>
    </row>
    <row r="24" spans="1:17">
      <c r="A24" s="2">
        <v>12</v>
      </c>
      <c r="C24" s="16" t="s">
        <v>674</v>
      </c>
      <c r="D24" s="73">
        <v>-20513590.007833295</v>
      </c>
      <c r="E24" s="398">
        <v>0.104</v>
      </c>
      <c r="F24" s="398">
        <v>0.49780000000000002</v>
      </c>
      <c r="G24" s="73">
        <v>-1062013.1710135392</v>
      </c>
      <c r="H24" s="77"/>
      <c r="I24" s="73">
        <v>-20293356.753341727</v>
      </c>
      <c r="J24" s="422">
        <v>0.104</v>
      </c>
      <c r="K24" s="422">
        <v>0.49780000000000002</v>
      </c>
      <c r="L24" s="73">
        <v>-1050611.4311486054</v>
      </c>
      <c r="M24" s="311"/>
      <c r="P24" s="814">
        <f>E24*F24</f>
        <v>5.1771199999999996E-2</v>
      </c>
      <c r="Q24" s="814">
        <f>J24*K24</f>
        <v>5.1771199999999996E-2</v>
      </c>
    </row>
    <row r="25" spans="1:17" ht="14.25" customHeight="1">
      <c r="A25" s="2">
        <v>13</v>
      </c>
      <c r="B25" s="373"/>
      <c r="C25" s="4"/>
      <c r="D25" s="77"/>
      <c r="E25" s="21"/>
      <c r="F25" s="21"/>
      <c r="G25" s="77"/>
      <c r="H25" s="77"/>
      <c r="I25" s="77"/>
      <c r="J25" s="76"/>
      <c r="K25" s="76"/>
      <c r="L25" s="77"/>
      <c r="M25" s="311"/>
      <c r="P25" s="814"/>
      <c r="Q25" s="815"/>
    </row>
    <row r="26" spans="1:17">
      <c r="A26" s="2">
        <v>14</v>
      </c>
      <c r="C26" s="16" t="s">
        <v>675</v>
      </c>
      <c r="D26" s="73">
        <v>24564903.601925977</v>
      </c>
      <c r="E26" s="398">
        <v>0.104</v>
      </c>
      <c r="F26" s="398">
        <v>0.49780000000000002</v>
      </c>
      <c r="G26" s="73">
        <v>1271754.5373560302</v>
      </c>
      <c r="H26" s="77"/>
      <c r="I26" s="73">
        <v>24564903.601925973</v>
      </c>
      <c r="J26" s="422">
        <v>0.104</v>
      </c>
      <c r="K26" s="422">
        <v>0.49780000000000002</v>
      </c>
      <c r="L26" s="73">
        <v>1271754.53735603</v>
      </c>
      <c r="M26" s="311"/>
      <c r="P26" s="814">
        <f>E26*F26</f>
        <v>5.1771199999999996E-2</v>
      </c>
      <c r="Q26" s="814">
        <f>J26*K26</f>
        <v>5.1771199999999996E-2</v>
      </c>
    </row>
    <row r="27" spans="1:17" ht="14.25" customHeight="1">
      <c r="A27" s="2">
        <v>15</v>
      </c>
      <c r="D27" s="73"/>
      <c r="E27" s="21"/>
      <c r="F27" s="21"/>
      <c r="G27" s="73"/>
      <c r="H27" s="77"/>
      <c r="I27" s="73"/>
      <c r="J27" s="480"/>
      <c r="K27" s="480"/>
      <c r="L27" s="73"/>
      <c r="M27" s="311"/>
      <c r="P27" s="815"/>
      <c r="Q27" s="815"/>
    </row>
    <row r="28" spans="1:17">
      <c r="A28" s="2">
        <v>16</v>
      </c>
      <c r="C28" s="22" t="s">
        <v>68</v>
      </c>
      <c r="D28" s="574">
        <v>441072698.59409267</v>
      </c>
      <c r="E28" s="21"/>
      <c r="F28" s="21"/>
      <c r="G28" s="574">
        <v>22834862.893454492</v>
      </c>
      <c r="I28" s="574">
        <v>441292931.84858423</v>
      </c>
      <c r="J28" s="76"/>
      <c r="K28" s="76"/>
      <c r="L28" s="574">
        <v>22846264.633319426</v>
      </c>
      <c r="M28" s="311"/>
      <c r="P28" s="815"/>
      <c r="Q28" s="815"/>
    </row>
    <row r="29" spans="1:17" ht="15.75">
      <c r="A29" s="2">
        <v>17</v>
      </c>
      <c r="B29" s="12" t="s">
        <v>1116</v>
      </c>
      <c r="E29" s="54"/>
      <c r="F29" s="54"/>
      <c r="J29" s="54"/>
      <c r="K29" s="54"/>
      <c r="M29" s="311"/>
      <c r="P29" s="815"/>
      <c r="Q29" s="815"/>
    </row>
    <row r="30" spans="1:17">
      <c r="A30" s="2">
        <v>18</v>
      </c>
      <c r="C30" s="16" t="s">
        <v>673</v>
      </c>
      <c r="D30" s="306">
        <v>68526</v>
      </c>
      <c r="E30" s="398">
        <v>0.1095</v>
      </c>
      <c r="F30" s="398">
        <v>0.51517972406888612</v>
      </c>
      <c r="G30" s="306">
        <v>3865.7010319841215</v>
      </c>
      <c r="H30" s="77"/>
      <c r="I30" s="306">
        <v>68526</v>
      </c>
      <c r="J30" s="422">
        <v>0.1095</v>
      </c>
      <c r="K30" s="422">
        <v>0.51517972406888612</v>
      </c>
      <c r="L30" s="306">
        <v>3865.7010319841215</v>
      </c>
      <c r="M30" s="311"/>
      <c r="P30" s="814">
        <f>E30*F30</f>
        <v>5.6412179785543033E-2</v>
      </c>
      <c r="Q30" s="814">
        <f>J30*K30</f>
        <v>5.6412179785543033E-2</v>
      </c>
    </row>
    <row r="31" spans="1:17">
      <c r="A31" s="2">
        <v>19</v>
      </c>
      <c r="B31" s="373"/>
      <c r="C31" s="4"/>
      <c r="D31" s="77"/>
      <c r="E31" s="21"/>
      <c r="F31" s="21"/>
      <c r="G31" s="77"/>
      <c r="H31" s="77"/>
      <c r="I31" s="77"/>
      <c r="J31" s="76"/>
      <c r="K31" s="76"/>
      <c r="L31" s="77"/>
      <c r="M31" s="311"/>
      <c r="P31" s="814"/>
      <c r="Q31" s="815"/>
    </row>
    <row r="32" spans="1:17">
      <c r="A32" s="2">
        <v>20</v>
      </c>
      <c r="C32" s="16" t="s">
        <v>674</v>
      </c>
      <c r="D32" s="73">
        <v>-14837352.543710032</v>
      </c>
      <c r="E32" s="398">
        <v>0.1095</v>
      </c>
      <c r="F32" s="398">
        <v>0.51517972406888612</v>
      </c>
      <c r="G32" s="73">
        <v>-837007.39923725463</v>
      </c>
      <c r="H32" s="77"/>
      <c r="I32" s="73">
        <v>-15109097.356369393</v>
      </c>
      <c r="J32" s="422">
        <v>0.1095</v>
      </c>
      <c r="K32" s="422">
        <v>0.51517972406888612</v>
      </c>
      <c r="L32" s="73">
        <v>-852337.1164647832</v>
      </c>
      <c r="M32" s="311"/>
      <c r="P32" s="814">
        <f>E32*F32</f>
        <v>5.6412179785543033E-2</v>
      </c>
      <c r="Q32" s="814">
        <f>J32*K32</f>
        <v>5.6412179785543033E-2</v>
      </c>
    </row>
    <row r="33" spans="1:17">
      <c r="A33" s="2">
        <v>21</v>
      </c>
      <c r="B33" s="373"/>
      <c r="C33" s="4"/>
      <c r="D33" s="77"/>
      <c r="E33" s="21"/>
      <c r="F33" s="21"/>
      <c r="G33" s="77"/>
      <c r="H33" s="77"/>
      <c r="I33" s="77"/>
      <c r="J33" s="76"/>
      <c r="K33" s="76"/>
      <c r="L33" s="77"/>
      <c r="M33" s="311"/>
      <c r="P33" s="814"/>
      <c r="Q33" s="815"/>
    </row>
    <row r="34" spans="1:17">
      <c r="A34" s="2">
        <v>22</v>
      </c>
      <c r="C34" s="16" t="s">
        <v>675</v>
      </c>
      <c r="D34" s="73">
        <v>0</v>
      </c>
      <c r="E34" s="398">
        <v>0.1095</v>
      </c>
      <c r="F34" s="398">
        <v>0.51517972406888612</v>
      </c>
      <c r="G34" s="73">
        <v>0</v>
      </c>
      <c r="H34" s="77"/>
      <c r="I34" s="73">
        <v>0</v>
      </c>
      <c r="J34" s="422">
        <v>0.1095</v>
      </c>
      <c r="K34" s="422">
        <v>0.51517972406888612</v>
      </c>
      <c r="L34" s="73">
        <v>0</v>
      </c>
      <c r="M34" s="311"/>
      <c r="P34" s="814">
        <f>E34*F34</f>
        <v>5.6412179785543033E-2</v>
      </c>
      <c r="Q34" s="814">
        <f>J34*K34</f>
        <v>5.6412179785543033E-2</v>
      </c>
    </row>
    <row r="35" spans="1:17">
      <c r="A35" s="2">
        <v>23</v>
      </c>
      <c r="D35" s="73"/>
      <c r="E35" s="21"/>
      <c r="F35" s="21"/>
      <c r="G35" s="73"/>
      <c r="H35" s="77"/>
      <c r="I35" s="73"/>
      <c r="J35" s="480"/>
      <c r="K35" s="480"/>
      <c r="L35" s="73"/>
      <c r="M35" s="311"/>
      <c r="P35" s="815"/>
      <c r="Q35" s="815"/>
    </row>
    <row r="36" spans="1:17">
      <c r="A36" s="2">
        <v>24</v>
      </c>
      <c r="C36" s="22" t="s">
        <v>718</v>
      </c>
      <c r="D36" s="574">
        <v>-14768826.543710032</v>
      </c>
      <c r="E36" s="21"/>
      <c r="F36" s="21"/>
      <c r="G36" s="574">
        <v>-833141.69820527046</v>
      </c>
      <c r="I36" s="574">
        <v>-15040571.356369393</v>
      </c>
      <c r="J36" s="76"/>
      <c r="K36" s="76"/>
      <c r="L36" s="574">
        <v>-848471.41543279903</v>
      </c>
      <c r="M36" s="311"/>
      <c r="P36" s="815"/>
      <c r="Q36" s="815"/>
    </row>
    <row r="37" spans="1:17" ht="15.75">
      <c r="A37" s="2">
        <v>25</v>
      </c>
      <c r="B37" s="12" t="s">
        <v>676</v>
      </c>
      <c r="E37" s="54"/>
      <c r="F37" s="54"/>
      <c r="J37" s="54"/>
      <c r="K37" s="54"/>
      <c r="M37" s="311"/>
      <c r="P37" s="815"/>
      <c r="Q37" s="815"/>
    </row>
    <row r="38" spans="1:17">
      <c r="A38" s="2">
        <v>26</v>
      </c>
      <c r="C38" s="16" t="s">
        <v>673</v>
      </c>
      <c r="D38" s="306">
        <v>1746795</v>
      </c>
      <c r="E38" s="478">
        <v>1</v>
      </c>
      <c r="F38" s="398">
        <v>0.49780000000000002</v>
      </c>
      <c r="G38" s="306">
        <v>869554.55099999998</v>
      </c>
      <c r="H38" s="77"/>
      <c r="I38" s="306">
        <v>1746795</v>
      </c>
      <c r="J38" s="478">
        <v>1</v>
      </c>
      <c r="K38" s="398">
        <v>0.49780000000000002</v>
      </c>
      <c r="L38" s="306">
        <v>869554.55099999998</v>
      </c>
      <c r="M38" s="311"/>
      <c r="P38" s="814">
        <f>E38*F38</f>
        <v>0.49780000000000002</v>
      </c>
      <c r="Q38" s="814">
        <f>J38*K38</f>
        <v>0.49780000000000002</v>
      </c>
    </row>
    <row r="39" spans="1:17">
      <c r="A39" s="2">
        <v>27</v>
      </c>
      <c r="D39" s="73"/>
      <c r="E39" s="21"/>
      <c r="F39" s="21"/>
      <c r="G39" s="73"/>
      <c r="H39" s="77"/>
      <c r="I39" s="73"/>
      <c r="J39" s="480"/>
      <c r="K39" s="480"/>
      <c r="L39" s="73"/>
      <c r="M39" s="311"/>
      <c r="P39" s="814"/>
      <c r="Q39" s="815"/>
    </row>
    <row r="40" spans="1:17">
      <c r="A40" s="2">
        <v>28</v>
      </c>
      <c r="C40" s="16" t="s">
        <v>439</v>
      </c>
      <c r="D40" s="73">
        <v>0</v>
      </c>
      <c r="E40" s="478">
        <v>1</v>
      </c>
      <c r="F40" s="398">
        <v>0.49780000000000002</v>
      </c>
      <c r="G40" s="73">
        <v>0</v>
      </c>
      <c r="H40" s="77"/>
      <c r="I40" s="73">
        <v>0</v>
      </c>
      <c r="J40" s="478">
        <v>1</v>
      </c>
      <c r="K40" s="398">
        <v>0.49780000000000002</v>
      </c>
      <c r="L40" s="73">
        <v>0</v>
      </c>
      <c r="M40" s="311"/>
      <c r="P40" s="814">
        <f>E40*F40</f>
        <v>0.49780000000000002</v>
      </c>
      <c r="Q40" s="814">
        <f>J40*K40</f>
        <v>0.49780000000000002</v>
      </c>
    </row>
    <row r="41" spans="1:17">
      <c r="A41" s="2">
        <v>29</v>
      </c>
      <c r="D41" s="73"/>
      <c r="E41" s="21"/>
      <c r="F41" s="21"/>
      <c r="G41" s="73"/>
      <c r="H41" s="77"/>
      <c r="I41" s="73"/>
      <c r="J41" s="480"/>
      <c r="K41" s="480"/>
      <c r="L41" s="73"/>
      <c r="M41" s="311"/>
      <c r="P41" s="814"/>
      <c r="Q41" s="815"/>
    </row>
    <row r="42" spans="1:17">
      <c r="A42" s="2">
        <v>30</v>
      </c>
      <c r="C42" s="16" t="s">
        <v>674</v>
      </c>
      <c r="D42" s="73">
        <v>-723998.82028278813</v>
      </c>
      <c r="E42" s="478">
        <v>1</v>
      </c>
      <c r="F42" s="398">
        <v>0.49780000000000002</v>
      </c>
      <c r="G42" s="73">
        <v>-360406.61273677193</v>
      </c>
      <c r="H42" s="77"/>
      <c r="I42" s="73">
        <v>-724930.31555233034</v>
      </c>
      <c r="J42" s="478">
        <v>1</v>
      </c>
      <c r="K42" s="398">
        <v>0.49780000000000002</v>
      </c>
      <c r="L42" s="73">
        <v>-360870.31108195009</v>
      </c>
      <c r="M42" s="311"/>
      <c r="P42" s="814">
        <f>E42*F42</f>
        <v>0.49780000000000002</v>
      </c>
      <c r="Q42" s="814">
        <f>J42*K42</f>
        <v>0.49780000000000002</v>
      </c>
    </row>
    <row r="43" spans="1:17">
      <c r="A43" s="2">
        <v>31</v>
      </c>
      <c r="D43" s="73"/>
      <c r="E43" s="21"/>
      <c r="F43" s="21"/>
      <c r="G43" s="73"/>
      <c r="H43" s="77"/>
      <c r="I43" s="73"/>
      <c r="J43" s="480"/>
      <c r="K43" s="480"/>
      <c r="L43" s="73"/>
      <c r="M43" s="311"/>
      <c r="P43" s="815"/>
      <c r="Q43" s="815"/>
    </row>
    <row r="44" spans="1:17">
      <c r="A44" s="2">
        <v>32</v>
      </c>
      <c r="C44" s="16" t="s">
        <v>675</v>
      </c>
      <c r="D44" s="73">
        <v>-886040</v>
      </c>
      <c r="E44" s="478">
        <v>1</v>
      </c>
      <c r="F44" s="398">
        <v>0.49780000000000002</v>
      </c>
      <c r="G44" s="73">
        <v>-441070.712</v>
      </c>
      <c r="H44" s="77"/>
      <c r="I44" s="73">
        <v>-886040</v>
      </c>
      <c r="J44" s="478">
        <v>1</v>
      </c>
      <c r="K44" s="398">
        <v>0.49780000000000002</v>
      </c>
      <c r="L44" s="73">
        <v>-441070.712</v>
      </c>
      <c r="M44" s="311"/>
      <c r="P44" s="814">
        <f>E44*F44</f>
        <v>0.49780000000000002</v>
      </c>
      <c r="Q44" s="814">
        <f>J44*K44</f>
        <v>0.49780000000000002</v>
      </c>
    </row>
    <row r="45" spans="1:17">
      <c r="A45" s="2">
        <v>33</v>
      </c>
      <c r="D45" s="73"/>
      <c r="E45" s="21"/>
      <c r="F45" s="21"/>
      <c r="G45" s="73"/>
      <c r="H45" s="77"/>
      <c r="I45" s="73"/>
      <c r="J45" s="480"/>
      <c r="K45" s="480"/>
      <c r="L45" s="73"/>
      <c r="M45" s="311"/>
      <c r="P45" s="398"/>
      <c r="Q45" s="398"/>
    </row>
    <row r="46" spans="1:17">
      <c r="A46" s="2">
        <v>34</v>
      </c>
      <c r="C46" s="22" t="s">
        <v>438</v>
      </c>
      <c r="D46" s="574">
        <v>136756.17971721187</v>
      </c>
      <c r="E46" s="21"/>
      <c r="F46" s="21"/>
      <c r="G46" s="574">
        <v>68077.226263228047</v>
      </c>
      <c r="I46" s="574">
        <v>135824.68444766966</v>
      </c>
      <c r="J46" s="76"/>
      <c r="K46" s="76"/>
      <c r="L46" s="574">
        <v>67613.527918049891</v>
      </c>
      <c r="M46" s="311"/>
    </row>
    <row r="47" spans="1:17">
      <c r="A47" s="2">
        <v>35</v>
      </c>
      <c r="E47" s="54"/>
      <c r="F47" s="54"/>
      <c r="J47" s="54"/>
      <c r="K47" s="54"/>
      <c r="M47" s="311"/>
    </row>
    <row r="48" spans="1:17">
      <c r="A48" s="2">
        <v>36</v>
      </c>
      <c r="E48" s="54"/>
      <c r="F48" s="54"/>
      <c r="J48" s="54"/>
      <c r="K48" s="54"/>
      <c r="M48" s="311"/>
    </row>
    <row r="49" spans="1:12" ht="15.75">
      <c r="A49" s="2">
        <v>37</v>
      </c>
      <c r="B49" s="35"/>
      <c r="C49" s="514" t="s">
        <v>720</v>
      </c>
      <c r="D49" s="546">
        <v>350225342.66492027</v>
      </c>
      <c r="E49" s="54"/>
      <c r="F49" s="54"/>
      <c r="G49" s="546">
        <v>-54145487.143667147</v>
      </c>
      <c r="I49" s="546">
        <v>351270928.65778613</v>
      </c>
      <c r="J49" s="54"/>
      <c r="K49" s="54"/>
      <c r="L49" s="546">
        <v>-53051849.773071662</v>
      </c>
    </row>
    <row r="50" spans="1:12">
      <c r="A50" s="809">
        <v>38</v>
      </c>
      <c r="B50" s="35"/>
      <c r="C50" s="823" t="s">
        <v>1465</v>
      </c>
      <c r="E50" s="54"/>
      <c r="F50" s="54"/>
      <c r="J50" s="54"/>
      <c r="K50" s="54"/>
    </row>
    <row r="51" spans="1:12" ht="15.75">
      <c r="A51" s="809">
        <v>39</v>
      </c>
      <c r="B51" s="35"/>
      <c r="C51" s="102" t="s">
        <v>1459</v>
      </c>
      <c r="E51" s="54"/>
      <c r="F51" s="54"/>
      <c r="J51" s="54"/>
      <c r="K51" s="54"/>
      <c r="L51" s="1">
        <v>1724944.2971297798</v>
      </c>
    </row>
    <row r="52" spans="1:12">
      <c r="A52" s="809">
        <v>40</v>
      </c>
      <c r="B52" s="35"/>
      <c r="C52" s="92"/>
      <c r="E52" s="810"/>
      <c r="F52" s="810"/>
      <c r="J52" s="810"/>
      <c r="K52" s="810"/>
    </row>
    <row r="53" spans="1:12" ht="16.5" thickBot="1">
      <c r="A53" s="809">
        <v>41</v>
      </c>
      <c r="B53" s="35"/>
      <c r="C53" s="102" t="s">
        <v>1460</v>
      </c>
      <c r="E53" s="810"/>
      <c r="F53" s="810"/>
      <c r="J53" s="810"/>
      <c r="K53" s="810"/>
      <c r="L53" s="820">
        <v>-51326905.475941882</v>
      </c>
    </row>
    <row r="54" spans="1:12" ht="15.75" thickTop="1">
      <c r="A54" s="809">
        <v>42</v>
      </c>
      <c r="B54" s="35"/>
      <c r="E54" s="810"/>
      <c r="F54" s="810"/>
      <c r="J54" s="810"/>
      <c r="K54" s="810"/>
    </row>
    <row r="55" spans="1:12" ht="15.75">
      <c r="A55" s="809">
        <v>43</v>
      </c>
      <c r="B55" s="35"/>
      <c r="C55" s="825" t="s">
        <v>1443</v>
      </c>
      <c r="D55" s="59"/>
      <c r="E55" s="338"/>
      <c r="F55" s="338"/>
      <c r="G55" s="59"/>
      <c r="H55" s="826"/>
      <c r="I55" s="59"/>
      <c r="J55" s="54"/>
      <c r="K55" s="54"/>
    </row>
    <row r="56" spans="1:12" ht="15.75">
      <c r="A56" s="809">
        <v>44</v>
      </c>
      <c r="B56" s="35"/>
      <c r="C56" s="827" t="s">
        <v>1444</v>
      </c>
      <c r="D56" s="35"/>
      <c r="E56" s="221"/>
      <c r="F56" s="221"/>
      <c r="G56" s="35"/>
      <c r="I56" s="35"/>
      <c r="J56" s="54"/>
      <c r="K56" s="54"/>
    </row>
    <row r="57" spans="1:12">
      <c r="A57" s="809">
        <v>45</v>
      </c>
      <c r="F57" s="809" t="s">
        <v>58</v>
      </c>
      <c r="I57" s="809"/>
      <c r="J57" s="54"/>
      <c r="K57" s="54"/>
    </row>
    <row r="58" spans="1:12">
      <c r="A58" s="809">
        <v>46</v>
      </c>
      <c r="C58" s="5" t="s">
        <v>1446</v>
      </c>
      <c r="D58" s="805"/>
      <c r="E58" s="805"/>
      <c r="F58" s="812" t="s">
        <v>101</v>
      </c>
      <c r="G58" s="805"/>
      <c r="H58" s="813"/>
      <c r="I58" s="812"/>
      <c r="J58" s="54"/>
      <c r="K58" s="54"/>
    </row>
    <row r="59" spans="1:12">
      <c r="A59" s="809">
        <v>47</v>
      </c>
      <c r="B59" s="35"/>
      <c r="F59" s="810"/>
      <c r="J59" s="54"/>
      <c r="K59" s="54"/>
    </row>
    <row r="60" spans="1:12">
      <c r="A60" s="809">
        <v>48</v>
      </c>
      <c r="B60" s="35"/>
      <c r="C60" s="1" t="s">
        <v>1445</v>
      </c>
      <c r="F60" s="810" t="s">
        <v>1447</v>
      </c>
      <c r="I60" s="1">
        <v>495967912.94717216</v>
      </c>
      <c r="J60" s="54"/>
      <c r="K60" s="54"/>
    </row>
    <row r="61" spans="1:12">
      <c r="A61" s="809">
        <v>49</v>
      </c>
      <c r="B61" s="35"/>
      <c r="F61" s="810"/>
      <c r="J61" s="54"/>
      <c r="K61" s="54"/>
    </row>
    <row r="62" spans="1:12">
      <c r="A62" s="809">
        <v>50</v>
      </c>
      <c r="B62" s="35"/>
      <c r="C62" s="1" t="s">
        <v>1448</v>
      </c>
      <c r="F62" s="810" t="s">
        <v>1449</v>
      </c>
      <c r="I62" s="1">
        <v>39429449</v>
      </c>
      <c r="J62" s="54"/>
      <c r="K62" s="54"/>
    </row>
    <row r="63" spans="1:12">
      <c r="A63" s="809">
        <v>51</v>
      </c>
      <c r="B63" s="35"/>
      <c r="F63" s="810"/>
      <c r="J63" s="54"/>
      <c r="K63" s="54"/>
    </row>
    <row r="64" spans="1:12">
      <c r="A64" s="809">
        <v>52</v>
      </c>
      <c r="B64" s="35"/>
      <c r="C64" s="1" t="s">
        <v>211</v>
      </c>
      <c r="F64" s="810" t="s">
        <v>1450</v>
      </c>
      <c r="I64" s="1">
        <v>9365024.8420006465</v>
      </c>
      <c r="J64" s="54"/>
      <c r="K64" s="54"/>
    </row>
    <row r="65" spans="1:11">
      <c r="A65" s="809">
        <v>53</v>
      </c>
      <c r="B65" s="35"/>
      <c r="F65" s="810"/>
      <c r="J65" s="54"/>
      <c r="K65" s="54"/>
    </row>
    <row r="66" spans="1:11">
      <c r="A66" s="809">
        <v>54</v>
      </c>
      <c r="B66" s="35"/>
      <c r="C66" s="1" t="s">
        <v>1451</v>
      </c>
      <c r="F66" s="810" t="s">
        <v>1469</v>
      </c>
      <c r="I66" s="1">
        <v>30064424.157999352</v>
      </c>
      <c r="J66" s="54"/>
      <c r="K66" s="54"/>
    </row>
    <row r="67" spans="1:11">
      <c r="A67" s="809">
        <v>55</v>
      </c>
      <c r="B67" s="35"/>
      <c r="F67" s="810"/>
      <c r="J67" s="54"/>
      <c r="K67" s="54"/>
    </row>
    <row r="68" spans="1:11">
      <c r="A68" s="809">
        <v>56</v>
      </c>
      <c r="B68" s="35"/>
      <c r="C68" s="1" t="s">
        <v>1452</v>
      </c>
      <c r="D68" s="414">
        <v>0.2495</v>
      </c>
      <c r="F68" s="810" t="s">
        <v>1471</v>
      </c>
      <c r="I68" s="1">
        <v>40059192.748833247</v>
      </c>
      <c r="J68" s="54"/>
      <c r="K68" s="54"/>
    </row>
    <row r="69" spans="1:11">
      <c r="A69" s="809">
        <v>57</v>
      </c>
      <c r="B69" s="35"/>
      <c r="F69" s="810"/>
      <c r="J69" s="54"/>
      <c r="K69" s="54"/>
    </row>
    <row r="70" spans="1:11">
      <c r="A70" s="809">
        <v>58</v>
      </c>
      <c r="B70" s="35"/>
      <c r="C70" s="1" t="s">
        <v>1461</v>
      </c>
      <c r="D70" s="414">
        <v>0.2495</v>
      </c>
      <c r="F70" s="810" t="s">
        <v>1470</v>
      </c>
      <c r="I70" s="816">
        <v>9994768.5908338949</v>
      </c>
      <c r="J70" s="54"/>
      <c r="K70" s="54"/>
    </row>
    <row r="71" spans="1:11">
      <c r="A71" s="809">
        <v>59</v>
      </c>
      <c r="F71" s="810"/>
      <c r="J71" s="54"/>
      <c r="K71" s="54"/>
    </row>
    <row r="72" spans="1:11">
      <c r="A72" s="809">
        <v>60</v>
      </c>
      <c r="C72" s="1" t="s">
        <v>1457</v>
      </c>
      <c r="F72" s="810" t="s">
        <v>1472</v>
      </c>
      <c r="I72" s="35">
        <v>-11719712.887963675</v>
      </c>
      <c r="J72" s="810"/>
      <c r="K72" s="810"/>
    </row>
    <row r="73" spans="1:11">
      <c r="A73" s="809">
        <v>61</v>
      </c>
      <c r="C73" s="1" t="s">
        <v>1458</v>
      </c>
      <c r="F73" s="810"/>
      <c r="I73" s="805">
        <v>1724944.2971297798</v>
      </c>
      <c r="J73" s="810"/>
      <c r="K73" s="810">
        <v>0</v>
      </c>
    </row>
    <row r="74" spans="1:11">
      <c r="A74" s="809">
        <v>62</v>
      </c>
      <c r="F74" s="810"/>
      <c r="J74" s="810"/>
      <c r="K74" s="810"/>
    </row>
    <row r="75" spans="1:11" ht="16.5" thickBot="1">
      <c r="A75" s="809">
        <v>63</v>
      </c>
      <c r="C75" s="102" t="s">
        <v>1463</v>
      </c>
      <c r="D75" s="102"/>
      <c r="E75" s="102"/>
      <c r="F75" s="811" t="s">
        <v>1453</v>
      </c>
      <c r="G75" s="102"/>
      <c r="H75" s="821"/>
      <c r="I75" s="822">
        <v>-9994768.5908338949</v>
      </c>
      <c r="J75" s="54"/>
      <c r="K75" s="54"/>
    </row>
    <row r="76" spans="1:11" ht="15.75" thickTop="1">
      <c r="A76" s="809">
        <v>64</v>
      </c>
      <c r="J76" s="54"/>
      <c r="K76" s="828">
        <v>0</v>
      </c>
    </row>
    <row r="77" spans="1:11">
      <c r="A77" s="809">
        <v>65</v>
      </c>
      <c r="J77" s="54"/>
      <c r="K77" s="54"/>
    </row>
    <row r="78" spans="1:11" ht="15.75">
      <c r="A78" s="809">
        <v>66</v>
      </c>
      <c r="C78" s="819" t="s">
        <v>1456</v>
      </c>
      <c r="D78" s="805"/>
      <c r="E78" s="805"/>
      <c r="F78" s="805"/>
      <c r="G78" s="805"/>
      <c r="H78" s="813"/>
      <c r="I78" s="813"/>
      <c r="J78" s="54"/>
      <c r="K78" s="54"/>
    </row>
    <row r="79" spans="1:11" ht="15.75">
      <c r="A79" s="809">
        <v>67</v>
      </c>
      <c r="C79" s="102" t="s">
        <v>1672</v>
      </c>
      <c r="D79" s="102"/>
      <c r="E79" s="102"/>
      <c r="F79" s="811" t="s">
        <v>1462</v>
      </c>
      <c r="G79" s="102"/>
      <c r="H79" s="821"/>
      <c r="I79" s="941">
        <v>-41332136.885107987</v>
      </c>
      <c r="J79" s="54"/>
      <c r="K79" s="54"/>
    </row>
    <row r="80" spans="1:11">
      <c r="A80" s="809">
        <v>68</v>
      </c>
      <c r="I80" s="81"/>
      <c r="J80" s="810"/>
      <c r="K80" s="810"/>
    </row>
    <row r="81" spans="1:12">
      <c r="A81" s="809">
        <v>69</v>
      </c>
      <c r="C81" s="1" t="s">
        <v>1454</v>
      </c>
      <c r="F81" s="810" t="s">
        <v>1467</v>
      </c>
      <c r="I81" s="81">
        <v>-53051849.773071662</v>
      </c>
      <c r="J81" s="54"/>
      <c r="K81" s="54"/>
    </row>
    <row r="82" spans="1:12">
      <c r="A82" s="809">
        <v>70</v>
      </c>
      <c r="C82" s="92" t="s">
        <v>1439</v>
      </c>
      <c r="F82" s="810" t="s">
        <v>1468</v>
      </c>
      <c r="I82" s="813">
        <v>1724944.2971297798</v>
      </c>
      <c r="J82" s="54"/>
      <c r="K82" s="54"/>
    </row>
    <row r="83" spans="1:12" ht="15.75">
      <c r="A83" s="809">
        <v>71</v>
      </c>
      <c r="C83" s="102" t="s">
        <v>1460</v>
      </c>
      <c r="D83" s="102"/>
      <c r="E83" s="102"/>
      <c r="F83" s="102"/>
      <c r="G83" s="102"/>
      <c r="H83" s="821"/>
      <c r="I83" s="1148">
        <v>-51326905.475941882</v>
      </c>
      <c r="J83" s="54"/>
      <c r="K83" s="54"/>
    </row>
    <row r="84" spans="1:12" ht="15.75">
      <c r="A84" s="809">
        <v>72</v>
      </c>
      <c r="C84" s="102"/>
      <c r="I84" s="821"/>
      <c r="J84" s="810"/>
      <c r="K84" s="810"/>
    </row>
    <row r="85" spans="1:12" ht="16.5" thickBot="1">
      <c r="A85" s="809">
        <v>73</v>
      </c>
      <c r="C85" s="102" t="s">
        <v>1455</v>
      </c>
      <c r="F85" s="1" t="s">
        <v>1466</v>
      </c>
      <c r="I85" s="1149">
        <v>-9994768.5908338949</v>
      </c>
      <c r="J85" s="54"/>
      <c r="K85" s="54"/>
    </row>
    <row r="86" spans="1:12" ht="16.5" thickTop="1">
      <c r="A86" s="809">
        <v>74</v>
      </c>
      <c r="C86" s="102"/>
      <c r="I86" s="821"/>
      <c r="J86" s="810"/>
      <c r="K86" s="810"/>
    </row>
    <row r="87" spans="1:12">
      <c r="A87" s="809">
        <v>75</v>
      </c>
      <c r="I87" s="35"/>
      <c r="J87" s="54"/>
      <c r="K87" s="54"/>
    </row>
    <row r="88" spans="1:12">
      <c r="A88" s="809">
        <v>76</v>
      </c>
      <c r="C88" s="823" t="s">
        <v>1464</v>
      </c>
      <c r="E88" s="810"/>
      <c r="F88" s="810"/>
      <c r="J88" s="54"/>
      <c r="K88" s="54"/>
    </row>
    <row r="89" spans="1:12">
      <c r="E89" s="810"/>
      <c r="F89" s="810"/>
      <c r="J89" s="54"/>
      <c r="K89" s="54"/>
    </row>
    <row r="90" spans="1:12">
      <c r="E90" s="810"/>
      <c r="F90" s="810"/>
      <c r="J90" s="54"/>
      <c r="K90" s="54"/>
      <c r="L90" s="152"/>
    </row>
    <row r="91" spans="1:12">
      <c r="E91" s="810"/>
      <c r="F91" s="810"/>
      <c r="J91" s="54"/>
      <c r="K91" s="54"/>
      <c r="L91" s="152"/>
    </row>
    <row r="92" spans="1:12">
      <c r="E92" s="810"/>
      <c r="F92" s="810"/>
      <c r="J92" s="54"/>
      <c r="K92" s="54"/>
      <c r="L92" s="800"/>
    </row>
    <row r="93" spans="1:12">
      <c r="E93" s="810"/>
      <c r="F93" s="810"/>
      <c r="J93" s="54"/>
      <c r="K93" s="54"/>
      <c r="L93" s="152"/>
    </row>
    <row r="94" spans="1:12">
      <c r="E94" s="810"/>
      <c r="F94" s="810"/>
      <c r="J94" s="54"/>
      <c r="K94" s="54"/>
    </row>
    <row r="95" spans="1:12">
      <c r="E95" s="810"/>
      <c r="F95" s="810"/>
      <c r="J95" s="54"/>
      <c r="K95" s="54"/>
    </row>
    <row r="96" spans="1:12">
      <c r="D96" s="1">
        <v>0</v>
      </c>
      <c r="E96" s="810"/>
      <c r="F96" s="810"/>
      <c r="J96" s="54"/>
      <c r="K96" s="54"/>
    </row>
    <row r="97" spans="5:11">
      <c r="E97" s="54"/>
      <c r="F97" s="54"/>
      <c r="J97" s="54"/>
      <c r="K97" s="54"/>
    </row>
    <row r="98" spans="5:11">
      <c r="E98" s="54"/>
      <c r="F98" s="54"/>
      <c r="J98" s="54"/>
      <c r="K98" s="54"/>
    </row>
    <row r="99" spans="5:11">
      <c r="E99" s="54"/>
      <c r="F99" s="54"/>
      <c r="J99" s="54"/>
      <c r="K99" s="54"/>
    </row>
    <row r="100" spans="5:11">
      <c r="E100" s="54"/>
      <c r="F100" s="54"/>
      <c r="J100" s="54"/>
      <c r="K100" s="54"/>
    </row>
    <row r="101" spans="5:11">
      <c r="E101" s="54"/>
      <c r="F101" s="54"/>
      <c r="J101" s="54"/>
      <c r="K101" s="54"/>
    </row>
    <row r="102" spans="5:11">
      <c r="E102" s="54"/>
      <c r="F102" s="54"/>
      <c r="J102" s="54"/>
      <c r="K102" s="54"/>
    </row>
    <row r="103" spans="5:11">
      <c r="E103" s="54"/>
      <c r="F103" s="54"/>
      <c r="J103" s="54"/>
      <c r="K103" s="54"/>
    </row>
    <row r="104" spans="5:11">
      <c r="E104" s="54"/>
      <c r="F104" s="54"/>
      <c r="J104" s="54"/>
      <c r="K104" s="54"/>
    </row>
    <row r="105" spans="5:11">
      <c r="E105" s="54"/>
      <c r="F105" s="54"/>
      <c r="J105" s="54"/>
      <c r="K105" s="54"/>
    </row>
    <row r="106" spans="5:11">
      <c r="J106" s="54"/>
      <c r="K106" s="54"/>
    </row>
    <row r="107" spans="5:11">
      <c r="J107" s="54"/>
      <c r="K107" s="54"/>
    </row>
    <row r="108" spans="5:11">
      <c r="J108" s="54"/>
      <c r="K108" s="54"/>
    </row>
    <row r="109" spans="5:11">
      <c r="J109" s="54"/>
      <c r="K109" s="54"/>
    </row>
    <row r="110" spans="5:11">
      <c r="J110" s="54"/>
      <c r="K110" s="54"/>
    </row>
    <row r="111" spans="5:11">
      <c r="J111" s="54"/>
      <c r="K111" s="54"/>
    </row>
    <row r="112" spans="5:11">
      <c r="J112" s="54"/>
      <c r="K112" s="54"/>
    </row>
    <row r="113" spans="10:11">
      <c r="J113" s="54"/>
      <c r="K113" s="54"/>
    </row>
    <row r="114" spans="10:11">
      <c r="J114" s="54"/>
      <c r="K114" s="54"/>
    </row>
    <row r="115" spans="10:11">
      <c r="J115" s="54"/>
      <c r="K115" s="54"/>
    </row>
    <row r="116" spans="10:11">
      <c r="J116" s="54"/>
      <c r="K116" s="54"/>
    </row>
    <row r="117" spans="10:11">
      <c r="J117" s="54"/>
      <c r="K117" s="54"/>
    </row>
    <row r="118" spans="10:11">
      <c r="J118" s="54"/>
      <c r="K118" s="54"/>
    </row>
    <row r="119" spans="10:11">
      <c r="J119" s="54"/>
      <c r="K119" s="54"/>
    </row>
    <row r="120" spans="10:11">
      <c r="J120" s="54"/>
      <c r="K120" s="54"/>
    </row>
    <row r="121" spans="10:11">
      <c r="J121" s="54"/>
      <c r="K121" s="54"/>
    </row>
    <row r="122" spans="10:11">
      <c r="J122" s="54"/>
      <c r="K122" s="54"/>
    </row>
    <row r="123" spans="10:11">
      <c r="J123" s="54"/>
      <c r="K123" s="54"/>
    </row>
    <row r="124" spans="10:11">
      <c r="J124" s="54"/>
      <c r="K124" s="54"/>
    </row>
    <row r="125" spans="10:11">
      <c r="J125" s="54"/>
      <c r="K125" s="54"/>
    </row>
    <row r="126" spans="10:11">
      <c r="J126" s="54"/>
      <c r="K126" s="54"/>
    </row>
    <row r="127" spans="10:11">
      <c r="J127" s="54"/>
      <c r="K127" s="54"/>
    </row>
    <row r="128" spans="10:11">
      <c r="J128" s="54"/>
      <c r="K128" s="54"/>
    </row>
    <row r="129" spans="10:11">
      <c r="J129" s="54"/>
      <c r="K129" s="54"/>
    </row>
    <row r="130" spans="10:11">
      <c r="J130" s="54"/>
      <c r="K130" s="54"/>
    </row>
    <row r="131" spans="10:11">
      <c r="J131" s="54"/>
      <c r="K131" s="54"/>
    </row>
    <row r="132" spans="10:11">
      <c r="J132" s="54"/>
      <c r="K132" s="54"/>
    </row>
    <row r="133" spans="10:11">
      <c r="J133" s="54"/>
      <c r="K133" s="54"/>
    </row>
    <row r="134" spans="10:11">
      <c r="J134" s="54"/>
      <c r="K134" s="54"/>
    </row>
    <row r="135" spans="10:11">
      <c r="J135" s="54"/>
      <c r="K135" s="54"/>
    </row>
    <row r="136" spans="10:11">
      <c r="J136" s="54"/>
      <c r="K136" s="54"/>
    </row>
    <row r="137" spans="10:11">
      <c r="J137" s="54"/>
      <c r="K137" s="54"/>
    </row>
    <row r="138" spans="10:11">
      <c r="J138" s="54"/>
      <c r="K138" s="54"/>
    </row>
    <row r="139" spans="10:11">
      <c r="J139" s="54"/>
      <c r="K139" s="54"/>
    </row>
    <row r="140" spans="10:11">
      <c r="J140" s="54"/>
      <c r="K140" s="54"/>
    </row>
  </sheetData>
  <mergeCells count="4">
    <mergeCell ref="A1:L1"/>
    <mergeCell ref="A2:L2"/>
    <mergeCell ref="A3:L3"/>
    <mergeCell ref="A4:L4"/>
  </mergeCells>
  <phoneticPr fontId="23" type="noConversion"/>
  <printOptions horizontalCentered="1"/>
  <pageMargins left="0.75" right="0.75" top="0.6" bottom="0.5" header="0.5" footer="0.17"/>
  <pageSetup scale="59" fitToHeight="2" orientation="landscape" verticalDpi="300" r:id="rId1"/>
  <headerFooter alignWithMargins="0">
    <oddFooter>&amp;RSchedule &amp;A
Page &amp;P of &amp;N</oddFooter>
  </headerFooter>
  <rowBreaks count="1" manualBreakCount="1">
    <brk id="54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L44"/>
  <sheetViews>
    <sheetView view="pageBreakPreview" zoomScale="80" zoomScaleNormal="90" zoomScaleSheetLayoutView="80" workbookViewId="0">
      <selection sqref="A1:L1"/>
    </sheetView>
  </sheetViews>
  <sheetFormatPr defaultColWidth="8.44140625" defaultRowHeight="15"/>
  <cols>
    <col min="1" max="1" width="5.77734375" style="1" customWidth="1"/>
    <col min="2" max="2" width="6.44140625" style="1" customWidth="1"/>
    <col min="3" max="3" width="49.33203125" style="1" bestFit="1" customWidth="1"/>
    <col min="4" max="4" width="11.5546875" style="1" bestFit="1" customWidth="1"/>
    <col min="5" max="5" width="11.77734375" style="54" bestFit="1" customWidth="1"/>
    <col min="6" max="6" width="11.77734375" style="54" customWidth="1"/>
    <col min="7" max="7" width="11.88671875" style="1" bestFit="1" customWidth="1"/>
    <col min="8" max="8" width="4.33203125" style="74" customWidth="1"/>
    <col min="9" max="9" width="11.5546875" style="1" bestFit="1" customWidth="1"/>
    <col min="10" max="11" width="11.88671875" style="54" customWidth="1"/>
    <col min="12" max="12" width="14.77734375" style="1" customWidth="1"/>
    <col min="13" max="16384" width="8.44140625" style="1"/>
  </cols>
  <sheetData>
    <row r="1" spans="1:12">
      <c r="A1" s="1193" t="str">
        <f>Allocation!A1</f>
        <v>Atmos Energy Corporation, Kentucky/Mid-States Division</v>
      </c>
      <c r="B1" s="1193"/>
      <c r="C1" s="1193"/>
      <c r="D1" s="1193"/>
      <c r="E1" s="1193"/>
      <c r="F1" s="1193"/>
      <c r="G1" s="1193"/>
      <c r="H1" s="1193"/>
      <c r="I1" s="1193"/>
      <c r="J1" s="1193"/>
      <c r="K1" s="1193"/>
      <c r="L1" s="1193"/>
    </row>
    <row r="2" spans="1:12">
      <c r="A2" s="1193" t="str">
        <f>Allocation!A2</f>
        <v>Kentucky Jurisdiction Case No. 2018-00281</v>
      </c>
      <c r="B2" s="1193"/>
      <c r="C2" s="1193"/>
      <c r="D2" s="1193"/>
      <c r="E2" s="1193"/>
      <c r="F2" s="1193"/>
      <c r="G2" s="1193"/>
      <c r="H2" s="1193"/>
      <c r="I2" s="1193"/>
      <c r="J2" s="1193"/>
      <c r="K2" s="1193"/>
      <c r="L2" s="1193"/>
    </row>
    <row r="3" spans="1:12">
      <c r="A3" s="1193" t="s">
        <v>633</v>
      </c>
      <c r="B3" s="1193"/>
      <c r="C3" s="1193"/>
      <c r="D3" s="1193"/>
      <c r="E3" s="1193"/>
      <c r="F3" s="1193"/>
      <c r="G3" s="1193"/>
      <c r="H3" s="1193"/>
      <c r="I3" s="1193"/>
      <c r="J3" s="1193"/>
      <c r="K3" s="1193"/>
      <c r="L3" s="1193"/>
    </row>
    <row r="4" spans="1:12">
      <c r="A4" s="1193" t="str">
        <f>'B.1 B'!A4</f>
        <v>as of December 31, 2018</v>
      </c>
      <c r="B4" s="1193"/>
      <c r="C4" s="1193"/>
      <c r="D4" s="1193"/>
      <c r="E4" s="1193"/>
      <c r="F4" s="1193"/>
      <c r="G4" s="1193"/>
      <c r="H4" s="1193"/>
      <c r="I4" s="1193"/>
      <c r="J4" s="1193"/>
      <c r="K4" s="1193"/>
      <c r="L4" s="1193"/>
    </row>
    <row r="5" spans="1:12">
      <c r="A5" s="31"/>
      <c r="B5" s="30"/>
      <c r="C5" s="30"/>
      <c r="D5" s="30"/>
      <c r="G5" s="30"/>
      <c r="H5" s="370"/>
      <c r="I5" s="30"/>
    </row>
    <row r="6" spans="1:12">
      <c r="A6" s="48" t="s">
        <v>788</v>
      </c>
      <c r="B6" s="48"/>
      <c r="C6" s="35"/>
      <c r="L6" s="1" t="s">
        <v>1422</v>
      </c>
    </row>
    <row r="7" spans="1:12">
      <c r="A7" s="48" t="s">
        <v>1121</v>
      </c>
      <c r="B7" s="35"/>
      <c r="C7" s="48"/>
      <c r="L7" s="1" t="s">
        <v>709</v>
      </c>
    </row>
    <row r="8" spans="1:12">
      <c r="A8" s="5" t="s">
        <v>426</v>
      </c>
      <c r="B8" s="6"/>
      <c r="C8" s="6"/>
      <c r="D8" s="6"/>
      <c r="E8" s="369"/>
      <c r="F8" s="369"/>
      <c r="G8" s="33"/>
      <c r="I8" s="6"/>
      <c r="J8" s="369"/>
      <c r="K8" s="56"/>
      <c r="L8" s="33" t="s">
        <v>1344</v>
      </c>
    </row>
    <row r="9" spans="1:12">
      <c r="A9" s="587"/>
      <c r="D9" s="518"/>
      <c r="E9" s="221" t="s">
        <v>13</v>
      </c>
      <c r="F9" s="2" t="s">
        <v>11</v>
      </c>
      <c r="G9" s="482" t="s">
        <v>97</v>
      </c>
      <c r="H9" s="75"/>
      <c r="I9" s="519"/>
      <c r="J9" s="221" t="s">
        <v>13</v>
      </c>
      <c r="K9" s="2" t="s">
        <v>11</v>
      </c>
      <c r="L9" s="388"/>
    </row>
    <row r="10" spans="1:12">
      <c r="A10" s="334" t="s">
        <v>93</v>
      </c>
      <c r="B10" s="2"/>
      <c r="D10" s="335" t="s">
        <v>1056</v>
      </c>
      <c r="E10" s="2" t="s">
        <v>14</v>
      </c>
      <c r="F10" s="75" t="s">
        <v>594</v>
      </c>
      <c r="G10" s="331" t="s">
        <v>1166</v>
      </c>
      <c r="H10" s="75"/>
      <c r="I10" s="334" t="s">
        <v>92</v>
      </c>
      <c r="J10" s="2" t="s">
        <v>14</v>
      </c>
      <c r="K10" s="75" t="s">
        <v>594</v>
      </c>
      <c r="L10" s="485" t="s">
        <v>12</v>
      </c>
    </row>
    <row r="11" spans="1:12">
      <c r="A11" s="588" t="s">
        <v>99</v>
      </c>
      <c r="B11" s="9"/>
      <c r="C11" s="369" t="s">
        <v>338</v>
      </c>
      <c r="D11" s="483"/>
      <c r="E11" s="185" t="s">
        <v>627</v>
      </c>
      <c r="F11" s="185" t="s">
        <v>627</v>
      </c>
      <c r="G11" s="589" t="s">
        <v>105</v>
      </c>
      <c r="H11" s="75"/>
      <c r="I11" s="332" t="s">
        <v>98</v>
      </c>
      <c r="J11" s="185" t="s">
        <v>627</v>
      </c>
      <c r="K11" s="185" t="s">
        <v>627</v>
      </c>
      <c r="L11" s="590" t="s">
        <v>104</v>
      </c>
    </row>
    <row r="12" spans="1:12" ht="15.75">
      <c r="B12" s="12" t="s">
        <v>213</v>
      </c>
      <c r="G12" s="81"/>
    </row>
    <row r="13" spans="1:12">
      <c r="A13" s="2">
        <v>1</v>
      </c>
      <c r="B13" s="371">
        <v>15560</v>
      </c>
      <c r="C13" s="4" t="s">
        <v>52</v>
      </c>
      <c r="D13" s="500">
        <f>'WP B.6 B'!P13</f>
        <v>-662754.81999999995</v>
      </c>
      <c r="E13" s="515">
        <v>1</v>
      </c>
      <c r="F13" s="515">
        <f>E13</f>
        <v>1</v>
      </c>
      <c r="G13" s="500">
        <f>D13*E13*F13</f>
        <v>-662754.81999999995</v>
      </c>
      <c r="H13" s="77"/>
      <c r="I13" s="326">
        <f>'WP B.6 B'!Q13</f>
        <v>-716319.53</v>
      </c>
      <c r="J13" s="412">
        <f>E13</f>
        <v>1</v>
      </c>
      <c r="K13" s="412">
        <f>F13</f>
        <v>1</v>
      </c>
      <c r="L13" s="500">
        <f>I13*J13*K13</f>
        <v>-716319.53</v>
      </c>
    </row>
    <row r="14" spans="1:12">
      <c r="A14" s="54">
        <f>A13+1</f>
        <v>2</v>
      </c>
      <c r="B14" s="372"/>
      <c r="D14" s="77"/>
      <c r="E14" s="168"/>
      <c r="F14" s="168"/>
      <c r="G14" s="77"/>
      <c r="H14" s="77"/>
      <c r="I14" s="42"/>
      <c r="J14" s="168"/>
      <c r="K14" s="168"/>
      <c r="L14" s="42"/>
    </row>
    <row r="15" spans="1:12" ht="15.75">
      <c r="A15" s="611">
        <f t="shared" ref="A15:A24" si="0">A14+1</f>
        <v>3</v>
      </c>
      <c r="B15" s="12" t="s">
        <v>214</v>
      </c>
      <c r="D15" s="35"/>
      <c r="E15" s="221"/>
      <c r="F15" s="221"/>
      <c r="G15" s="74"/>
      <c r="I15" s="35"/>
      <c r="J15" s="221"/>
      <c r="K15" s="221"/>
      <c r="L15" s="35"/>
    </row>
    <row r="16" spans="1:12">
      <c r="A16" s="611">
        <f t="shared" si="0"/>
        <v>4</v>
      </c>
      <c r="B16" s="371">
        <v>15560</v>
      </c>
      <c r="C16" s="4" t="s">
        <v>52</v>
      </c>
      <c r="D16" s="376">
        <f>'WP B.6 B'!P16</f>
        <v>0</v>
      </c>
      <c r="E16" s="516">
        <f>Allocation!G14</f>
        <v>0.104</v>
      </c>
      <c r="F16" s="516">
        <f>Allocation!H14</f>
        <v>0.49780000000000002</v>
      </c>
      <c r="G16" s="376">
        <f>D16*E16*F16</f>
        <v>0</v>
      </c>
      <c r="H16" s="77"/>
      <c r="I16" s="380">
        <f>'WP B.6 B'!Q16</f>
        <v>0</v>
      </c>
      <c r="J16" s="422">
        <f>E16</f>
        <v>0.104</v>
      </c>
      <c r="K16" s="422">
        <f>F16</f>
        <v>0.49780000000000002</v>
      </c>
      <c r="L16" s="376">
        <f>I16*J16*K16</f>
        <v>0</v>
      </c>
    </row>
    <row r="17" spans="1:12">
      <c r="A17" s="611">
        <f t="shared" si="0"/>
        <v>5</v>
      </c>
      <c r="B17" s="373"/>
      <c r="C17" s="4"/>
      <c r="D17" s="77"/>
      <c r="E17" s="168"/>
      <c r="F17" s="168"/>
      <c r="G17" s="77"/>
      <c r="H17" s="77"/>
      <c r="I17" s="74"/>
      <c r="J17" s="76"/>
      <c r="K17" s="76"/>
      <c r="L17" s="77"/>
    </row>
    <row r="18" spans="1:12" ht="15.75">
      <c r="A18" s="611">
        <f t="shared" si="0"/>
        <v>6</v>
      </c>
      <c r="B18" s="12" t="s">
        <v>1116</v>
      </c>
      <c r="D18" s="35"/>
      <c r="E18" s="221"/>
      <c r="F18" s="221"/>
      <c r="G18" s="74"/>
      <c r="I18" s="35"/>
      <c r="J18" s="221"/>
      <c r="K18" s="221"/>
      <c r="L18" s="35"/>
    </row>
    <row r="19" spans="1:12">
      <c r="A19" s="611">
        <f t="shared" si="0"/>
        <v>7</v>
      </c>
      <c r="B19" s="371">
        <v>15560</v>
      </c>
      <c r="C19" s="4" t="s">
        <v>52</v>
      </c>
      <c r="D19" s="376">
        <f>'WP B.6 B'!P19</f>
        <v>0</v>
      </c>
      <c r="E19" s="516">
        <f>Allocation!G15</f>
        <v>0.1095</v>
      </c>
      <c r="F19" s="516">
        <f>Allocation!H15</f>
        <v>0.51517972406888612</v>
      </c>
      <c r="G19" s="376">
        <f>D19*E19*F19</f>
        <v>0</v>
      </c>
      <c r="H19" s="77"/>
      <c r="I19" s="380">
        <f>'WP B.6 B'!Q19</f>
        <v>0</v>
      </c>
      <c r="J19" s="422">
        <f>E19</f>
        <v>0.1095</v>
      </c>
      <c r="K19" s="422">
        <f>F19</f>
        <v>0.51517972406888612</v>
      </c>
      <c r="L19" s="376">
        <f>I19*J19*K19</f>
        <v>0</v>
      </c>
    </row>
    <row r="20" spans="1:12">
      <c r="A20" s="611">
        <f t="shared" si="0"/>
        <v>8</v>
      </c>
      <c r="B20" s="373"/>
      <c r="C20" s="4"/>
      <c r="D20" s="77"/>
      <c r="E20" s="168"/>
      <c r="F20" s="168"/>
      <c r="G20" s="77"/>
      <c r="H20" s="77"/>
      <c r="I20" s="74"/>
      <c r="J20" s="76"/>
      <c r="K20" s="76"/>
      <c r="L20" s="77"/>
    </row>
    <row r="21" spans="1:12" ht="15.75">
      <c r="A21" s="611">
        <f t="shared" si="0"/>
        <v>9</v>
      </c>
      <c r="B21" s="12" t="s">
        <v>676</v>
      </c>
      <c r="D21" s="35"/>
      <c r="E21" s="221"/>
      <c r="F21" s="221"/>
      <c r="G21" s="74"/>
      <c r="I21" s="35"/>
      <c r="J21" s="221"/>
      <c r="K21" s="221"/>
      <c r="L21" s="35"/>
    </row>
    <row r="22" spans="1:12">
      <c r="A22" s="611">
        <f t="shared" si="0"/>
        <v>10</v>
      </c>
      <c r="B22" s="371">
        <v>15560</v>
      </c>
      <c r="C22" s="4" t="s">
        <v>52</v>
      </c>
      <c r="D22" s="376">
        <f>'WP B.6 B'!P22</f>
        <v>0</v>
      </c>
      <c r="E22" s="515">
        <v>1</v>
      </c>
      <c r="F22" s="516">
        <f>Allocation!H17</f>
        <v>0.49780000000000002</v>
      </c>
      <c r="G22" s="376">
        <f>D22*E22*F22</f>
        <v>0</v>
      </c>
      <c r="H22" s="77"/>
      <c r="I22" s="380">
        <f>'WP B.6 B'!Q22</f>
        <v>0</v>
      </c>
      <c r="J22" s="517">
        <f>$E$22</f>
        <v>1</v>
      </c>
      <c r="K22" s="402">
        <f>$F$22</f>
        <v>0.49780000000000002</v>
      </c>
      <c r="L22" s="376">
        <f>I22*J22*K22</f>
        <v>0</v>
      </c>
    </row>
    <row r="23" spans="1:12">
      <c r="A23" s="611">
        <f t="shared" si="0"/>
        <v>11</v>
      </c>
      <c r="B23" s="372"/>
      <c r="D23" s="77"/>
      <c r="E23" s="168"/>
      <c r="F23" s="168"/>
      <c r="G23" s="77"/>
      <c r="H23" s="77"/>
      <c r="I23" s="77"/>
      <c r="J23" s="374"/>
      <c r="K23" s="374"/>
      <c r="L23" s="77"/>
    </row>
    <row r="24" spans="1:12" ht="15.75" thickBot="1">
      <c r="A24" s="611">
        <f t="shared" si="0"/>
        <v>12</v>
      </c>
      <c r="C24" s="66" t="s">
        <v>719</v>
      </c>
      <c r="D24" s="327">
        <f>D22+D19+D16+D13</f>
        <v>-662754.81999999995</v>
      </c>
      <c r="E24" s="221"/>
      <c r="F24" s="221"/>
      <c r="G24" s="327">
        <f>G22+G19+G16+G13</f>
        <v>-662754.81999999995</v>
      </c>
      <c r="I24" s="327">
        <f>I22+I19+I16+I13</f>
        <v>-716319.53</v>
      </c>
      <c r="J24" s="221"/>
      <c r="K24" s="221"/>
      <c r="L24" s="327">
        <f>L22+L19+L16+L13</f>
        <v>-716319.53</v>
      </c>
    </row>
    <row r="25" spans="1:12" ht="15.75" thickTop="1">
      <c r="A25" s="2"/>
      <c r="D25" s="35"/>
      <c r="E25" s="221"/>
      <c r="F25" s="221"/>
      <c r="G25" s="35"/>
      <c r="I25" s="35"/>
      <c r="J25" s="221"/>
      <c r="K25" s="221"/>
      <c r="L25" s="35"/>
    </row>
    <row r="26" spans="1:12">
      <c r="A26" s="54"/>
      <c r="B26" s="35"/>
      <c r="C26" s="88"/>
      <c r="D26" s="35"/>
      <c r="E26" s="221"/>
      <c r="F26" s="221"/>
      <c r="G26" s="35"/>
      <c r="I26" s="35"/>
      <c r="J26" s="221"/>
      <c r="K26" s="221"/>
      <c r="L26" s="35"/>
    </row>
    <row r="27" spans="1:12">
      <c r="A27" s="35"/>
      <c r="B27" s="35"/>
      <c r="D27" s="35"/>
      <c r="E27" s="221"/>
      <c r="F27" s="221"/>
      <c r="G27" s="35"/>
      <c r="I27" s="35"/>
      <c r="J27" s="221"/>
      <c r="K27" s="221"/>
      <c r="L27" s="35"/>
    </row>
    <row r="28" spans="1:12">
      <c r="A28" s="35"/>
      <c r="B28" s="35"/>
      <c r="C28" s="375"/>
    </row>
    <row r="29" spans="1:12">
      <c r="A29" s="35"/>
      <c r="B29" s="35"/>
    </row>
    <row r="30" spans="1:12">
      <c r="A30" s="35"/>
      <c r="B30" s="35"/>
    </row>
    <row r="31" spans="1:12">
      <c r="A31" s="35"/>
      <c r="B31" s="35"/>
    </row>
    <row r="32" spans="1:12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  <row r="42" spans="1:2">
      <c r="A42" s="35"/>
      <c r="B42" s="35"/>
    </row>
    <row r="43" spans="1:2">
      <c r="A43" s="35"/>
      <c r="B43" s="35"/>
    </row>
    <row r="44" spans="1:2">
      <c r="A44" s="35"/>
      <c r="B44" s="35"/>
    </row>
  </sheetData>
  <mergeCells count="4">
    <mergeCell ref="A1:L1"/>
    <mergeCell ref="A2:L2"/>
    <mergeCell ref="A3:L3"/>
    <mergeCell ref="A4:L4"/>
  </mergeCells>
  <phoneticPr fontId="23" type="noConversion"/>
  <printOptions horizontalCentered="1"/>
  <pageMargins left="0.75" right="0.75" top="1" bottom="1" header="0.5" footer="0.17"/>
  <pageSetup scale="62" orientation="landscape" verticalDpi="300" r:id="rId1"/>
  <headerFooter alignWithMargins="0">
    <oddFooter>&amp;RSchedule &amp;A
Page &amp;P of &amp;N</oddFooter>
  </headerFooter>
  <rowBreaks count="1" manualBreakCount="1">
    <brk id="17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A1:L44"/>
  <sheetViews>
    <sheetView view="pageBreakPreview" zoomScale="70" zoomScaleNormal="80" zoomScaleSheetLayoutView="70" workbookViewId="0">
      <selection sqref="A1:L1"/>
    </sheetView>
  </sheetViews>
  <sheetFormatPr defaultColWidth="8.44140625" defaultRowHeight="15"/>
  <cols>
    <col min="1" max="1" width="5.77734375" style="1" customWidth="1"/>
    <col min="2" max="2" width="7" style="1" customWidth="1"/>
    <col min="3" max="3" width="49.33203125" style="1" bestFit="1" customWidth="1"/>
    <col min="4" max="4" width="11.5546875" style="1" bestFit="1" customWidth="1"/>
    <col min="5" max="5" width="11.77734375" style="1" bestFit="1" customWidth="1"/>
    <col min="6" max="6" width="11.77734375" style="1" customWidth="1"/>
    <col min="7" max="7" width="11.88671875" style="1" bestFit="1" customWidth="1"/>
    <col min="8" max="8" width="4.33203125" style="74" customWidth="1"/>
    <col min="9" max="9" width="11.5546875" style="1" bestFit="1" customWidth="1"/>
    <col min="10" max="11" width="11.88671875" style="1" customWidth="1"/>
    <col min="12" max="12" width="14.77734375" style="1" customWidth="1"/>
    <col min="13" max="16384" width="8.44140625" style="1"/>
  </cols>
  <sheetData>
    <row r="1" spans="1:12">
      <c r="A1" s="1193" t="str">
        <f>Allocation!A1</f>
        <v>Atmos Energy Corporation, Kentucky/Mid-States Division</v>
      </c>
      <c r="B1" s="1193"/>
      <c r="C1" s="1193"/>
      <c r="D1" s="1193"/>
      <c r="E1" s="1193"/>
      <c r="F1" s="1193"/>
      <c r="G1" s="1193"/>
      <c r="H1" s="1193"/>
      <c r="I1" s="1193"/>
      <c r="J1" s="1193"/>
      <c r="K1" s="1193"/>
      <c r="L1" s="1193"/>
    </row>
    <row r="2" spans="1:12">
      <c r="A2" s="1193" t="str">
        <f>Allocation!A2</f>
        <v>Kentucky Jurisdiction Case No. 2018-00281</v>
      </c>
      <c r="B2" s="1193"/>
      <c r="C2" s="1193"/>
      <c r="D2" s="1193"/>
      <c r="E2" s="1193"/>
      <c r="F2" s="1193"/>
      <c r="G2" s="1193"/>
      <c r="H2" s="1193"/>
      <c r="I2" s="1193"/>
      <c r="J2" s="1193"/>
      <c r="K2" s="1193"/>
      <c r="L2" s="1193"/>
    </row>
    <row r="3" spans="1:12">
      <c r="A3" s="1193" t="s">
        <v>633</v>
      </c>
      <c r="B3" s="1193"/>
      <c r="C3" s="1193"/>
      <c r="D3" s="1193"/>
      <c r="E3" s="1193"/>
      <c r="F3" s="1193"/>
      <c r="G3" s="1193"/>
      <c r="H3" s="1193"/>
      <c r="I3" s="1193"/>
      <c r="J3" s="1193"/>
      <c r="K3" s="1193"/>
      <c r="L3" s="1193"/>
    </row>
    <row r="4" spans="1:12">
      <c r="A4" s="1193" t="str">
        <f>'B.1 F '!A4</f>
        <v>as of March 31, 2020</v>
      </c>
      <c r="B4" s="1193"/>
      <c r="C4" s="1193"/>
      <c r="D4" s="1193"/>
      <c r="E4" s="1193"/>
      <c r="F4" s="1193"/>
      <c r="G4" s="1193"/>
      <c r="H4" s="1193"/>
      <c r="I4" s="1193"/>
      <c r="J4" s="1193"/>
      <c r="K4" s="1193"/>
      <c r="L4" s="1193"/>
    </row>
    <row r="5" spans="1:12">
      <c r="A5" s="31"/>
      <c r="B5" s="30"/>
      <c r="C5" s="30"/>
      <c r="D5" s="30"/>
      <c r="E5" s="30"/>
      <c r="F5" s="30"/>
      <c r="G5" s="30"/>
      <c r="H5" s="370"/>
      <c r="I5" s="30"/>
      <c r="J5" s="30"/>
      <c r="K5" s="30"/>
    </row>
    <row r="6" spans="1:12">
      <c r="A6" s="48" t="s">
        <v>1055</v>
      </c>
      <c r="B6" s="48"/>
      <c r="C6" s="35"/>
      <c r="L6" s="1" t="s">
        <v>1422</v>
      </c>
    </row>
    <row r="7" spans="1:12">
      <c r="A7" s="48" t="s">
        <v>1121</v>
      </c>
      <c r="B7" s="35"/>
      <c r="C7" s="48"/>
      <c r="L7" s="1" t="s">
        <v>710</v>
      </c>
    </row>
    <row r="8" spans="1:12">
      <c r="A8" s="5" t="s">
        <v>426</v>
      </c>
      <c r="B8" s="6"/>
      <c r="C8" s="6"/>
      <c r="D8" s="6"/>
      <c r="E8" s="6"/>
      <c r="F8" s="6"/>
      <c r="G8" s="33"/>
      <c r="I8" s="6"/>
      <c r="J8" s="6"/>
      <c r="K8" s="33"/>
      <c r="L8" s="33" t="s">
        <v>1344</v>
      </c>
    </row>
    <row r="9" spans="1:12">
      <c r="A9" s="587"/>
      <c r="D9" s="518"/>
      <c r="E9" s="221" t="s">
        <v>13</v>
      </c>
      <c r="F9" s="2" t="s">
        <v>11</v>
      </c>
      <c r="G9" s="482" t="s">
        <v>97</v>
      </c>
      <c r="H9" s="75"/>
      <c r="I9" s="519"/>
      <c r="J9" s="221" t="s">
        <v>13</v>
      </c>
      <c r="K9" s="2" t="s">
        <v>11</v>
      </c>
      <c r="L9" s="388"/>
    </row>
    <row r="10" spans="1:12">
      <c r="A10" s="334" t="s">
        <v>93</v>
      </c>
      <c r="B10" s="2"/>
      <c r="D10" s="335" t="s">
        <v>1056</v>
      </c>
      <c r="E10" s="2" t="s">
        <v>14</v>
      </c>
      <c r="F10" s="75" t="s">
        <v>594</v>
      </c>
      <c r="G10" s="331" t="s">
        <v>1166</v>
      </c>
      <c r="H10" s="75"/>
      <c r="I10" s="334" t="s">
        <v>92</v>
      </c>
      <c r="J10" s="2" t="s">
        <v>14</v>
      </c>
      <c r="K10" s="75" t="s">
        <v>594</v>
      </c>
      <c r="L10" s="485" t="s">
        <v>12</v>
      </c>
    </row>
    <row r="11" spans="1:12">
      <c r="A11" s="588" t="s">
        <v>99</v>
      </c>
      <c r="B11" s="9"/>
      <c r="C11" s="369" t="s">
        <v>338</v>
      </c>
      <c r="D11" s="483"/>
      <c r="E11" s="185" t="s">
        <v>627</v>
      </c>
      <c r="F11" s="185" t="s">
        <v>627</v>
      </c>
      <c r="G11" s="589" t="s">
        <v>105</v>
      </c>
      <c r="H11" s="75"/>
      <c r="I11" s="332" t="s">
        <v>98</v>
      </c>
      <c r="J11" s="185" t="s">
        <v>627</v>
      </c>
      <c r="K11" s="185" t="s">
        <v>627</v>
      </c>
      <c r="L11" s="590" t="s">
        <v>104</v>
      </c>
    </row>
    <row r="12" spans="1:12" ht="15.75">
      <c r="B12" s="12" t="s">
        <v>213</v>
      </c>
      <c r="G12" s="81"/>
    </row>
    <row r="13" spans="1:12">
      <c r="A13" s="2">
        <v>1</v>
      </c>
      <c r="B13" s="371">
        <v>15560</v>
      </c>
      <c r="C13" s="4" t="s">
        <v>52</v>
      </c>
      <c r="D13" s="500">
        <f>'WP B.6 F'!P13</f>
        <v>-747234.09333333327</v>
      </c>
      <c r="E13" s="515">
        <v>1</v>
      </c>
      <c r="F13" s="515">
        <f>E13</f>
        <v>1</v>
      </c>
      <c r="G13" s="500">
        <f>D13*E13*F13</f>
        <v>-747234.09333333327</v>
      </c>
      <c r="H13" s="77"/>
      <c r="I13" s="326">
        <f>'WP B.6 F'!Q13</f>
        <v>-747234.0933333335</v>
      </c>
      <c r="J13" s="412">
        <f>E13</f>
        <v>1</v>
      </c>
      <c r="K13" s="412">
        <f>F13</f>
        <v>1</v>
      </c>
      <c r="L13" s="500">
        <f>I13*J13*K13</f>
        <v>-747234.0933333335</v>
      </c>
    </row>
    <row r="14" spans="1:12">
      <c r="A14" s="54">
        <f>A13+1</f>
        <v>2</v>
      </c>
      <c r="B14" s="372"/>
      <c r="D14" s="77"/>
      <c r="E14" s="168"/>
      <c r="F14" s="168"/>
      <c r="G14" s="77"/>
      <c r="H14" s="77"/>
      <c r="I14" s="42"/>
      <c r="J14" s="168"/>
      <c r="K14" s="168"/>
      <c r="L14" s="42"/>
    </row>
    <row r="15" spans="1:12" ht="15.75">
      <c r="A15" s="611">
        <f t="shared" ref="A15:A24" si="0">A14+1</f>
        <v>3</v>
      </c>
      <c r="B15" s="12" t="s">
        <v>214</v>
      </c>
      <c r="D15" s="35"/>
      <c r="E15" s="221"/>
      <c r="F15" s="221"/>
      <c r="G15" s="74"/>
      <c r="I15" s="379"/>
      <c r="J15" s="221"/>
      <c r="K15" s="221"/>
      <c r="L15" s="35"/>
    </row>
    <row r="16" spans="1:12">
      <c r="A16" s="611">
        <f t="shared" si="0"/>
        <v>4</v>
      </c>
      <c r="B16" s="371">
        <v>15560</v>
      </c>
      <c r="C16" s="4" t="s">
        <v>52</v>
      </c>
      <c r="D16" s="376">
        <f>'WP B.6 F'!P16</f>
        <v>0</v>
      </c>
      <c r="E16" s="516">
        <f>Allocation!C14</f>
        <v>0.104</v>
      </c>
      <c r="F16" s="516">
        <f>Allocation!D14</f>
        <v>0.49780000000000002</v>
      </c>
      <c r="G16" s="376">
        <f>D16*E16*F16</f>
        <v>0</v>
      </c>
      <c r="H16" s="77"/>
      <c r="I16" s="380">
        <f>'WP B.6 F'!Q16</f>
        <v>0</v>
      </c>
      <c r="J16" s="422">
        <f>E16</f>
        <v>0.104</v>
      </c>
      <c r="K16" s="422">
        <f>F16</f>
        <v>0.49780000000000002</v>
      </c>
      <c r="L16" s="376">
        <f>I16*J16*K16</f>
        <v>0</v>
      </c>
    </row>
    <row r="17" spans="1:12">
      <c r="A17" s="611">
        <f t="shared" si="0"/>
        <v>5</v>
      </c>
      <c r="B17" s="373"/>
      <c r="C17" s="4"/>
      <c r="D17" s="77"/>
      <c r="E17" s="168"/>
      <c r="F17" s="168"/>
      <c r="G17" s="77"/>
      <c r="H17" s="77"/>
      <c r="I17" s="74"/>
      <c r="J17" s="76"/>
      <c r="K17" s="76"/>
      <c r="L17" s="77"/>
    </row>
    <row r="18" spans="1:12" ht="15.75">
      <c r="A18" s="611">
        <f t="shared" si="0"/>
        <v>6</v>
      </c>
      <c r="B18" s="12" t="s">
        <v>1116</v>
      </c>
      <c r="D18" s="35"/>
      <c r="E18" s="221"/>
      <c r="F18" s="221"/>
      <c r="G18" s="380"/>
      <c r="I18" s="35"/>
      <c r="J18" s="221"/>
      <c r="K18" s="221"/>
      <c r="L18" s="35"/>
    </row>
    <row r="19" spans="1:12">
      <c r="A19" s="611">
        <f t="shared" si="0"/>
        <v>7</v>
      </c>
      <c r="B19" s="371">
        <v>15560</v>
      </c>
      <c r="C19" s="4" t="s">
        <v>52</v>
      </c>
      <c r="D19" s="376">
        <f>'WP B.6 F'!P19</f>
        <v>0</v>
      </c>
      <c r="E19" s="516">
        <f>Allocation!C15</f>
        <v>0.1095</v>
      </c>
      <c r="F19" s="516">
        <f>Allocation!D15</f>
        <v>0.51517972406888612</v>
      </c>
      <c r="G19" s="376">
        <f>D19*E19*F19</f>
        <v>0</v>
      </c>
      <c r="H19" s="77"/>
      <c r="I19" s="380">
        <f>'WP B.6 F'!Q19</f>
        <v>0</v>
      </c>
      <c r="J19" s="422">
        <f>E19</f>
        <v>0.1095</v>
      </c>
      <c r="K19" s="422">
        <f>F19</f>
        <v>0.51517972406888612</v>
      </c>
      <c r="L19" s="376">
        <f>I19*J19*K19</f>
        <v>0</v>
      </c>
    </row>
    <row r="20" spans="1:12">
      <c r="A20" s="611">
        <f t="shared" si="0"/>
        <v>8</v>
      </c>
      <c r="B20" s="373"/>
      <c r="C20" s="4"/>
      <c r="D20" s="77"/>
      <c r="E20" s="168"/>
      <c r="F20" s="168"/>
      <c r="G20" s="77"/>
      <c r="H20" s="77"/>
      <c r="I20" s="74"/>
      <c r="J20" s="76"/>
      <c r="K20" s="76"/>
      <c r="L20" s="77"/>
    </row>
    <row r="21" spans="1:12" ht="15.75">
      <c r="A21" s="611">
        <f t="shared" si="0"/>
        <v>9</v>
      </c>
      <c r="B21" s="12" t="s">
        <v>676</v>
      </c>
      <c r="D21" s="35"/>
      <c r="E21" s="221"/>
      <c r="F21" s="221"/>
      <c r="G21" s="74"/>
      <c r="I21" s="35"/>
      <c r="J21" s="221"/>
      <c r="K21" s="221"/>
      <c r="L21" s="35"/>
    </row>
    <row r="22" spans="1:12">
      <c r="A22" s="611">
        <f t="shared" si="0"/>
        <v>10</v>
      </c>
      <c r="B22" s="371">
        <v>15560</v>
      </c>
      <c r="C22" s="4" t="s">
        <v>52</v>
      </c>
      <c r="D22" s="77">
        <f>'WP B.6 F'!P22</f>
        <v>0</v>
      </c>
      <c r="E22" s="515">
        <v>1</v>
      </c>
      <c r="F22" s="516">
        <f>Allocation!D17</f>
        <v>0.49780000000000002</v>
      </c>
      <c r="G22" s="77">
        <f>D22*$E$22*F22</f>
        <v>0</v>
      </c>
      <c r="H22" s="77"/>
      <c r="I22" s="74">
        <f>'WP B.6 F'!Q22</f>
        <v>0</v>
      </c>
      <c r="J22" s="517">
        <f>$E$22</f>
        <v>1</v>
      </c>
      <c r="K22" s="402">
        <f>$F$22</f>
        <v>0.49780000000000002</v>
      </c>
      <c r="L22" s="77">
        <f>I22*J22*K22</f>
        <v>0</v>
      </c>
    </row>
    <row r="23" spans="1:12">
      <c r="A23" s="611">
        <f t="shared" si="0"/>
        <v>11</v>
      </c>
      <c r="B23" s="372"/>
      <c r="D23" s="77"/>
      <c r="E23" s="42"/>
      <c r="F23" s="42"/>
      <c r="G23" s="77"/>
      <c r="H23" s="77"/>
      <c r="I23" s="77"/>
      <c r="J23" s="77"/>
      <c r="K23" s="77"/>
      <c r="L23" s="77"/>
    </row>
    <row r="24" spans="1:12" ht="15.75" thickBot="1">
      <c r="A24" s="611">
        <f t="shared" si="0"/>
        <v>12</v>
      </c>
      <c r="C24" s="4" t="s">
        <v>719</v>
      </c>
      <c r="D24" s="327">
        <f>D22+D19+D16+D13</f>
        <v>-747234.09333333327</v>
      </c>
      <c r="E24" s="35"/>
      <c r="F24" s="35"/>
      <c r="G24" s="327">
        <f>G22+G19+G16+G13</f>
        <v>-747234.09333333327</v>
      </c>
      <c r="I24" s="327">
        <f>I22+I19+I16+I13</f>
        <v>-747234.0933333335</v>
      </c>
      <c r="J24" s="35"/>
      <c r="K24" s="35"/>
      <c r="L24" s="327">
        <f>L22+L19+L16+L13</f>
        <v>-747234.0933333335</v>
      </c>
    </row>
    <row r="25" spans="1:12" ht="15.75" thickTop="1"/>
    <row r="26" spans="1:12">
      <c r="A26" s="35"/>
      <c r="B26" s="35"/>
      <c r="C26" s="88"/>
      <c r="D26" s="35"/>
      <c r="E26" s="35"/>
      <c r="F26" s="35"/>
      <c r="G26" s="35"/>
      <c r="I26" s="35"/>
      <c r="J26" s="35"/>
      <c r="K26" s="35"/>
      <c r="L26" s="35"/>
    </row>
    <row r="27" spans="1:12">
      <c r="A27" s="35"/>
      <c r="B27" s="35"/>
      <c r="D27" s="35"/>
      <c r="E27" s="35"/>
      <c r="F27" s="35"/>
      <c r="G27" s="35"/>
      <c r="I27" s="35"/>
      <c r="J27" s="35"/>
      <c r="K27" s="35"/>
      <c r="L27" s="35"/>
    </row>
    <row r="28" spans="1:12">
      <c r="A28" s="35"/>
      <c r="B28" s="35"/>
      <c r="C28" s="375"/>
    </row>
    <row r="29" spans="1:12">
      <c r="A29" s="35"/>
      <c r="B29" s="35"/>
    </row>
    <row r="30" spans="1:12">
      <c r="A30" s="35"/>
      <c r="B30" s="35"/>
    </row>
    <row r="31" spans="1:12">
      <c r="A31" s="35"/>
      <c r="B31" s="35"/>
    </row>
    <row r="32" spans="1:12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  <row r="42" spans="1:2">
      <c r="A42" s="35"/>
      <c r="B42" s="35"/>
    </row>
    <row r="43" spans="1:2">
      <c r="A43" s="35"/>
      <c r="B43" s="35"/>
    </row>
    <row r="44" spans="1:2">
      <c r="A44" s="35"/>
      <c r="B44" s="35"/>
    </row>
  </sheetData>
  <mergeCells count="4">
    <mergeCell ref="A1:L1"/>
    <mergeCell ref="A2:L2"/>
    <mergeCell ref="A3:L3"/>
    <mergeCell ref="A4:L4"/>
  </mergeCells>
  <phoneticPr fontId="23" type="noConversion"/>
  <printOptions horizontalCentered="1"/>
  <pageMargins left="0.75" right="0.75" top="1" bottom="1" header="0.5" footer="0.17"/>
  <pageSetup scale="62" orientation="landscape" verticalDpi="300" r:id="rId1"/>
  <headerFooter alignWithMargins="0">
    <oddFooter>&amp;RSchedule &amp;A
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R60"/>
  <sheetViews>
    <sheetView view="pageBreakPreview" zoomScale="80" zoomScaleNormal="80" zoomScaleSheetLayoutView="80" workbookViewId="0">
      <pane xSplit="2" ySplit="8" topLeftCell="C12" activePane="bottomRight" state="frozen"/>
      <selection activeCell="G63" sqref="G63"/>
      <selection pane="topRight" activeCell="G63" sqref="G63"/>
      <selection pane="bottomLeft" activeCell="G63" sqref="G63"/>
      <selection pane="bottomRight" activeCell="K19" sqref="K19"/>
    </sheetView>
  </sheetViews>
  <sheetFormatPr defaultRowHeight="15"/>
  <cols>
    <col min="1" max="1" width="4.33203125" style="80" bestFit="1" customWidth="1"/>
    <col min="2" max="2" width="44.21875" style="80" customWidth="1"/>
    <col min="3" max="11" width="12" style="80" bestFit="1" customWidth="1"/>
    <col min="12" max="12" width="12.6640625" style="80" customWidth="1"/>
    <col min="13" max="13" width="12.5546875" style="80" bestFit="1" customWidth="1"/>
    <col min="14" max="14" width="12" style="80" bestFit="1" customWidth="1"/>
    <col min="15" max="15" width="11.88671875" style="80" customWidth="1"/>
    <col min="16" max="16" width="12" style="80" bestFit="1" customWidth="1"/>
    <col min="17" max="17" width="10.44140625" style="80" bestFit="1" customWidth="1"/>
    <col min="18" max="18" width="7.109375" style="80" customWidth="1"/>
    <col min="19" max="16384" width="8.88671875" style="80"/>
  </cols>
  <sheetData>
    <row r="1" spans="1:18">
      <c r="A1" s="1189" t="str">
        <f>'Table of Contents'!A1:C1</f>
        <v>Atmos Energy Corporation, Kentucky/Mid-States Division</v>
      </c>
      <c r="B1" s="1189"/>
      <c r="C1" s="1189"/>
      <c r="D1" s="1189"/>
      <c r="E1" s="1189"/>
      <c r="F1" s="1189"/>
      <c r="G1" s="1189"/>
      <c r="H1" s="1189"/>
      <c r="I1" s="1189"/>
      <c r="J1" s="1189"/>
      <c r="K1" s="1189"/>
      <c r="L1" s="1189"/>
      <c r="M1" s="1189"/>
      <c r="N1" s="1189"/>
      <c r="O1" s="1189"/>
      <c r="P1" s="1189"/>
    </row>
    <row r="2" spans="1:18">
      <c r="A2" s="1189" t="str">
        <f>'Table of Contents'!A2:C2</f>
        <v>Kentucky Jurisdiction Case No. 2018-00281</v>
      </c>
      <c r="B2" s="1189"/>
      <c r="C2" s="1189"/>
      <c r="D2" s="1189"/>
      <c r="E2" s="1189"/>
      <c r="F2" s="1189"/>
      <c r="G2" s="1189"/>
      <c r="H2" s="1189"/>
      <c r="I2" s="1189"/>
      <c r="J2" s="1189"/>
      <c r="K2" s="1189"/>
      <c r="L2" s="1189"/>
      <c r="M2" s="1189"/>
      <c r="N2" s="1189"/>
      <c r="O2" s="1189"/>
      <c r="P2" s="1189"/>
    </row>
    <row r="3" spans="1:18">
      <c r="A3" s="1189" t="str">
        <f>'Table of Contents'!A3:C3</f>
        <v>Base Period: Twelve Months Ended December 31, 2018</v>
      </c>
      <c r="B3" s="1189"/>
      <c r="C3" s="1189"/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89"/>
    </row>
    <row r="4" spans="1:18">
      <c r="A4" s="1189" t="s">
        <v>112</v>
      </c>
      <c r="B4" s="1189"/>
      <c r="C4" s="1189"/>
      <c r="D4" s="1189"/>
      <c r="E4" s="1189"/>
      <c r="F4" s="1189"/>
      <c r="G4" s="1189"/>
      <c r="H4" s="1189"/>
      <c r="I4" s="1189"/>
      <c r="J4" s="1189"/>
      <c r="K4" s="1189"/>
      <c r="L4" s="1189"/>
      <c r="M4" s="1189"/>
      <c r="N4" s="1189"/>
      <c r="O4" s="1189"/>
      <c r="P4" s="1189"/>
    </row>
    <row r="5" spans="1:18">
      <c r="P5" s="596" t="s">
        <v>1419</v>
      </c>
    </row>
    <row r="7" spans="1:18">
      <c r="A7" s="80" t="s">
        <v>93</v>
      </c>
      <c r="C7" s="853" t="s">
        <v>107</v>
      </c>
      <c r="D7" s="853" t="s">
        <v>107</v>
      </c>
      <c r="E7" s="853" t="s">
        <v>107</v>
      </c>
      <c r="F7" s="853" t="s">
        <v>107</v>
      </c>
      <c r="G7" s="853" t="s">
        <v>107</v>
      </c>
      <c r="H7" s="853" t="s">
        <v>107</v>
      </c>
      <c r="I7" s="853" t="s">
        <v>107</v>
      </c>
      <c r="J7" s="853" t="s">
        <v>1386</v>
      </c>
      <c r="K7" s="853" t="s">
        <v>453</v>
      </c>
      <c r="L7" s="853" t="s">
        <v>453</v>
      </c>
      <c r="M7" s="853" t="s">
        <v>453</v>
      </c>
      <c r="N7" s="853" t="s">
        <v>453</v>
      </c>
      <c r="O7" s="853" t="s">
        <v>453</v>
      </c>
      <c r="P7" s="853" t="s">
        <v>45</v>
      </c>
    </row>
    <row r="8" spans="1:18">
      <c r="A8" s="922" t="s">
        <v>99</v>
      </c>
      <c r="B8" s="922" t="s">
        <v>985</v>
      </c>
      <c r="C8" s="612">
        <f>O8-365</f>
        <v>43070</v>
      </c>
      <c r="D8" s="612">
        <f>'C.2.2 B 09'!D10</f>
        <v>43101</v>
      </c>
      <c r="E8" s="612">
        <f>'C.2.2 B 09'!E10</f>
        <v>43132</v>
      </c>
      <c r="F8" s="612">
        <f>'C.2.2 B 09'!F10</f>
        <v>43160</v>
      </c>
      <c r="G8" s="612">
        <f>'C.2.2 B 09'!G10</f>
        <v>43191</v>
      </c>
      <c r="H8" s="612">
        <f>'C.2.2 B 09'!H10</f>
        <v>43221</v>
      </c>
      <c r="I8" s="612">
        <f>'C.2.2 B 09'!I10</f>
        <v>43252</v>
      </c>
      <c r="J8" s="612">
        <f>'C.2.2 B 09'!J10</f>
        <v>43282</v>
      </c>
      <c r="K8" s="612">
        <f>'C.2.2 B 09'!K10</f>
        <v>43313</v>
      </c>
      <c r="L8" s="612">
        <f>'C.2.2 B 09'!L10</f>
        <v>43344</v>
      </c>
      <c r="M8" s="612">
        <f>'C.2.2 B 09'!M10</f>
        <v>43374</v>
      </c>
      <c r="N8" s="612">
        <f>'C.2.2 B 09'!N10</f>
        <v>43405</v>
      </c>
      <c r="O8" s="612">
        <f>'C.2.2 B 09'!O10</f>
        <v>43435</v>
      </c>
      <c r="P8" s="928" t="s">
        <v>98</v>
      </c>
      <c r="Q8" s="670"/>
      <c r="R8" s="670"/>
    </row>
    <row r="10" spans="1:18" ht="15.75">
      <c r="A10" s="853">
        <v>1</v>
      </c>
      <c r="B10" s="514" t="s">
        <v>267</v>
      </c>
    </row>
    <row r="11" spans="1:18">
      <c r="A11" s="853">
        <v>2</v>
      </c>
      <c r="B11" s="694"/>
      <c r="R11" s="690"/>
    </row>
    <row r="12" spans="1:18">
      <c r="A12" s="853">
        <v>3</v>
      </c>
      <c r="B12" s="694" t="s">
        <v>1171</v>
      </c>
    </row>
    <row r="13" spans="1:18">
      <c r="A13" s="853">
        <v>4</v>
      </c>
      <c r="B13" s="807" t="s">
        <v>513</v>
      </c>
      <c r="C13" s="360">
        <v>0</v>
      </c>
      <c r="D13" s="360">
        <v>0</v>
      </c>
      <c r="E13" s="360">
        <v>0</v>
      </c>
      <c r="F13" s="360">
        <v>0</v>
      </c>
      <c r="G13" s="360">
        <v>0</v>
      </c>
      <c r="H13" s="360">
        <v>0</v>
      </c>
      <c r="I13" s="360">
        <v>0</v>
      </c>
      <c r="J13" s="360">
        <v>0</v>
      </c>
      <c r="K13" s="360">
        <v>0</v>
      </c>
      <c r="L13" s="360">
        <v>0</v>
      </c>
      <c r="M13" s="360">
        <v>0</v>
      </c>
      <c r="N13" s="360">
        <v>0</v>
      </c>
      <c r="O13" s="360">
        <v>0</v>
      </c>
      <c r="R13" s="690"/>
    </row>
    <row r="14" spans="1:18">
      <c r="A14" s="853">
        <v>5</v>
      </c>
      <c r="B14" s="807" t="s">
        <v>514</v>
      </c>
      <c r="C14" s="360">
        <v>-270186.74</v>
      </c>
      <c r="D14" s="360">
        <v>-311624.05</v>
      </c>
      <c r="E14" s="360">
        <v>-344283.63</v>
      </c>
      <c r="F14" s="360">
        <v>-380390.49</v>
      </c>
      <c r="G14" s="360">
        <v>-401616.5</v>
      </c>
      <c r="H14" s="360">
        <v>-454551.93</v>
      </c>
      <c r="I14" s="360">
        <v>-520274.73</v>
      </c>
      <c r="J14" s="360">
        <v>-579117.22</v>
      </c>
      <c r="K14" s="360">
        <v>-628614.62</v>
      </c>
      <c r="L14" s="360">
        <v>-693557.68</v>
      </c>
      <c r="M14" s="360">
        <v>-78932.56</v>
      </c>
      <c r="N14" s="360">
        <v>-149982.57</v>
      </c>
      <c r="O14" s="360">
        <v>-226582.76</v>
      </c>
    </row>
    <row r="15" spans="1:18">
      <c r="A15" s="853">
        <v>6</v>
      </c>
      <c r="B15" s="1067" t="s">
        <v>515</v>
      </c>
      <c r="C15" s="723">
        <f>SUM(C13:C14)</f>
        <v>-270186.74</v>
      </c>
      <c r="D15" s="723">
        <f t="shared" ref="D15:O15" si="0">SUM(D13:D14)</f>
        <v>-311624.05</v>
      </c>
      <c r="E15" s="723">
        <f t="shared" si="0"/>
        <v>-344283.63</v>
      </c>
      <c r="F15" s="723">
        <f t="shared" si="0"/>
        <v>-380390.49</v>
      </c>
      <c r="G15" s="723">
        <f t="shared" si="0"/>
        <v>-401616.5</v>
      </c>
      <c r="H15" s="723">
        <f t="shared" si="0"/>
        <v>-454551.93</v>
      </c>
      <c r="I15" s="723">
        <f t="shared" si="0"/>
        <v>-520274.73</v>
      </c>
      <c r="J15" s="723">
        <f t="shared" si="0"/>
        <v>-579117.22</v>
      </c>
      <c r="K15" s="723">
        <f t="shared" si="0"/>
        <v>-628614.62</v>
      </c>
      <c r="L15" s="723">
        <f t="shared" si="0"/>
        <v>-693557.68</v>
      </c>
      <c r="M15" s="723">
        <f t="shared" si="0"/>
        <v>-78932.56</v>
      </c>
      <c r="N15" s="723">
        <f t="shared" si="0"/>
        <v>-149982.57</v>
      </c>
      <c r="O15" s="723">
        <f t="shared" si="0"/>
        <v>-226582.76</v>
      </c>
      <c r="P15" s="360">
        <f>(SUM(C15:O15))/13</f>
        <v>-387670.42153846152</v>
      </c>
    </row>
    <row r="16" spans="1:18">
      <c r="A16" s="853">
        <v>7</v>
      </c>
      <c r="B16" s="807"/>
    </row>
    <row r="17" spans="1:16">
      <c r="A17" s="853">
        <v>8</v>
      </c>
      <c r="B17" s="807" t="s">
        <v>1172</v>
      </c>
    </row>
    <row r="18" spans="1:16">
      <c r="A18" s="853">
        <v>9</v>
      </c>
      <c r="B18" s="807" t="s">
        <v>513</v>
      </c>
      <c r="C18" s="360">
        <v>76067.56</v>
      </c>
      <c r="D18" s="360">
        <v>76067.56</v>
      </c>
      <c r="E18" s="360">
        <v>76067.56</v>
      </c>
      <c r="F18" s="360">
        <v>76067.56</v>
      </c>
      <c r="G18" s="360">
        <v>76067.56</v>
      </c>
      <c r="H18" s="360">
        <v>64639.95</v>
      </c>
      <c r="I18" s="360">
        <v>64639.95</v>
      </c>
      <c r="J18" s="360">
        <v>64639.95</v>
      </c>
      <c r="K18" s="360">
        <v>64639.95</v>
      </c>
      <c r="L18" s="360">
        <v>64639.95</v>
      </c>
      <c r="M18" s="360">
        <v>64639.95</v>
      </c>
      <c r="N18" s="360">
        <v>64639.95</v>
      </c>
      <c r="O18" s="360">
        <v>64639.95</v>
      </c>
    </row>
    <row r="19" spans="1:16">
      <c r="A19" s="853">
        <v>10</v>
      </c>
      <c r="B19" s="807" t="s">
        <v>514</v>
      </c>
      <c r="C19" s="360">
        <v>652973.32999999996</v>
      </c>
      <c r="D19" s="360">
        <v>730180.9</v>
      </c>
      <c r="E19" s="360">
        <v>820252.4</v>
      </c>
      <c r="F19" s="360">
        <v>926971.8</v>
      </c>
      <c r="G19" s="360">
        <v>1009823.08</v>
      </c>
      <c r="H19" s="360">
        <v>1111262.44</v>
      </c>
      <c r="I19" s="360">
        <v>1235410.6599999999</v>
      </c>
      <c r="J19" s="360">
        <v>1344772.04</v>
      </c>
      <c r="K19" s="360">
        <v>1429615.27</v>
      </c>
      <c r="L19" s="360">
        <v>1541928.88</v>
      </c>
      <c r="M19" s="360">
        <v>396753.1</v>
      </c>
      <c r="N19" s="360">
        <v>511380.58</v>
      </c>
      <c r="O19" s="360">
        <v>553432.68000000005</v>
      </c>
    </row>
    <row r="20" spans="1:16">
      <c r="A20" s="853">
        <v>11</v>
      </c>
      <c r="B20" s="1067" t="s">
        <v>515</v>
      </c>
      <c r="C20" s="723">
        <f>SUM(C18:C19)</f>
        <v>729040.8899999999</v>
      </c>
      <c r="D20" s="723">
        <f t="shared" ref="D20:O20" si="1">SUM(D18:D19)</f>
        <v>806248.46</v>
      </c>
      <c r="E20" s="723">
        <f t="shared" si="1"/>
        <v>896319.96</v>
      </c>
      <c r="F20" s="723">
        <f t="shared" si="1"/>
        <v>1003039.3600000001</v>
      </c>
      <c r="G20" s="723">
        <f t="shared" si="1"/>
        <v>1085890.6399999999</v>
      </c>
      <c r="H20" s="723">
        <f t="shared" si="1"/>
        <v>1175902.3899999999</v>
      </c>
      <c r="I20" s="723">
        <f t="shared" si="1"/>
        <v>1300050.6099999999</v>
      </c>
      <c r="J20" s="723">
        <f t="shared" si="1"/>
        <v>1409411.99</v>
      </c>
      <c r="K20" s="723">
        <f t="shared" si="1"/>
        <v>1494255.22</v>
      </c>
      <c r="L20" s="723">
        <f t="shared" si="1"/>
        <v>1606568.8299999998</v>
      </c>
      <c r="M20" s="723">
        <f t="shared" si="1"/>
        <v>461393.05</v>
      </c>
      <c r="N20" s="723">
        <f t="shared" si="1"/>
        <v>576020.53</v>
      </c>
      <c r="O20" s="723">
        <f t="shared" si="1"/>
        <v>618072.63</v>
      </c>
      <c r="P20" s="360">
        <f>(SUM(C20:O20))/13</f>
        <v>1012478.0430769231</v>
      </c>
    </row>
    <row r="21" spans="1:16">
      <c r="A21" s="853">
        <v>12</v>
      </c>
      <c r="B21" s="807"/>
    </row>
    <row r="22" spans="1:16">
      <c r="A22" s="853">
        <v>13</v>
      </c>
      <c r="B22" s="807" t="s">
        <v>1173</v>
      </c>
    </row>
    <row r="23" spans="1:16">
      <c r="A23" s="853">
        <v>14</v>
      </c>
      <c r="B23" s="807" t="s">
        <v>513</v>
      </c>
      <c r="C23" s="1068">
        <v>0</v>
      </c>
      <c r="D23" s="1068">
        <v>0</v>
      </c>
      <c r="E23" s="1068">
        <v>0</v>
      </c>
      <c r="F23" s="1068">
        <v>0</v>
      </c>
      <c r="G23" s="1068">
        <v>0</v>
      </c>
      <c r="H23" s="1068">
        <v>0</v>
      </c>
      <c r="I23" s="1068">
        <v>0</v>
      </c>
      <c r="J23" s="1068">
        <v>0</v>
      </c>
      <c r="K23" s="1068">
        <v>0</v>
      </c>
      <c r="L23" s="1068">
        <v>0</v>
      </c>
      <c r="M23" s="1068">
        <v>0</v>
      </c>
      <c r="N23" s="1068">
        <v>0</v>
      </c>
      <c r="O23" s="1068">
        <v>0</v>
      </c>
    </row>
    <row r="24" spans="1:16">
      <c r="A24" s="853">
        <v>15</v>
      </c>
      <c r="B24" s="807" t="s">
        <v>514</v>
      </c>
      <c r="C24" s="1068">
        <v>1.13687E-12</v>
      </c>
      <c r="D24" s="1068">
        <v>9.0949500000000005E-12</v>
      </c>
      <c r="E24" s="1068">
        <v>0.01</v>
      </c>
      <c r="F24" s="1068">
        <v>0.01</v>
      </c>
      <c r="G24" s="1068">
        <v>3.3651300000000002E-11</v>
      </c>
      <c r="H24" s="1068">
        <v>0.01</v>
      </c>
      <c r="I24" s="1068">
        <v>-0.01</v>
      </c>
      <c r="J24" s="1068">
        <v>-0.01</v>
      </c>
      <c r="K24" s="1068">
        <v>-0.01</v>
      </c>
      <c r="L24" s="1068">
        <v>-0.01</v>
      </c>
      <c r="M24" s="1068">
        <v>-0.01</v>
      </c>
      <c r="N24" s="1068">
        <v>-0.01</v>
      </c>
      <c r="O24" s="1068">
        <v>-0.01</v>
      </c>
    </row>
    <row r="25" spans="1:16">
      <c r="A25" s="853">
        <v>16</v>
      </c>
      <c r="B25" s="1067" t="s">
        <v>515</v>
      </c>
      <c r="C25" s="723">
        <f>SUM(C23:C24)</f>
        <v>1.13687E-12</v>
      </c>
      <c r="D25" s="723">
        <f t="shared" ref="D25:O25" si="2">SUM(D23:D24)</f>
        <v>9.0949500000000005E-12</v>
      </c>
      <c r="E25" s="723">
        <f t="shared" si="2"/>
        <v>0.01</v>
      </c>
      <c r="F25" s="723">
        <f t="shared" si="2"/>
        <v>0.01</v>
      </c>
      <c r="G25" s="723">
        <f t="shared" si="2"/>
        <v>3.3651300000000002E-11</v>
      </c>
      <c r="H25" s="723">
        <f t="shared" si="2"/>
        <v>0.01</v>
      </c>
      <c r="I25" s="723">
        <f t="shared" si="2"/>
        <v>-0.01</v>
      </c>
      <c r="J25" s="723">
        <f t="shared" si="2"/>
        <v>-0.01</v>
      </c>
      <c r="K25" s="723">
        <f t="shared" si="2"/>
        <v>-0.01</v>
      </c>
      <c r="L25" s="723">
        <f t="shared" si="2"/>
        <v>-0.01</v>
      </c>
      <c r="M25" s="723">
        <f t="shared" si="2"/>
        <v>-0.01</v>
      </c>
      <c r="N25" s="723">
        <f t="shared" si="2"/>
        <v>-0.01</v>
      </c>
      <c r="O25" s="723">
        <f t="shared" si="2"/>
        <v>-0.01</v>
      </c>
      <c r="P25" s="360">
        <f>(SUM(C25:O25))/13</f>
        <v>-3.0769230735474529E-3</v>
      </c>
    </row>
    <row r="26" spans="1:16">
      <c r="A26" s="853">
        <v>17</v>
      </c>
      <c r="B26" s="807"/>
    </row>
    <row r="27" spans="1:16">
      <c r="A27" s="853">
        <v>18</v>
      </c>
      <c r="B27" s="807" t="s">
        <v>1174</v>
      </c>
    </row>
    <row r="28" spans="1:16">
      <c r="A28" s="853">
        <v>19</v>
      </c>
      <c r="B28" s="807" t="s">
        <v>513</v>
      </c>
      <c r="C28" s="1068">
        <v>0</v>
      </c>
      <c r="D28" s="1068">
        <v>0</v>
      </c>
      <c r="E28" s="1068">
        <v>0</v>
      </c>
      <c r="F28" s="1068">
        <v>0</v>
      </c>
      <c r="G28" s="1068">
        <v>0</v>
      </c>
      <c r="H28" s="1068">
        <v>0</v>
      </c>
      <c r="I28" s="1068">
        <v>0</v>
      </c>
      <c r="J28" s="1068">
        <v>0</v>
      </c>
      <c r="K28" s="1068">
        <v>0</v>
      </c>
      <c r="L28" s="1068">
        <v>0</v>
      </c>
      <c r="M28" s="1068">
        <v>0</v>
      </c>
      <c r="N28" s="1068">
        <v>0</v>
      </c>
      <c r="O28" s="1068">
        <v>0</v>
      </c>
    </row>
    <row r="29" spans="1:16">
      <c r="A29" s="853">
        <v>20</v>
      </c>
      <c r="B29" s="807" t="s">
        <v>514</v>
      </c>
      <c r="C29" s="1068">
        <v>0</v>
      </c>
      <c r="D29" s="1068">
        <v>0</v>
      </c>
      <c r="E29" s="1068">
        <v>0</v>
      </c>
      <c r="F29" s="1068">
        <v>0</v>
      </c>
      <c r="G29" s="1068">
        <v>0</v>
      </c>
      <c r="H29" s="1068">
        <v>0</v>
      </c>
      <c r="I29" s="1068">
        <v>0</v>
      </c>
      <c r="J29" s="1068">
        <v>0</v>
      </c>
      <c r="K29" s="1068">
        <v>0</v>
      </c>
      <c r="L29" s="1068">
        <v>0</v>
      </c>
      <c r="M29" s="1068">
        <v>0</v>
      </c>
      <c r="N29" s="1068">
        <v>0</v>
      </c>
      <c r="O29" s="1068">
        <v>0</v>
      </c>
    </row>
    <row r="30" spans="1:16">
      <c r="A30" s="853">
        <v>21</v>
      </c>
      <c r="B30" s="1067" t="s">
        <v>515</v>
      </c>
      <c r="C30" s="723">
        <f>SUM(C28:C29)</f>
        <v>0</v>
      </c>
      <c r="D30" s="723">
        <f t="shared" ref="D30:J30" si="3">SUM(D28:D29)</f>
        <v>0</v>
      </c>
      <c r="E30" s="723">
        <f t="shared" si="3"/>
        <v>0</v>
      </c>
      <c r="F30" s="723">
        <f t="shared" si="3"/>
        <v>0</v>
      </c>
      <c r="G30" s="723">
        <f t="shared" si="3"/>
        <v>0</v>
      </c>
      <c r="H30" s="723">
        <f t="shared" si="3"/>
        <v>0</v>
      </c>
      <c r="I30" s="723">
        <f t="shared" si="3"/>
        <v>0</v>
      </c>
      <c r="J30" s="723">
        <f t="shared" si="3"/>
        <v>0</v>
      </c>
      <c r="K30" s="723">
        <f>SUM(K28:K29)</f>
        <v>0</v>
      </c>
      <c r="L30" s="723">
        <f>SUM(L28:L29)</f>
        <v>0</v>
      </c>
      <c r="M30" s="723">
        <f>SUM(M28:M29)</f>
        <v>0</v>
      </c>
      <c r="N30" s="723">
        <f>SUM(N28:N29)</f>
        <v>0</v>
      </c>
      <c r="O30" s="723">
        <f>SUM(O28:O29)</f>
        <v>0</v>
      </c>
      <c r="P30" s="360">
        <f>(SUM(C30:O30))/13</f>
        <v>0</v>
      </c>
    </row>
    <row r="31" spans="1:16">
      <c r="A31" s="853">
        <v>22</v>
      </c>
      <c r="B31" s="807"/>
    </row>
    <row r="32" spans="1:16" ht="15.75">
      <c r="A32" s="853">
        <v>23</v>
      </c>
      <c r="B32" s="514" t="s">
        <v>516</v>
      </c>
    </row>
    <row r="33" spans="1:18">
      <c r="A33" s="853">
        <v>24</v>
      </c>
      <c r="B33" s="96"/>
    </row>
    <row r="34" spans="1:18">
      <c r="A34" s="853">
        <v>25</v>
      </c>
      <c r="B34" s="807" t="s">
        <v>1171</v>
      </c>
      <c r="C34" s="360">
        <v>16751569.73</v>
      </c>
      <c r="D34" s="360">
        <v>14268077.99</v>
      </c>
      <c r="E34" s="360">
        <v>10938434.380000001</v>
      </c>
      <c r="F34" s="360">
        <v>6984757.2800000003</v>
      </c>
      <c r="G34" s="360">
        <v>7706386.1200000001</v>
      </c>
      <c r="H34" s="360">
        <v>9950294.6300000008</v>
      </c>
      <c r="I34" s="360">
        <v>12189928.75</v>
      </c>
      <c r="J34" s="360">
        <v>14274818.75</v>
      </c>
      <c r="K34" s="360">
        <v>15892539.460000001</v>
      </c>
      <c r="L34" s="360">
        <v>18493023.149999999</v>
      </c>
      <c r="M34" s="360">
        <v>20591076.399999999</v>
      </c>
      <c r="N34" s="360">
        <v>18947314.559999999</v>
      </c>
      <c r="O34" s="360">
        <v>16883248.949999999</v>
      </c>
      <c r="P34" s="360">
        <f>(SUM(C34:O34))/13</f>
        <v>14143959.242307693</v>
      </c>
      <c r="Q34" s="670"/>
      <c r="R34" s="670"/>
    </row>
    <row r="35" spans="1:18">
      <c r="A35" s="853">
        <v>26</v>
      </c>
      <c r="B35" s="807"/>
      <c r="K35" s="360"/>
      <c r="L35" s="360"/>
      <c r="M35" s="360"/>
      <c r="N35" s="360"/>
      <c r="O35" s="360"/>
    </row>
    <row r="36" spans="1:18">
      <c r="A36" s="853">
        <v>27</v>
      </c>
      <c r="B36" s="807" t="s">
        <v>1172</v>
      </c>
      <c r="C36" s="458">
        <v>0</v>
      </c>
      <c r="D36" s="458">
        <v>0</v>
      </c>
      <c r="E36" s="458">
        <v>0</v>
      </c>
      <c r="F36" s="458">
        <v>0</v>
      </c>
      <c r="G36" s="458">
        <v>0</v>
      </c>
      <c r="H36" s="458">
        <v>0</v>
      </c>
      <c r="I36" s="458">
        <v>0</v>
      </c>
      <c r="J36" s="458">
        <v>0</v>
      </c>
      <c r="K36" s="458">
        <v>0</v>
      </c>
      <c r="L36" s="458">
        <v>0</v>
      </c>
      <c r="M36" s="458">
        <v>0</v>
      </c>
      <c r="N36" s="458">
        <v>0</v>
      </c>
      <c r="O36" s="458">
        <v>0</v>
      </c>
      <c r="P36" s="360">
        <f>(SUM(C36:O36))/13</f>
        <v>0</v>
      </c>
    </row>
    <row r="37" spans="1:18">
      <c r="A37" s="853">
        <v>28</v>
      </c>
      <c r="B37" s="807"/>
    </row>
    <row r="38" spans="1:18">
      <c r="A38" s="853">
        <v>29</v>
      </c>
      <c r="B38" s="807" t="s">
        <v>1173</v>
      </c>
      <c r="C38" s="458">
        <v>0</v>
      </c>
      <c r="D38" s="458">
        <v>0</v>
      </c>
      <c r="E38" s="458">
        <v>0</v>
      </c>
      <c r="F38" s="458">
        <v>0</v>
      </c>
      <c r="G38" s="458">
        <v>0</v>
      </c>
      <c r="H38" s="458">
        <v>0</v>
      </c>
      <c r="I38" s="458">
        <v>0</v>
      </c>
      <c r="J38" s="458">
        <v>0</v>
      </c>
      <c r="K38" s="458">
        <v>0</v>
      </c>
      <c r="L38" s="458">
        <v>0</v>
      </c>
      <c r="M38" s="458">
        <v>0</v>
      </c>
      <c r="N38" s="458">
        <v>0</v>
      </c>
      <c r="O38" s="458">
        <v>0</v>
      </c>
      <c r="P38" s="360">
        <f>(SUM(C38:O38))/13</f>
        <v>0</v>
      </c>
    </row>
    <row r="39" spans="1:18">
      <c r="A39" s="853">
        <v>30</v>
      </c>
      <c r="B39" s="807"/>
    </row>
    <row r="40" spans="1:18">
      <c r="A40" s="853">
        <v>31</v>
      </c>
      <c r="B40" s="807" t="s">
        <v>1174</v>
      </c>
      <c r="C40" s="458">
        <v>0</v>
      </c>
      <c r="D40" s="458">
        <v>0</v>
      </c>
      <c r="E40" s="458">
        <v>0</v>
      </c>
      <c r="F40" s="458">
        <v>0</v>
      </c>
      <c r="G40" s="458">
        <v>0</v>
      </c>
      <c r="H40" s="458">
        <v>0</v>
      </c>
      <c r="I40" s="458">
        <v>0</v>
      </c>
      <c r="J40" s="458">
        <v>0</v>
      </c>
      <c r="K40" s="458">
        <v>0</v>
      </c>
      <c r="L40" s="458">
        <v>0</v>
      </c>
      <c r="M40" s="458">
        <v>0</v>
      </c>
      <c r="N40" s="458">
        <v>0</v>
      </c>
      <c r="O40" s="458">
        <v>0</v>
      </c>
      <c r="P40" s="360">
        <f>(SUM(C40:O40))/13</f>
        <v>0</v>
      </c>
    </row>
    <row r="41" spans="1:18">
      <c r="A41" s="853">
        <v>32</v>
      </c>
      <c r="B41" s="1067"/>
    </row>
    <row r="42" spans="1:18" ht="15.75">
      <c r="A42" s="853">
        <v>33</v>
      </c>
      <c r="B42" s="514" t="s">
        <v>517</v>
      </c>
    </row>
    <row r="43" spans="1:18">
      <c r="A43" s="853">
        <v>34</v>
      </c>
      <c r="B43" s="694"/>
    </row>
    <row r="44" spans="1:18">
      <c r="A44" s="853">
        <v>35</v>
      </c>
      <c r="B44" s="807" t="s">
        <v>1171</v>
      </c>
      <c r="C44" s="360">
        <f>0</f>
        <v>0</v>
      </c>
      <c r="D44" s="360">
        <f>0</f>
        <v>0</v>
      </c>
      <c r="E44" s="360">
        <f>0</f>
        <v>0</v>
      </c>
      <c r="F44" s="360">
        <f>0</f>
        <v>0</v>
      </c>
      <c r="G44" s="360">
        <f>0</f>
        <v>0</v>
      </c>
      <c r="H44" s="360">
        <f>0</f>
        <v>0</v>
      </c>
      <c r="I44" s="360">
        <f>0</f>
        <v>0</v>
      </c>
      <c r="J44" s="360">
        <f>0</f>
        <v>0</v>
      </c>
      <c r="K44" s="360">
        <f>0</f>
        <v>0</v>
      </c>
      <c r="L44" s="360">
        <f>0</f>
        <v>0</v>
      </c>
      <c r="M44" s="360">
        <f>0</f>
        <v>0</v>
      </c>
      <c r="N44" s="360">
        <f>0</f>
        <v>0</v>
      </c>
      <c r="O44" s="360">
        <f>0</f>
        <v>0</v>
      </c>
      <c r="P44" s="360">
        <f>(SUM(C44:O44))/13</f>
        <v>0</v>
      </c>
    </row>
    <row r="45" spans="1:18">
      <c r="A45" s="853">
        <v>36</v>
      </c>
      <c r="B45" s="807"/>
    </row>
    <row r="46" spans="1:18">
      <c r="A46" s="853">
        <v>37</v>
      </c>
      <c r="B46" s="807" t="s">
        <v>1172</v>
      </c>
      <c r="C46" s="360">
        <f>0</f>
        <v>0</v>
      </c>
      <c r="D46" s="360">
        <f>0</f>
        <v>0</v>
      </c>
      <c r="E46" s="360">
        <f>0</f>
        <v>0</v>
      </c>
      <c r="F46" s="360">
        <f>0</f>
        <v>0</v>
      </c>
      <c r="G46" s="360">
        <f>0</f>
        <v>0</v>
      </c>
      <c r="H46" s="360">
        <f>0</f>
        <v>0</v>
      </c>
      <c r="I46" s="360">
        <f>0</f>
        <v>0</v>
      </c>
      <c r="J46" s="360">
        <f>0</f>
        <v>0</v>
      </c>
      <c r="K46" s="360">
        <f>0</f>
        <v>0</v>
      </c>
      <c r="L46" s="360">
        <f>0</f>
        <v>0</v>
      </c>
      <c r="M46" s="360">
        <f>0</f>
        <v>0</v>
      </c>
      <c r="N46" s="360">
        <f>0</f>
        <v>0</v>
      </c>
      <c r="O46" s="360">
        <f>0</f>
        <v>0</v>
      </c>
      <c r="P46" s="360">
        <f>(SUM(C46:O46))/13</f>
        <v>0</v>
      </c>
    </row>
    <row r="47" spans="1:18">
      <c r="A47" s="853">
        <v>38</v>
      </c>
      <c r="B47" s="807"/>
    </row>
    <row r="48" spans="1:18">
      <c r="A48" s="853">
        <v>39</v>
      </c>
      <c r="B48" s="807" t="s">
        <v>1173</v>
      </c>
      <c r="C48" s="360">
        <f>0</f>
        <v>0</v>
      </c>
      <c r="D48" s="360">
        <f>0</f>
        <v>0</v>
      </c>
      <c r="E48" s="360">
        <f>0</f>
        <v>0</v>
      </c>
      <c r="F48" s="360">
        <f>0</f>
        <v>0</v>
      </c>
      <c r="G48" s="360">
        <f>0</f>
        <v>0</v>
      </c>
      <c r="H48" s="360">
        <f>0</f>
        <v>0</v>
      </c>
      <c r="I48" s="360">
        <f>0</f>
        <v>0</v>
      </c>
      <c r="J48" s="360">
        <f>0</f>
        <v>0</v>
      </c>
      <c r="K48" s="360">
        <f>0</f>
        <v>0</v>
      </c>
      <c r="L48" s="360">
        <f>0</f>
        <v>0</v>
      </c>
      <c r="M48" s="360">
        <f>0</f>
        <v>0</v>
      </c>
      <c r="N48" s="360">
        <f>0</f>
        <v>0</v>
      </c>
      <c r="O48" s="360">
        <f>0</f>
        <v>0</v>
      </c>
      <c r="P48" s="360">
        <f>(SUM(C48:O48))/13</f>
        <v>0</v>
      </c>
    </row>
    <row r="49" spans="1:16">
      <c r="A49" s="853">
        <v>40</v>
      </c>
      <c r="B49" s="807"/>
    </row>
    <row r="50" spans="1:16">
      <c r="A50" s="853">
        <v>41</v>
      </c>
      <c r="B50" s="807" t="s">
        <v>1174</v>
      </c>
      <c r="C50" s="360">
        <f>0</f>
        <v>0</v>
      </c>
      <c r="D50" s="360">
        <f>0</f>
        <v>0</v>
      </c>
      <c r="E50" s="360">
        <f>0</f>
        <v>0</v>
      </c>
      <c r="F50" s="360">
        <f>0</f>
        <v>0</v>
      </c>
      <c r="G50" s="360">
        <f>0</f>
        <v>0</v>
      </c>
      <c r="H50" s="360">
        <f>0</f>
        <v>0</v>
      </c>
      <c r="I50" s="360">
        <f>0</f>
        <v>0</v>
      </c>
      <c r="J50" s="360">
        <f>0</f>
        <v>0</v>
      </c>
      <c r="K50" s="360">
        <f>0</f>
        <v>0</v>
      </c>
      <c r="L50" s="360">
        <f>0</f>
        <v>0</v>
      </c>
      <c r="M50" s="360">
        <f>0</f>
        <v>0</v>
      </c>
      <c r="N50" s="360">
        <f>0</f>
        <v>0</v>
      </c>
      <c r="O50" s="360">
        <f>0</f>
        <v>0</v>
      </c>
      <c r="P50" s="360">
        <f>(SUM(C50:O50))/13</f>
        <v>0</v>
      </c>
    </row>
    <row r="55" spans="1:16">
      <c r="B55" s="80" t="s">
        <v>518</v>
      </c>
    </row>
    <row r="56" spans="1:16">
      <c r="B56" s="80" t="s">
        <v>1674</v>
      </c>
    </row>
    <row r="59" spans="1:16">
      <c r="C59" s="670"/>
    </row>
    <row r="60" spans="1:16">
      <c r="C60" s="670"/>
    </row>
  </sheetData>
  <mergeCells count="4">
    <mergeCell ref="A1:P1"/>
    <mergeCell ref="A2:P2"/>
    <mergeCell ref="A3:P3"/>
    <mergeCell ref="A4:P4"/>
  </mergeCells>
  <phoneticPr fontId="23" type="noConversion"/>
  <pageMargins left="0.56000000000000005" right="0.47" top="1" bottom="1" header="0.5" footer="0.5"/>
  <pageSetup scale="49" orientation="landscape" r:id="rId1"/>
  <headerFooter alignWithMargins="0">
    <oddFooter>&amp;R&amp;A
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R56"/>
  <sheetViews>
    <sheetView view="pageBreakPreview" zoomScale="70" zoomScaleNormal="80" zoomScaleSheetLayoutView="70" workbookViewId="0">
      <pane xSplit="2" ySplit="8" topLeftCell="C9" activePane="bottomRight" state="frozen"/>
      <selection activeCell="G63" sqref="G63"/>
      <selection pane="topRight" activeCell="G63" sqref="G63"/>
      <selection pane="bottomLeft" activeCell="G63" sqref="G63"/>
      <selection pane="bottomRight" activeCell="D20" sqref="D20"/>
    </sheetView>
  </sheetViews>
  <sheetFormatPr defaultRowHeight="15"/>
  <cols>
    <col min="1" max="1" width="4.33203125" style="80" bestFit="1" customWidth="1"/>
    <col min="2" max="2" width="44.21875" style="80" customWidth="1"/>
    <col min="3" max="3" width="12.5546875" style="80" bestFit="1" customWidth="1"/>
    <col min="4" max="4" width="12.6640625" style="80" bestFit="1" customWidth="1"/>
    <col min="5" max="7" width="12" style="80" bestFit="1" customWidth="1"/>
    <col min="8" max="8" width="12.44140625" style="80" customWidth="1"/>
    <col min="9" max="14" width="12" style="80" bestFit="1" customWidth="1"/>
    <col min="15" max="15" width="12.5546875" style="80" bestFit="1" customWidth="1"/>
    <col min="16" max="16" width="12" style="80" bestFit="1" customWidth="1"/>
    <col min="17" max="17" width="10.44140625" style="80" bestFit="1" customWidth="1"/>
    <col min="18" max="18" width="12" style="80" customWidth="1"/>
    <col min="19" max="16384" width="8.88671875" style="80"/>
  </cols>
  <sheetData>
    <row r="1" spans="1:18">
      <c r="A1" s="1189" t="str">
        <f>'Table of Contents'!A1:C1</f>
        <v>Atmos Energy Corporation, Kentucky/Mid-States Division</v>
      </c>
      <c r="B1" s="1189"/>
      <c r="C1" s="1189"/>
      <c r="D1" s="1189"/>
      <c r="E1" s="1189"/>
      <c r="F1" s="1189"/>
      <c r="G1" s="1189"/>
      <c r="H1" s="1189"/>
      <c r="I1" s="1189"/>
      <c r="J1" s="1189"/>
      <c r="K1" s="1189"/>
      <c r="L1" s="1189"/>
      <c r="M1" s="1189"/>
      <c r="N1" s="1189"/>
      <c r="O1" s="1189"/>
      <c r="P1" s="1189"/>
    </row>
    <row r="2" spans="1:18">
      <c r="A2" s="1189" t="str">
        <f>'Table of Contents'!A2:C2</f>
        <v>Kentucky Jurisdiction Case No. 2018-00281</v>
      </c>
      <c r="B2" s="1189"/>
      <c r="C2" s="1189"/>
      <c r="D2" s="1189"/>
      <c r="E2" s="1189"/>
      <c r="F2" s="1189"/>
      <c r="G2" s="1189"/>
      <c r="H2" s="1189"/>
      <c r="I2" s="1189"/>
      <c r="J2" s="1189"/>
      <c r="K2" s="1189"/>
      <c r="L2" s="1189"/>
      <c r="M2" s="1189"/>
      <c r="N2" s="1189"/>
      <c r="O2" s="1189"/>
      <c r="P2" s="1189"/>
    </row>
    <row r="3" spans="1:18">
      <c r="A3" s="1189" t="str">
        <f>'Table of Contents'!A4:C4</f>
        <v>Forecasted Test Period: Twelve Months Ended March 31, 2020</v>
      </c>
      <c r="B3" s="1189"/>
      <c r="C3" s="1189"/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89"/>
    </row>
    <row r="4" spans="1:18">
      <c r="A4" s="1189" t="s">
        <v>112</v>
      </c>
      <c r="B4" s="1189"/>
      <c r="C4" s="1189"/>
      <c r="D4" s="1189"/>
      <c r="E4" s="1189"/>
      <c r="F4" s="1189"/>
      <c r="G4" s="1189"/>
      <c r="H4" s="1189"/>
      <c r="I4" s="1189"/>
      <c r="J4" s="1189"/>
      <c r="K4" s="1189"/>
      <c r="L4" s="1189"/>
      <c r="M4" s="1189"/>
      <c r="N4" s="1189"/>
      <c r="O4" s="1189"/>
      <c r="P4" s="1189"/>
    </row>
    <row r="5" spans="1:18">
      <c r="P5" s="596" t="s">
        <v>1419</v>
      </c>
    </row>
    <row r="7" spans="1:18">
      <c r="A7" s="80" t="s">
        <v>93</v>
      </c>
      <c r="C7" s="853" t="s">
        <v>453</v>
      </c>
      <c r="D7" s="853" t="s">
        <v>453</v>
      </c>
      <c r="E7" s="853" t="s">
        <v>453</v>
      </c>
      <c r="F7" s="853" t="s">
        <v>453</v>
      </c>
      <c r="G7" s="853" t="s">
        <v>453</v>
      </c>
      <c r="H7" s="853" t="s">
        <v>43</v>
      </c>
      <c r="I7" s="853" t="s">
        <v>43</v>
      </c>
      <c r="J7" s="853" t="s">
        <v>43</v>
      </c>
      <c r="K7" s="853" t="s">
        <v>43</v>
      </c>
      <c r="L7" s="853" t="s">
        <v>43</v>
      </c>
      <c r="M7" s="853" t="s">
        <v>43</v>
      </c>
      <c r="N7" s="853" t="s">
        <v>43</v>
      </c>
      <c r="O7" s="853" t="s">
        <v>43</v>
      </c>
      <c r="P7" s="853" t="s">
        <v>45</v>
      </c>
    </row>
    <row r="8" spans="1:18">
      <c r="A8" s="922" t="s">
        <v>99</v>
      </c>
      <c r="B8" s="922" t="s">
        <v>985</v>
      </c>
      <c r="C8" s="612">
        <f>O8-365</f>
        <v>43526</v>
      </c>
      <c r="D8" s="612">
        <f>'C.2.2-F 09'!D10</f>
        <v>43556</v>
      </c>
      <c r="E8" s="612">
        <f>'C.2.2-F 09'!E10</f>
        <v>43586</v>
      </c>
      <c r="F8" s="612">
        <f>'C.2.2-F 09'!F10</f>
        <v>43617</v>
      </c>
      <c r="G8" s="612">
        <f>'C.2.2-F 09'!G10</f>
        <v>43647</v>
      </c>
      <c r="H8" s="612">
        <f>'C.2.2-F 09'!H10</f>
        <v>43678</v>
      </c>
      <c r="I8" s="612">
        <f>'C.2.2-F 09'!I10</f>
        <v>43709</v>
      </c>
      <c r="J8" s="612">
        <f>'C.2.2-F 09'!J10</f>
        <v>43739</v>
      </c>
      <c r="K8" s="612">
        <f>'C.2.2-F 09'!K10</f>
        <v>43770</v>
      </c>
      <c r="L8" s="612">
        <f>'C.2.2-F 09'!L10</f>
        <v>43800</v>
      </c>
      <c r="M8" s="612">
        <f>'C.2.2-F 09'!M10</f>
        <v>43831</v>
      </c>
      <c r="N8" s="612">
        <f>'C.2.2-F 09'!N10</f>
        <v>43862</v>
      </c>
      <c r="O8" s="612">
        <f>'C.2.2-F 09'!O10</f>
        <v>43891</v>
      </c>
      <c r="P8" s="928" t="s">
        <v>98</v>
      </c>
      <c r="Q8" s="670"/>
      <c r="R8" s="670"/>
    </row>
    <row r="10" spans="1:18" ht="15.75">
      <c r="A10" s="853">
        <v>1</v>
      </c>
      <c r="B10" s="514" t="s">
        <v>267</v>
      </c>
    </row>
    <row r="11" spans="1:18">
      <c r="A11" s="853">
        <v>2</v>
      </c>
      <c r="B11" s="694"/>
    </row>
    <row r="12" spans="1:18">
      <c r="A12" s="853">
        <v>3</v>
      </c>
      <c r="B12" s="694" t="s">
        <v>1171</v>
      </c>
    </row>
    <row r="13" spans="1:18">
      <c r="A13" s="853">
        <v>4</v>
      </c>
      <c r="B13" s="807" t="s">
        <v>513</v>
      </c>
      <c r="C13" s="360">
        <v>0</v>
      </c>
      <c r="D13" s="360">
        <v>0</v>
      </c>
      <c r="E13" s="360">
        <v>0</v>
      </c>
      <c r="F13" s="360">
        <v>0</v>
      </c>
      <c r="G13" s="360">
        <v>0</v>
      </c>
      <c r="H13" s="360">
        <v>0</v>
      </c>
      <c r="I13" s="360">
        <v>0</v>
      </c>
      <c r="J13" s="360">
        <v>0</v>
      </c>
      <c r="K13" s="360">
        <v>0</v>
      </c>
      <c r="L13" s="360">
        <v>0</v>
      </c>
      <c r="M13" s="360">
        <v>0</v>
      </c>
      <c r="N13" s="360">
        <v>0</v>
      </c>
      <c r="O13" s="360">
        <v>0</v>
      </c>
    </row>
    <row r="14" spans="1:18">
      <c r="A14" s="853">
        <v>5</v>
      </c>
      <c r="B14" s="807" t="s">
        <v>514</v>
      </c>
      <c r="C14" s="360">
        <v>-402123.55499999999</v>
      </c>
      <c r="D14" s="360">
        <v>-402123.55499999999</v>
      </c>
      <c r="E14" s="360">
        <v>-402123.55499999999</v>
      </c>
      <c r="F14" s="360">
        <v>-402123.55499999999</v>
      </c>
      <c r="G14" s="360">
        <v>-402123.55499999999</v>
      </c>
      <c r="H14" s="360">
        <v>-402123.55499999999</v>
      </c>
      <c r="I14" s="360">
        <v>-402123.55499999999</v>
      </c>
      <c r="J14" s="360">
        <v>-402123.55499999999</v>
      </c>
      <c r="K14" s="360">
        <v>-402123.55499999999</v>
      </c>
      <c r="L14" s="360">
        <v>-402123.55499999999</v>
      </c>
      <c r="M14" s="360">
        <v>-402123.55499999999</v>
      </c>
      <c r="N14" s="360">
        <v>-402123.55499999999</v>
      </c>
      <c r="O14" s="360">
        <v>-402123.55499999999</v>
      </c>
    </row>
    <row r="15" spans="1:18">
      <c r="A15" s="853">
        <v>6</v>
      </c>
      <c r="B15" s="1067" t="s">
        <v>515</v>
      </c>
      <c r="C15" s="723">
        <v>-402123.55499999999</v>
      </c>
      <c r="D15" s="724">
        <v>-402123.55499999999</v>
      </c>
      <c r="E15" s="724">
        <v>-402123.55499999999</v>
      </c>
      <c r="F15" s="724">
        <v>-402123.55499999999</v>
      </c>
      <c r="G15" s="724">
        <v>-402123.55499999999</v>
      </c>
      <c r="H15" s="724">
        <v>-402123.55499999999</v>
      </c>
      <c r="I15" s="724">
        <v>-402123.55499999999</v>
      </c>
      <c r="J15" s="724">
        <v>-402123.55499999999</v>
      </c>
      <c r="K15" s="724">
        <v>-402123.55499999999</v>
      </c>
      <c r="L15" s="724">
        <v>-402123.55499999999</v>
      </c>
      <c r="M15" s="724">
        <v>-402123.55499999999</v>
      </c>
      <c r="N15" s="724">
        <v>-402123.55499999999</v>
      </c>
      <c r="O15" s="724">
        <v>-402123.55499999999</v>
      </c>
      <c r="P15" s="346">
        <v>-402123.55499999999</v>
      </c>
    </row>
    <row r="16" spans="1:18">
      <c r="A16" s="853">
        <v>7</v>
      </c>
      <c r="B16" s="807"/>
    </row>
    <row r="17" spans="1:16">
      <c r="A17" s="853">
        <v>8</v>
      </c>
      <c r="B17" s="807" t="s">
        <v>1172</v>
      </c>
    </row>
    <row r="18" spans="1:16">
      <c r="A18" s="853">
        <v>9</v>
      </c>
      <c r="B18" s="807" t="s">
        <v>513</v>
      </c>
      <c r="C18" s="360">
        <v>72258.356666666674</v>
      </c>
      <c r="D18" s="360">
        <v>72258.356666666674</v>
      </c>
      <c r="E18" s="360">
        <v>72258.356666666674</v>
      </c>
      <c r="F18" s="360">
        <v>72258.356666666674</v>
      </c>
      <c r="G18" s="360">
        <v>72258.356666666674</v>
      </c>
      <c r="H18" s="360">
        <v>72258.356666666674</v>
      </c>
      <c r="I18" s="360">
        <v>72258.356666666674</v>
      </c>
      <c r="J18" s="360">
        <v>72258.356666666674</v>
      </c>
      <c r="K18" s="360">
        <v>72258.356666666674</v>
      </c>
      <c r="L18" s="360">
        <v>72258.356666666674</v>
      </c>
      <c r="M18" s="360">
        <v>72258.356666666674</v>
      </c>
      <c r="N18" s="360">
        <v>72258.356666666674</v>
      </c>
      <c r="O18" s="360">
        <v>72258.356666666674</v>
      </c>
    </row>
    <row r="19" spans="1:16">
      <c r="A19" s="853">
        <v>10</v>
      </c>
      <c r="B19" s="807" t="s">
        <v>514</v>
      </c>
      <c r="C19" s="360">
        <v>972316.88</v>
      </c>
      <c r="D19" s="360">
        <v>972316.88</v>
      </c>
      <c r="E19" s="360">
        <v>972316.88</v>
      </c>
      <c r="F19" s="360">
        <v>972316.88</v>
      </c>
      <c r="G19" s="360">
        <v>972316.88</v>
      </c>
      <c r="H19" s="360">
        <v>972316.88</v>
      </c>
      <c r="I19" s="360">
        <v>972316.88</v>
      </c>
      <c r="J19" s="360">
        <v>972316.88</v>
      </c>
      <c r="K19" s="360">
        <v>972316.88</v>
      </c>
      <c r="L19" s="360">
        <v>972316.88</v>
      </c>
      <c r="M19" s="360">
        <v>972316.88</v>
      </c>
      <c r="N19" s="360">
        <v>972316.88</v>
      </c>
      <c r="O19" s="360">
        <v>972316.88</v>
      </c>
    </row>
    <row r="20" spans="1:16">
      <c r="A20" s="853">
        <v>11</v>
      </c>
      <c r="B20" s="1067" t="s">
        <v>515</v>
      </c>
      <c r="C20" s="723">
        <v>1044575.2366666667</v>
      </c>
      <c r="D20" s="724">
        <v>1044575.2366666667</v>
      </c>
      <c r="E20" s="724">
        <v>1044575.2366666667</v>
      </c>
      <c r="F20" s="724">
        <v>1044575.2366666667</v>
      </c>
      <c r="G20" s="724">
        <v>1044575.2366666667</v>
      </c>
      <c r="H20" s="724">
        <v>1044575.2366666667</v>
      </c>
      <c r="I20" s="724">
        <v>1044575.2366666667</v>
      </c>
      <c r="J20" s="724">
        <v>1044575.2366666667</v>
      </c>
      <c r="K20" s="724">
        <v>1044575.2366666667</v>
      </c>
      <c r="L20" s="724">
        <v>1044575.2366666667</v>
      </c>
      <c r="M20" s="724">
        <v>1044575.2366666667</v>
      </c>
      <c r="N20" s="724">
        <v>1044575.2366666667</v>
      </c>
      <c r="O20" s="724">
        <v>1044575.2366666667</v>
      </c>
      <c r="P20" s="346">
        <v>1044575.2366666665</v>
      </c>
    </row>
    <row r="21" spans="1:16">
      <c r="A21" s="853">
        <v>12</v>
      </c>
      <c r="B21" s="807"/>
    </row>
    <row r="22" spans="1:16">
      <c r="A22" s="853">
        <v>13</v>
      </c>
      <c r="B22" s="807" t="s">
        <v>1173</v>
      </c>
    </row>
    <row r="23" spans="1:16">
      <c r="A23" s="853">
        <v>14</v>
      </c>
      <c r="B23" s="807" t="s">
        <v>513</v>
      </c>
      <c r="C23" s="1068">
        <v>0</v>
      </c>
      <c r="D23" s="1068">
        <v>0</v>
      </c>
      <c r="E23" s="1068">
        <v>0</v>
      </c>
      <c r="F23" s="1068">
        <v>0</v>
      </c>
      <c r="G23" s="1068">
        <v>0</v>
      </c>
      <c r="H23" s="1068">
        <v>0</v>
      </c>
      <c r="I23" s="1068">
        <v>0</v>
      </c>
      <c r="J23" s="1068">
        <v>0</v>
      </c>
      <c r="K23" s="1068">
        <v>0</v>
      </c>
      <c r="L23" s="1068">
        <v>0</v>
      </c>
      <c r="M23" s="1068">
        <v>0</v>
      </c>
      <c r="N23" s="1068">
        <v>0</v>
      </c>
      <c r="O23" s="1068">
        <v>0</v>
      </c>
    </row>
    <row r="24" spans="1:16">
      <c r="A24" s="853">
        <v>15</v>
      </c>
      <c r="B24" s="807" t="s">
        <v>514</v>
      </c>
      <c r="C24" s="1068">
        <v>-0.01</v>
      </c>
      <c r="D24" s="1068">
        <v>-0.01</v>
      </c>
      <c r="E24" s="1068">
        <v>-0.01</v>
      </c>
      <c r="F24" s="1068">
        <v>-0.01</v>
      </c>
      <c r="G24" s="1068">
        <v>-0.01</v>
      </c>
      <c r="H24" s="1068">
        <v>-0.01</v>
      </c>
      <c r="I24" s="1068">
        <v>-0.01</v>
      </c>
      <c r="J24" s="1068">
        <v>-0.01</v>
      </c>
      <c r="K24" s="1068">
        <v>-0.01</v>
      </c>
      <c r="L24" s="1068">
        <v>-0.01</v>
      </c>
      <c r="M24" s="1068">
        <v>-0.01</v>
      </c>
      <c r="N24" s="1068">
        <v>-0.01</v>
      </c>
      <c r="O24" s="1068">
        <v>-0.01</v>
      </c>
    </row>
    <row r="25" spans="1:16">
      <c r="A25" s="853">
        <v>16</v>
      </c>
      <c r="B25" s="1067" t="s">
        <v>515</v>
      </c>
      <c r="C25" s="723">
        <v>-0.01</v>
      </c>
      <c r="D25" s="724">
        <v>-0.01</v>
      </c>
      <c r="E25" s="724">
        <v>-0.01</v>
      </c>
      <c r="F25" s="724">
        <v>-0.01</v>
      </c>
      <c r="G25" s="724">
        <v>-0.01</v>
      </c>
      <c r="H25" s="724">
        <v>-0.01</v>
      </c>
      <c r="I25" s="724">
        <v>-0.01</v>
      </c>
      <c r="J25" s="724">
        <v>-0.01</v>
      </c>
      <c r="K25" s="724">
        <v>-0.01</v>
      </c>
      <c r="L25" s="724">
        <v>-0.01</v>
      </c>
      <c r="M25" s="724">
        <v>-0.01</v>
      </c>
      <c r="N25" s="724">
        <v>-0.01</v>
      </c>
      <c r="O25" s="724">
        <v>-0.01</v>
      </c>
      <c r="P25" s="346">
        <v>-9.9999999999999985E-3</v>
      </c>
    </row>
    <row r="26" spans="1:16">
      <c r="A26" s="853">
        <v>17</v>
      </c>
      <c r="B26" s="807"/>
    </row>
    <row r="27" spans="1:16">
      <c r="A27" s="853">
        <v>18</v>
      </c>
      <c r="B27" s="807" t="s">
        <v>1174</v>
      </c>
    </row>
    <row r="28" spans="1:16">
      <c r="A28" s="853">
        <v>19</v>
      </c>
      <c r="B28" s="807" t="s">
        <v>513</v>
      </c>
      <c r="C28" s="1068">
        <v>0</v>
      </c>
      <c r="D28" s="1068">
        <v>0</v>
      </c>
      <c r="E28" s="1068">
        <v>0</v>
      </c>
      <c r="F28" s="1068">
        <v>0</v>
      </c>
      <c r="G28" s="1068">
        <v>0</v>
      </c>
      <c r="H28" s="1068">
        <v>0</v>
      </c>
      <c r="I28" s="1068">
        <v>0</v>
      </c>
      <c r="J28" s="1068">
        <v>0</v>
      </c>
      <c r="K28" s="1068">
        <v>0</v>
      </c>
      <c r="L28" s="1068">
        <v>0</v>
      </c>
      <c r="M28" s="1068">
        <v>0</v>
      </c>
      <c r="N28" s="1068">
        <v>0</v>
      </c>
      <c r="O28" s="1068">
        <v>0</v>
      </c>
    </row>
    <row r="29" spans="1:16">
      <c r="A29" s="853">
        <v>20</v>
      </c>
      <c r="B29" s="807" t="s">
        <v>514</v>
      </c>
      <c r="C29" s="1068">
        <v>0</v>
      </c>
      <c r="D29" s="1068">
        <v>0</v>
      </c>
      <c r="E29" s="1068">
        <v>0</v>
      </c>
      <c r="F29" s="1068">
        <v>0</v>
      </c>
      <c r="G29" s="1068">
        <v>0</v>
      </c>
      <c r="H29" s="1068">
        <v>0</v>
      </c>
      <c r="I29" s="1068">
        <v>0</v>
      </c>
      <c r="J29" s="1068">
        <v>0</v>
      </c>
      <c r="K29" s="1068">
        <v>0</v>
      </c>
      <c r="L29" s="1068">
        <v>0</v>
      </c>
      <c r="M29" s="1068">
        <v>0</v>
      </c>
      <c r="N29" s="1068">
        <v>0</v>
      </c>
      <c r="O29" s="1068">
        <v>0</v>
      </c>
    </row>
    <row r="30" spans="1:16">
      <c r="A30" s="853">
        <v>21</v>
      </c>
      <c r="B30" s="1067" t="s">
        <v>515</v>
      </c>
      <c r="C30" s="724">
        <v>0</v>
      </c>
      <c r="D30" s="724">
        <v>0</v>
      </c>
      <c r="E30" s="724">
        <v>0</v>
      </c>
      <c r="F30" s="724">
        <v>0</v>
      </c>
      <c r="G30" s="724">
        <v>0</v>
      </c>
      <c r="H30" s="724">
        <v>0</v>
      </c>
      <c r="I30" s="724">
        <v>0</v>
      </c>
      <c r="J30" s="724">
        <v>0</v>
      </c>
      <c r="K30" s="724">
        <v>0</v>
      </c>
      <c r="L30" s="724">
        <v>0</v>
      </c>
      <c r="M30" s="724">
        <v>0</v>
      </c>
      <c r="N30" s="724">
        <v>0</v>
      </c>
      <c r="O30" s="724">
        <v>0</v>
      </c>
      <c r="P30" s="346">
        <v>0</v>
      </c>
    </row>
    <row r="31" spans="1:16">
      <c r="A31" s="853">
        <v>22</v>
      </c>
      <c r="B31" s="807"/>
    </row>
    <row r="32" spans="1:16" ht="15.75">
      <c r="A32" s="853">
        <v>23</v>
      </c>
      <c r="B32" s="514" t="s">
        <v>516</v>
      </c>
    </row>
    <row r="33" spans="1:18">
      <c r="A33" s="853">
        <v>24</v>
      </c>
      <c r="B33" s="96"/>
      <c r="M33" s="346"/>
      <c r="R33" s="670"/>
    </row>
    <row r="34" spans="1:18">
      <c r="A34" s="853">
        <v>25</v>
      </c>
      <c r="B34" s="807" t="s">
        <v>1171</v>
      </c>
      <c r="C34" s="346">
        <v>-2287953.3409217214</v>
      </c>
      <c r="D34" s="346">
        <v>988506.25436350517</v>
      </c>
      <c r="E34" s="346">
        <v>4223799.0785061195</v>
      </c>
      <c r="F34" s="346">
        <v>7495415.5242451569</v>
      </c>
      <c r="G34" s="346">
        <v>10805777.166353712</v>
      </c>
      <c r="H34" s="346">
        <v>14118560.383235361</v>
      </c>
      <c r="I34" s="346">
        <v>17407127.852386065</v>
      </c>
      <c r="J34" s="346">
        <v>20715067.919721525</v>
      </c>
      <c r="K34" s="346">
        <v>18044747.955635339</v>
      </c>
      <c r="L34" s="346">
        <v>13969372.842649167</v>
      </c>
      <c r="M34" s="346">
        <v>8809435.8119519856</v>
      </c>
      <c r="N34" s="346">
        <v>3257934.6178646553</v>
      </c>
      <c r="O34" s="346">
        <v>-1769904.1334066335</v>
      </c>
      <c r="P34" s="346">
        <v>8905991.3794295546</v>
      </c>
      <c r="R34" s="670"/>
    </row>
    <row r="35" spans="1:18">
      <c r="A35" s="853">
        <v>26</v>
      </c>
      <c r="B35" s="807"/>
      <c r="K35" s="346"/>
      <c r="L35" s="346"/>
      <c r="N35" s="346"/>
      <c r="O35" s="346"/>
    </row>
    <row r="36" spans="1:18">
      <c r="A36" s="853">
        <v>27</v>
      </c>
      <c r="B36" s="807" t="s">
        <v>1172</v>
      </c>
      <c r="C36" s="346">
        <v>0</v>
      </c>
      <c r="D36" s="346">
        <v>0</v>
      </c>
      <c r="E36" s="346">
        <v>0</v>
      </c>
      <c r="F36" s="346">
        <v>0</v>
      </c>
      <c r="G36" s="346">
        <v>0</v>
      </c>
      <c r="H36" s="346">
        <v>0</v>
      </c>
      <c r="I36" s="346">
        <v>0</v>
      </c>
      <c r="J36" s="346">
        <v>0</v>
      </c>
      <c r="K36" s="346">
        <v>0</v>
      </c>
      <c r="L36" s="346">
        <v>0</v>
      </c>
      <c r="M36" s="346">
        <v>0</v>
      </c>
      <c r="N36" s="346">
        <v>0</v>
      </c>
      <c r="O36" s="346">
        <v>0</v>
      </c>
      <c r="P36" s="346">
        <v>0</v>
      </c>
    </row>
    <row r="37" spans="1:18">
      <c r="A37" s="853">
        <v>28</v>
      </c>
      <c r="B37" s="807"/>
    </row>
    <row r="38" spans="1:18">
      <c r="A38" s="853">
        <v>29</v>
      </c>
      <c r="B38" s="807" t="s">
        <v>1173</v>
      </c>
      <c r="C38" s="346">
        <v>0</v>
      </c>
      <c r="D38" s="346">
        <v>0</v>
      </c>
      <c r="E38" s="346">
        <v>0</v>
      </c>
      <c r="F38" s="346">
        <v>0</v>
      </c>
      <c r="G38" s="346">
        <v>0</v>
      </c>
      <c r="H38" s="346">
        <v>0</v>
      </c>
      <c r="I38" s="346">
        <v>0</v>
      </c>
      <c r="J38" s="346">
        <v>0</v>
      </c>
      <c r="K38" s="346">
        <v>0</v>
      </c>
      <c r="L38" s="346">
        <v>0</v>
      </c>
      <c r="M38" s="346">
        <v>0</v>
      </c>
      <c r="N38" s="346">
        <v>0</v>
      </c>
      <c r="O38" s="346">
        <v>0</v>
      </c>
      <c r="P38" s="346">
        <v>0</v>
      </c>
    </row>
    <row r="39" spans="1:18">
      <c r="A39" s="853">
        <v>30</v>
      </c>
      <c r="B39" s="807"/>
    </row>
    <row r="40" spans="1:18">
      <c r="A40" s="853">
        <v>31</v>
      </c>
      <c r="B40" s="807" t="s">
        <v>1174</v>
      </c>
      <c r="C40" s="346">
        <v>0</v>
      </c>
      <c r="D40" s="346">
        <v>0</v>
      </c>
      <c r="E40" s="346">
        <v>0</v>
      </c>
      <c r="F40" s="346">
        <v>0</v>
      </c>
      <c r="G40" s="346">
        <v>0</v>
      </c>
      <c r="H40" s="346">
        <v>0</v>
      </c>
      <c r="I40" s="346">
        <v>0</v>
      </c>
      <c r="J40" s="346">
        <v>0</v>
      </c>
      <c r="K40" s="346">
        <v>0</v>
      </c>
      <c r="L40" s="346">
        <v>0</v>
      </c>
      <c r="M40" s="346">
        <v>0</v>
      </c>
      <c r="N40" s="346">
        <v>0</v>
      </c>
      <c r="O40" s="346">
        <v>0</v>
      </c>
      <c r="P40" s="346">
        <v>0</v>
      </c>
    </row>
    <row r="41" spans="1:18">
      <c r="A41" s="853">
        <v>32</v>
      </c>
      <c r="B41" s="1067"/>
    </row>
    <row r="42" spans="1:18" ht="15.75">
      <c r="A42" s="853">
        <v>33</v>
      </c>
      <c r="B42" s="514" t="s">
        <v>517</v>
      </c>
    </row>
    <row r="43" spans="1:18">
      <c r="A43" s="853">
        <v>34</v>
      </c>
      <c r="B43" s="694"/>
    </row>
    <row r="44" spans="1:18">
      <c r="A44" s="853">
        <v>35</v>
      </c>
      <c r="B44" s="807" t="s">
        <v>1171</v>
      </c>
      <c r="C44" s="360">
        <v>0</v>
      </c>
      <c r="D44" s="360">
        <v>0</v>
      </c>
      <c r="E44" s="360">
        <v>0</v>
      </c>
      <c r="F44" s="360">
        <v>0</v>
      </c>
      <c r="G44" s="360">
        <v>0</v>
      </c>
      <c r="H44" s="360">
        <v>0</v>
      </c>
      <c r="I44" s="360">
        <v>0</v>
      </c>
      <c r="J44" s="360">
        <v>0</v>
      </c>
      <c r="K44" s="360">
        <v>0</v>
      </c>
      <c r="L44" s="360">
        <v>0</v>
      </c>
      <c r="M44" s="360">
        <v>0</v>
      </c>
      <c r="N44" s="360">
        <v>0</v>
      </c>
      <c r="O44" s="360">
        <v>0</v>
      </c>
      <c r="P44" s="346">
        <v>0</v>
      </c>
    </row>
    <row r="45" spans="1:18">
      <c r="A45" s="853">
        <v>36</v>
      </c>
      <c r="B45" s="807"/>
    </row>
    <row r="46" spans="1:18">
      <c r="A46" s="853">
        <v>37</v>
      </c>
      <c r="B46" s="807" t="s">
        <v>1172</v>
      </c>
      <c r="C46" s="360">
        <v>0</v>
      </c>
      <c r="D46" s="360">
        <v>0</v>
      </c>
      <c r="E46" s="360">
        <v>0</v>
      </c>
      <c r="F46" s="360">
        <v>0</v>
      </c>
      <c r="G46" s="360">
        <v>0</v>
      </c>
      <c r="H46" s="360">
        <v>0</v>
      </c>
      <c r="I46" s="360">
        <v>0</v>
      </c>
      <c r="J46" s="360">
        <v>0</v>
      </c>
      <c r="K46" s="360">
        <v>0</v>
      </c>
      <c r="L46" s="360">
        <v>0</v>
      </c>
      <c r="M46" s="360">
        <v>0</v>
      </c>
      <c r="N46" s="360">
        <v>0</v>
      </c>
      <c r="O46" s="360">
        <v>0</v>
      </c>
      <c r="P46" s="346">
        <v>0</v>
      </c>
    </row>
    <row r="47" spans="1:18">
      <c r="A47" s="853">
        <v>38</v>
      </c>
      <c r="B47" s="807"/>
    </row>
    <row r="48" spans="1:18">
      <c r="A48" s="853">
        <v>39</v>
      </c>
      <c r="B48" s="807" t="s">
        <v>1173</v>
      </c>
      <c r="C48" s="360">
        <v>0</v>
      </c>
      <c r="D48" s="360">
        <v>0</v>
      </c>
      <c r="E48" s="360">
        <v>0</v>
      </c>
      <c r="F48" s="360">
        <v>0</v>
      </c>
      <c r="G48" s="360">
        <v>0</v>
      </c>
      <c r="H48" s="360">
        <v>0</v>
      </c>
      <c r="I48" s="360">
        <v>0</v>
      </c>
      <c r="J48" s="360">
        <v>0</v>
      </c>
      <c r="K48" s="360">
        <v>0</v>
      </c>
      <c r="L48" s="360">
        <v>0</v>
      </c>
      <c r="M48" s="360">
        <v>0</v>
      </c>
      <c r="N48" s="360">
        <v>0</v>
      </c>
      <c r="O48" s="360">
        <v>0</v>
      </c>
      <c r="P48" s="346">
        <v>0</v>
      </c>
    </row>
    <row r="49" spans="1:16">
      <c r="A49" s="853">
        <v>40</v>
      </c>
      <c r="B49" s="807"/>
    </row>
    <row r="50" spans="1:16">
      <c r="A50" s="853">
        <v>41</v>
      </c>
      <c r="B50" s="807" t="s">
        <v>1174</v>
      </c>
      <c r="C50" s="1068">
        <v>0</v>
      </c>
      <c r="D50" s="1068">
        <v>0</v>
      </c>
      <c r="E50" s="1068">
        <v>0</v>
      </c>
      <c r="F50" s="1068">
        <v>0</v>
      </c>
      <c r="G50" s="1068">
        <v>0</v>
      </c>
      <c r="H50" s="1068">
        <v>0</v>
      </c>
      <c r="I50" s="1068">
        <v>0</v>
      </c>
      <c r="J50" s="1068">
        <v>0</v>
      </c>
      <c r="K50" s="1068">
        <v>0</v>
      </c>
      <c r="L50" s="1068">
        <v>0</v>
      </c>
      <c r="M50" s="1068">
        <v>0</v>
      </c>
      <c r="N50" s="1068">
        <v>0</v>
      </c>
      <c r="O50" s="1068">
        <v>0</v>
      </c>
      <c r="P50" s="346">
        <v>0</v>
      </c>
    </row>
    <row r="54" spans="1:16">
      <c r="L54" s="80" t="s">
        <v>323</v>
      </c>
    </row>
    <row r="55" spans="1:16">
      <c r="B55" s="80" t="s">
        <v>518</v>
      </c>
      <c r="C55" s="670"/>
    </row>
    <row r="56" spans="1:16">
      <c r="B56" s="80" t="s">
        <v>1674</v>
      </c>
      <c r="C56" s="670"/>
    </row>
  </sheetData>
  <mergeCells count="4">
    <mergeCell ref="A1:P1"/>
    <mergeCell ref="A2:P2"/>
    <mergeCell ref="A3:P3"/>
    <mergeCell ref="A4:P4"/>
  </mergeCells>
  <phoneticPr fontId="23" type="noConversion"/>
  <printOptions horizontalCentered="1"/>
  <pageMargins left="0.62" right="0.44" top="1" bottom="1" header="0.5" footer="0.5"/>
  <pageSetup scale="48" orientation="landscape" r:id="rId1"/>
  <headerFooter alignWithMargins="0">
    <oddFooter>&amp;R&amp;A
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R78"/>
  <sheetViews>
    <sheetView view="pageBreakPreview" zoomScale="70" zoomScaleNormal="70" zoomScaleSheetLayoutView="70" workbookViewId="0">
      <pane xSplit="3" ySplit="11" topLeftCell="D18" activePane="bottomRight" state="frozen"/>
      <selection activeCell="G63" sqref="G63"/>
      <selection pane="topRight" activeCell="G63" sqref="G63"/>
      <selection pane="bottomLeft" activeCell="G63" sqref="G63"/>
      <selection pane="bottomRight" activeCell="G56" sqref="G56"/>
    </sheetView>
  </sheetViews>
  <sheetFormatPr defaultColWidth="8.44140625" defaultRowHeight="15"/>
  <cols>
    <col min="1" max="1" width="5.77734375" style="81" customWidth="1"/>
    <col min="2" max="2" width="7.109375" style="81" customWidth="1"/>
    <col min="3" max="3" width="48.33203125" style="81" customWidth="1"/>
    <col min="4" max="4" width="13.21875" style="81" bestFit="1" customWidth="1"/>
    <col min="5" max="7" width="13.109375" style="81" bestFit="1" customWidth="1"/>
    <col min="8" max="8" width="13.109375" style="74" bestFit="1" customWidth="1"/>
    <col min="9" max="10" width="13.109375" style="81" bestFit="1" customWidth="1"/>
    <col min="11" max="14" width="16.21875" style="81" customWidth="1"/>
    <col min="15" max="15" width="13.5546875" style="81" customWidth="1"/>
    <col min="16" max="16" width="13.21875" style="81" customWidth="1"/>
    <col min="17" max="17" width="13.77734375" style="81" customWidth="1"/>
    <col min="18" max="16384" width="8.44140625" style="81"/>
  </cols>
  <sheetData>
    <row r="1" spans="1:18">
      <c r="A1" s="1193" t="str">
        <f>Allocation!A1</f>
        <v>Atmos Energy Corporation, Kentucky/Mid-States Division</v>
      </c>
      <c r="B1" s="1193"/>
      <c r="C1" s="1193"/>
      <c r="D1" s="1193"/>
      <c r="E1" s="1193"/>
      <c r="F1" s="1193"/>
      <c r="G1" s="1193"/>
      <c r="H1" s="1193"/>
      <c r="I1" s="1193"/>
      <c r="J1" s="1193"/>
      <c r="K1" s="1193"/>
      <c r="L1" s="1193"/>
      <c r="M1" s="1193"/>
      <c r="N1" s="1193"/>
      <c r="O1" s="1193"/>
      <c r="P1" s="1193"/>
      <c r="Q1" s="1193"/>
    </row>
    <row r="2" spans="1:18">
      <c r="A2" s="1193" t="str">
        <f>Allocation!A2</f>
        <v>Kentucky Jurisdiction Case No. 2018-00281</v>
      </c>
      <c r="B2" s="1193"/>
      <c r="C2" s="1193"/>
      <c r="D2" s="1193"/>
      <c r="E2" s="1193"/>
      <c r="F2" s="1193"/>
      <c r="G2" s="1193"/>
      <c r="H2" s="1193"/>
      <c r="I2" s="1193"/>
      <c r="J2" s="1193"/>
      <c r="K2" s="1193"/>
      <c r="L2" s="1193"/>
      <c r="M2" s="1193"/>
      <c r="N2" s="1193"/>
      <c r="O2" s="1193"/>
      <c r="P2" s="1193"/>
      <c r="Q2" s="1193"/>
    </row>
    <row r="3" spans="1:18">
      <c r="A3" s="1193" t="s">
        <v>510</v>
      </c>
      <c r="B3" s="1193"/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3"/>
      <c r="N3" s="1193"/>
      <c r="O3" s="1193"/>
      <c r="P3" s="1193"/>
      <c r="Q3" s="1193"/>
      <c r="R3" s="690"/>
    </row>
    <row r="4" spans="1:18">
      <c r="A4" s="699" t="str">
        <f>Allocation!A3</f>
        <v>Base Period: Twelve Months Ended December 31, 2018</v>
      </c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</row>
    <row r="5" spans="1:18">
      <c r="A5" s="167"/>
      <c r="B5" s="150"/>
      <c r="C5" s="150"/>
      <c r="D5" s="150"/>
      <c r="E5" s="150"/>
      <c r="F5" s="150"/>
      <c r="G5" s="150"/>
      <c r="H5" s="370"/>
      <c r="I5" s="150"/>
      <c r="J5" s="150"/>
      <c r="K5" s="150"/>
    </row>
    <row r="6" spans="1:18">
      <c r="A6" s="1026" t="str">
        <f>'B.1 B'!A6</f>
        <v>Data:__X___Base Period______Forecasted Period</v>
      </c>
      <c r="B6" s="1026"/>
      <c r="C6" s="74"/>
      <c r="P6" s="81" t="s">
        <v>1421</v>
      </c>
    </row>
    <row r="7" spans="1:18">
      <c r="A7" s="1026" t="str">
        <f>'B.1 B'!A7</f>
        <v>Type of Filing:___X____Original________Updated ________Revised</v>
      </c>
      <c r="B7" s="74"/>
      <c r="C7" s="1026"/>
      <c r="P7" s="81" t="s">
        <v>717</v>
      </c>
    </row>
    <row r="8" spans="1:18">
      <c r="A8" s="390" t="str">
        <f>'B.1 B'!A8</f>
        <v>Workpaper Reference No(s).</v>
      </c>
      <c r="B8" s="151"/>
      <c r="C8" s="151"/>
      <c r="D8" s="151"/>
      <c r="E8" s="151"/>
      <c r="F8" s="151"/>
      <c r="G8" s="82"/>
      <c r="H8" s="82"/>
      <c r="I8" s="151"/>
      <c r="J8" s="151"/>
      <c r="K8" s="82"/>
      <c r="L8" s="151"/>
      <c r="M8" s="82"/>
      <c r="N8" s="82"/>
      <c r="O8" s="82"/>
      <c r="P8" s="82"/>
      <c r="Q8" s="82"/>
    </row>
    <row r="9" spans="1:18">
      <c r="D9" s="856"/>
      <c r="E9" s="76"/>
      <c r="F9" s="854"/>
      <c r="G9" s="854"/>
      <c r="H9" s="75"/>
      <c r="I9" s="854"/>
      <c r="J9" s="76"/>
      <c r="K9" s="854"/>
    </row>
    <row r="10" spans="1:18">
      <c r="A10" s="854" t="s">
        <v>93</v>
      </c>
      <c r="B10" s="854" t="s">
        <v>94</v>
      </c>
      <c r="D10" s="853" t="s">
        <v>107</v>
      </c>
      <c r="E10" s="853" t="s">
        <v>107</v>
      </c>
      <c r="F10" s="853" t="s">
        <v>107</v>
      </c>
      <c r="G10" s="853" t="s">
        <v>107</v>
      </c>
      <c r="H10" s="853" t="s">
        <v>107</v>
      </c>
      <c r="I10" s="853" t="s">
        <v>107</v>
      </c>
      <c r="J10" s="853" t="s">
        <v>107</v>
      </c>
      <c r="K10" s="853" t="s">
        <v>1241</v>
      </c>
      <c r="L10" s="853" t="s">
        <v>1241</v>
      </c>
      <c r="M10" s="853" t="s">
        <v>1241</v>
      </c>
      <c r="N10" s="853" t="s">
        <v>1241</v>
      </c>
      <c r="O10" s="853" t="s">
        <v>1241</v>
      </c>
      <c r="P10" s="853" t="s">
        <v>1241</v>
      </c>
      <c r="Q10" s="955" t="s">
        <v>315</v>
      </c>
    </row>
    <row r="11" spans="1:18">
      <c r="A11" s="434" t="s">
        <v>99</v>
      </c>
      <c r="B11" s="434" t="s">
        <v>100</v>
      </c>
      <c r="C11" s="151"/>
      <c r="D11" s="612">
        <f>'WP B.4.1B'!C8</f>
        <v>43070</v>
      </c>
      <c r="E11" s="612">
        <f>'WP B.4.1B'!D8</f>
        <v>43101</v>
      </c>
      <c r="F11" s="612">
        <f>'WP B.4.1B'!E8</f>
        <v>43132</v>
      </c>
      <c r="G11" s="612">
        <f>'WP B.4.1B'!F8</f>
        <v>43160</v>
      </c>
      <c r="H11" s="612">
        <f>'WP B.4.1B'!G8</f>
        <v>43191</v>
      </c>
      <c r="I11" s="612">
        <f>'WP B.4.1B'!H8</f>
        <v>43221</v>
      </c>
      <c r="J11" s="612">
        <f>'WP B.4.1B'!I8</f>
        <v>43252</v>
      </c>
      <c r="K11" s="612">
        <f>'WP B.4.1B'!J8</f>
        <v>43282</v>
      </c>
      <c r="L11" s="612">
        <f>'WP B.4.1B'!K8</f>
        <v>43313</v>
      </c>
      <c r="M11" s="612">
        <f>'WP B.4.1B'!L8</f>
        <v>43344</v>
      </c>
      <c r="N11" s="612">
        <f>'WP B.4.1B'!M8</f>
        <v>43374</v>
      </c>
      <c r="O11" s="612">
        <f>'WP B.4.1B'!N8</f>
        <v>43405</v>
      </c>
      <c r="P11" s="612">
        <f>'WP B.4.1B'!O8</f>
        <v>43435</v>
      </c>
      <c r="Q11" s="520" t="s">
        <v>98</v>
      </c>
    </row>
    <row r="12" spans="1:18" ht="15.75">
      <c r="B12" s="920" t="s">
        <v>213</v>
      </c>
    </row>
    <row r="13" spans="1:18">
      <c r="A13" s="854">
        <v>1</v>
      </c>
      <c r="C13" s="619" t="s">
        <v>673</v>
      </c>
      <c r="D13" s="1069">
        <v>10404257.697957151</v>
      </c>
      <c r="E13" s="1069">
        <v>10404257.697957151</v>
      </c>
      <c r="F13" s="1069">
        <v>10404257.697957151</v>
      </c>
      <c r="G13" s="1069">
        <v>9114435</v>
      </c>
      <c r="H13" s="1069">
        <v>9114435</v>
      </c>
      <c r="I13" s="1069">
        <v>9114435</v>
      </c>
      <c r="J13" s="1069">
        <v>9028253</v>
      </c>
      <c r="K13" s="1069">
        <v>9028253</v>
      </c>
      <c r="L13" s="1069">
        <v>9028253</v>
      </c>
      <c r="M13" s="1069">
        <v>10402875</v>
      </c>
      <c r="N13" s="1069">
        <v>10374900.73</v>
      </c>
      <c r="O13" s="1069">
        <v>10346926.460000001</v>
      </c>
      <c r="P13" s="1069">
        <v>10483201</v>
      </c>
      <c r="Q13" s="553">
        <f>(SUM(D13:P13))/13</f>
        <v>9788364.63722088</v>
      </c>
    </row>
    <row r="14" spans="1:18" ht="14.25" customHeight="1">
      <c r="A14" s="854">
        <f>A13+1</f>
        <v>2</v>
      </c>
      <c r="B14" s="1070"/>
      <c r="C14" s="88"/>
      <c r="D14" s="607"/>
      <c r="E14" s="607"/>
      <c r="F14" s="607"/>
      <c r="G14" s="607"/>
      <c r="H14" s="607"/>
      <c r="I14" s="607"/>
      <c r="J14" s="607"/>
      <c r="K14" s="607"/>
      <c r="L14" s="607"/>
      <c r="M14" s="607"/>
      <c r="N14" s="607"/>
      <c r="O14" s="607"/>
      <c r="P14" s="607"/>
      <c r="Q14" s="170"/>
    </row>
    <row r="15" spans="1:18">
      <c r="A15" s="854">
        <f t="shared" ref="A15:A49" si="0">A14+1</f>
        <v>3</v>
      </c>
      <c r="C15" s="619" t="s">
        <v>674</v>
      </c>
      <c r="D15" s="607">
        <v>-66268035</v>
      </c>
      <c r="E15" s="607">
        <v>-66268035</v>
      </c>
      <c r="F15" s="607">
        <v>-66268035</v>
      </c>
      <c r="G15" s="607">
        <v>-66268035</v>
      </c>
      <c r="H15" s="607">
        <v>-66268035</v>
      </c>
      <c r="I15" s="607">
        <v>-66268035</v>
      </c>
      <c r="J15" s="607">
        <v>-66268035</v>
      </c>
      <c r="K15" s="607">
        <v>-66268035</v>
      </c>
      <c r="L15" s="607">
        <v>-66268035</v>
      </c>
      <c r="M15" s="607">
        <v>-66268035</v>
      </c>
      <c r="N15" s="607">
        <v>-66268035</v>
      </c>
      <c r="O15" s="607">
        <v>-66268035</v>
      </c>
      <c r="P15" s="607">
        <v>-66268035</v>
      </c>
      <c r="Q15" s="609">
        <f>(SUM(D15:P15))/13</f>
        <v>-66268035</v>
      </c>
    </row>
    <row r="16" spans="1:18">
      <c r="A16" s="854">
        <f t="shared" si="0"/>
        <v>4</v>
      </c>
      <c r="B16" s="1070"/>
      <c r="C16" s="88"/>
      <c r="D16" s="608"/>
      <c r="E16" s="608"/>
      <c r="F16" s="608"/>
      <c r="G16" s="608"/>
      <c r="H16" s="608"/>
      <c r="I16" s="608"/>
      <c r="J16" s="608"/>
      <c r="K16" s="608"/>
      <c r="L16" s="608"/>
      <c r="M16" s="608"/>
      <c r="N16" s="608"/>
      <c r="O16" s="608"/>
      <c r="P16" s="608"/>
      <c r="Q16" s="609"/>
    </row>
    <row r="17" spans="1:18">
      <c r="A17" s="854">
        <f t="shared" si="0"/>
        <v>5</v>
      </c>
      <c r="C17" s="619" t="s">
        <v>675</v>
      </c>
      <c r="D17" s="607">
        <v>-7784</v>
      </c>
      <c r="E17" s="607">
        <v>-7784</v>
      </c>
      <c r="F17" s="607">
        <v>-7784</v>
      </c>
      <c r="G17" s="607">
        <v>-7784</v>
      </c>
      <c r="H17" s="607">
        <v>-7784</v>
      </c>
      <c r="I17" s="607">
        <v>-7784</v>
      </c>
      <c r="J17" s="607">
        <v>-7784</v>
      </c>
      <c r="K17" s="607">
        <v>-7784</v>
      </c>
      <c r="L17" s="607">
        <v>-7784</v>
      </c>
      <c r="M17" s="607">
        <v>-7784</v>
      </c>
      <c r="N17" s="607">
        <v>-7784</v>
      </c>
      <c r="O17" s="607">
        <v>-7784</v>
      </c>
      <c r="P17" s="607">
        <v>-7784</v>
      </c>
      <c r="Q17" s="609">
        <f>(SUM(D17:P17))/13</f>
        <v>-7784</v>
      </c>
    </row>
    <row r="18" spans="1:18" ht="14.25" customHeight="1">
      <c r="A18" s="854">
        <f t="shared" si="0"/>
        <v>6</v>
      </c>
      <c r="B18" s="1070"/>
      <c r="C18" s="88"/>
      <c r="D18" s="77"/>
      <c r="E18" s="77"/>
      <c r="F18" s="77"/>
      <c r="G18" s="77"/>
      <c r="H18" s="77"/>
      <c r="I18" s="74"/>
      <c r="J18" s="74"/>
      <c r="K18" s="74"/>
      <c r="L18" s="429"/>
      <c r="M18" s="429"/>
      <c r="N18" s="429"/>
      <c r="O18" s="429"/>
    </row>
    <row r="19" spans="1:18">
      <c r="A19" s="854">
        <f t="shared" si="0"/>
        <v>7</v>
      </c>
      <c r="C19" s="857" t="s">
        <v>31</v>
      </c>
      <c r="D19" s="574">
        <f t="shared" ref="D19:P19" si="1">SUM(D13:D17)</f>
        <v>-55871561.302042849</v>
      </c>
      <c r="E19" s="574">
        <f t="shared" si="1"/>
        <v>-55871561.302042849</v>
      </c>
      <c r="F19" s="574">
        <f t="shared" si="1"/>
        <v>-55871561.302042849</v>
      </c>
      <c r="G19" s="574">
        <f t="shared" si="1"/>
        <v>-57161384</v>
      </c>
      <c r="H19" s="574">
        <f t="shared" si="1"/>
        <v>-57161384</v>
      </c>
      <c r="I19" s="574">
        <f t="shared" si="1"/>
        <v>-57161384</v>
      </c>
      <c r="J19" s="574">
        <f t="shared" si="1"/>
        <v>-57247566</v>
      </c>
      <c r="K19" s="574">
        <f t="shared" si="1"/>
        <v>-57247566</v>
      </c>
      <c r="L19" s="574">
        <f t="shared" si="1"/>
        <v>-57247566</v>
      </c>
      <c r="M19" s="574">
        <f t="shared" si="1"/>
        <v>-55872944</v>
      </c>
      <c r="N19" s="574">
        <f t="shared" si="1"/>
        <v>-55900918.269999996</v>
      </c>
      <c r="O19" s="574">
        <f t="shared" si="1"/>
        <v>-55928892.539999999</v>
      </c>
      <c r="P19" s="545">
        <f t="shared" si="1"/>
        <v>-55792618</v>
      </c>
      <c r="Q19" s="545">
        <f>(SUM(D19:P19))/13</f>
        <v>-56487454.362779111</v>
      </c>
      <c r="R19" s="609"/>
    </row>
    <row r="20" spans="1:18" ht="14.25" customHeight="1">
      <c r="A20" s="854">
        <f t="shared" si="0"/>
        <v>8</v>
      </c>
      <c r="B20" s="1070"/>
      <c r="C20" s="88"/>
      <c r="D20" s="77"/>
      <c r="E20" s="77"/>
      <c r="F20" s="77"/>
      <c r="G20" s="77"/>
      <c r="H20" s="77"/>
      <c r="I20" s="74"/>
      <c r="J20" s="74"/>
      <c r="K20" s="74"/>
      <c r="L20" s="429"/>
      <c r="M20" s="429"/>
      <c r="N20" s="429"/>
      <c r="O20" s="429"/>
    </row>
    <row r="21" spans="1:18" ht="15.75">
      <c r="A21" s="854">
        <f t="shared" si="0"/>
        <v>9</v>
      </c>
      <c r="B21" s="920" t="s">
        <v>214</v>
      </c>
      <c r="D21" s="74"/>
      <c r="E21" s="74"/>
      <c r="F21" s="74"/>
      <c r="G21" s="74"/>
      <c r="I21" s="74"/>
      <c r="J21" s="74"/>
      <c r="K21" s="74"/>
      <c r="L21" s="429"/>
      <c r="M21" s="429"/>
      <c r="N21" s="429"/>
      <c r="O21" s="429"/>
    </row>
    <row r="22" spans="1:18">
      <c r="A22" s="854">
        <f t="shared" si="0"/>
        <v>10</v>
      </c>
      <c r="C22" s="619" t="s">
        <v>673</v>
      </c>
      <c r="D22" s="1069">
        <v>504522022</v>
      </c>
      <c r="E22" s="1069">
        <v>504522022</v>
      </c>
      <c r="F22" s="1069">
        <v>504522022</v>
      </c>
      <c r="G22" s="1069">
        <v>440605947</v>
      </c>
      <c r="H22" s="1069">
        <v>440605947</v>
      </c>
      <c r="I22" s="1069">
        <v>440605947</v>
      </c>
      <c r="J22" s="1069">
        <v>437021385</v>
      </c>
      <c r="K22" s="1069">
        <v>437021385</v>
      </c>
      <c r="L22" s="1069">
        <v>437021385</v>
      </c>
      <c r="M22" s="1069">
        <v>612008567</v>
      </c>
      <c r="N22" s="1069">
        <v>612008567</v>
      </c>
      <c r="O22" s="1069">
        <v>612008567</v>
      </c>
      <c r="P22" s="1069">
        <v>644283058</v>
      </c>
      <c r="Q22" s="553">
        <f>(SUM(D22:P22))/13</f>
        <v>509750524.69230771</v>
      </c>
      <c r="R22" s="670"/>
    </row>
    <row r="23" spans="1:18">
      <c r="A23" s="854">
        <f t="shared" si="0"/>
        <v>11</v>
      </c>
      <c r="D23" s="607"/>
      <c r="E23" s="607"/>
      <c r="F23" s="607"/>
      <c r="G23" s="607"/>
      <c r="H23" s="607"/>
      <c r="I23" s="607"/>
      <c r="J23" s="607"/>
      <c r="K23" s="607"/>
      <c r="L23" s="607"/>
      <c r="M23" s="607"/>
      <c r="N23" s="607"/>
      <c r="O23" s="607"/>
      <c r="P23" s="607"/>
      <c r="Q23" s="170"/>
    </row>
    <row r="24" spans="1:18">
      <c r="A24" s="854">
        <f t="shared" si="0"/>
        <v>12</v>
      </c>
      <c r="C24" s="619" t="s">
        <v>674</v>
      </c>
      <c r="D24" s="607">
        <v>-17021092</v>
      </c>
      <c r="E24" s="607">
        <v>-17021092</v>
      </c>
      <c r="F24" s="607">
        <v>-17021092</v>
      </c>
      <c r="G24" s="607">
        <v>-17345030</v>
      </c>
      <c r="H24" s="607">
        <v>-17345030</v>
      </c>
      <c r="I24" s="607">
        <v>-17345030</v>
      </c>
      <c r="J24" s="607">
        <v>-17761671</v>
      </c>
      <c r="K24" s="607">
        <v>-17761671</v>
      </c>
      <c r="L24" s="607">
        <v>-17761671</v>
      </c>
      <c r="M24" s="607">
        <v>-1919966</v>
      </c>
      <c r="N24" s="607">
        <v>-1919966</v>
      </c>
      <c r="O24" s="607">
        <v>-1919966</v>
      </c>
      <c r="P24" s="607">
        <v>-19248322</v>
      </c>
      <c r="Q24" s="609">
        <f>(SUM(D24:P24))/13</f>
        <v>-13953199.923076924</v>
      </c>
    </row>
    <row r="25" spans="1:18" ht="14.25" customHeight="1">
      <c r="A25" s="854">
        <f t="shared" si="0"/>
        <v>13</v>
      </c>
      <c r="B25" s="1070"/>
      <c r="C25" s="88"/>
      <c r="D25" s="608"/>
      <c r="E25" s="608"/>
      <c r="F25" s="608"/>
      <c r="G25" s="608"/>
      <c r="H25" s="608"/>
      <c r="I25" s="608"/>
      <c r="J25" s="608"/>
      <c r="K25" s="608"/>
      <c r="L25" s="608"/>
      <c r="M25" s="608"/>
      <c r="N25" s="608"/>
      <c r="O25" s="608"/>
      <c r="P25" s="608"/>
      <c r="Q25" s="609"/>
    </row>
    <row r="26" spans="1:18">
      <c r="A26" s="854">
        <f t="shared" si="0"/>
        <v>14</v>
      </c>
      <c r="C26" s="619" t="s">
        <v>675</v>
      </c>
      <c r="D26" s="607">
        <v>31202176.240345001</v>
      </c>
      <c r="E26" s="607">
        <v>24068825.590345003</v>
      </c>
      <c r="F26" s="607">
        <v>21481062.100345004</v>
      </c>
      <c r="G26" s="607">
        <v>25953641.740345001</v>
      </c>
      <c r="H26" s="607">
        <v>21574355.060219627</v>
      </c>
      <c r="I26" s="607">
        <v>22808807.777322352</v>
      </c>
      <c r="J26" s="607">
        <v>24564903.601925977</v>
      </c>
      <c r="K26" s="607">
        <v>21747286.334821396</v>
      </c>
      <c r="L26" s="607">
        <v>23638268.846043523</v>
      </c>
      <c r="M26" s="607">
        <v>18456953.952007048</v>
      </c>
      <c r="N26" s="607">
        <v>14877209.302685468</v>
      </c>
      <c r="O26" s="607">
        <v>18087871.04258379</v>
      </c>
      <c r="P26" s="607">
        <v>25526700.891761616</v>
      </c>
      <c r="Q26" s="609">
        <f>(SUM(D26:P26))/13</f>
        <v>22614466.344673138</v>
      </c>
    </row>
    <row r="27" spans="1:18" ht="14.25" customHeight="1">
      <c r="A27" s="854">
        <f t="shared" si="0"/>
        <v>15</v>
      </c>
      <c r="B27" s="1070"/>
      <c r="C27" s="88"/>
      <c r="D27" s="77"/>
      <c r="E27" s="77"/>
      <c r="F27" s="77"/>
      <c r="G27" s="77"/>
      <c r="H27" s="77"/>
      <c r="I27" s="74"/>
      <c r="J27" s="74"/>
      <c r="K27" s="74"/>
      <c r="L27" s="429"/>
      <c r="M27" s="429"/>
      <c r="N27" s="429"/>
      <c r="O27" s="429"/>
    </row>
    <row r="28" spans="1:18">
      <c r="A28" s="854">
        <f t="shared" si="0"/>
        <v>16</v>
      </c>
      <c r="C28" s="857" t="s">
        <v>68</v>
      </c>
      <c r="D28" s="574">
        <f t="shared" ref="D28:P28" si="2">SUM(D22:D26)</f>
        <v>518703106.240345</v>
      </c>
      <c r="E28" s="574">
        <f t="shared" si="2"/>
        <v>511569755.59034503</v>
      </c>
      <c r="F28" s="574">
        <f t="shared" si="2"/>
        <v>508981992.10034502</v>
      </c>
      <c r="G28" s="574">
        <f t="shared" si="2"/>
        <v>449214558.740345</v>
      </c>
      <c r="H28" s="574">
        <f t="shared" si="2"/>
        <v>444835272.06021965</v>
      </c>
      <c r="I28" s="574">
        <f t="shared" si="2"/>
        <v>446069724.77732235</v>
      </c>
      <c r="J28" s="574">
        <f t="shared" si="2"/>
        <v>443824617.60192597</v>
      </c>
      <c r="K28" s="574">
        <f t="shared" si="2"/>
        <v>441007000.3348214</v>
      </c>
      <c r="L28" s="574">
        <f t="shared" si="2"/>
        <v>442897982.84604353</v>
      </c>
      <c r="M28" s="574">
        <f t="shared" si="2"/>
        <v>628545554.95200706</v>
      </c>
      <c r="N28" s="574">
        <f t="shared" si="2"/>
        <v>624965810.3026855</v>
      </c>
      <c r="O28" s="574">
        <f t="shared" si="2"/>
        <v>628176472.04258382</v>
      </c>
      <c r="P28" s="545">
        <f t="shared" si="2"/>
        <v>650561436.89176166</v>
      </c>
      <c r="Q28" s="545">
        <f>(SUM(D28:P28))/13</f>
        <v>518411791.11390394</v>
      </c>
      <c r="R28" s="609"/>
    </row>
    <row r="29" spans="1:18" ht="15.75">
      <c r="A29" s="854">
        <f t="shared" si="0"/>
        <v>17</v>
      </c>
      <c r="B29" s="920" t="s">
        <v>1116</v>
      </c>
      <c r="C29" s="857"/>
      <c r="D29" s="374"/>
      <c r="E29" s="374"/>
      <c r="F29" s="374"/>
      <c r="G29" s="76"/>
      <c r="H29" s="76"/>
      <c r="I29" s="76"/>
      <c r="J29" s="76"/>
      <c r="K29" s="76"/>
      <c r="L29" s="429"/>
      <c r="M29" s="429"/>
      <c r="N29" s="429"/>
      <c r="O29" s="429"/>
    </row>
    <row r="30" spans="1:18">
      <c r="A30" s="854">
        <f t="shared" si="0"/>
        <v>18</v>
      </c>
      <c r="C30" s="619" t="s">
        <v>673</v>
      </c>
      <c r="D30" s="1069">
        <v>6868</v>
      </c>
      <c r="E30" s="1069">
        <v>6868</v>
      </c>
      <c r="F30" s="1069">
        <v>6868</v>
      </c>
      <c r="G30" s="1069">
        <v>10129</v>
      </c>
      <c r="H30" s="1069">
        <v>10129</v>
      </c>
      <c r="I30" s="1069">
        <v>10129</v>
      </c>
      <c r="J30" s="1069">
        <v>68526</v>
      </c>
      <c r="K30" s="1069">
        <v>68526</v>
      </c>
      <c r="L30" s="1069">
        <v>68526</v>
      </c>
      <c r="M30" s="1069">
        <v>198</v>
      </c>
      <c r="N30" s="1069">
        <v>198</v>
      </c>
      <c r="O30" s="1069">
        <v>198</v>
      </c>
      <c r="P30" s="1069">
        <v>18620</v>
      </c>
      <c r="Q30" s="553">
        <f>(SUM(D30:P30))/13</f>
        <v>21214.076923076922</v>
      </c>
    </row>
    <row r="31" spans="1:18">
      <c r="A31" s="854">
        <f t="shared" si="0"/>
        <v>19</v>
      </c>
      <c r="D31" s="607"/>
      <c r="E31" s="607"/>
      <c r="F31" s="607"/>
      <c r="G31" s="607"/>
      <c r="H31" s="607"/>
      <c r="I31" s="607"/>
      <c r="J31" s="607"/>
      <c r="K31" s="607"/>
      <c r="L31" s="607"/>
      <c r="M31" s="607"/>
      <c r="N31" s="607"/>
      <c r="O31" s="607"/>
      <c r="P31" s="607"/>
      <c r="Q31" s="170"/>
    </row>
    <row r="32" spans="1:18">
      <c r="A32" s="854">
        <f t="shared" si="0"/>
        <v>20</v>
      </c>
      <c r="C32" s="619" t="s">
        <v>674</v>
      </c>
      <c r="D32" s="607">
        <v>-17234236</v>
      </c>
      <c r="E32" s="607">
        <v>-17234236</v>
      </c>
      <c r="F32" s="607">
        <v>-17234236</v>
      </c>
      <c r="G32" s="607">
        <v>-16885721</v>
      </c>
      <c r="H32" s="607">
        <v>-16885721</v>
      </c>
      <c r="I32" s="607">
        <v>-16885721</v>
      </c>
      <c r="J32" s="607">
        <v>-16728471</v>
      </c>
      <c r="K32" s="607">
        <v>-16728471</v>
      </c>
      <c r="L32" s="607">
        <v>-16728471</v>
      </c>
      <c r="M32" s="607">
        <v>-16828827</v>
      </c>
      <c r="N32" s="607">
        <v>-16828827</v>
      </c>
      <c r="O32" s="607">
        <v>-16828827</v>
      </c>
      <c r="P32" s="607">
        <v>-17001478</v>
      </c>
      <c r="Q32" s="609">
        <f>(SUM(D32:P32))/13</f>
        <v>-16925634.076923076</v>
      </c>
    </row>
    <row r="33" spans="1:18">
      <c r="A33" s="854">
        <f t="shared" si="0"/>
        <v>21</v>
      </c>
      <c r="B33" s="1070"/>
      <c r="C33" s="88"/>
      <c r="D33" s="608"/>
      <c r="E33" s="608"/>
      <c r="F33" s="608"/>
      <c r="G33" s="608"/>
      <c r="H33" s="608"/>
      <c r="I33" s="608"/>
      <c r="J33" s="608"/>
      <c r="K33" s="608"/>
      <c r="L33" s="608"/>
      <c r="M33" s="608"/>
      <c r="N33" s="608"/>
      <c r="O33" s="608"/>
      <c r="P33" s="608"/>
      <c r="Q33" s="170"/>
    </row>
    <row r="34" spans="1:18">
      <c r="A34" s="854">
        <f t="shared" si="0"/>
        <v>22</v>
      </c>
      <c r="C34" s="619" t="s">
        <v>675</v>
      </c>
      <c r="D34" s="607">
        <v>0</v>
      </c>
      <c r="E34" s="607">
        <v>0</v>
      </c>
      <c r="F34" s="607">
        <v>0</v>
      </c>
      <c r="G34" s="607">
        <v>0</v>
      </c>
      <c r="H34" s="607">
        <v>0</v>
      </c>
      <c r="I34" s="607">
        <v>0</v>
      </c>
      <c r="J34" s="607">
        <v>0</v>
      </c>
      <c r="K34" s="607">
        <v>0</v>
      </c>
      <c r="L34" s="607">
        <v>0</v>
      </c>
      <c r="M34" s="607">
        <v>0</v>
      </c>
      <c r="N34" s="607">
        <v>0</v>
      </c>
      <c r="O34" s="607">
        <v>0</v>
      </c>
      <c r="P34" s="607">
        <v>0</v>
      </c>
      <c r="Q34" s="609">
        <f>(SUM(D34:P34))/13</f>
        <v>0</v>
      </c>
    </row>
    <row r="35" spans="1:18">
      <c r="A35" s="854">
        <f t="shared" si="0"/>
        <v>23</v>
      </c>
      <c r="B35" s="1070"/>
      <c r="C35" s="88"/>
      <c r="D35" s="77"/>
      <c r="E35" s="77"/>
      <c r="F35" s="77"/>
      <c r="G35" s="77"/>
      <c r="H35" s="77"/>
      <c r="I35" s="74"/>
      <c r="J35" s="74"/>
      <c r="K35" s="74"/>
      <c r="L35" s="429"/>
      <c r="M35" s="429"/>
      <c r="N35" s="429"/>
      <c r="O35" s="429"/>
    </row>
    <row r="36" spans="1:18">
      <c r="A36" s="854">
        <f t="shared" si="0"/>
        <v>24</v>
      </c>
      <c r="C36" s="857" t="s">
        <v>718</v>
      </c>
      <c r="D36" s="574">
        <f t="shared" ref="D36:P36" si="3">SUM(D30:D34)</f>
        <v>-17227368</v>
      </c>
      <c r="E36" s="574">
        <f t="shared" si="3"/>
        <v>-17227368</v>
      </c>
      <c r="F36" s="574">
        <f t="shared" si="3"/>
        <v>-17227368</v>
      </c>
      <c r="G36" s="574">
        <f t="shared" si="3"/>
        <v>-16875592</v>
      </c>
      <c r="H36" s="574">
        <f t="shared" si="3"/>
        <v>-16875592</v>
      </c>
      <c r="I36" s="574">
        <f t="shared" si="3"/>
        <v>-16875592</v>
      </c>
      <c r="J36" s="574">
        <f t="shared" si="3"/>
        <v>-16659945</v>
      </c>
      <c r="K36" s="574">
        <f>SUM(K30:K34)</f>
        <v>-16659945</v>
      </c>
      <c r="L36" s="574">
        <f t="shared" si="3"/>
        <v>-16659945</v>
      </c>
      <c r="M36" s="574">
        <f t="shared" si="3"/>
        <v>-16828629</v>
      </c>
      <c r="N36" s="574">
        <f t="shared" si="3"/>
        <v>-16828629</v>
      </c>
      <c r="O36" s="574">
        <f t="shared" si="3"/>
        <v>-16828629</v>
      </c>
      <c r="P36" s="545">
        <f t="shared" si="3"/>
        <v>-16982858</v>
      </c>
      <c r="Q36" s="545">
        <f>(SUM(D36:P36))/13</f>
        <v>-16904420</v>
      </c>
      <c r="R36" s="609"/>
    </row>
    <row r="37" spans="1:18">
      <c r="A37" s="854">
        <f t="shared" si="0"/>
        <v>25</v>
      </c>
      <c r="C37" s="857"/>
      <c r="D37" s="77"/>
      <c r="E37" s="77"/>
      <c r="F37" s="77"/>
      <c r="G37" s="74"/>
      <c r="I37" s="74"/>
      <c r="J37" s="74"/>
      <c r="K37" s="74"/>
      <c r="L37" s="429"/>
      <c r="M37" s="429"/>
      <c r="N37" s="429"/>
      <c r="O37" s="429"/>
    </row>
    <row r="38" spans="1:18" ht="15.75">
      <c r="A38" s="854">
        <f t="shared" si="0"/>
        <v>26</v>
      </c>
      <c r="B38" s="920" t="s">
        <v>676</v>
      </c>
      <c r="D38" s="74"/>
      <c r="E38" s="74"/>
      <c r="F38" s="74"/>
      <c r="G38" s="74"/>
      <c r="I38" s="74"/>
      <c r="J38" s="74"/>
      <c r="K38" s="74"/>
      <c r="L38" s="429"/>
      <c r="M38" s="429"/>
      <c r="N38" s="429"/>
      <c r="O38" s="429"/>
    </row>
    <row r="39" spans="1:18">
      <c r="A39" s="854">
        <f t="shared" si="0"/>
        <v>27</v>
      </c>
      <c r="C39" s="619" t="s">
        <v>673</v>
      </c>
      <c r="D39" s="1069">
        <v>970543</v>
      </c>
      <c r="E39" s="1069">
        <v>970543</v>
      </c>
      <c r="F39" s="1069">
        <v>970543</v>
      </c>
      <c r="G39" s="1069">
        <v>2022414</v>
      </c>
      <c r="H39" s="1069">
        <v>2022414</v>
      </c>
      <c r="I39" s="1069">
        <v>2022414</v>
      </c>
      <c r="J39" s="1069">
        <v>1746795</v>
      </c>
      <c r="K39" s="1069">
        <v>1746795</v>
      </c>
      <c r="L39" s="1069">
        <v>1746795</v>
      </c>
      <c r="M39" s="1069">
        <v>1359735</v>
      </c>
      <c r="N39" s="1069">
        <v>1359735</v>
      </c>
      <c r="O39" s="1069">
        <v>1359735</v>
      </c>
      <c r="P39" s="1069">
        <v>1294590</v>
      </c>
      <c r="Q39" s="553">
        <f>(SUM(D39:P39))/13</f>
        <v>1507157.7692307692</v>
      </c>
    </row>
    <row r="40" spans="1:18">
      <c r="A40" s="854">
        <f t="shared" si="0"/>
        <v>28</v>
      </c>
      <c r="D40" s="607"/>
      <c r="E40" s="607"/>
      <c r="F40" s="607"/>
      <c r="G40" s="607"/>
      <c r="H40" s="607"/>
      <c r="I40" s="607"/>
      <c r="J40" s="607"/>
      <c r="K40" s="607"/>
      <c r="L40" s="607"/>
      <c r="M40" s="607"/>
      <c r="N40" s="607"/>
      <c r="O40" s="607"/>
      <c r="P40" s="607"/>
      <c r="Q40" s="170"/>
    </row>
    <row r="41" spans="1:18">
      <c r="A41" s="854">
        <f t="shared" si="0"/>
        <v>29</v>
      </c>
      <c r="C41" s="619" t="s">
        <v>674</v>
      </c>
      <c r="D41" s="607">
        <v>-4082724</v>
      </c>
      <c r="E41" s="607">
        <v>-4082724</v>
      </c>
      <c r="F41" s="607">
        <v>-4082724</v>
      </c>
      <c r="G41" s="607">
        <v>-727963</v>
      </c>
      <c r="H41" s="607">
        <v>-727963</v>
      </c>
      <c r="I41" s="607">
        <v>-727963</v>
      </c>
      <c r="J41" s="607">
        <v>-719976</v>
      </c>
      <c r="K41" s="607">
        <v>-719976</v>
      </c>
      <c r="L41" s="607">
        <v>-719976</v>
      </c>
      <c r="M41" s="607">
        <v>-964541</v>
      </c>
      <c r="N41" s="607">
        <v>-964541</v>
      </c>
      <c r="O41" s="607">
        <v>-964541</v>
      </c>
      <c r="P41" s="607">
        <v>-1066727</v>
      </c>
      <c r="Q41" s="609">
        <f>(SUM(D41:P41))/13</f>
        <v>-1580949.1538461538</v>
      </c>
    </row>
    <row r="42" spans="1:18">
      <c r="A42" s="854">
        <f t="shared" si="0"/>
        <v>30</v>
      </c>
      <c r="B42" s="854"/>
      <c r="C42" s="88"/>
      <c r="D42" s="608"/>
      <c r="E42" s="608"/>
      <c r="F42" s="608"/>
      <c r="G42" s="608"/>
      <c r="H42" s="608"/>
      <c r="I42" s="608"/>
      <c r="J42" s="608"/>
      <c r="K42" s="608"/>
      <c r="L42" s="608"/>
      <c r="M42" s="608"/>
      <c r="N42" s="608"/>
      <c r="O42" s="608"/>
      <c r="P42" s="608"/>
      <c r="Q42" s="170"/>
    </row>
    <row r="43" spans="1:18">
      <c r="A43" s="854">
        <f t="shared" si="0"/>
        <v>31</v>
      </c>
      <c r="C43" s="619" t="s">
        <v>675</v>
      </c>
      <c r="D43" s="607">
        <v>-894648</v>
      </c>
      <c r="E43" s="607">
        <v>-894648</v>
      </c>
      <c r="F43" s="607">
        <v>-894648</v>
      </c>
      <c r="G43" s="607">
        <v>-847457</v>
      </c>
      <c r="H43" s="607">
        <v>-847457</v>
      </c>
      <c r="I43" s="607">
        <v>-847457</v>
      </c>
      <c r="J43" s="607">
        <v>-886040</v>
      </c>
      <c r="K43" s="607">
        <v>-886040</v>
      </c>
      <c r="L43" s="607">
        <v>-886040</v>
      </c>
      <c r="M43" s="607">
        <v>-973218</v>
      </c>
      <c r="N43" s="607">
        <v>-973218</v>
      </c>
      <c r="O43" s="607">
        <v>-973218</v>
      </c>
      <c r="P43" s="607">
        <v>-978139</v>
      </c>
      <c r="Q43" s="609">
        <f>(SUM(D43:P43))/13</f>
        <v>-906325.23076923075</v>
      </c>
    </row>
    <row r="44" spans="1:18">
      <c r="A44" s="854">
        <f t="shared" si="0"/>
        <v>32</v>
      </c>
      <c r="C44" s="88"/>
      <c r="D44" s="607"/>
      <c r="E44" s="607"/>
      <c r="F44" s="607"/>
      <c r="G44" s="607"/>
      <c r="H44" s="607"/>
      <c r="I44" s="607"/>
      <c r="J44" s="607"/>
      <c r="K44" s="607"/>
      <c r="L44" s="607"/>
      <c r="M44" s="607"/>
      <c r="N44" s="607"/>
      <c r="O44" s="607"/>
      <c r="P44" s="607"/>
      <c r="Q44" s="170"/>
    </row>
    <row r="45" spans="1:18">
      <c r="A45" s="854">
        <f t="shared" si="0"/>
        <v>33</v>
      </c>
      <c r="C45" s="619" t="s">
        <v>439</v>
      </c>
      <c r="D45" s="607">
        <v>0</v>
      </c>
      <c r="E45" s="607">
        <v>0</v>
      </c>
      <c r="F45" s="607">
        <v>0</v>
      </c>
      <c r="G45" s="607">
        <v>0</v>
      </c>
      <c r="H45" s="607">
        <v>0</v>
      </c>
      <c r="I45" s="607">
        <v>0</v>
      </c>
      <c r="J45" s="607">
        <v>0</v>
      </c>
      <c r="K45" s="607">
        <v>0</v>
      </c>
      <c r="L45" s="607">
        <v>0</v>
      </c>
      <c r="M45" s="607">
        <v>0</v>
      </c>
      <c r="N45" s="607">
        <v>0</v>
      </c>
      <c r="O45" s="607">
        <v>0</v>
      </c>
      <c r="P45" s="607">
        <v>0</v>
      </c>
      <c r="Q45" s="609">
        <f>(SUM(D45:P45))/13</f>
        <v>0</v>
      </c>
    </row>
    <row r="46" spans="1:18">
      <c r="A46" s="854">
        <f t="shared" si="0"/>
        <v>34</v>
      </c>
      <c r="B46" s="1070"/>
      <c r="C46" s="88"/>
      <c r="D46" s="77"/>
      <c r="E46" s="77"/>
      <c r="F46" s="77"/>
      <c r="G46" s="77"/>
      <c r="H46" s="77"/>
      <c r="I46" s="74"/>
      <c r="J46" s="74"/>
      <c r="K46" s="74"/>
      <c r="L46" s="376"/>
      <c r="M46" s="429"/>
      <c r="N46" s="429"/>
      <c r="O46" s="429"/>
      <c r="P46" s="429"/>
    </row>
    <row r="47" spans="1:18">
      <c r="A47" s="854">
        <f t="shared" si="0"/>
        <v>35</v>
      </c>
      <c r="C47" s="857" t="s">
        <v>438</v>
      </c>
      <c r="D47" s="574">
        <f>SUM(D39:D46)</f>
        <v>-4006829</v>
      </c>
      <c r="E47" s="574">
        <f t="shared" ref="E47:P47" si="4">SUM(E39:E46)</f>
        <v>-4006829</v>
      </c>
      <c r="F47" s="574">
        <f t="shared" si="4"/>
        <v>-4006829</v>
      </c>
      <c r="G47" s="574">
        <f t="shared" si="4"/>
        <v>446994</v>
      </c>
      <c r="H47" s="574">
        <f t="shared" si="4"/>
        <v>446994</v>
      </c>
      <c r="I47" s="574">
        <f t="shared" si="4"/>
        <v>446994</v>
      </c>
      <c r="J47" s="574">
        <f t="shared" si="4"/>
        <v>140779</v>
      </c>
      <c r="K47" s="574">
        <f t="shared" si="4"/>
        <v>140779</v>
      </c>
      <c r="L47" s="574">
        <f t="shared" si="4"/>
        <v>140779</v>
      </c>
      <c r="M47" s="574">
        <f t="shared" si="4"/>
        <v>-578024</v>
      </c>
      <c r="N47" s="574">
        <f t="shared" si="4"/>
        <v>-578024</v>
      </c>
      <c r="O47" s="574">
        <f t="shared" si="4"/>
        <v>-578024</v>
      </c>
      <c r="P47" s="574">
        <f t="shared" si="4"/>
        <v>-750276</v>
      </c>
      <c r="Q47" s="545">
        <f>(SUM(D47:P47))/13</f>
        <v>-980116.61538461538</v>
      </c>
      <c r="R47" s="609"/>
    </row>
    <row r="48" spans="1:18">
      <c r="A48" s="854">
        <f t="shared" si="0"/>
        <v>36</v>
      </c>
      <c r="D48" s="74"/>
      <c r="E48" s="74"/>
      <c r="F48" s="74"/>
      <c r="G48" s="74"/>
      <c r="I48" s="74"/>
      <c r="J48" s="74"/>
      <c r="K48" s="74"/>
      <c r="L48" s="74"/>
      <c r="P48" s="429"/>
    </row>
    <row r="49" spans="1:17" ht="15.75" thickBot="1">
      <c r="A49" s="854">
        <f t="shared" si="0"/>
        <v>37</v>
      </c>
      <c r="B49" s="74"/>
      <c r="C49" s="81" t="s">
        <v>96</v>
      </c>
      <c r="D49" s="329">
        <f>D47+D36+D28+D19</f>
        <v>441597347.93830216</v>
      </c>
      <c r="E49" s="329">
        <f t="shared" ref="E49:P49" si="5">E47+E36+E28+E19</f>
        <v>434463997.28830218</v>
      </c>
      <c r="F49" s="329">
        <f t="shared" si="5"/>
        <v>431876233.79830217</v>
      </c>
      <c r="G49" s="329">
        <f t="shared" si="5"/>
        <v>375624576.740345</v>
      </c>
      <c r="H49" s="329">
        <f t="shared" si="5"/>
        <v>371245290.06021965</v>
      </c>
      <c r="I49" s="329">
        <f t="shared" si="5"/>
        <v>372479742.77732235</v>
      </c>
      <c r="J49" s="329">
        <f t="shared" si="5"/>
        <v>370057885.60192597</v>
      </c>
      <c r="K49" s="329">
        <f t="shared" si="5"/>
        <v>367240268.3348214</v>
      </c>
      <c r="L49" s="329">
        <f t="shared" si="5"/>
        <v>369131250.84604353</v>
      </c>
      <c r="M49" s="329">
        <f t="shared" si="5"/>
        <v>555265957.95200706</v>
      </c>
      <c r="N49" s="329">
        <f t="shared" si="5"/>
        <v>551658239.03268552</v>
      </c>
      <c r="O49" s="329">
        <f t="shared" si="5"/>
        <v>554840926.50258386</v>
      </c>
      <c r="P49" s="329">
        <f t="shared" si="5"/>
        <v>577035684.89176166</v>
      </c>
      <c r="Q49" s="329">
        <f>(SUM(D49:P49))/13</f>
        <v>444039800.13574016</v>
      </c>
    </row>
    <row r="50" spans="1:17" ht="15.75" thickTop="1">
      <c r="A50" s="74"/>
      <c r="B50" s="74"/>
    </row>
    <row r="51" spans="1:17">
      <c r="A51" s="74"/>
      <c r="B51" s="74"/>
      <c r="C51" s="74" t="s">
        <v>684</v>
      </c>
    </row>
    <row r="52" spans="1:17">
      <c r="A52" s="74"/>
      <c r="B52" s="74"/>
      <c r="C52" s="74" t="s">
        <v>1675</v>
      </c>
    </row>
    <row r="53" spans="1:17">
      <c r="A53" s="74"/>
      <c r="B53" s="74"/>
    </row>
    <row r="54" spans="1:17">
      <c r="A54" s="74"/>
      <c r="B54" s="74"/>
    </row>
    <row r="55" spans="1:17">
      <c r="A55" s="74"/>
      <c r="B55" s="74"/>
    </row>
    <row r="56" spans="1:17">
      <c r="A56" s="74"/>
      <c r="B56" s="74"/>
    </row>
    <row r="57" spans="1:17">
      <c r="D57" s="670"/>
    </row>
    <row r="58" spans="1:17">
      <c r="D58" s="670"/>
    </row>
    <row r="59" spans="1:17">
      <c r="D59" s="670"/>
    </row>
    <row r="61" spans="1:17">
      <c r="H61" s="81"/>
    </row>
    <row r="62" spans="1:17">
      <c r="H62" s="81"/>
    </row>
    <row r="63" spans="1:17">
      <c r="H63" s="81"/>
    </row>
    <row r="64" spans="1:17">
      <c r="C64" s="103"/>
      <c r="H64" s="81"/>
    </row>
    <row r="65" spans="3:16">
      <c r="C65" s="170"/>
      <c r="H65" s="81"/>
    </row>
    <row r="66" spans="3:16">
      <c r="H66" s="81"/>
    </row>
    <row r="69" spans="3:16">
      <c r="H69" s="81"/>
    </row>
    <row r="70" spans="3:16">
      <c r="H70" s="81"/>
    </row>
    <row r="71" spans="3:16">
      <c r="H71" s="81"/>
    </row>
    <row r="72" spans="3:16">
      <c r="C72" s="103"/>
      <c r="H72" s="81"/>
    </row>
    <row r="74" spans="3:16">
      <c r="H74" s="81"/>
      <c r="K74" s="103"/>
      <c r="L74" s="103"/>
      <c r="M74" s="103"/>
      <c r="N74" s="103"/>
      <c r="O74" s="103"/>
      <c r="P74" s="103"/>
    </row>
    <row r="78" spans="3:16">
      <c r="K78" s="670"/>
    </row>
  </sheetData>
  <mergeCells count="3">
    <mergeCell ref="A1:Q1"/>
    <mergeCell ref="A2:Q2"/>
    <mergeCell ref="A3:Q3"/>
  </mergeCells>
  <phoneticPr fontId="23" type="noConversion"/>
  <printOptions horizontalCentered="1"/>
  <pageMargins left="0.33" right="0.33" top="0.93" bottom="1" header="0.5" footer="0.5"/>
  <pageSetup scale="42" orientation="landscape" verticalDpi="300" r:id="rId1"/>
  <headerFooter alignWithMargins="0">
    <oddFooter>&amp;R&amp;A
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R74"/>
  <sheetViews>
    <sheetView view="pageBreakPreview" zoomScale="70" zoomScaleNormal="70" zoomScaleSheetLayoutView="70" workbookViewId="0">
      <pane xSplit="3" ySplit="11" topLeftCell="D12" activePane="bottomRight" state="frozen"/>
      <selection activeCell="I17" sqref="I17"/>
      <selection pane="topRight" activeCell="I17" sqref="I17"/>
      <selection pane="bottomLeft" activeCell="I17" sqref="I17"/>
      <selection pane="bottomRight" activeCell="G18" sqref="G18"/>
    </sheetView>
  </sheetViews>
  <sheetFormatPr defaultColWidth="8.44140625" defaultRowHeight="15"/>
  <cols>
    <col min="1" max="1" width="5" style="81" customWidth="1"/>
    <col min="2" max="2" width="5.6640625" style="81" customWidth="1"/>
    <col min="3" max="3" width="49.33203125" style="81" bestFit="1" customWidth="1"/>
    <col min="4" max="5" width="14.77734375" style="81" bestFit="1" customWidth="1"/>
    <col min="6" max="6" width="14.33203125" style="81" bestFit="1" customWidth="1"/>
    <col min="7" max="7" width="14.77734375" style="81" bestFit="1" customWidth="1"/>
    <col min="8" max="8" width="14.77734375" style="74" bestFit="1" customWidth="1"/>
    <col min="9" max="9" width="14.88671875" style="81" bestFit="1" customWidth="1"/>
    <col min="10" max="11" width="14.77734375" style="81" bestFit="1" customWidth="1"/>
    <col min="12" max="15" width="14.88671875" style="81" bestFit="1" customWidth="1"/>
    <col min="16" max="17" width="14.77734375" style="81" bestFit="1" customWidth="1"/>
    <col min="18" max="18" width="9.33203125" style="81" bestFit="1" customWidth="1"/>
    <col min="19" max="16384" width="8.44140625" style="81"/>
  </cols>
  <sheetData>
    <row r="1" spans="1:17">
      <c r="A1" s="1193" t="str">
        <f>Allocation!A1</f>
        <v>Atmos Energy Corporation, Kentucky/Mid-States Division</v>
      </c>
      <c r="B1" s="1193"/>
      <c r="C1" s="1193"/>
      <c r="D1" s="1193"/>
      <c r="E1" s="1193"/>
      <c r="F1" s="1193"/>
      <c r="G1" s="1193"/>
      <c r="H1" s="1193"/>
      <c r="I1" s="1193"/>
      <c r="J1" s="1193"/>
      <c r="K1" s="1193"/>
      <c r="L1" s="1193"/>
      <c r="M1" s="1193"/>
      <c r="N1" s="1193"/>
      <c r="O1" s="1193"/>
      <c r="P1" s="1193"/>
      <c r="Q1" s="1193"/>
    </row>
    <row r="2" spans="1:17">
      <c r="A2" s="1193" t="str">
        <f>Allocation!A2</f>
        <v>Kentucky Jurisdiction Case No. 2018-00281</v>
      </c>
      <c r="B2" s="1193"/>
      <c r="C2" s="1193"/>
      <c r="D2" s="1193"/>
      <c r="E2" s="1193"/>
      <c r="F2" s="1193"/>
      <c r="G2" s="1193"/>
      <c r="H2" s="1193"/>
      <c r="I2" s="1193"/>
      <c r="J2" s="1193"/>
      <c r="K2" s="1193"/>
      <c r="L2" s="1193"/>
      <c r="M2" s="1193"/>
      <c r="N2" s="1193"/>
      <c r="O2" s="1193"/>
      <c r="P2" s="1193"/>
      <c r="Q2" s="1193"/>
    </row>
    <row r="3" spans="1:17">
      <c r="A3" s="1193" t="s">
        <v>510</v>
      </c>
      <c r="B3" s="1193"/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3"/>
      <c r="N3" s="1193"/>
      <c r="O3" s="1193"/>
      <c r="P3" s="1193"/>
      <c r="Q3" s="1193"/>
    </row>
    <row r="4" spans="1:17">
      <c r="A4" s="1193" t="str">
        <f>'WP B.4.1F'!A3:P3</f>
        <v>Forecasted Test Period: Twelve Months Ended March 31, 2020</v>
      </c>
      <c r="B4" s="1193"/>
      <c r="C4" s="1193"/>
      <c r="D4" s="1193"/>
      <c r="E4" s="1193"/>
      <c r="F4" s="1193"/>
      <c r="G4" s="1193"/>
      <c r="H4" s="1193"/>
      <c r="I4" s="1193"/>
      <c r="J4" s="1193"/>
      <c r="K4" s="1193"/>
      <c r="L4" s="1193"/>
      <c r="M4" s="1193"/>
      <c r="N4" s="1193"/>
      <c r="O4" s="1193"/>
      <c r="P4" s="1193"/>
      <c r="Q4" s="1193"/>
    </row>
    <row r="5" spans="1:17">
      <c r="A5" s="167"/>
      <c r="B5" s="150"/>
      <c r="C5" s="150"/>
      <c r="D5" s="150"/>
      <c r="E5" s="150"/>
      <c r="F5" s="150"/>
      <c r="G5" s="150"/>
      <c r="H5" s="370"/>
      <c r="I5" s="150"/>
      <c r="J5" s="150"/>
      <c r="K5" s="150"/>
    </row>
    <row r="6" spans="1:17">
      <c r="A6" s="1026" t="str">
        <f>'B.1 F '!A6</f>
        <v>Data:______Base Period__X___Forecasted Period</v>
      </c>
      <c r="B6" s="1026"/>
      <c r="C6" s="74"/>
      <c r="P6" s="81" t="s">
        <v>1421</v>
      </c>
    </row>
    <row r="7" spans="1:17">
      <c r="A7" s="1026" t="str">
        <f>'B.1 F '!A7</f>
        <v>Type of Filing:___X____Original________Updated ________Revised</v>
      </c>
      <c r="B7" s="74"/>
      <c r="C7" s="1026"/>
      <c r="P7" s="81" t="s">
        <v>1167</v>
      </c>
    </row>
    <row r="8" spans="1:17">
      <c r="A8" s="390" t="str">
        <f>'B.1 F '!A8</f>
        <v>Workpaper Reference No(s).</v>
      </c>
      <c r="B8" s="151"/>
      <c r="C8" s="151"/>
      <c r="D8" s="151"/>
      <c r="E8" s="151"/>
      <c r="F8" s="151"/>
      <c r="G8" s="82"/>
      <c r="H8" s="82"/>
      <c r="I8" s="151"/>
      <c r="J8" s="151"/>
      <c r="K8" s="82"/>
      <c r="L8" s="151"/>
      <c r="M8" s="82"/>
      <c r="N8" s="82"/>
      <c r="O8" s="82"/>
      <c r="P8" s="82"/>
      <c r="Q8" s="82"/>
    </row>
    <row r="9" spans="1:17">
      <c r="D9" s="856"/>
      <c r="E9" s="76"/>
      <c r="F9" s="854"/>
      <c r="G9" s="854"/>
      <c r="H9" s="75"/>
      <c r="I9" s="854"/>
      <c r="J9" s="76"/>
      <c r="K9" s="854"/>
    </row>
    <row r="10" spans="1:17">
      <c r="A10" s="854" t="s">
        <v>93</v>
      </c>
      <c r="B10" s="854" t="s">
        <v>94</v>
      </c>
      <c r="D10" s="853" t="s">
        <v>453</v>
      </c>
      <c r="E10" s="853" t="s">
        <v>453</v>
      </c>
      <c r="F10" s="853" t="s">
        <v>453</v>
      </c>
      <c r="G10" s="853" t="s">
        <v>453</v>
      </c>
      <c r="H10" s="853" t="s">
        <v>453</v>
      </c>
      <c r="I10" s="853" t="s">
        <v>1221</v>
      </c>
      <c r="J10" s="853" t="s">
        <v>1221</v>
      </c>
      <c r="K10" s="853" t="s">
        <v>1221</v>
      </c>
      <c r="L10" s="853" t="s">
        <v>1221</v>
      </c>
      <c r="M10" s="853" t="s">
        <v>1221</v>
      </c>
      <c r="N10" s="853" t="s">
        <v>1221</v>
      </c>
      <c r="O10" s="853" t="s">
        <v>1221</v>
      </c>
      <c r="P10" s="853" t="s">
        <v>1221</v>
      </c>
      <c r="Q10" s="955" t="s">
        <v>315</v>
      </c>
    </row>
    <row r="11" spans="1:17">
      <c r="A11" s="434" t="s">
        <v>99</v>
      </c>
      <c r="B11" s="434" t="s">
        <v>100</v>
      </c>
      <c r="C11" s="151"/>
      <c r="D11" s="612">
        <f>'WP B.4.1F'!C8</f>
        <v>43526</v>
      </c>
      <c r="E11" s="612">
        <f>'WP B.4.1F'!D8</f>
        <v>43556</v>
      </c>
      <c r="F11" s="612">
        <f>'WP B.4.1F'!E8</f>
        <v>43586</v>
      </c>
      <c r="G11" s="612">
        <f>'WP B.4.1F'!F8</f>
        <v>43617</v>
      </c>
      <c r="H11" s="612">
        <f>'WP B.4.1F'!G8</f>
        <v>43647</v>
      </c>
      <c r="I11" s="612">
        <f>'WP B.4.1F'!H8</f>
        <v>43678</v>
      </c>
      <c r="J11" s="612">
        <f>'WP B.4.1F'!I8</f>
        <v>43709</v>
      </c>
      <c r="K11" s="612">
        <f>'WP B.4.1F'!J8</f>
        <v>43739</v>
      </c>
      <c r="L11" s="612">
        <f>'WP B.4.1F'!K8</f>
        <v>43770</v>
      </c>
      <c r="M11" s="612">
        <f>'WP B.4.1F'!L8</f>
        <v>43800</v>
      </c>
      <c r="N11" s="612">
        <f>'WP B.4.1F'!M8</f>
        <v>43831</v>
      </c>
      <c r="O11" s="612">
        <f>'WP B.4.1F'!N8</f>
        <v>43862</v>
      </c>
      <c r="P11" s="612">
        <f>'WP B.4.1F'!O8</f>
        <v>43891</v>
      </c>
      <c r="Q11" s="520" t="s">
        <v>98</v>
      </c>
    </row>
    <row r="12" spans="1:17" ht="15.75">
      <c r="B12" s="920" t="s">
        <v>213</v>
      </c>
    </row>
    <row r="13" spans="1:17">
      <c r="A13" s="854">
        <v>1</v>
      </c>
      <c r="C13" s="619" t="s">
        <v>673</v>
      </c>
      <c r="D13" s="328">
        <v>8776484.680596035</v>
      </c>
      <c r="E13" s="328">
        <v>8749796.1801961288</v>
      </c>
      <c r="F13" s="328">
        <v>8725471.5184030719</v>
      </c>
      <c r="G13" s="328">
        <v>8703434.4423585758</v>
      </c>
      <c r="H13" s="328">
        <v>8683761.2049209308</v>
      </c>
      <c r="I13" s="328">
        <v>8666451.8060901351</v>
      </c>
      <c r="J13" s="328">
        <v>8651429.9930079021</v>
      </c>
      <c r="K13" s="328">
        <v>8638772.0185325164</v>
      </c>
      <c r="L13" s="328">
        <v>8628401.6298056953</v>
      </c>
      <c r="M13" s="328">
        <v>8620395.0796857234</v>
      </c>
      <c r="N13" s="328">
        <v>8614752.3681726009</v>
      </c>
      <c r="O13" s="328">
        <v>8611244.7366914693</v>
      </c>
      <c r="P13" s="328">
        <v>8610100.9438171871</v>
      </c>
      <c r="Q13" s="346">
        <v>8667730.5078675356</v>
      </c>
    </row>
    <row r="14" spans="1:17" ht="14.25" customHeight="1">
      <c r="A14" s="854">
        <f>A13+1</f>
        <v>2</v>
      </c>
      <c r="B14" s="1070"/>
      <c r="C14" s="88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429"/>
    </row>
    <row r="15" spans="1:17">
      <c r="A15" s="854">
        <f t="shared" ref="A15:A49" si="0">A14+1</f>
        <v>3</v>
      </c>
      <c r="C15" s="619" t="s">
        <v>674</v>
      </c>
      <c r="D15" s="376">
        <v>-82081168.145582482</v>
      </c>
      <c r="E15" s="376">
        <v>-82464468.652547091</v>
      </c>
      <c r="F15" s="376">
        <v>-82801658.033668086</v>
      </c>
      <c r="G15" s="376">
        <v>-83103565.423110873</v>
      </c>
      <c r="H15" s="376">
        <v>-83392420.91979605</v>
      </c>
      <c r="I15" s="376">
        <v>-83622352.833377659</v>
      </c>
      <c r="J15" s="376">
        <v>-83802023.01198858</v>
      </c>
      <c r="K15" s="376">
        <v>-84098341.779149994</v>
      </c>
      <c r="L15" s="376">
        <v>-84375882.291798368</v>
      </c>
      <c r="M15" s="376">
        <v>-84592543.33940962</v>
      </c>
      <c r="N15" s="376">
        <v>-84713182.912390664</v>
      </c>
      <c r="O15" s="376">
        <v>-84764417.495854124</v>
      </c>
      <c r="P15" s="376">
        <v>-84778101.508996785</v>
      </c>
      <c r="Q15" s="429">
        <v>-83737702.026743874</v>
      </c>
    </row>
    <row r="16" spans="1:17" ht="14.25" customHeight="1">
      <c r="A16" s="854">
        <f t="shared" si="0"/>
        <v>4</v>
      </c>
      <c r="B16" s="1070"/>
      <c r="C16" s="88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429"/>
    </row>
    <row r="17" spans="1:18">
      <c r="A17" s="854">
        <f t="shared" si="0"/>
        <v>5</v>
      </c>
      <c r="C17" s="619" t="s">
        <v>675</v>
      </c>
      <c r="D17" s="376">
        <v>-47285</v>
      </c>
      <c r="E17" s="376">
        <v>-47285</v>
      </c>
      <c r="F17" s="376">
        <v>-47285</v>
      </c>
      <c r="G17" s="376">
        <v>-47285</v>
      </c>
      <c r="H17" s="376">
        <v>-47285</v>
      </c>
      <c r="I17" s="376">
        <v>-47285</v>
      </c>
      <c r="J17" s="376">
        <v>-47285</v>
      </c>
      <c r="K17" s="376">
        <v>-47285</v>
      </c>
      <c r="L17" s="376">
        <v>-47285</v>
      </c>
      <c r="M17" s="376">
        <v>-47285</v>
      </c>
      <c r="N17" s="376">
        <v>-47285</v>
      </c>
      <c r="O17" s="376">
        <v>-47285</v>
      </c>
      <c r="P17" s="376">
        <v>-47285</v>
      </c>
      <c r="Q17" s="429">
        <v>-47285</v>
      </c>
    </row>
    <row r="18" spans="1:18" ht="14.25" customHeight="1">
      <c r="A18" s="854">
        <f t="shared" si="0"/>
        <v>6</v>
      </c>
      <c r="B18" s="1070"/>
      <c r="C18" s="88"/>
      <c r="D18" s="376"/>
      <c r="E18" s="376"/>
      <c r="F18" s="376"/>
      <c r="G18" s="376"/>
      <c r="H18" s="376"/>
      <c r="I18" s="380"/>
      <c r="J18" s="380"/>
      <c r="K18" s="380"/>
      <c r="L18" s="376"/>
      <c r="M18" s="429"/>
      <c r="N18" s="429"/>
      <c r="O18" s="429"/>
      <c r="P18" s="429"/>
      <c r="Q18" s="429"/>
    </row>
    <row r="19" spans="1:18">
      <c r="A19" s="854">
        <f t="shared" si="0"/>
        <v>7</v>
      </c>
      <c r="C19" s="857" t="s">
        <v>31</v>
      </c>
      <c r="D19" s="574">
        <v>-73351968.464986444</v>
      </c>
      <c r="E19" s="574">
        <v>-73761957.472350955</v>
      </c>
      <c r="F19" s="574">
        <v>-74123471.515265018</v>
      </c>
      <c r="G19" s="574">
        <v>-74447415.980752289</v>
      </c>
      <c r="H19" s="574">
        <v>-74755944.714875117</v>
      </c>
      <c r="I19" s="574">
        <v>-75003186.027287528</v>
      </c>
      <c r="J19" s="574">
        <v>-75197878.018980682</v>
      </c>
      <c r="K19" s="574">
        <v>-75506854.76061748</v>
      </c>
      <c r="L19" s="574">
        <v>-75794765.661992669</v>
      </c>
      <c r="M19" s="574">
        <v>-76019433.259723902</v>
      </c>
      <c r="N19" s="574">
        <v>-76145715.544218063</v>
      </c>
      <c r="O19" s="574">
        <v>-76200457.75916265</v>
      </c>
      <c r="P19" s="574">
        <v>-76215285.565179601</v>
      </c>
      <c r="Q19" s="346">
        <v>-75117256.518876344</v>
      </c>
      <c r="R19" s="609"/>
    </row>
    <row r="20" spans="1:18" ht="14.25" customHeight="1">
      <c r="A20" s="854">
        <f t="shared" si="0"/>
        <v>8</v>
      </c>
      <c r="B20" s="1070"/>
      <c r="C20" s="88"/>
      <c r="D20" s="376"/>
      <c r="E20" s="376"/>
      <c r="F20" s="376"/>
      <c r="G20" s="376"/>
      <c r="H20" s="376"/>
      <c r="I20" s="380"/>
      <c r="J20" s="380"/>
      <c r="K20" s="380"/>
      <c r="L20" s="376"/>
      <c r="M20" s="429"/>
      <c r="N20" s="429"/>
      <c r="O20" s="429"/>
      <c r="P20" s="429"/>
      <c r="Q20" s="429"/>
    </row>
    <row r="21" spans="1:18" ht="15.75">
      <c r="A21" s="854">
        <f t="shared" si="0"/>
        <v>9</v>
      </c>
      <c r="B21" s="920" t="s">
        <v>214</v>
      </c>
      <c r="D21" s="380"/>
      <c r="E21" s="380"/>
      <c r="F21" s="380"/>
      <c r="G21" s="380"/>
      <c r="H21" s="380"/>
      <c r="I21" s="380"/>
      <c r="J21" s="380"/>
      <c r="K21" s="380"/>
      <c r="L21" s="380"/>
      <c r="M21" s="429"/>
      <c r="N21" s="429"/>
      <c r="O21" s="429"/>
      <c r="P21" s="429"/>
      <c r="Q21" s="429"/>
    </row>
    <row r="22" spans="1:18">
      <c r="A22" s="854">
        <f t="shared" si="0"/>
        <v>10</v>
      </c>
      <c r="C22" s="619" t="s">
        <v>673</v>
      </c>
      <c r="D22" s="328">
        <v>437021385</v>
      </c>
      <c r="E22" s="328">
        <v>437021385</v>
      </c>
      <c r="F22" s="328">
        <v>437021385</v>
      </c>
      <c r="G22" s="328">
        <v>437021385</v>
      </c>
      <c r="H22" s="328">
        <v>437021385</v>
      </c>
      <c r="I22" s="328">
        <v>437021385</v>
      </c>
      <c r="J22" s="328">
        <v>437021385</v>
      </c>
      <c r="K22" s="328">
        <v>437021385</v>
      </c>
      <c r="L22" s="328">
        <v>437021385</v>
      </c>
      <c r="M22" s="328">
        <v>437021385</v>
      </c>
      <c r="N22" s="328">
        <v>437021385</v>
      </c>
      <c r="O22" s="328">
        <v>437021385</v>
      </c>
      <c r="P22" s="328">
        <v>437021385</v>
      </c>
      <c r="Q22" s="346">
        <v>437021385</v>
      </c>
    </row>
    <row r="23" spans="1:18">
      <c r="A23" s="854">
        <f t="shared" si="0"/>
        <v>11</v>
      </c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429"/>
    </row>
    <row r="24" spans="1:18">
      <c r="A24" s="854">
        <f t="shared" si="0"/>
        <v>12</v>
      </c>
      <c r="C24" s="619" t="s">
        <v>674</v>
      </c>
      <c r="D24" s="376">
        <v>-19948903.455673154</v>
      </c>
      <c r="E24" s="376">
        <v>-20027244.44206278</v>
      </c>
      <c r="F24" s="376">
        <v>-20098449.410954449</v>
      </c>
      <c r="G24" s="376">
        <v>-20162840.254151799</v>
      </c>
      <c r="H24" s="376">
        <v>-20220247.853428088</v>
      </c>
      <c r="I24" s="376">
        <v>-20270704.095730919</v>
      </c>
      <c r="J24" s="376">
        <v>-20314453.188391112</v>
      </c>
      <c r="K24" s="376">
        <v>-20373734.095891692</v>
      </c>
      <c r="L24" s="376">
        <v>-20423371.514914263</v>
      </c>
      <c r="M24" s="376">
        <v>-20462223.59512689</v>
      </c>
      <c r="N24" s="376">
        <v>-20490122.613157518</v>
      </c>
      <c r="O24" s="376">
        <v>-20507753.266126458</v>
      </c>
      <c r="P24" s="376">
        <v>-20513590.007833295</v>
      </c>
      <c r="Q24" s="429">
        <v>-20293356.753341727</v>
      </c>
    </row>
    <row r="25" spans="1:18" ht="14.25" customHeight="1">
      <c r="A25" s="854">
        <f t="shared" si="0"/>
        <v>13</v>
      </c>
      <c r="B25" s="1070"/>
      <c r="C25" s="88"/>
      <c r="D25" s="376"/>
      <c r="E25" s="376"/>
      <c r="F25" s="376"/>
      <c r="G25" s="376"/>
      <c r="H25" s="376"/>
      <c r="I25" s="376"/>
      <c r="J25" s="376"/>
      <c r="K25" s="376"/>
      <c r="L25" s="376"/>
      <c r="M25" s="376"/>
      <c r="N25" s="376"/>
      <c r="O25" s="376"/>
      <c r="P25" s="376"/>
      <c r="Q25" s="429"/>
    </row>
    <row r="26" spans="1:18">
      <c r="A26" s="854">
        <f t="shared" si="0"/>
        <v>14</v>
      </c>
      <c r="C26" s="619" t="s">
        <v>675</v>
      </c>
      <c r="D26" s="376">
        <v>24564903.601925977</v>
      </c>
      <c r="E26" s="376">
        <v>24564903.601925977</v>
      </c>
      <c r="F26" s="376">
        <v>24564903.601925977</v>
      </c>
      <c r="G26" s="376">
        <v>24564903.601925977</v>
      </c>
      <c r="H26" s="376">
        <v>24564903.601925977</v>
      </c>
      <c r="I26" s="376">
        <v>24564903.601925977</v>
      </c>
      <c r="J26" s="376">
        <v>24564903.601925977</v>
      </c>
      <c r="K26" s="376">
        <v>24564903.601925977</v>
      </c>
      <c r="L26" s="376">
        <v>24564903.601925977</v>
      </c>
      <c r="M26" s="376">
        <v>24564903.601925977</v>
      </c>
      <c r="N26" s="376">
        <v>24564903.601925977</v>
      </c>
      <c r="O26" s="376">
        <v>24564903.601925977</v>
      </c>
      <c r="P26" s="376">
        <v>24564903.601925977</v>
      </c>
      <c r="Q26" s="429">
        <v>24564903.601925973</v>
      </c>
    </row>
    <row r="27" spans="1:18" ht="14.25" customHeight="1">
      <c r="A27" s="854">
        <f t="shared" si="0"/>
        <v>15</v>
      </c>
      <c r="B27" s="1070"/>
      <c r="C27" s="88"/>
      <c r="D27" s="376"/>
      <c r="E27" s="376"/>
      <c r="F27" s="376"/>
      <c r="G27" s="376"/>
      <c r="H27" s="376"/>
      <c r="I27" s="380"/>
      <c r="J27" s="380"/>
      <c r="K27" s="380"/>
      <c r="L27" s="376"/>
      <c r="M27" s="429"/>
      <c r="N27" s="429"/>
      <c r="O27" s="429"/>
      <c r="P27" s="429"/>
      <c r="Q27" s="429"/>
    </row>
    <row r="28" spans="1:18">
      <c r="A28" s="854">
        <f t="shared" si="0"/>
        <v>16</v>
      </c>
      <c r="C28" s="857" t="s">
        <v>68</v>
      </c>
      <c r="D28" s="574">
        <v>441637385.14625281</v>
      </c>
      <c r="E28" s="574">
        <v>441559044.15986317</v>
      </c>
      <c r="F28" s="574">
        <v>441487839.19097149</v>
      </c>
      <c r="G28" s="574">
        <v>441423448.34777415</v>
      </c>
      <c r="H28" s="574">
        <v>441366040.7484979</v>
      </c>
      <c r="I28" s="574">
        <v>441315584.50619507</v>
      </c>
      <c r="J28" s="574">
        <v>441271835.41353488</v>
      </c>
      <c r="K28" s="574">
        <v>441212554.50603426</v>
      </c>
      <c r="L28" s="574">
        <v>441162917.08701169</v>
      </c>
      <c r="M28" s="574">
        <v>441124065.0067991</v>
      </c>
      <c r="N28" s="574">
        <v>441096165.98876846</v>
      </c>
      <c r="O28" s="574">
        <v>441078535.33579952</v>
      </c>
      <c r="P28" s="574">
        <v>441072698.59409267</v>
      </c>
      <c r="Q28" s="346">
        <v>441292931.84858418</v>
      </c>
      <c r="R28" s="609"/>
    </row>
    <row r="29" spans="1:18" ht="15.75">
      <c r="A29" s="854">
        <f t="shared" si="0"/>
        <v>17</v>
      </c>
      <c r="B29" s="920" t="s">
        <v>1116</v>
      </c>
      <c r="C29" s="857"/>
      <c r="D29" s="381"/>
      <c r="E29" s="381"/>
      <c r="F29" s="381"/>
      <c r="G29" s="382"/>
      <c r="H29" s="382"/>
      <c r="I29" s="382"/>
      <c r="J29" s="382"/>
      <c r="K29" s="382"/>
      <c r="L29" s="376"/>
      <c r="M29" s="429"/>
      <c r="N29" s="429"/>
      <c r="O29" s="429"/>
      <c r="P29" s="429"/>
      <c r="Q29" s="429"/>
    </row>
    <row r="30" spans="1:18">
      <c r="A30" s="854">
        <f t="shared" si="0"/>
        <v>18</v>
      </c>
      <c r="C30" s="619" t="s">
        <v>673</v>
      </c>
      <c r="D30" s="328">
        <v>68526</v>
      </c>
      <c r="E30" s="328">
        <v>68526</v>
      </c>
      <c r="F30" s="328">
        <v>68526</v>
      </c>
      <c r="G30" s="328">
        <v>68526</v>
      </c>
      <c r="H30" s="328">
        <v>68526</v>
      </c>
      <c r="I30" s="328">
        <v>68526</v>
      </c>
      <c r="J30" s="328">
        <v>68526</v>
      </c>
      <c r="K30" s="328">
        <v>68526</v>
      </c>
      <c r="L30" s="328">
        <v>68526</v>
      </c>
      <c r="M30" s="328">
        <v>68526</v>
      </c>
      <c r="N30" s="328">
        <v>68526</v>
      </c>
      <c r="O30" s="328">
        <v>68526</v>
      </c>
      <c r="P30" s="328">
        <v>68526</v>
      </c>
      <c r="Q30" s="346">
        <v>68526</v>
      </c>
    </row>
    <row r="31" spans="1:18">
      <c r="A31" s="854">
        <f t="shared" si="0"/>
        <v>19</v>
      </c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429"/>
    </row>
    <row r="32" spans="1:18">
      <c r="A32" s="854">
        <f t="shared" si="0"/>
        <v>20</v>
      </c>
      <c r="C32" s="619" t="s">
        <v>674</v>
      </c>
      <c r="D32" s="376">
        <v>-15634976.580374932</v>
      </c>
      <c r="E32" s="376">
        <v>-15505027.48124956</v>
      </c>
      <c r="F32" s="376">
        <v>-15386303.171237642</v>
      </c>
      <c r="G32" s="376">
        <v>-15278584.829517515</v>
      </c>
      <c r="H32" s="376">
        <v>-15182292.867762554</v>
      </c>
      <c r="I32" s="376">
        <v>-15097501.176274849</v>
      </c>
      <c r="J32" s="376">
        <v>-15023889.236888055</v>
      </c>
      <c r="K32" s="376">
        <v>-14966937.521302374</v>
      </c>
      <c r="L32" s="376">
        <v>-14920220.17258252</v>
      </c>
      <c r="M32" s="376">
        <v>-14884093.869292762</v>
      </c>
      <c r="N32" s="376">
        <v>-14858517.889625151</v>
      </c>
      <c r="O32" s="376">
        <v>-14842568.292984169</v>
      </c>
      <c r="P32" s="376">
        <v>-14837352.543710032</v>
      </c>
      <c r="Q32" s="429">
        <v>-15109097.356369393</v>
      </c>
    </row>
    <row r="33" spans="1:18">
      <c r="A33" s="854">
        <f t="shared" si="0"/>
        <v>21</v>
      </c>
      <c r="B33" s="1070"/>
      <c r="C33" s="88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6"/>
      <c r="Q33" s="429"/>
    </row>
    <row r="34" spans="1:18">
      <c r="A34" s="854">
        <f t="shared" si="0"/>
        <v>22</v>
      </c>
      <c r="C34" s="619" t="s">
        <v>675</v>
      </c>
      <c r="D34" s="376">
        <v>0</v>
      </c>
      <c r="E34" s="376">
        <v>0</v>
      </c>
      <c r="F34" s="376">
        <v>0</v>
      </c>
      <c r="G34" s="376">
        <v>0</v>
      </c>
      <c r="H34" s="376">
        <v>0</v>
      </c>
      <c r="I34" s="376">
        <v>0</v>
      </c>
      <c r="J34" s="376">
        <v>0</v>
      </c>
      <c r="K34" s="376">
        <v>0</v>
      </c>
      <c r="L34" s="376">
        <v>0</v>
      </c>
      <c r="M34" s="376">
        <v>0</v>
      </c>
      <c r="N34" s="376">
        <v>0</v>
      </c>
      <c r="O34" s="376">
        <v>0</v>
      </c>
      <c r="P34" s="376">
        <v>0</v>
      </c>
      <c r="Q34" s="429">
        <v>0</v>
      </c>
    </row>
    <row r="35" spans="1:18">
      <c r="A35" s="854">
        <f t="shared" si="0"/>
        <v>23</v>
      </c>
      <c r="B35" s="1070"/>
      <c r="C35" s="88"/>
      <c r="D35" s="376"/>
      <c r="E35" s="376"/>
      <c r="F35" s="376"/>
      <c r="G35" s="376"/>
      <c r="H35" s="376"/>
      <c r="I35" s="380"/>
      <c r="J35" s="380"/>
      <c r="K35" s="380"/>
      <c r="L35" s="376"/>
      <c r="M35" s="429"/>
      <c r="N35" s="429"/>
      <c r="O35" s="429"/>
      <c r="P35" s="429"/>
      <c r="Q35" s="429"/>
    </row>
    <row r="36" spans="1:18">
      <c r="A36" s="854">
        <f t="shared" si="0"/>
        <v>24</v>
      </c>
      <c r="C36" s="857" t="s">
        <v>718</v>
      </c>
      <c r="D36" s="574">
        <v>-15566450.580374932</v>
      </c>
      <c r="E36" s="574">
        <v>-15436501.48124956</v>
      </c>
      <c r="F36" s="574">
        <v>-15317777.171237642</v>
      </c>
      <c r="G36" s="574">
        <v>-15210058.829517515</v>
      </c>
      <c r="H36" s="574">
        <v>-15113766.867762554</v>
      </c>
      <c r="I36" s="574">
        <v>-15028975.176274849</v>
      </c>
      <c r="J36" s="574">
        <v>-14955363.236888055</v>
      </c>
      <c r="K36" s="574">
        <v>-14898411.521302374</v>
      </c>
      <c r="L36" s="574">
        <v>-14851694.17258252</v>
      </c>
      <c r="M36" s="574">
        <v>-14815567.869292762</v>
      </c>
      <c r="N36" s="574">
        <v>-14789991.889625151</v>
      </c>
      <c r="O36" s="574">
        <v>-14774042.292984169</v>
      </c>
      <c r="P36" s="574">
        <v>-14768826.543710032</v>
      </c>
      <c r="Q36" s="346">
        <v>-15040571.356369393</v>
      </c>
      <c r="R36" s="609"/>
    </row>
    <row r="37" spans="1:18">
      <c r="A37" s="854">
        <f t="shared" si="0"/>
        <v>25</v>
      </c>
      <c r="C37" s="857"/>
      <c r="D37" s="376"/>
      <c r="E37" s="376"/>
      <c r="F37" s="376"/>
      <c r="G37" s="380"/>
      <c r="H37" s="380"/>
      <c r="I37" s="380"/>
      <c r="J37" s="380"/>
      <c r="K37" s="380"/>
      <c r="L37" s="376"/>
      <c r="M37" s="429"/>
      <c r="N37" s="429"/>
      <c r="O37" s="429"/>
      <c r="P37" s="429"/>
      <c r="Q37" s="429"/>
    </row>
    <row r="38" spans="1:18" ht="15.75">
      <c r="A38" s="854">
        <f t="shared" si="0"/>
        <v>26</v>
      </c>
      <c r="B38" s="920" t="s">
        <v>676</v>
      </c>
      <c r="D38" s="380"/>
      <c r="E38" s="380"/>
      <c r="F38" s="380"/>
      <c r="G38" s="380"/>
      <c r="H38" s="380"/>
      <c r="I38" s="380"/>
      <c r="J38" s="380"/>
      <c r="K38" s="380"/>
      <c r="L38" s="380"/>
      <c r="M38" s="429"/>
      <c r="N38" s="429"/>
      <c r="O38" s="429"/>
      <c r="P38" s="429"/>
      <c r="Q38" s="429"/>
    </row>
    <row r="39" spans="1:18">
      <c r="A39" s="854">
        <f t="shared" si="0"/>
        <v>27</v>
      </c>
      <c r="C39" s="619" t="s">
        <v>673</v>
      </c>
      <c r="D39" s="328">
        <v>1746795</v>
      </c>
      <c r="E39" s="328">
        <v>1746795</v>
      </c>
      <c r="F39" s="328">
        <v>1746795</v>
      </c>
      <c r="G39" s="328">
        <v>1746795</v>
      </c>
      <c r="H39" s="328">
        <v>1746795</v>
      </c>
      <c r="I39" s="328">
        <v>1746795</v>
      </c>
      <c r="J39" s="328">
        <v>1746795</v>
      </c>
      <c r="K39" s="328">
        <v>1746795</v>
      </c>
      <c r="L39" s="328">
        <v>1746795</v>
      </c>
      <c r="M39" s="328">
        <v>1746795</v>
      </c>
      <c r="N39" s="328">
        <v>1746795</v>
      </c>
      <c r="O39" s="328">
        <v>1746795</v>
      </c>
      <c r="P39" s="328">
        <v>1746795</v>
      </c>
      <c r="Q39" s="346">
        <v>1746795</v>
      </c>
    </row>
    <row r="40" spans="1:18">
      <c r="A40" s="854">
        <f t="shared" si="0"/>
        <v>28</v>
      </c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429"/>
    </row>
    <row r="41" spans="1:18">
      <c r="A41" s="854">
        <f t="shared" si="0"/>
        <v>29</v>
      </c>
      <c r="C41" s="619" t="s">
        <v>674</v>
      </c>
      <c r="D41" s="376">
        <v>-727874.28353272134</v>
      </c>
      <c r="E41" s="376">
        <v>-726496.82459145156</v>
      </c>
      <c r="F41" s="376">
        <v>-725241.36915640836</v>
      </c>
      <c r="G41" s="376">
        <v>-724103.98163061694</v>
      </c>
      <c r="H41" s="376">
        <v>-723088.59761105245</v>
      </c>
      <c r="I41" s="376">
        <v>-722195.21709771454</v>
      </c>
      <c r="J41" s="376">
        <v>-721419.90449362842</v>
      </c>
      <c r="K41" s="376">
        <v>-727003.63001357531</v>
      </c>
      <c r="L41" s="376">
        <v>-726533.91041057382</v>
      </c>
      <c r="M41" s="376">
        <v>-726171.25924649171</v>
      </c>
      <c r="N41" s="376">
        <v>-725915.67652132921</v>
      </c>
      <c r="O41" s="376">
        <v>-724050.62759194267</v>
      </c>
      <c r="P41" s="376">
        <v>-723998.82028278813</v>
      </c>
      <c r="Q41" s="429">
        <v>-724930.31555233034</v>
      </c>
    </row>
    <row r="42" spans="1:18">
      <c r="A42" s="854">
        <f t="shared" si="0"/>
        <v>30</v>
      </c>
      <c r="B42" s="854"/>
      <c r="C42" s="88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429"/>
    </row>
    <row r="43" spans="1:18">
      <c r="A43" s="854">
        <f t="shared" si="0"/>
        <v>31</v>
      </c>
      <c r="C43" s="619" t="s">
        <v>675</v>
      </c>
      <c r="D43" s="376">
        <v>-886040</v>
      </c>
      <c r="E43" s="376">
        <v>-886040</v>
      </c>
      <c r="F43" s="376">
        <v>-886040</v>
      </c>
      <c r="G43" s="376">
        <v>-886040</v>
      </c>
      <c r="H43" s="376">
        <v>-886040</v>
      </c>
      <c r="I43" s="376">
        <v>-886040</v>
      </c>
      <c r="J43" s="376">
        <v>-886040</v>
      </c>
      <c r="K43" s="376">
        <v>-886040</v>
      </c>
      <c r="L43" s="376">
        <v>-886040</v>
      </c>
      <c r="M43" s="376">
        <v>-886040</v>
      </c>
      <c r="N43" s="376">
        <v>-886040</v>
      </c>
      <c r="O43" s="376">
        <v>-886040</v>
      </c>
      <c r="P43" s="376">
        <v>-886040</v>
      </c>
      <c r="Q43" s="429">
        <v>-886040</v>
      </c>
    </row>
    <row r="44" spans="1:18">
      <c r="A44" s="854">
        <f t="shared" si="0"/>
        <v>32</v>
      </c>
      <c r="D44" s="376"/>
      <c r="E44" s="376"/>
      <c r="F44" s="376"/>
      <c r="G44" s="376"/>
      <c r="H44" s="376"/>
      <c r="I44" s="376"/>
      <c r="J44" s="376"/>
      <c r="K44" s="376"/>
      <c r="L44" s="376"/>
      <c r="M44" s="429"/>
      <c r="N44" s="429"/>
      <c r="O44" s="429"/>
      <c r="P44" s="429"/>
      <c r="Q44" s="429"/>
    </row>
    <row r="45" spans="1:18">
      <c r="A45" s="854">
        <f t="shared" si="0"/>
        <v>33</v>
      </c>
      <c r="C45" s="619" t="s">
        <v>439</v>
      </c>
      <c r="D45" s="376">
        <v>0</v>
      </c>
      <c r="E45" s="376">
        <v>0</v>
      </c>
      <c r="F45" s="376">
        <v>0</v>
      </c>
      <c r="G45" s="376">
        <v>0</v>
      </c>
      <c r="H45" s="376">
        <v>0</v>
      </c>
      <c r="I45" s="376">
        <v>0</v>
      </c>
      <c r="J45" s="376">
        <v>0</v>
      </c>
      <c r="K45" s="376">
        <v>0</v>
      </c>
      <c r="L45" s="376">
        <v>0</v>
      </c>
      <c r="M45" s="376">
        <v>0</v>
      </c>
      <c r="N45" s="376">
        <v>0</v>
      </c>
      <c r="O45" s="376">
        <v>0</v>
      </c>
      <c r="P45" s="376">
        <v>0</v>
      </c>
      <c r="Q45" s="429">
        <v>0</v>
      </c>
    </row>
    <row r="46" spans="1:18">
      <c r="A46" s="854">
        <f t="shared" si="0"/>
        <v>34</v>
      </c>
      <c r="B46" s="1070"/>
      <c r="C46" s="88"/>
      <c r="D46" s="376"/>
      <c r="E46" s="376"/>
      <c r="F46" s="376"/>
      <c r="G46" s="376"/>
      <c r="H46" s="376"/>
      <c r="I46" s="380"/>
      <c r="J46" s="380"/>
      <c r="K46" s="380"/>
      <c r="L46" s="376"/>
      <c r="M46" s="429"/>
      <c r="N46" s="429"/>
      <c r="O46" s="429"/>
      <c r="P46" s="429"/>
      <c r="Q46" s="429"/>
    </row>
    <row r="47" spans="1:18">
      <c r="A47" s="854">
        <f t="shared" si="0"/>
        <v>35</v>
      </c>
      <c r="C47" s="857" t="s">
        <v>438</v>
      </c>
      <c r="D47" s="574">
        <v>132880.71646727866</v>
      </c>
      <c r="E47" s="574">
        <v>134258.17540854844</v>
      </c>
      <c r="F47" s="574">
        <v>135513.63084359164</v>
      </c>
      <c r="G47" s="574">
        <v>136651.01836938306</v>
      </c>
      <c r="H47" s="574">
        <v>137666.40238894755</v>
      </c>
      <c r="I47" s="574">
        <v>138559.78290228546</v>
      </c>
      <c r="J47" s="574">
        <v>139335.09550637158</v>
      </c>
      <c r="K47" s="574">
        <v>133751.36998642469</v>
      </c>
      <c r="L47" s="574">
        <v>134221.08958942618</v>
      </c>
      <c r="M47" s="574">
        <v>134583.74075350829</v>
      </c>
      <c r="N47" s="574">
        <v>134839.32347867079</v>
      </c>
      <c r="O47" s="574">
        <v>136704.37240805733</v>
      </c>
      <c r="P47" s="574">
        <v>136756.17971721187</v>
      </c>
      <c r="Q47" s="346">
        <v>135824.68444766963</v>
      </c>
      <c r="R47" s="609"/>
    </row>
    <row r="48" spans="1:18">
      <c r="A48" s="854">
        <f t="shared" si="0"/>
        <v>36</v>
      </c>
      <c r="D48" s="380"/>
      <c r="E48" s="380"/>
      <c r="F48" s="380"/>
      <c r="G48" s="380"/>
      <c r="H48" s="380"/>
      <c r="I48" s="380"/>
      <c r="J48" s="380"/>
      <c r="K48" s="380"/>
      <c r="L48" s="380"/>
      <c r="M48" s="429"/>
      <c r="N48" s="429"/>
      <c r="O48" s="429"/>
      <c r="P48" s="429"/>
      <c r="Q48" s="429"/>
    </row>
    <row r="49" spans="1:17" ht="15.75" thickBot="1">
      <c r="A49" s="854">
        <f t="shared" si="0"/>
        <v>37</v>
      </c>
      <c r="B49" s="74"/>
      <c r="C49" s="81" t="s">
        <v>96</v>
      </c>
      <c r="D49" s="329">
        <v>352851846.81735873</v>
      </c>
      <c r="E49" s="329">
        <v>352494843.38167119</v>
      </c>
      <c r="F49" s="329">
        <v>352182104.13531244</v>
      </c>
      <c r="G49" s="329">
        <v>351902624.55587375</v>
      </c>
      <c r="H49" s="329">
        <v>351633995.56824917</v>
      </c>
      <c r="I49" s="329">
        <v>351421983.08553499</v>
      </c>
      <c r="J49" s="329">
        <v>351257929.25317252</v>
      </c>
      <c r="K49" s="329">
        <v>350941039.59410083</v>
      </c>
      <c r="L49" s="329">
        <v>350650678.34202594</v>
      </c>
      <c r="M49" s="329">
        <v>350423647.61853594</v>
      </c>
      <c r="N49" s="329">
        <v>350295297.8784039</v>
      </c>
      <c r="O49" s="329">
        <v>350240739.65606076</v>
      </c>
      <c r="P49" s="329">
        <v>350225342.66492027</v>
      </c>
      <c r="Q49" s="346">
        <v>351270928.65778625</v>
      </c>
    </row>
    <row r="50" spans="1:17" ht="15.75" thickTop="1">
      <c r="A50" s="74"/>
      <c r="B50" s="74"/>
    </row>
    <row r="51" spans="1:17">
      <c r="A51" s="74"/>
      <c r="B51" s="74"/>
      <c r="C51" s="74" t="s">
        <v>684</v>
      </c>
    </row>
    <row r="52" spans="1:17">
      <c r="A52" s="74"/>
      <c r="B52" s="74"/>
      <c r="C52" s="74" t="s">
        <v>1676</v>
      </c>
      <c r="D52" s="670"/>
    </row>
    <row r="53" spans="1:17">
      <c r="A53" s="74"/>
      <c r="B53" s="74"/>
    </row>
    <row r="58" spans="1:17">
      <c r="D58" s="824"/>
    </row>
    <row r="59" spans="1:17">
      <c r="C59" s="103"/>
      <c r="D59" s="824"/>
    </row>
    <row r="60" spans="1:17">
      <c r="C60" s="103"/>
      <c r="D60" s="1071"/>
      <c r="H60" s="801"/>
    </row>
    <row r="61" spans="1:17">
      <c r="D61" s="824"/>
    </row>
    <row r="62" spans="1:17">
      <c r="C62" s="103"/>
      <c r="E62" s="103"/>
    </row>
    <row r="65" spans="3:4">
      <c r="C65" s="80"/>
    </row>
    <row r="66" spans="3:4">
      <c r="C66" s="80"/>
    </row>
    <row r="67" spans="3:4">
      <c r="C67" s="80"/>
    </row>
    <row r="68" spans="3:4">
      <c r="C68" s="80"/>
      <c r="D68" s="1072"/>
    </row>
    <row r="69" spans="3:4">
      <c r="C69" s="80"/>
    </row>
    <row r="70" spans="3:4">
      <c r="C70" s="80"/>
      <c r="D70" s="1071"/>
    </row>
    <row r="71" spans="3:4">
      <c r="C71" s="80"/>
    </row>
    <row r="72" spans="3:4">
      <c r="C72" s="80"/>
      <c r="D72" s="1072"/>
    </row>
    <row r="73" spans="3:4">
      <c r="C73" s="80"/>
    </row>
    <row r="74" spans="3:4">
      <c r="C74" s="80"/>
    </row>
  </sheetData>
  <mergeCells count="4">
    <mergeCell ref="A1:Q1"/>
    <mergeCell ref="A2:Q2"/>
    <mergeCell ref="A3:Q3"/>
    <mergeCell ref="A4:Q4"/>
  </mergeCells>
  <phoneticPr fontId="23" type="noConversion"/>
  <printOptions horizontalCentered="1"/>
  <pageMargins left="0.38" right="0.34" top="0.84" bottom="1" header="0.5" footer="0.5"/>
  <pageSetup scale="41" orientation="landscape" verticalDpi="300" r:id="rId1"/>
  <headerFooter alignWithMargins="0">
    <oddFooter>&amp;R&amp;A
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view="pageBreakPreview" zoomScale="90" zoomScaleNormal="100" zoomScaleSheetLayoutView="90" workbookViewId="0">
      <selection sqref="A1:B1"/>
    </sheetView>
  </sheetViews>
  <sheetFormatPr defaultRowHeight="15"/>
  <cols>
    <col min="1" max="1" width="36.88671875" customWidth="1"/>
    <col min="2" max="2" width="28.5546875" customWidth="1"/>
    <col min="3" max="3" width="16.5546875" bestFit="1" customWidth="1"/>
    <col min="4" max="4" width="25.21875" bestFit="1" customWidth="1"/>
    <col min="5" max="5" width="19.88671875" bestFit="1" customWidth="1"/>
  </cols>
  <sheetData>
    <row r="1" spans="1:5">
      <c r="A1" s="1188" t="str">
        <f>'Table of Contents'!A1:C1</f>
        <v>Atmos Energy Corporation, Kentucky/Mid-States Division</v>
      </c>
      <c r="B1" s="1188"/>
    </row>
    <row r="2" spans="1:5">
      <c r="A2" s="1189" t="str">
        <f>'Table of Contents'!A2:C2</f>
        <v>Kentucky Jurisdiction Case No. 2018-00281</v>
      </c>
      <c r="B2" s="1189"/>
    </row>
    <row r="3" spans="1:5">
      <c r="A3" s="1190" t="str">
        <f>'Table of Contents'!A3:C3</f>
        <v>Base Period: Twelve Months Ended December 31, 2018</v>
      </c>
      <c r="B3" s="1190"/>
    </row>
    <row r="4" spans="1:5">
      <c r="A4" s="1190" t="str">
        <f>'Table of Contents'!A4:C4</f>
        <v>Forecasted Test Period: Twelve Months Ended March 31, 2020</v>
      </c>
      <c r="B4" s="1190"/>
    </row>
    <row r="5" spans="1:5">
      <c r="A5" s="1190" t="s">
        <v>1606</v>
      </c>
      <c r="B5" s="1190"/>
    </row>
    <row r="9" spans="1:5" ht="15.75">
      <c r="B9" s="1145"/>
      <c r="C9" s="792"/>
      <c r="D9" s="1145" t="s">
        <v>1638</v>
      </c>
      <c r="E9" s="1145" t="s">
        <v>1441</v>
      </c>
    </row>
    <row r="10" spans="1:5" ht="15.75">
      <c r="A10" s="102" t="s">
        <v>1607</v>
      </c>
      <c r="B10" s="1146"/>
      <c r="C10" s="1151">
        <v>43555</v>
      </c>
      <c r="D10" s="792">
        <v>-33781755.559027769</v>
      </c>
      <c r="E10" s="792"/>
    </row>
    <row r="11" spans="1:5" ht="15.75">
      <c r="A11" s="102" t="s">
        <v>1608</v>
      </c>
      <c r="B11" s="1146"/>
      <c r="C11" s="1151">
        <v>43585</v>
      </c>
      <c r="D11" s="792">
        <v>-33664787.945406757</v>
      </c>
      <c r="E11" s="792">
        <v>121980.51134762984</v>
      </c>
    </row>
    <row r="12" spans="1:5">
      <c r="B12" s="1146"/>
      <c r="C12" s="1151">
        <v>43616</v>
      </c>
      <c r="D12" s="792">
        <v>-33558180.320420749</v>
      </c>
      <c r="E12" s="792">
        <v>121980.51134762984</v>
      </c>
    </row>
    <row r="13" spans="1:5">
      <c r="B13" s="1146"/>
      <c r="C13" s="1151">
        <v>43646</v>
      </c>
      <c r="D13" s="792">
        <v>-33461598.49088797</v>
      </c>
      <c r="E13" s="792">
        <v>121980.51134762984</v>
      </c>
    </row>
    <row r="14" spans="1:5">
      <c r="B14" s="1146"/>
      <c r="C14" s="1151">
        <v>43677</v>
      </c>
      <c r="D14" s="792">
        <v>-33375376.649990194</v>
      </c>
      <c r="E14" s="792">
        <v>121980.51134762984</v>
      </c>
    </row>
    <row r="15" spans="1:5">
      <c r="B15" s="1146"/>
      <c r="C15" s="1151">
        <v>43708</v>
      </c>
      <c r="D15" s="792">
        <v>-33299514.797727421</v>
      </c>
      <c r="E15" s="792">
        <v>121980.51134762984</v>
      </c>
    </row>
    <row r="16" spans="1:5">
      <c r="B16" s="1146"/>
      <c r="C16" s="1151">
        <v>43738</v>
      </c>
      <c r="D16" s="792">
        <v>-33233678.74091788</v>
      </c>
      <c r="E16" s="792">
        <v>121980.51134762984</v>
      </c>
    </row>
    <row r="17" spans="2:5">
      <c r="B17" s="1146"/>
      <c r="C17" s="1151">
        <v>43769</v>
      </c>
      <c r="D17" s="792">
        <v>-33178202.672743343</v>
      </c>
      <c r="E17" s="792">
        <v>121980.51134762984</v>
      </c>
    </row>
    <row r="18" spans="2:5">
      <c r="B18" s="1146"/>
      <c r="C18" s="1151">
        <v>43799</v>
      </c>
      <c r="D18" s="792">
        <v>-33132752.400022034</v>
      </c>
      <c r="E18" s="792">
        <v>121980.51134762984</v>
      </c>
    </row>
    <row r="19" spans="2:5">
      <c r="B19" s="1146"/>
      <c r="C19" s="1151">
        <v>43830</v>
      </c>
      <c r="D19" s="792">
        <v>-33097662.115935728</v>
      </c>
      <c r="E19" s="792">
        <v>121980.51134762984</v>
      </c>
    </row>
    <row r="20" spans="2:5">
      <c r="B20" s="1146"/>
      <c r="C20" s="1151">
        <v>43861</v>
      </c>
      <c r="D20" s="792">
        <v>-33072931.82048443</v>
      </c>
      <c r="E20" s="792">
        <v>121980.51134762984</v>
      </c>
    </row>
    <row r="21" spans="2:5">
      <c r="B21" s="1146"/>
      <c r="C21" s="1151">
        <v>43890</v>
      </c>
      <c r="D21" s="792">
        <v>-33057558.934122812</v>
      </c>
      <c r="E21" s="792">
        <v>121980.51134762984</v>
      </c>
    </row>
    <row r="22" spans="2:5">
      <c r="B22" s="1146"/>
      <c r="C22" s="1151">
        <v>43921</v>
      </c>
      <c r="D22" s="803">
        <v>-33052546.036396198</v>
      </c>
      <c r="E22" s="803">
        <v>121980.51134762984</v>
      </c>
    </row>
    <row r="23" spans="2:5" ht="15.75">
      <c r="B23" s="1146"/>
      <c r="C23" s="792" t="s">
        <v>1442</v>
      </c>
      <c r="D23" s="102">
        <f>AVERAGE(D10:D22)</f>
        <v>-33305118.960314102</v>
      </c>
      <c r="E23" s="102">
        <f>SUM(E11:E22)</f>
        <v>1463766.1361715582</v>
      </c>
    </row>
    <row r="24" spans="2:5">
      <c r="B24" s="1146"/>
    </row>
    <row r="25" spans="2:5">
      <c r="B25" s="1146"/>
    </row>
    <row r="26" spans="2:5">
      <c r="B26" s="1146"/>
    </row>
    <row r="27" spans="2:5">
      <c r="B27" s="1146"/>
    </row>
    <row r="28" spans="2:5">
      <c r="B28" s="1146"/>
    </row>
    <row r="29" spans="2:5">
      <c r="B29" s="1146"/>
    </row>
    <row r="30" spans="2:5">
      <c r="B30" s="1146"/>
    </row>
    <row r="31" spans="2:5">
      <c r="B31" s="1146"/>
    </row>
    <row r="32" spans="2:5">
      <c r="B32" s="1146"/>
    </row>
    <row r="33" spans="2:2">
      <c r="B33" s="1146"/>
    </row>
    <row r="34" spans="2:2">
      <c r="B34" s="1146"/>
    </row>
  </sheetData>
  <mergeCells count="5">
    <mergeCell ref="A4:B4"/>
    <mergeCell ref="A5:B5"/>
    <mergeCell ref="A1:B1"/>
    <mergeCell ref="A2:B2"/>
    <mergeCell ref="A3:B3"/>
  </mergeCells>
  <pageMargins left="0.7" right="0.7" top="0.75" bottom="0.75" header="0.3" footer="0.3"/>
  <pageSetup scale="36" orientation="portrait" r:id="rId1"/>
  <colBreaks count="1" manualBreakCount="1">
    <brk id="5" max="33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S42"/>
  <sheetViews>
    <sheetView view="pageBreakPreview" zoomScale="80" zoomScaleNormal="80" zoomScaleSheetLayoutView="80" workbookViewId="0">
      <pane xSplit="3" ySplit="11" topLeftCell="D12" activePane="bottomRight" state="frozen"/>
      <selection activeCell="G63" sqref="G63"/>
      <selection pane="topRight" activeCell="G63" sqref="G63"/>
      <selection pane="bottomLeft" activeCell="G63" sqref="G63"/>
      <selection pane="bottomRight" activeCell="H43" sqref="H43"/>
    </sheetView>
  </sheetViews>
  <sheetFormatPr defaultColWidth="8.44140625" defaultRowHeight="15"/>
  <cols>
    <col min="1" max="1" width="5.77734375" style="1" customWidth="1"/>
    <col min="2" max="2" width="6.88671875" style="1" customWidth="1"/>
    <col min="3" max="3" width="47" style="1" customWidth="1"/>
    <col min="4" max="7" width="10.5546875" style="1" bestFit="1" customWidth="1"/>
    <col min="8" max="8" width="10.5546875" style="74" bestFit="1" customWidth="1"/>
    <col min="9" max="15" width="10.5546875" style="1" bestFit="1" customWidth="1"/>
    <col min="16" max="16" width="12" style="1" bestFit="1" customWidth="1"/>
    <col min="17" max="17" width="11" style="1" customWidth="1"/>
    <col min="18" max="16384" width="8.44140625" style="1"/>
  </cols>
  <sheetData>
    <row r="1" spans="1:19">
      <c r="A1" s="1193" t="str">
        <f>Allocation!A1</f>
        <v>Atmos Energy Corporation, Kentucky/Mid-States Division</v>
      </c>
      <c r="B1" s="1193"/>
      <c r="C1" s="1193"/>
      <c r="D1" s="1193"/>
      <c r="E1" s="1193"/>
      <c r="F1" s="1193"/>
      <c r="G1" s="1193"/>
      <c r="H1" s="1193"/>
      <c r="I1" s="1193"/>
      <c r="J1" s="1193"/>
      <c r="K1" s="1193"/>
      <c r="L1" s="1193"/>
      <c r="M1" s="1193"/>
      <c r="N1" s="1193"/>
      <c r="O1" s="1193"/>
      <c r="P1" s="1193"/>
      <c r="Q1" s="1193"/>
    </row>
    <row r="2" spans="1:19">
      <c r="A2" s="1193" t="str">
        <f>Allocation!A2</f>
        <v>Kentucky Jurisdiction Case No. 2018-00281</v>
      </c>
      <c r="B2" s="1193"/>
      <c r="C2" s="1193"/>
      <c r="D2" s="1193"/>
      <c r="E2" s="1193"/>
      <c r="F2" s="1193"/>
      <c r="G2" s="1193"/>
      <c r="H2" s="1193"/>
      <c r="I2" s="1193"/>
      <c r="J2" s="1193"/>
      <c r="K2" s="1193"/>
      <c r="L2" s="1193"/>
      <c r="M2" s="1193"/>
      <c r="N2" s="1193"/>
      <c r="O2" s="1193"/>
      <c r="P2" s="1193"/>
      <c r="Q2" s="1193"/>
    </row>
    <row r="3" spans="1:19">
      <c r="A3" s="1193" t="s">
        <v>1231</v>
      </c>
      <c r="B3" s="1193"/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3"/>
      <c r="N3" s="1193"/>
      <c r="O3" s="1193"/>
      <c r="P3" s="1193"/>
      <c r="Q3" s="1193"/>
    </row>
    <row r="4" spans="1:19">
      <c r="A4" s="1193" t="str">
        <f>Allocation!A3</f>
        <v>Base Period: Twelve Months Ended December 31, 2018</v>
      </c>
      <c r="B4" s="1193"/>
      <c r="C4" s="1193"/>
      <c r="D4" s="1193"/>
      <c r="E4" s="1193"/>
      <c r="F4" s="1193"/>
      <c r="G4" s="1193"/>
      <c r="H4" s="1193"/>
      <c r="I4" s="1193"/>
      <c r="J4" s="1193"/>
      <c r="K4" s="1193"/>
      <c r="L4" s="1193"/>
      <c r="M4" s="1193"/>
      <c r="N4" s="1193"/>
      <c r="O4" s="1193"/>
      <c r="P4" s="1193"/>
      <c r="Q4" s="1193"/>
    </row>
    <row r="5" spans="1:19">
      <c r="A5" s="31"/>
      <c r="B5" s="30"/>
      <c r="C5" s="30"/>
      <c r="D5" s="30"/>
      <c r="E5" s="30"/>
      <c r="F5" s="30"/>
      <c r="G5" s="30"/>
      <c r="H5" s="370"/>
      <c r="I5" s="30"/>
      <c r="J5" s="30"/>
      <c r="K5" s="30"/>
    </row>
    <row r="6" spans="1:19">
      <c r="A6" s="48" t="str">
        <f>'B.1 B'!A6</f>
        <v>Data:__X___Base Period______Forecasted Period</v>
      </c>
      <c r="B6" s="48"/>
      <c r="C6" s="35"/>
      <c r="P6" s="1" t="s">
        <v>1422</v>
      </c>
    </row>
    <row r="7" spans="1:19">
      <c r="A7" s="48" t="str">
        <f>'B.1 B'!A7</f>
        <v>Type of Filing:___X____Original________Updated ________Revised</v>
      </c>
      <c r="B7" s="35"/>
      <c r="C7" s="48"/>
      <c r="P7" s="1" t="s">
        <v>806</v>
      </c>
    </row>
    <row r="8" spans="1:19">
      <c r="A8" s="51" t="str">
        <f>'B.1 B'!A8</f>
        <v>Workpaper Reference No(s).</v>
      </c>
      <c r="B8" s="6"/>
      <c r="C8" s="6"/>
      <c r="D8" s="6"/>
      <c r="E8" s="6"/>
      <c r="F8" s="6"/>
      <c r="G8" s="33"/>
      <c r="H8" s="82"/>
      <c r="I8" s="6"/>
      <c r="J8" s="6"/>
      <c r="K8" s="33"/>
      <c r="L8" s="6"/>
      <c r="M8" s="33"/>
      <c r="N8" s="33"/>
      <c r="O8" s="33"/>
      <c r="P8" s="33"/>
      <c r="Q8" s="33"/>
    </row>
    <row r="9" spans="1:19">
      <c r="D9" s="54"/>
      <c r="E9" s="221"/>
      <c r="F9" s="2"/>
      <c r="G9" s="2"/>
      <c r="H9" s="75"/>
      <c r="I9" s="2"/>
      <c r="J9" s="221"/>
      <c r="K9" s="2"/>
    </row>
    <row r="10" spans="1:19">
      <c r="A10" s="2" t="s">
        <v>93</v>
      </c>
      <c r="B10" s="2" t="s">
        <v>94</v>
      </c>
      <c r="D10" s="53" t="s">
        <v>107</v>
      </c>
      <c r="E10" s="53" t="s">
        <v>107</v>
      </c>
      <c r="F10" s="53" t="s">
        <v>107</v>
      </c>
      <c r="G10" s="53" t="s">
        <v>107</v>
      </c>
      <c r="H10" s="53" t="s">
        <v>107</v>
      </c>
      <c r="I10" s="53" t="s">
        <v>107</v>
      </c>
      <c r="J10" s="53" t="s">
        <v>107</v>
      </c>
      <c r="K10" s="610" t="s">
        <v>453</v>
      </c>
      <c r="L10" s="53" t="s">
        <v>453</v>
      </c>
      <c r="M10" s="53" t="s">
        <v>453</v>
      </c>
      <c r="N10" s="53" t="s">
        <v>453</v>
      </c>
      <c r="O10" s="53" t="s">
        <v>453</v>
      </c>
      <c r="P10" s="53" t="s">
        <v>453</v>
      </c>
      <c r="Q10" s="99" t="s">
        <v>315</v>
      </c>
    </row>
    <row r="11" spans="1:19">
      <c r="A11" s="9" t="s">
        <v>99</v>
      </c>
      <c r="B11" s="9" t="s">
        <v>100</v>
      </c>
      <c r="C11" s="6"/>
      <c r="D11" s="348">
        <f>'WP B.4.1B'!C8</f>
        <v>43070</v>
      </c>
      <c r="E11" s="348">
        <f>'WP B.4.1B'!D8</f>
        <v>43101</v>
      </c>
      <c r="F11" s="348">
        <f>'WP B.4.1B'!E8</f>
        <v>43132</v>
      </c>
      <c r="G11" s="348">
        <f>'WP B.4.1B'!F8</f>
        <v>43160</v>
      </c>
      <c r="H11" s="348">
        <f>'WP B.4.1B'!G8</f>
        <v>43191</v>
      </c>
      <c r="I11" s="348">
        <f>'WP B.4.1B'!H8</f>
        <v>43221</v>
      </c>
      <c r="J11" s="348">
        <f>'WP B.4.1B'!I8</f>
        <v>43252</v>
      </c>
      <c r="K11" s="348">
        <f>'WP B.4.1B'!J8</f>
        <v>43282</v>
      </c>
      <c r="L11" s="348">
        <f>'WP B.4.1B'!K8</f>
        <v>43313</v>
      </c>
      <c r="M11" s="348">
        <f>'WP B.4.1B'!L8</f>
        <v>43344</v>
      </c>
      <c r="N11" s="348">
        <f>'WP B.4.1B'!M8</f>
        <v>43374</v>
      </c>
      <c r="O11" s="348">
        <f>'WP B.4.1B'!N8</f>
        <v>43405</v>
      </c>
      <c r="P11" s="348">
        <f>'WP B.4.1B'!O8</f>
        <v>43435</v>
      </c>
      <c r="Q11" s="56" t="s">
        <v>98</v>
      </c>
    </row>
    <row r="12" spans="1:19" ht="15.75">
      <c r="B12" s="12" t="s">
        <v>213</v>
      </c>
      <c r="G12" s="81"/>
    </row>
    <row r="13" spans="1:19">
      <c r="A13" s="2">
        <v>1</v>
      </c>
      <c r="B13" s="371"/>
      <c r="C13" s="4" t="s">
        <v>52</v>
      </c>
      <c r="D13" s="376">
        <v>-796177.7</v>
      </c>
      <c r="E13" s="376">
        <v>-785153.87</v>
      </c>
      <c r="F13" s="376">
        <v>-784131.87</v>
      </c>
      <c r="G13" s="376">
        <v>-786031.87</v>
      </c>
      <c r="H13" s="376">
        <v>-714675.29</v>
      </c>
      <c r="I13" s="376">
        <v>-707426.83</v>
      </c>
      <c r="J13" s="376">
        <v>-705984.83</v>
      </c>
      <c r="K13" s="376">
        <v>-707099.83</v>
      </c>
      <c r="L13" s="376">
        <v>-705984.83</v>
      </c>
      <c r="M13" s="376">
        <v>-653308.05000000005</v>
      </c>
      <c r="N13" s="376">
        <v>-651712.05000000005</v>
      </c>
      <c r="O13" s="376">
        <v>-651712.05000000005</v>
      </c>
      <c r="P13" s="376">
        <v>-662754.81999999995</v>
      </c>
      <c r="Q13" s="311">
        <f>SUM(D13:P13)/13</f>
        <v>-716319.53</v>
      </c>
      <c r="S13" s="793"/>
    </row>
    <row r="14" spans="1:19">
      <c r="A14" s="54">
        <v>2</v>
      </c>
      <c r="B14" s="372"/>
      <c r="D14" s="77"/>
      <c r="E14" s="42"/>
      <c r="F14" s="42"/>
      <c r="G14" s="77"/>
      <c r="H14" s="77"/>
      <c r="I14" s="42"/>
      <c r="J14" s="42"/>
      <c r="K14" s="42"/>
      <c r="L14" s="42"/>
      <c r="P14" s="311"/>
    </row>
    <row r="15" spans="1:19" ht="15.75">
      <c r="A15" s="2">
        <v>3</v>
      </c>
      <c r="B15" s="12" t="s">
        <v>214</v>
      </c>
      <c r="D15" s="35"/>
      <c r="E15" s="35"/>
      <c r="F15" s="35"/>
      <c r="G15" s="74"/>
      <c r="I15" s="35"/>
      <c r="J15" s="35"/>
      <c r="K15" s="35"/>
      <c r="L15" s="379"/>
      <c r="M15" s="311"/>
      <c r="N15" s="311"/>
      <c r="O15" s="311"/>
      <c r="P15" s="311"/>
    </row>
    <row r="16" spans="1:19">
      <c r="A16" s="54">
        <v>4</v>
      </c>
      <c r="B16" s="371">
        <v>15560</v>
      </c>
      <c r="C16" s="4" t="s">
        <v>52</v>
      </c>
      <c r="D16" s="377">
        <v>0</v>
      </c>
      <c r="E16" s="377">
        <v>0</v>
      </c>
      <c r="F16" s="377">
        <v>0</v>
      </c>
      <c r="G16" s="377">
        <v>0</v>
      </c>
      <c r="H16" s="377">
        <v>0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  <c r="N16" s="377">
        <v>0</v>
      </c>
      <c r="O16" s="377">
        <v>0</v>
      </c>
      <c r="P16" s="376">
        <v>0</v>
      </c>
      <c r="Q16" s="311">
        <f>(SUM(D16:P16))/13</f>
        <v>0</v>
      </c>
    </row>
    <row r="17" spans="1:17">
      <c r="A17" s="2">
        <v>5</v>
      </c>
      <c r="B17" s="373"/>
      <c r="C17" s="4"/>
      <c r="D17" s="77"/>
      <c r="E17" s="42"/>
      <c r="F17" s="42"/>
      <c r="G17" s="77"/>
      <c r="H17" s="77"/>
      <c r="I17" s="74"/>
      <c r="J17" s="74"/>
      <c r="K17" s="74"/>
      <c r="L17" s="378"/>
      <c r="M17" s="311"/>
      <c r="N17" s="311"/>
      <c r="O17" s="311"/>
      <c r="P17" s="311"/>
    </row>
    <row r="18" spans="1:17" ht="15.75">
      <c r="A18" s="54">
        <v>6</v>
      </c>
      <c r="B18" s="12" t="s">
        <v>1116</v>
      </c>
      <c r="C18" s="22"/>
      <c r="D18" s="374"/>
      <c r="E18" s="168"/>
      <c r="F18" s="168"/>
      <c r="G18" s="76"/>
      <c r="H18" s="76"/>
      <c r="I18" s="76"/>
      <c r="J18" s="76"/>
      <c r="K18" s="76"/>
      <c r="L18" s="378"/>
      <c r="M18" s="311"/>
      <c r="N18" s="311"/>
      <c r="O18" s="311"/>
      <c r="P18" s="311"/>
    </row>
    <row r="19" spans="1:17">
      <c r="A19" s="2">
        <v>7</v>
      </c>
      <c r="B19" s="371">
        <v>15560</v>
      </c>
      <c r="C19" s="4" t="s">
        <v>52</v>
      </c>
      <c r="D19" s="381">
        <v>0</v>
      </c>
      <c r="E19" s="381">
        <v>0</v>
      </c>
      <c r="F19" s="381">
        <v>0</v>
      </c>
      <c r="G19" s="381">
        <v>0</v>
      </c>
      <c r="H19" s="381">
        <v>0</v>
      </c>
      <c r="I19" s="381">
        <v>0</v>
      </c>
      <c r="J19" s="381">
        <v>0</v>
      </c>
      <c r="K19" s="381">
        <v>0</v>
      </c>
      <c r="L19" s="381">
        <v>0</v>
      </c>
      <c r="M19" s="381">
        <v>0</v>
      </c>
      <c r="N19" s="381">
        <v>0</v>
      </c>
      <c r="O19" s="381">
        <v>0</v>
      </c>
      <c r="P19" s="381">
        <v>0</v>
      </c>
      <c r="Q19" s="311">
        <f>(SUM(D19:P19))/13</f>
        <v>0</v>
      </c>
    </row>
    <row r="20" spans="1:17">
      <c r="A20" s="54">
        <v>8</v>
      </c>
      <c r="B20" s="373"/>
      <c r="C20" s="4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</row>
    <row r="21" spans="1:17" ht="15.75">
      <c r="A21" s="2">
        <v>9</v>
      </c>
      <c r="B21" s="12" t="s">
        <v>676</v>
      </c>
      <c r="D21" s="35"/>
      <c r="E21" s="35"/>
      <c r="F21" s="35"/>
      <c r="G21" s="74"/>
      <c r="I21" s="35"/>
      <c r="J21" s="35"/>
      <c r="K21" s="35"/>
      <c r="L21" s="379"/>
      <c r="M21" s="311"/>
      <c r="N21" s="311"/>
      <c r="O21" s="311"/>
      <c r="P21" s="311"/>
    </row>
    <row r="22" spans="1:17">
      <c r="A22" s="54">
        <v>10</v>
      </c>
      <c r="B22" s="371">
        <v>15560</v>
      </c>
      <c r="C22" s="4" t="s">
        <v>52</v>
      </c>
      <c r="D22" s="381" t="s">
        <v>1769</v>
      </c>
      <c r="E22" s="381" t="s">
        <v>1769</v>
      </c>
      <c r="F22" s="381" t="s">
        <v>1769</v>
      </c>
      <c r="G22" s="381" t="s">
        <v>1769</v>
      </c>
      <c r="H22" s="381" t="s">
        <v>1769</v>
      </c>
      <c r="I22" s="381" t="s">
        <v>1769</v>
      </c>
      <c r="J22" s="381" t="s">
        <v>1769</v>
      </c>
      <c r="K22" s="381">
        <v>0</v>
      </c>
      <c r="L22" s="381">
        <v>0</v>
      </c>
      <c r="M22" s="381">
        <v>0</v>
      </c>
      <c r="N22" s="381">
        <v>0</v>
      </c>
      <c r="O22" s="381">
        <v>0</v>
      </c>
      <c r="P22" s="381">
        <v>0</v>
      </c>
      <c r="Q22" s="311">
        <f>(SUM(D22:P22))/13</f>
        <v>0</v>
      </c>
    </row>
    <row r="23" spans="1:17">
      <c r="A23" s="2"/>
      <c r="B23" s="372"/>
      <c r="D23" s="77"/>
      <c r="E23" s="42"/>
      <c r="F23" s="42"/>
      <c r="G23" s="77"/>
      <c r="H23" s="77"/>
      <c r="I23" s="77"/>
      <c r="J23" s="77"/>
      <c r="K23" s="77"/>
      <c r="L23" s="378"/>
      <c r="M23" s="311"/>
      <c r="N23" s="311"/>
      <c r="O23" s="311"/>
      <c r="P23" s="311"/>
    </row>
    <row r="24" spans="1:17">
      <c r="A24" s="2"/>
      <c r="D24" s="77"/>
      <c r="E24" s="42"/>
      <c r="F24" s="42"/>
      <c r="G24" s="77"/>
      <c r="H24" s="77"/>
      <c r="I24" s="77"/>
      <c r="J24" s="77"/>
      <c r="K24" s="77"/>
      <c r="L24" s="378"/>
      <c r="M24" s="311"/>
      <c r="N24" s="311"/>
      <c r="O24" s="311"/>
      <c r="P24" s="311"/>
    </row>
    <row r="25" spans="1:17">
      <c r="A25" s="35"/>
      <c r="B25" s="35"/>
      <c r="P25" s="311"/>
    </row>
    <row r="26" spans="1:17">
      <c r="A26" s="35"/>
      <c r="B26" s="35"/>
    </row>
    <row r="27" spans="1:17">
      <c r="A27" s="35"/>
      <c r="B27" s="35"/>
    </row>
    <row r="28" spans="1:17">
      <c r="A28" s="35"/>
      <c r="B28" s="35"/>
    </row>
    <row r="29" spans="1:17">
      <c r="A29" s="35"/>
      <c r="B29" s="35"/>
    </row>
    <row r="30" spans="1:17">
      <c r="A30" s="35"/>
      <c r="B30" s="35"/>
    </row>
    <row r="31" spans="1:17">
      <c r="A31" s="35"/>
      <c r="B31" s="35"/>
    </row>
    <row r="32" spans="1:17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  <row r="42" spans="1:2">
      <c r="A42" s="35"/>
      <c r="B42" s="35"/>
    </row>
  </sheetData>
  <mergeCells count="4">
    <mergeCell ref="A1:Q1"/>
    <mergeCell ref="A2:Q2"/>
    <mergeCell ref="A3:Q3"/>
    <mergeCell ref="A4:Q4"/>
  </mergeCells>
  <phoneticPr fontId="23" type="noConversion"/>
  <printOptions horizontalCentered="1"/>
  <pageMargins left="0.54" right="0.53" top="0.93" bottom="1" header="0.5" footer="0.5"/>
  <pageSetup scale="50" orientation="landscape" verticalDpi="300" r:id="rId1"/>
  <headerFooter alignWithMargins="0">
    <oddFooter>&amp;R&amp;A
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Q41"/>
  <sheetViews>
    <sheetView view="pageBreakPreview" zoomScale="70" zoomScaleNormal="80" zoomScaleSheetLayoutView="70" workbookViewId="0">
      <pane xSplit="3" ySplit="11" topLeftCell="D12" activePane="bottomRight" state="frozen"/>
      <selection activeCell="G63" sqref="G63"/>
      <selection pane="topRight" activeCell="G63" sqref="G63"/>
      <selection pane="bottomLeft" activeCell="G63" sqref="G63"/>
      <selection pane="bottomRight" activeCell="K32" sqref="K32"/>
    </sheetView>
  </sheetViews>
  <sheetFormatPr defaultColWidth="8.44140625" defaultRowHeight="15"/>
  <cols>
    <col min="1" max="1" width="5.77734375" style="1" customWidth="1"/>
    <col min="2" max="2" width="7.109375" style="1" customWidth="1"/>
    <col min="3" max="3" width="44.21875" style="1" customWidth="1"/>
    <col min="4" max="7" width="10.5546875" style="1" bestFit="1" customWidth="1"/>
    <col min="8" max="8" width="10.5546875" style="74" bestFit="1" customWidth="1"/>
    <col min="9" max="15" width="10.5546875" style="1" bestFit="1" customWidth="1"/>
    <col min="16" max="16" width="12" style="1" bestFit="1" customWidth="1"/>
    <col min="17" max="17" width="10" style="1" bestFit="1" customWidth="1"/>
    <col min="18" max="16384" width="8.44140625" style="1"/>
  </cols>
  <sheetData>
    <row r="1" spans="1:17">
      <c r="A1" s="1193" t="str">
        <f>Allocation!A1</f>
        <v>Atmos Energy Corporation, Kentucky/Mid-States Division</v>
      </c>
      <c r="B1" s="1193"/>
      <c r="C1" s="1193"/>
      <c r="D1" s="1193"/>
      <c r="E1" s="1193"/>
      <c r="F1" s="1193"/>
      <c r="G1" s="1193"/>
      <c r="H1" s="1193"/>
      <c r="I1" s="1193"/>
      <c r="J1" s="1193"/>
      <c r="K1" s="1193"/>
      <c r="L1" s="1193"/>
      <c r="M1" s="1193"/>
      <c r="N1" s="1193"/>
      <c r="O1" s="1193"/>
      <c r="P1" s="1193"/>
      <c r="Q1" s="1193"/>
    </row>
    <row r="2" spans="1:17">
      <c r="A2" s="1193" t="str">
        <f>Allocation!A2</f>
        <v>Kentucky Jurisdiction Case No. 2018-00281</v>
      </c>
      <c r="B2" s="1193"/>
      <c r="C2" s="1193"/>
      <c r="D2" s="1193"/>
      <c r="E2" s="1193"/>
      <c r="F2" s="1193"/>
      <c r="G2" s="1193"/>
      <c r="H2" s="1193"/>
      <c r="I2" s="1193"/>
      <c r="J2" s="1193"/>
      <c r="K2" s="1193"/>
      <c r="L2" s="1193"/>
      <c r="M2" s="1193"/>
      <c r="N2" s="1193"/>
      <c r="O2" s="1193"/>
      <c r="P2" s="1193"/>
      <c r="Q2" s="1193"/>
    </row>
    <row r="3" spans="1:17">
      <c r="A3" s="1193" t="s">
        <v>1231</v>
      </c>
      <c r="B3" s="1193"/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3"/>
      <c r="N3" s="1193"/>
      <c r="O3" s="1193"/>
      <c r="P3" s="1193"/>
      <c r="Q3" s="1193"/>
    </row>
    <row r="4" spans="1:17">
      <c r="A4" s="1193" t="str">
        <f>Allocation!A3</f>
        <v>Base Period: Twelve Months Ended December 31, 2018</v>
      </c>
      <c r="B4" s="1193"/>
      <c r="C4" s="1193"/>
      <c r="D4" s="1193"/>
      <c r="E4" s="1193"/>
      <c r="F4" s="1193"/>
      <c r="G4" s="1193"/>
      <c r="H4" s="1193"/>
      <c r="I4" s="1193"/>
      <c r="J4" s="1193"/>
      <c r="K4" s="1193"/>
      <c r="L4" s="1193"/>
      <c r="M4" s="1193"/>
      <c r="N4" s="1193"/>
      <c r="O4" s="1193"/>
      <c r="P4" s="1193"/>
      <c r="Q4" s="1193"/>
    </row>
    <row r="5" spans="1:17">
      <c r="A5" s="31"/>
      <c r="B5" s="30"/>
      <c r="C5" s="30"/>
      <c r="D5" s="30"/>
      <c r="E5" s="30"/>
      <c r="F5" s="30"/>
      <c r="G5" s="30"/>
      <c r="H5" s="370"/>
      <c r="I5" s="30"/>
      <c r="J5" s="30"/>
      <c r="K5" s="30"/>
    </row>
    <row r="6" spans="1:17">
      <c r="A6" s="48" t="str">
        <f>'B.1 F '!A6</f>
        <v>Data:______Base Period__X___Forecasted Period</v>
      </c>
      <c r="B6" s="48"/>
      <c r="C6" s="35"/>
      <c r="P6" s="1" t="s">
        <v>1421</v>
      </c>
    </row>
    <row r="7" spans="1:17">
      <c r="A7" s="48" t="str">
        <f>'B.1 F '!A7</f>
        <v>Type of Filing:___X____Original________Updated ________Revised</v>
      </c>
      <c r="B7" s="35"/>
      <c r="C7" s="48"/>
      <c r="P7" s="1" t="s">
        <v>1167</v>
      </c>
    </row>
    <row r="8" spans="1:17">
      <c r="A8" s="51" t="str">
        <f>'B.1 F '!A8</f>
        <v>Workpaper Reference No(s).</v>
      </c>
      <c r="B8" s="6"/>
      <c r="C8" s="6"/>
      <c r="D8" s="6"/>
      <c r="E8" s="6"/>
      <c r="F8" s="6"/>
      <c r="G8" s="33"/>
      <c r="H8" s="82"/>
      <c r="I8" s="6"/>
      <c r="J8" s="6"/>
      <c r="K8" s="33"/>
      <c r="L8" s="6"/>
      <c r="M8" s="33"/>
      <c r="N8" s="33"/>
      <c r="O8" s="33"/>
      <c r="P8" s="33"/>
      <c r="Q8" s="33"/>
    </row>
    <row r="9" spans="1:17">
      <c r="D9" s="54"/>
      <c r="E9" s="221"/>
      <c r="F9" s="2"/>
      <c r="G9" s="2"/>
      <c r="H9" s="75"/>
      <c r="I9" s="2"/>
      <c r="J9" s="221"/>
      <c r="K9" s="2"/>
    </row>
    <row r="10" spans="1:17">
      <c r="A10" s="2" t="s">
        <v>93</v>
      </c>
      <c r="B10" s="2" t="s">
        <v>94</v>
      </c>
      <c r="D10" s="53" t="s">
        <v>453</v>
      </c>
      <c r="E10" s="786" t="s">
        <v>453</v>
      </c>
      <c r="F10" s="786" t="s">
        <v>453</v>
      </c>
      <c r="G10" s="786" t="s">
        <v>453</v>
      </c>
      <c r="H10" s="786" t="s">
        <v>453</v>
      </c>
      <c r="I10" s="610" t="s">
        <v>43</v>
      </c>
      <c r="J10" s="610" t="s">
        <v>43</v>
      </c>
      <c r="K10" s="610" t="s">
        <v>43</v>
      </c>
      <c r="L10" s="610" t="s">
        <v>43</v>
      </c>
      <c r="M10" s="610" t="s">
        <v>43</v>
      </c>
      <c r="N10" s="610" t="s">
        <v>43</v>
      </c>
      <c r="O10" s="610" t="s">
        <v>43</v>
      </c>
      <c r="P10" s="610" t="s">
        <v>43</v>
      </c>
      <c r="Q10" s="99" t="s">
        <v>315</v>
      </c>
    </row>
    <row r="11" spans="1:17">
      <c r="A11" s="9" t="s">
        <v>99</v>
      </c>
      <c r="B11" s="9" t="s">
        <v>100</v>
      </c>
      <c r="C11" s="6"/>
      <c r="D11" s="348">
        <f>'WP B.4.1F'!C8</f>
        <v>43526</v>
      </c>
      <c r="E11" s="348">
        <f>'WP B.4.1F'!D8</f>
        <v>43556</v>
      </c>
      <c r="F11" s="348">
        <f>'WP B.4.1F'!E8</f>
        <v>43586</v>
      </c>
      <c r="G11" s="348">
        <f>'WP B.4.1F'!F8</f>
        <v>43617</v>
      </c>
      <c r="H11" s="348">
        <f>'WP B.4.1F'!G8</f>
        <v>43647</v>
      </c>
      <c r="I11" s="348">
        <f>'WP B.4.1F'!H8</f>
        <v>43678</v>
      </c>
      <c r="J11" s="348">
        <f>'WP B.4.1F'!I8</f>
        <v>43709</v>
      </c>
      <c r="K11" s="348">
        <f>'WP B.4.1F'!J8</f>
        <v>43739</v>
      </c>
      <c r="L11" s="348">
        <f>'WP B.4.1F'!K8</f>
        <v>43770</v>
      </c>
      <c r="M11" s="348">
        <f>'WP B.4.1F'!L8</f>
        <v>43800</v>
      </c>
      <c r="N11" s="348">
        <f>'WP B.4.1F'!M8</f>
        <v>43831</v>
      </c>
      <c r="O11" s="348">
        <f>'WP B.4.1F'!N8</f>
        <v>43862</v>
      </c>
      <c r="P11" s="348">
        <f>'WP B.4.1F'!O8</f>
        <v>43891</v>
      </c>
      <c r="Q11" s="56" t="s">
        <v>98</v>
      </c>
    </row>
    <row r="12" spans="1:17" ht="15.75">
      <c r="B12" s="12" t="s">
        <v>213</v>
      </c>
      <c r="G12" s="81"/>
    </row>
    <row r="13" spans="1:17">
      <c r="A13" s="2">
        <v>1</v>
      </c>
      <c r="B13" s="371"/>
      <c r="C13" s="4" t="s">
        <v>52</v>
      </c>
      <c r="D13" s="376">
        <v>-747234.09333333327</v>
      </c>
      <c r="E13" s="376">
        <v>-747234.09333333327</v>
      </c>
      <c r="F13" s="376">
        <v>-747234.09333333327</v>
      </c>
      <c r="G13" s="376">
        <v>-747234.09333333327</v>
      </c>
      <c r="H13" s="376">
        <v>-747234.09333333327</v>
      </c>
      <c r="I13" s="376">
        <v>-747234.09333333327</v>
      </c>
      <c r="J13" s="376">
        <v>-747234.09333333327</v>
      </c>
      <c r="K13" s="376">
        <v>-747234.09333333327</v>
      </c>
      <c r="L13" s="376">
        <v>-747234.09333333327</v>
      </c>
      <c r="M13" s="376">
        <v>-747234.09333333327</v>
      </c>
      <c r="N13" s="376">
        <v>-747234.09333333327</v>
      </c>
      <c r="O13" s="376">
        <v>-747234.09333333327</v>
      </c>
      <c r="P13" s="376">
        <v>-747234.09333333327</v>
      </c>
      <c r="Q13" s="1">
        <v>-747234.0933333335</v>
      </c>
    </row>
    <row r="14" spans="1:17">
      <c r="A14" s="54">
        <v>2</v>
      </c>
      <c r="B14" s="372"/>
      <c r="D14" s="77"/>
      <c r="E14" s="77"/>
      <c r="F14" s="77"/>
      <c r="G14" s="77"/>
      <c r="H14" s="77"/>
      <c r="I14" s="77"/>
      <c r="J14" s="77"/>
      <c r="K14" s="77"/>
      <c r="L14" s="77"/>
      <c r="M14" s="81"/>
      <c r="N14" s="81"/>
      <c r="O14" s="81"/>
      <c r="P14" s="429"/>
    </row>
    <row r="15" spans="1:17" ht="15.75">
      <c r="A15" s="2">
        <v>3</v>
      </c>
      <c r="B15" s="12" t="s">
        <v>214</v>
      </c>
      <c r="D15" s="74"/>
      <c r="E15" s="74"/>
      <c r="F15" s="74"/>
      <c r="G15" s="74"/>
      <c r="I15" s="74"/>
      <c r="J15" s="74"/>
      <c r="K15" s="74"/>
      <c r="L15" s="380"/>
      <c r="M15" s="429"/>
      <c r="N15" s="429"/>
      <c r="O15" s="429"/>
      <c r="P15" s="429"/>
    </row>
    <row r="16" spans="1:17">
      <c r="A16" s="54">
        <v>4</v>
      </c>
      <c r="B16" s="371">
        <v>15560</v>
      </c>
      <c r="C16" s="4" t="s">
        <v>52</v>
      </c>
      <c r="D16" s="376">
        <v>0</v>
      </c>
      <c r="E16" s="376">
        <v>0</v>
      </c>
      <c r="F16" s="376">
        <v>0</v>
      </c>
      <c r="G16" s="376">
        <v>0</v>
      </c>
      <c r="H16" s="376">
        <v>0</v>
      </c>
      <c r="I16" s="376">
        <v>0</v>
      </c>
      <c r="J16" s="376">
        <v>0</v>
      </c>
      <c r="K16" s="376">
        <v>0</v>
      </c>
      <c r="L16" s="376">
        <v>0</v>
      </c>
      <c r="M16" s="376">
        <v>0</v>
      </c>
      <c r="N16" s="376">
        <v>0</v>
      </c>
      <c r="O16" s="376">
        <v>0</v>
      </c>
      <c r="P16" s="376">
        <v>0</v>
      </c>
      <c r="Q16" s="1">
        <v>0</v>
      </c>
    </row>
    <row r="17" spans="1:17">
      <c r="A17" s="2">
        <v>5</v>
      </c>
      <c r="B17" s="373"/>
      <c r="C17" s="4"/>
      <c r="D17" s="77"/>
      <c r="E17" s="77"/>
      <c r="F17" s="77"/>
      <c r="G17" s="77"/>
      <c r="H17" s="77"/>
      <c r="I17" s="74"/>
      <c r="J17" s="74"/>
      <c r="K17" s="74"/>
      <c r="L17" s="376"/>
      <c r="M17" s="429"/>
      <c r="N17" s="429"/>
      <c r="O17" s="429"/>
      <c r="P17" s="429"/>
    </row>
    <row r="18" spans="1:17" ht="15.75">
      <c r="A18" s="54">
        <v>6</v>
      </c>
      <c r="B18" s="12" t="s">
        <v>1116</v>
      </c>
      <c r="C18" s="22"/>
      <c r="D18" s="374"/>
      <c r="E18" s="374"/>
      <c r="F18" s="374"/>
      <c r="G18" s="76"/>
      <c r="H18" s="76"/>
      <c r="I18" s="76"/>
      <c r="J18" s="76"/>
      <c r="K18" s="76"/>
      <c r="L18" s="376"/>
      <c r="M18" s="429"/>
      <c r="N18" s="429"/>
      <c r="O18" s="429"/>
      <c r="P18" s="429"/>
    </row>
    <row r="19" spans="1:17">
      <c r="A19" s="2">
        <v>7</v>
      </c>
      <c r="B19" s="371">
        <v>15560</v>
      </c>
      <c r="C19" s="4" t="s">
        <v>52</v>
      </c>
      <c r="D19" s="381">
        <v>0</v>
      </c>
      <c r="E19" s="381">
        <v>0</v>
      </c>
      <c r="F19" s="381">
        <v>0</v>
      </c>
      <c r="G19" s="381">
        <v>0</v>
      </c>
      <c r="H19" s="381">
        <v>0</v>
      </c>
      <c r="I19" s="381">
        <v>0</v>
      </c>
      <c r="J19" s="381">
        <v>0</v>
      </c>
      <c r="K19" s="381">
        <v>0</v>
      </c>
      <c r="L19" s="381">
        <v>0</v>
      </c>
      <c r="M19" s="381">
        <v>0</v>
      </c>
      <c r="N19" s="381">
        <v>0</v>
      </c>
      <c r="O19" s="381">
        <v>0</v>
      </c>
      <c r="P19" s="381">
        <v>0</v>
      </c>
      <c r="Q19" s="1">
        <v>0</v>
      </c>
    </row>
    <row r="20" spans="1:17">
      <c r="A20" s="54">
        <v>8</v>
      </c>
      <c r="B20" s="373"/>
      <c r="C20" s="4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</row>
    <row r="21" spans="1:17" ht="15.75">
      <c r="A21" s="2">
        <v>9</v>
      </c>
      <c r="B21" s="12" t="s">
        <v>676</v>
      </c>
      <c r="D21" s="74"/>
      <c r="E21" s="74"/>
      <c r="F21" s="74"/>
      <c r="G21" s="74"/>
      <c r="I21" s="74"/>
      <c r="J21" s="74"/>
      <c r="K21" s="74"/>
      <c r="L21" s="380"/>
      <c r="M21" s="429"/>
      <c r="N21" s="429"/>
      <c r="O21" s="429"/>
      <c r="P21" s="429"/>
    </row>
    <row r="22" spans="1:17">
      <c r="A22" s="54">
        <v>10</v>
      </c>
      <c r="B22" s="371">
        <v>15560</v>
      </c>
      <c r="C22" s="4" t="s">
        <v>52</v>
      </c>
      <c r="D22" s="376">
        <v>0</v>
      </c>
      <c r="E22" s="376">
        <v>0</v>
      </c>
      <c r="F22" s="376">
        <v>0</v>
      </c>
      <c r="G22" s="376">
        <v>0</v>
      </c>
      <c r="H22" s="376">
        <v>0</v>
      </c>
      <c r="I22" s="376">
        <v>0</v>
      </c>
      <c r="J22" s="376">
        <v>0</v>
      </c>
      <c r="K22" s="376">
        <v>0</v>
      </c>
      <c r="L22" s="376">
        <v>0</v>
      </c>
      <c r="M22" s="376">
        <v>0</v>
      </c>
      <c r="N22" s="376">
        <v>0</v>
      </c>
      <c r="O22" s="376">
        <v>0</v>
      </c>
      <c r="P22" s="376">
        <v>0</v>
      </c>
      <c r="Q22" s="1">
        <v>0</v>
      </c>
    </row>
    <row r="23" spans="1:17">
      <c r="A23" s="2"/>
      <c r="B23" s="372"/>
      <c r="D23" s="77"/>
      <c r="E23" s="42"/>
      <c r="F23" s="42"/>
      <c r="G23" s="77"/>
      <c r="H23" s="77"/>
      <c r="I23" s="77"/>
      <c r="J23" s="77"/>
      <c r="K23" s="77"/>
      <c r="L23" s="378"/>
      <c r="M23" s="311"/>
      <c r="N23" s="311"/>
      <c r="O23" s="311"/>
      <c r="P23" s="311"/>
    </row>
    <row r="24" spans="1:17">
      <c r="A24" s="2"/>
      <c r="D24" s="77"/>
      <c r="E24" s="42"/>
      <c r="F24" s="42"/>
      <c r="G24" s="77"/>
      <c r="H24" s="77"/>
      <c r="I24" s="77"/>
      <c r="J24" s="77"/>
      <c r="K24" s="77"/>
      <c r="L24" s="378"/>
      <c r="M24" s="311"/>
      <c r="N24" s="311"/>
      <c r="O24" s="311"/>
      <c r="P24" s="311"/>
    </row>
    <row r="25" spans="1:17">
      <c r="A25" s="35"/>
      <c r="B25" s="35"/>
    </row>
    <row r="26" spans="1:17">
      <c r="A26" s="35"/>
      <c r="B26" s="35"/>
    </row>
    <row r="27" spans="1:17">
      <c r="A27" s="35"/>
      <c r="B27" s="35"/>
    </row>
    <row r="28" spans="1:17">
      <c r="A28" s="35"/>
      <c r="B28" s="35"/>
    </row>
    <row r="29" spans="1:17">
      <c r="A29" s="35"/>
      <c r="B29" s="35"/>
    </row>
    <row r="30" spans="1:17">
      <c r="A30" s="35"/>
      <c r="B30" s="35"/>
    </row>
    <row r="31" spans="1:17">
      <c r="A31" s="35"/>
      <c r="B31" s="35"/>
    </row>
    <row r="32" spans="1:17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</sheetData>
  <mergeCells count="4">
    <mergeCell ref="A1:Q1"/>
    <mergeCell ref="A2:Q2"/>
    <mergeCell ref="A3:Q3"/>
    <mergeCell ref="A4:Q4"/>
  </mergeCells>
  <phoneticPr fontId="23" type="noConversion"/>
  <printOptions horizontalCentered="1"/>
  <pageMargins left="0.54" right="0.55000000000000004" top="0.87" bottom="1" header="0.5" footer="0.5"/>
  <pageSetup scale="51" orientation="landscape" verticalDpi="300" r:id="rId1"/>
  <headerFooter alignWithMargins="0">
    <oddFooter>&amp;R&amp;A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6"/>
  <sheetViews>
    <sheetView workbookViewId="0">
      <selection activeCell="C41" sqref="C41"/>
    </sheetView>
  </sheetViews>
  <sheetFormatPr defaultRowHeight="15"/>
  <cols>
    <col min="1" max="1" width="13.109375" customWidth="1"/>
    <col min="3" max="3" width="38.6640625" customWidth="1"/>
  </cols>
  <sheetData>
    <row r="1" spans="1:3">
      <c r="A1" s="1188" t="str">
        <f>'Table of Contents'!A1:C1</f>
        <v>Atmos Energy Corporation, Kentucky/Mid-States Division</v>
      </c>
      <c r="B1" s="1188"/>
      <c r="C1" s="1188"/>
    </row>
    <row r="2" spans="1:3">
      <c r="A2" s="1188" t="str">
        <f>'Table of Contents'!A2:C2</f>
        <v>Kentucky Jurisdiction Case No. 2018-00281</v>
      </c>
      <c r="B2" s="1188"/>
      <c r="C2" s="1188"/>
    </row>
    <row r="3" spans="1:3">
      <c r="A3" s="1188" t="str">
        <f>'Table of Contents'!A3:C3</f>
        <v>Base Period: Twelve Months Ended December 31, 2018</v>
      </c>
      <c r="B3" s="1188"/>
      <c r="C3" s="1188"/>
    </row>
    <row r="4" spans="1:3">
      <c r="A4" s="1188" t="str">
        <f>'Table of Contents'!A4:C4</f>
        <v>Forecasted Test Period: Twelve Months Ended March 31, 2020</v>
      </c>
      <c r="B4" s="1188"/>
      <c r="C4" s="1188"/>
    </row>
    <row r="14" spans="1:3" ht="15.75">
      <c r="A14" s="302" t="s">
        <v>58</v>
      </c>
      <c r="B14" s="302" t="s">
        <v>614</v>
      </c>
      <c r="C14" s="302" t="s">
        <v>985</v>
      </c>
    </row>
    <row r="15" spans="1:3">
      <c r="A15" s="78"/>
      <c r="B15" s="40"/>
      <c r="C15" s="40"/>
    </row>
    <row r="16" spans="1:3">
      <c r="A16" s="78" t="s">
        <v>170</v>
      </c>
      <c r="B16" s="78">
        <v>1</v>
      </c>
      <c r="C16" s="78" t="s">
        <v>1000</v>
      </c>
    </row>
  </sheetData>
  <mergeCells count="4">
    <mergeCell ref="A1:C1"/>
    <mergeCell ref="A2:C2"/>
    <mergeCell ref="A3:C3"/>
    <mergeCell ref="A4:C4"/>
  </mergeCells>
  <phoneticPr fontId="23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21"/>
  <sheetViews>
    <sheetView view="pageBreakPreview" zoomScale="60" zoomScaleNormal="100" workbookViewId="0">
      <selection activeCell="E14" sqref="E14"/>
    </sheetView>
  </sheetViews>
  <sheetFormatPr defaultRowHeight="15"/>
  <cols>
    <col min="1" max="1" width="13.109375" customWidth="1"/>
    <col min="3" max="3" width="51.21875" customWidth="1"/>
  </cols>
  <sheetData>
    <row r="1" spans="1:3">
      <c r="A1" s="1188" t="str">
        <f>'Table of Contents'!A1:C1</f>
        <v>Atmos Energy Corporation, Kentucky/Mid-States Division</v>
      </c>
      <c r="B1" s="1188"/>
      <c r="C1" s="1188"/>
    </row>
    <row r="2" spans="1:3">
      <c r="A2" s="1188" t="str">
        <f>'Table of Contents'!A2:C2</f>
        <v>Kentucky Jurisdiction Case No. 2018-00281</v>
      </c>
      <c r="B2" s="1188"/>
      <c r="C2" s="1188"/>
    </row>
    <row r="3" spans="1:3">
      <c r="A3" s="1188" t="str">
        <f>'Table of Contents'!A3:C3</f>
        <v>Base Period: Twelve Months Ended December 31, 2018</v>
      </c>
      <c r="B3" s="1188"/>
      <c r="C3" s="1188"/>
    </row>
    <row r="4" spans="1:3">
      <c r="A4" s="1188" t="str">
        <f>'Table of Contents'!A4:C4</f>
        <v>Forecasted Test Period: Twelve Months Ended March 31, 2020</v>
      </c>
      <c r="B4" s="1188"/>
      <c r="C4" s="1188"/>
    </row>
    <row r="9" spans="1:3" ht="15.75">
      <c r="A9" s="1204" t="s">
        <v>1423</v>
      </c>
      <c r="B9" s="1204"/>
      <c r="C9" s="1204"/>
    </row>
    <row r="11" spans="1:3" ht="15.75">
      <c r="A11" s="1192" t="s">
        <v>59</v>
      </c>
      <c r="B11" s="1192"/>
      <c r="C11" s="1192"/>
    </row>
    <row r="14" spans="1:3">
      <c r="A14" s="222" t="s">
        <v>58</v>
      </c>
      <c r="B14" s="520" t="s">
        <v>614</v>
      </c>
      <c r="C14" s="60" t="s">
        <v>985</v>
      </c>
    </row>
    <row r="15" spans="1:3">
      <c r="A15" s="78"/>
      <c r="B15" s="195"/>
      <c r="C15" s="40"/>
    </row>
    <row r="16" spans="1:3">
      <c r="A16" s="226" t="s">
        <v>369</v>
      </c>
      <c r="B16" s="460">
        <v>1</v>
      </c>
      <c r="C16" s="40" t="s">
        <v>59</v>
      </c>
    </row>
    <row r="17" spans="1:3">
      <c r="A17" s="226" t="s">
        <v>140</v>
      </c>
      <c r="B17" s="460">
        <v>1</v>
      </c>
      <c r="C17" s="40" t="s">
        <v>124</v>
      </c>
    </row>
    <row r="18" spans="1:3">
      <c r="A18" s="226" t="s">
        <v>1168</v>
      </c>
      <c r="B18" s="460">
        <v>10</v>
      </c>
      <c r="C18" s="40" t="s">
        <v>1138</v>
      </c>
    </row>
    <row r="19" spans="1:3">
      <c r="A19" s="226" t="s">
        <v>3</v>
      </c>
      <c r="B19" s="460">
        <v>10</v>
      </c>
      <c r="C19" s="40" t="s">
        <v>460</v>
      </c>
    </row>
    <row r="20" spans="1:3">
      <c r="A20" s="226" t="s">
        <v>459</v>
      </c>
      <c r="B20" s="460">
        <v>2</v>
      </c>
      <c r="C20" t="s">
        <v>461</v>
      </c>
    </row>
    <row r="21" spans="1:3">
      <c r="B21" s="80"/>
    </row>
  </sheetData>
  <mergeCells count="6">
    <mergeCell ref="A9:C9"/>
    <mergeCell ref="A11:C11"/>
    <mergeCell ref="A1:C1"/>
    <mergeCell ref="A2:C2"/>
    <mergeCell ref="A3:C3"/>
    <mergeCell ref="A4:C4"/>
  </mergeCells>
  <phoneticPr fontId="23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X35"/>
  <sheetViews>
    <sheetView view="pageBreakPreview" zoomScale="80" zoomScaleNormal="90" zoomScaleSheetLayoutView="80" workbookViewId="0">
      <selection activeCell="F23" sqref="F23"/>
    </sheetView>
  </sheetViews>
  <sheetFormatPr defaultColWidth="10.109375" defaultRowHeight="15"/>
  <cols>
    <col min="1" max="1" width="5.21875" style="40" customWidth="1"/>
    <col min="2" max="2" width="2.21875" style="40" customWidth="1"/>
    <col min="3" max="3" width="26.109375" style="40" customWidth="1"/>
    <col min="4" max="4" width="13.21875" style="40" customWidth="1"/>
    <col min="5" max="5" width="2.33203125" style="40" customWidth="1"/>
    <col min="6" max="6" width="13.21875" style="40" customWidth="1"/>
    <col min="7" max="7" width="2.109375" style="40" customWidth="1"/>
    <col min="8" max="8" width="12.88671875" style="40" customWidth="1"/>
    <col min="9" max="9" width="2.109375" style="40" customWidth="1"/>
    <col min="10" max="10" width="13.88671875" style="40" customWidth="1"/>
    <col min="11" max="11" width="4.88671875" style="40" customWidth="1"/>
    <col min="12" max="12" width="6.5546875" style="40" bestFit="1" customWidth="1"/>
    <col min="13" max="13" width="11.109375" style="40" customWidth="1"/>
    <col min="14" max="14" width="8" style="40" bestFit="1" customWidth="1"/>
    <col min="15" max="15" width="12" style="40" customWidth="1"/>
    <col min="16" max="16" width="10.109375" style="40" customWidth="1"/>
    <col min="17" max="17" width="3.21875" style="40" customWidth="1"/>
    <col min="18" max="18" width="11.88671875" style="40" customWidth="1"/>
    <col min="19" max="19" width="1.33203125" style="40" customWidth="1"/>
    <col min="20" max="20" width="12.33203125" style="40" customWidth="1"/>
    <col min="21" max="21" width="1.6640625" style="40" customWidth="1"/>
    <col min="22" max="22" width="10.5546875" style="40" bestFit="1" customWidth="1"/>
    <col min="23" max="23" width="0.88671875" style="40" customWidth="1"/>
    <col min="24" max="24" width="10.44140625" style="40" bestFit="1" customWidth="1"/>
    <col min="25" max="16384" width="10.109375" style="40"/>
  </cols>
  <sheetData>
    <row r="1" spans="1:24" s="1" customFormat="1">
      <c r="A1" s="1205" t="str">
        <f>'Table of Contents'!A1:C1</f>
        <v>Atmos Energy Corporation, Kentucky/Mid-States Division</v>
      </c>
      <c r="B1" s="1205"/>
      <c r="C1" s="1205"/>
      <c r="D1" s="1205"/>
      <c r="E1" s="1205"/>
      <c r="F1" s="1205"/>
      <c r="G1" s="1205"/>
      <c r="H1" s="1205"/>
      <c r="I1" s="1205"/>
      <c r="J1" s="1205"/>
    </row>
    <row r="2" spans="1:24" s="1" customFormat="1">
      <c r="A2" s="1205" t="str">
        <f>'Table of Contents'!A2:C2</f>
        <v>Kentucky Jurisdiction Case No. 2018-00281</v>
      </c>
      <c r="B2" s="1205"/>
      <c r="C2" s="1205"/>
      <c r="D2" s="1205"/>
      <c r="E2" s="1205"/>
      <c r="F2" s="1205"/>
      <c r="G2" s="1205"/>
      <c r="H2" s="1205"/>
      <c r="I2" s="1205"/>
      <c r="J2" s="1205"/>
    </row>
    <row r="3" spans="1:24" s="1" customFormat="1">
      <c r="A3" s="1205" t="s">
        <v>59</v>
      </c>
      <c r="B3" s="1205"/>
      <c r="C3" s="1205"/>
      <c r="D3" s="1205"/>
      <c r="E3" s="1205"/>
      <c r="F3" s="1205"/>
      <c r="G3" s="1205"/>
      <c r="H3" s="1205"/>
      <c r="I3" s="1205"/>
      <c r="J3" s="1205"/>
    </row>
    <row r="4" spans="1:24" s="1" customFormat="1">
      <c r="A4" s="1205" t="str">
        <f>'Table of Contents'!A4:C4</f>
        <v>Forecasted Test Period: Twelve Months Ended March 31, 2020</v>
      </c>
      <c r="B4" s="1205"/>
      <c r="C4" s="1205"/>
      <c r="D4" s="1205"/>
      <c r="E4" s="1205"/>
      <c r="F4" s="1205"/>
      <c r="G4" s="1205"/>
      <c r="H4" s="1205"/>
      <c r="I4" s="1205"/>
      <c r="J4" s="1205"/>
    </row>
    <row r="5" spans="1:24" s="1" customFormat="1">
      <c r="A5" s="435"/>
      <c r="B5" s="435"/>
      <c r="C5" s="435"/>
      <c r="D5" s="435"/>
      <c r="E5" s="435"/>
      <c r="F5" s="435"/>
      <c r="G5" s="435"/>
      <c r="H5" s="435"/>
      <c r="I5" s="435"/>
      <c r="J5" s="435"/>
    </row>
    <row r="6" spans="1:24" s="1" customFormat="1"/>
    <row r="7" spans="1:24" s="1" customFormat="1">
      <c r="A7" s="4" t="s">
        <v>860</v>
      </c>
      <c r="I7" s="4"/>
      <c r="J7" s="375" t="s">
        <v>1424</v>
      </c>
    </row>
    <row r="8" spans="1:24" s="1" customFormat="1">
      <c r="A8" s="4" t="s">
        <v>615</v>
      </c>
      <c r="H8" s="4"/>
      <c r="I8" s="4"/>
      <c r="J8" s="488" t="s">
        <v>265</v>
      </c>
    </row>
    <row r="9" spans="1:24" s="1" customFormat="1">
      <c r="A9" s="5" t="s">
        <v>365</v>
      </c>
      <c r="B9" s="6"/>
      <c r="C9" s="6"/>
      <c r="D9" s="6"/>
      <c r="E9" s="6"/>
      <c r="F9" s="6"/>
      <c r="G9" s="6"/>
      <c r="H9" s="5"/>
      <c r="I9" s="5"/>
      <c r="J9" s="549" t="s">
        <v>1683</v>
      </c>
    </row>
    <row r="10" spans="1:24" s="1" customFormat="1">
      <c r="D10" s="54" t="s">
        <v>44</v>
      </c>
      <c r="F10" s="2" t="s">
        <v>43</v>
      </c>
      <c r="J10" s="2" t="s">
        <v>43</v>
      </c>
      <c r="R10" s="735"/>
      <c r="S10" s="735"/>
      <c r="T10" s="735"/>
      <c r="U10" s="735"/>
      <c r="V10" s="735"/>
      <c r="W10" s="735"/>
      <c r="X10" s="735"/>
    </row>
    <row r="11" spans="1:24" s="1" customFormat="1">
      <c r="A11" s="2" t="s">
        <v>93</v>
      </c>
      <c r="D11" s="2" t="s">
        <v>429</v>
      </c>
      <c r="F11" s="2" t="s">
        <v>429</v>
      </c>
      <c r="H11" s="2" t="s">
        <v>396</v>
      </c>
      <c r="J11" s="2" t="s">
        <v>429</v>
      </c>
      <c r="R11" s="735"/>
      <c r="S11" s="735"/>
      <c r="T11" s="735"/>
      <c r="U11" s="735"/>
      <c r="V11" s="735"/>
      <c r="W11" s="735"/>
      <c r="X11" s="735"/>
    </row>
    <row r="12" spans="1:24">
      <c r="A12" s="9" t="s">
        <v>99</v>
      </c>
      <c r="B12" s="6"/>
      <c r="C12" s="5" t="s">
        <v>985</v>
      </c>
      <c r="D12" s="9" t="s">
        <v>427</v>
      </c>
      <c r="E12" s="6"/>
      <c r="F12" s="9" t="s">
        <v>427</v>
      </c>
      <c r="G12" s="6"/>
      <c r="H12" s="9" t="s">
        <v>1111</v>
      </c>
      <c r="I12" s="6"/>
      <c r="J12" s="9" t="s">
        <v>428</v>
      </c>
      <c r="K12" s="1"/>
      <c r="L12" s="735"/>
      <c r="M12" s="1"/>
      <c r="N12" s="1"/>
      <c r="O12" s="743"/>
      <c r="P12" s="744"/>
      <c r="R12" s="735"/>
      <c r="S12" s="735"/>
      <c r="T12" s="735"/>
      <c r="U12" s="735"/>
      <c r="V12" s="745"/>
      <c r="W12" s="745"/>
      <c r="X12" s="735"/>
    </row>
    <row r="13" spans="1:24">
      <c r="D13" s="188"/>
      <c r="F13" s="188"/>
      <c r="H13" s="188"/>
      <c r="J13" s="188"/>
      <c r="L13" s="735"/>
      <c r="O13" s="744"/>
      <c r="P13" s="744"/>
      <c r="R13" s="746"/>
      <c r="S13" s="735"/>
      <c r="T13" s="735"/>
      <c r="U13" s="735"/>
      <c r="V13" s="746"/>
      <c r="W13" s="746"/>
      <c r="X13" s="735"/>
    </row>
    <row r="14" spans="1:24">
      <c r="F14" s="195"/>
      <c r="L14" s="735"/>
      <c r="O14" s="665"/>
      <c r="P14" s="665"/>
      <c r="R14" s="735"/>
      <c r="S14" s="735"/>
      <c r="T14" s="735"/>
      <c r="U14" s="735"/>
      <c r="V14" s="735"/>
      <c r="W14" s="735"/>
      <c r="X14" s="735"/>
    </row>
    <row r="15" spans="1:24">
      <c r="A15" s="188">
        <v>1</v>
      </c>
      <c r="C15" s="180" t="s">
        <v>738</v>
      </c>
      <c r="D15" s="307">
        <f>+'C.2'!D14</f>
        <v>180854481.05000001</v>
      </c>
      <c r="E15" s="195"/>
      <c r="F15" s="307">
        <f>'C.2'!O14</f>
        <v>169717865.83695579</v>
      </c>
      <c r="G15" s="187"/>
      <c r="H15" s="475">
        <f>A.1!G30</f>
        <v>15973418</v>
      </c>
      <c r="I15" s="187"/>
      <c r="J15" s="475">
        <f>+F15+H15</f>
        <v>185691283.83695579</v>
      </c>
      <c r="K15" s="187"/>
      <c r="L15" s="759"/>
      <c r="M15" s="475"/>
      <c r="N15" s="187"/>
      <c r="O15" s="668"/>
      <c r="P15" s="666"/>
      <c r="Q15" s="187"/>
      <c r="R15" s="747"/>
      <c r="S15" s="747"/>
      <c r="T15" s="747"/>
      <c r="U15" s="735"/>
      <c r="V15" s="735"/>
      <c r="W15" s="735"/>
      <c r="X15" s="735"/>
    </row>
    <row r="16" spans="1:24">
      <c r="D16" s="195"/>
      <c r="E16" s="195"/>
      <c r="F16" s="223"/>
      <c r="G16" s="187"/>
      <c r="H16" s="187"/>
      <c r="I16" s="187"/>
      <c r="J16" s="187"/>
      <c r="K16" s="187"/>
      <c r="L16" s="753"/>
      <c r="M16" s="187"/>
      <c r="N16" s="187"/>
      <c r="O16" s="667"/>
      <c r="P16" s="666"/>
      <c r="Q16" s="187"/>
      <c r="R16" s="748"/>
      <c r="S16" s="748"/>
      <c r="T16" s="749"/>
      <c r="U16" s="735"/>
      <c r="V16" s="735"/>
      <c r="W16" s="735"/>
      <c r="X16" s="735"/>
    </row>
    <row r="17" spans="1:24">
      <c r="A17" s="188">
        <v>2</v>
      </c>
      <c r="C17" s="180" t="s">
        <v>990</v>
      </c>
      <c r="D17" s="195"/>
      <c r="E17" s="195"/>
      <c r="F17" s="223"/>
      <c r="G17" s="187"/>
      <c r="H17" s="187"/>
      <c r="I17" s="187"/>
      <c r="J17" s="187"/>
      <c r="K17" s="187"/>
      <c r="L17" s="753"/>
      <c r="M17" s="187"/>
      <c r="N17" s="187"/>
      <c r="O17" s="667"/>
      <c r="P17" s="666"/>
      <c r="Q17" s="187"/>
      <c r="R17" s="748"/>
      <c r="S17" s="748"/>
      <c r="T17" s="749"/>
      <c r="U17" s="735"/>
      <c r="V17" s="735"/>
      <c r="W17" s="735"/>
      <c r="X17" s="735"/>
    </row>
    <row r="18" spans="1:24">
      <c r="A18" s="188">
        <v>3</v>
      </c>
      <c r="C18" s="249" t="s">
        <v>24</v>
      </c>
      <c r="D18" s="309">
        <f>+'C.2'!D17</f>
        <v>89006235.689999998</v>
      </c>
      <c r="E18" s="512"/>
      <c r="F18" s="309">
        <f>'C.2'!O17</f>
        <v>78382354.15325588</v>
      </c>
      <c r="G18" s="309"/>
      <c r="H18" s="309"/>
      <c r="I18" s="309"/>
      <c r="J18" s="309">
        <f>+F18+H18</f>
        <v>78382354.15325588</v>
      </c>
      <c r="K18" s="187"/>
      <c r="L18" s="759"/>
      <c r="M18" s="187"/>
      <c r="O18" s="668"/>
      <c r="P18" s="666"/>
      <c r="Q18" s="187"/>
      <c r="R18" s="747"/>
      <c r="S18" s="750"/>
      <c r="T18" s="747"/>
      <c r="U18" s="735"/>
      <c r="V18" s="735"/>
      <c r="W18" s="735"/>
      <c r="X18" s="735"/>
    </row>
    <row r="19" spans="1:24">
      <c r="A19" s="188">
        <v>4</v>
      </c>
      <c r="C19" s="249" t="s">
        <v>457</v>
      </c>
      <c r="D19" s="309">
        <f>SUM('C.2'!D18:D25)</f>
        <v>29337924</v>
      </c>
      <c r="E19" s="512"/>
      <c r="F19" s="309">
        <f>SUM('C.2'!O18:O25)</f>
        <v>27221546.353791106</v>
      </c>
      <c r="G19" s="309"/>
      <c r="H19" s="309">
        <f>+(H15*H.1!E19)</f>
        <v>79867.09</v>
      </c>
      <c r="I19" s="309"/>
      <c r="J19" s="309">
        <f>+F19+H19</f>
        <v>27301413.443791106</v>
      </c>
      <c r="K19" s="187"/>
      <c r="L19" s="759"/>
      <c r="M19" s="666"/>
      <c r="N19" s="741"/>
      <c r="O19" s="668"/>
      <c r="P19" s="666"/>
      <c r="Q19" s="187"/>
      <c r="R19" s="747"/>
      <c r="S19" s="750"/>
      <c r="T19" s="747"/>
      <c r="U19" s="735"/>
      <c r="V19" s="735"/>
      <c r="W19" s="735"/>
      <c r="X19" s="735"/>
    </row>
    <row r="20" spans="1:24">
      <c r="A20" s="188">
        <v>5</v>
      </c>
      <c r="C20" s="180" t="s">
        <v>1051</v>
      </c>
      <c r="D20" s="309">
        <f>+'C.2'!D26</f>
        <v>20792783.009999998</v>
      </c>
      <c r="E20" s="512"/>
      <c r="F20" s="309">
        <f>+'C.2'!O26</f>
        <v>23102095.980525177</v>
      </c>
      <c r="G20" s="523"/>
      <c r="H20" s="309"/>
      <c r="I20" s="523"/>
      <c r="J20" s="523">
        <f>+F20+H20</f>
        <v>23102095.980525177</v>
      </c>
      <c r="K20" s="187"/>
      <c r="L20" s="759"/>
      <c r="M20" s="187"/>
      <c r="N20" s="742"/>
      <c r="O20" s="668"/>
      <c r="P20" s="666"/>
      <c r="Q20" s="187"/>
      <c r="R20" s="747"/>
      <c r="S20" s="750"/>
      <c r="T20" s="747"/>
      <c r="U20" s="735"/>
      <c r="V20" s="735"/>
      <c r="W20" s="735"/>
      <c r="X20" s="735"/>
    </row>
    <row r="21" spans="1:24">
      <c r="A21" s="188">
        <v>6</v>
      </c>
      <c r="C21" s="180" t="s">
        <v>626</v>
      </c>
      <c r="D21" s="309">
        <f>+'C.2'!D27</f>
        <v>6454875.1700000009</v>
      </c>
      <c r="E21" s="512"/>
      <c r="F21" s="309">
        <f>+'C.2'!O27</f>
        <v>7449243.0489659142</v>
      </c>
      <c r="G21" s="523"/>
      <c r="H21" s="309">
        <f>(H15*H.1!E21)</f>
        <v>31946.835999999999</v>
      </c>
      <c r="I21" s="523"/>
      <c r="J21" s="523">
        <f>+F21+H21</f>
        <v>7481189.8849659143</v>
      </c>
      <c r="K21" s="187"/>
      <c r="L21" s="759"/>
      <c r="M21" s="666"/>
      <c r="N21" s="741"/>
      <c r="O21" s="668"/>
      <c r="P21" s="666"/>
      <c r="Q21" s="187"/>
      <c r="R21" s="747"/>
      <c r="S21" s="750"/>
      <c r="T21" s="747"/>
      <c r="U21" s="735"/>
      <c r="V21" s="735"/>
      <c r="W21" s="735"/>
      <c r="X21" s="735"/>
    </row>
    <row r="22" spans="1:24">
      <c r="A22" s="188">
        <v>7</v>
      </c>
      <c r="C22" s="180"/>
      <c r="D22" s="405"/>
      <c r="E22" s="405"/>
      <c r="F22" s="523"/>
      <c r="G22" s="523"/>
      <c r="H22" s="309"/>
      <c r="I22" s="523"/>
      <c r="J22" s="523"/>
      <c r="K22" s="187"/>
      <c r="L22" s="753"/>
      <c r="M22" s="187"/>
      <c r="O22" s="668"/>
      <c r="P22" s="666"/>
      <c r="Q22" s="187"/>
      <c r="R22" s="751"/>
      <c r="S22" s="751"/>
      <c r="T22" s="752"/>
      <c r="U22" s="735"/>
      <c r="V22" s="735"/>
      <c r="W22" s="735"/>
      <c r="X22" s="735"/>
    </row>
    <row r="23" spans="1:24">
      <c r="A23" s="188">
        <v>8</v>
      </c>
      <c r="C23" s="180" t="s">
        <v>304</v>
      </c>
      <c r="D23" s="524">
        <f>+E!E23</f>
        <v>6533331.729108762</v>
      </c>
      <c r="E23" s="405"/>
      <c r="F23" s="524">
        <f>E!G23</f>
        <v>6037301.5638750596</v>
      </c>
      <c r="G23" s="523"/>
      <c r="H23" s="524">
        <f>((+H15-H19-H21)*0.05)+((+H15-H19-H21-((+H15-H19-H21)*0.05))*0.21)</f>
        <v>3957470.216463</v>
      </c>
      <c r="I23" s="523"/>
      <c r="J23" s="525">
        <f>+F23+H23</f>
        <v>9994771.7803380601</v>
      </c>
      <c r="K23" s="187"/>
      <c r="L23" s="759"/>
      <c r="M23" s="187"/>
      <c r="N23" s="187"/>
      <c r="O23" s="668"/>
      <c r="P23" s="666"/>
      <c r="Q23" s="187"/>
      <c r="R23" s="747"/>
      <c r="S23" s="750"/>
      <c r="T23" s="747"/>
      <c r="U23" s="735"/>
      <c r="V23" s="735"/>
      <c r="W23" s="735"/>
      <c r="X23" s="735"/>
    </row>
    <row r="24" spans="1:24">
      <c r="A24" s="188">
        <v>9</v>
      </c>
      <c r="C24" s="180" t="s">
        <v>1120</v>
      </c>
      <c r="D24" s="475">
        <f>SUM(D18:D23)</f>
        <v>152125149.59910873</v>
      </c>
      <c r="F24" s="307">
        <f>SUM(F18:F23)</f>
        <v>142192541.10041311</v>
      </c>
      <c r="G24" s="187"/>
      <c r="H24" s="475">
        <f>SUM(H18:H23)</f>
        <v>4069284.142463</v>
      </c>
      <c r="I24" s="187"/>
      <c r="J24" s="475">
        <f>SUM(J18:J23)</f>
        <v>146261825.24287614</v>
      </c>
      <c r="K24" s="187"/>
      <c r="L24" s="759"/>
      <c r="M24" s="187"/>
      <c r="N24" s="187"/>
      <c r="O24" s="668"/>
      <c r="P24" s="666"/>
      <c r="Q24" s="187"/>
      <c r="R24" s="747"/>
      <c r="S24" s="750"/>
      <c r="T24" s="747"/>
      <c r="U24" s="735"/>
      <c r="V24" s="735"/>
      <c r="W24" s="735"/>
      <c r="X24" s="735"/>
    </row>
    <row r="25" spans="1:24">
      <c r="D25" s="187"/>
      <c r="F25" s="223"/>
      <c r="G25" s="187"/>
      <c r="H25" s="187"/>
      <c r="I25" s="187"/>
      <c r="J25" s="187"/>
      <c r="K25" s="187"/>
      <c r="L25" s="753"/>
      <c r="M25" s="187"/>
      <c r="N25" s="187"/>
      <c r="O25" s="667"/>
      <c r="P25" s="666"/>
      <c r="Q25" s="187"/>
      <c r="R25" s="747"/>
      <c r="S25" s="750"/>
      <c r="T25" s="747"/>
      <c r="U25" s="735"/>
      <c r="V25" s="735"/>
      <c r="W25" s="735"/>
      <c r="X25" s="735"/>
    </row>
    <row r="26" spans="1:24" ht="15.75" thickBot="1">
      <c r="A26" s="188">
        <v>10</v>
      </c>
      <c r="C26" s="180" t="s">
        <v>793</v>
      </c>
      <c r="D26" s="521">
        <f>D15-D24</f>
        <v>28729331.450891286</v>
      </c>
      <c r="F26" s="522">
        <f>F15-F24</f>
        <v>27525324.736542672</v>
      </c>
      <c r="G26" s="187"/>
      <c r="H26" s="522">
        <f>H15-H24</f>
        <v>11904133.857537</v>
      </c>
      <c r="I26" s="187"/>
      <c r="J26" s="521">
        <f>J15-J24</f>
        <v>39429458.594079643</v>
      </c>
      <c r="K26" s="187"/>
      <c r="L26" s="759"/>
      <c r="M26" s="187"/>
      <c r="N26" s="187"/>
      <c r="O26" s="668"/>
      <c r="P26" s="666"/>
      <c r="Q26" s="187"/>
      <c r="R26" s="747"/>
      <c r="S26" s="750"/>
      <c r="T26" s="747"/>
      <c r="U26" s="735"/>
      <c r="V26" s="735"/>
      <c r="W26" s="735"/>
      <c r="X26" s="735"/>
    </row>
    <row r="27" spans="1:24" ht="15.75" thickTop="1">
      <c r="F27" s="223"/>
      <c r="G27" s="187"/>
      <c r="H27" s="187"/>
      <c r="I27" s="187"/>
      <c r="J27" s="187"/>
      <c r="K27" s="187"/>
      <c r="L27" s="753"/>
      <c r="M27" s="187"/>
      <c r="N27" s="187"/>
      <c r="O27" s="187"/>
      <c r="P27" s="187"/>
      <c r="Q27" s="187"/>
      <c r="R27" s="735"/>
      <c r="S27" s="751"/>
      <c r="T27" s="749"/>
      <c r="U27" s="735"/>
      <c r="V27" s="735"/>
      <c r="W27" s="735"/>
      <c r="X27" s="735"/>
    </row>
    <row r="28" spans="1:24">
      <c r="A28" s="188">
        <v>11</v>
      </c>
      <c r="C28" s="180" t="s">
        <v>271</v>
      </c>
      <c r="D28" s="309">
        <f>+'B.1 B'!F27</f>
        <v>434304539.08798397</v>
      </c>
      <c r="E28" s="405"/>
      <c r="F28" s="309">
        <f>+'B.1 F '!F27</f>
        <v>495967912.94717216</v>
      </c>
      <c r="G28" s="523"/>
      <c r="H28" s="523"/>
      <c r="I28" s="523"/>
      <c r="J28" s="523">
        <f>+'B.1 F '!F27</f>
        <v>495967912.94717216</v>
      </c>
      <c r="K28" s="187"/>
      <c r="L28" s="753"/>
      <c r="M28" s="187"/>
      <c r="N28" s="187"/>
      <c r="O28" s="187"/>
      <c r="P28" s="187"/>
      <c r="Q28" s="187"/>
      <c r="R28" s="747"/>
      <c r="S28" s="751"/>
      <c r="T28" s="747"/>
      <c r="U28" s="735"/>
      <c r="V28" s="735"/>
      <c r="W28" s="735"/>
      <c r="X28" s="735"/>
    </row>
    <row r="29" spans="1:24"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735"/>
      <c r="S29" s="735"/>
      <c r="T29" s="753"/>
      <c r="U29" s="735"/>
      <c r="V29" s="735"/>
      <c r="W29" s="735"/>
      <c r="X29" s="735"/>
    </row>
    <row r="30" spans="1:24">
      <c r="A30" s="188">
        <v>12</v>
      </c>
      <c r="C30" s="180" t="s">
        <v>737</v>
      </c>
      <c r="D30" s="303">
        <f>(D26/D28)</f>
        <v>6.6150198455722634E-2</v>
      </c>
      <c r="F30" s="303">
        <f>(F26/F28)</f>
        <v>5.5498196592960888E-2</v>
      </c>
      <c r="H30" s="227"/>
      <c r="J30" s="303">
        <f>(J26/J28)</f>
        <v>7.9500019184264165E-2</v>
      </c>
      <c r="K30" s="187"/>
      <c r="L30" s="187"/>
      <c r="M30" s="187"/>
      <c r="R30" s="754"/>
      <c r="S30" s="735"/>
      <c r="T30" s="754"/>
      <c r="U30" s="735"/>
      <c r="V30" s="754"/>
      <c r="W30" s="754"/>
      <c r="X30" s="754"/>
    </row>
    <row r="31" spans="1:24">
      <c r="F31" s="187"/>
      <c r="H31" s="227"/>
      <c r="J31" s="187"/>
      <c r="K31" s="187"/>
      <c r="L31" s="187"/>
      <c r="M31" s="187"/>
      <c r="R31" s="735"/>
      <c r="S31" s="735"/>
      <c r="T31" s="735"/>
      <c r="U31" s="735"/>
      <c r="V31" s="735"/>
      <c r="W31" s="735"/>
      <c r="X31" s="735"/>
    </row>
    <row r="32" spans="1:24">
      <c r="F32" s="187"/>
      <c r="H32" s="187"/>
      <c r="J32" s="187"/>
      <c r="K32" s="187"/>
      <c r="L32" s="187"/>
      <c r="M32" s="187"/>
      <c r="R32" s="735"/>
      <c r="S32" s="735"/>
      <c r="T32" s="735"/>
      <c r="U32" s="735"/>
      <c r="V32" s="735"/>
      <c r="W32" s="735"/>
      <c r="X32" s="735"/>
    </row>
    <row r="33" spans="3:24">
      <c r="C33" s="671"/>
      <c r="D33" s="672"/>
      <c r="E33" s="672"/>
      <c r="F33" s="672"/>
      <c r="G33" s="672"/>
      <c r="H33" s="672"/>
      <c r="I33" s="672"/>
      <c r="J33" s="672"/>
      <c r="K33" s="187"/>
      <c r="L33" s="187"/>
      <c r="M33" s="187"/>
      <c r="R33" s="735"/>
      <c r="S33" s="735"/>
      <c r="T33" s="735"/>
      <c r="U33" s="735"/>
      <c r="V33" s="735"/>
      <c r="W33" s="735"/>
      <c r="X33" s="735"/>
    </row>
    <row r="34" spans="3:24">
      <c r="F34" s="187"/>
      <c r="K34" s="187"/>
      <c r="L34" s="187"/>
      <c r="M34" s="187"/>
    </row>
    <row r="35" spans="3:24">
      <c r="F35" s="187"/>
      <c r="K35" s="187"/>
      <c r="L35" s="187"/>
      <c r="M35" s="187"/>
    </row>
  </sheetData>
  <mergeCells count="4">
    <mergeCell ref="A1:J1"/>
    <mergeCell ref="A2:J2"/>
    <mergeCell ref="A3:J3"/>
    <mergeCell ref="A4:J4"/>
  </mergeCells>
  <phoneticPr fontId="23" type="noConversion"/>
  <printOptions horizontalCentered="1"/>
  <pageMargins left="0.75" right="0.69" top="0.8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W95"/>
  <sheetViews>
    <sheetView view="pageBreakPreview" zoomScale="70" zoomScaleNormal="90" zoomScaleSheetLayoutView="70" workbookViewId="0">
      <selection activeCell="S39" sqref="S39"/>
    </sheetView>
  </sheetViews>
  <sheetFormatPr defaultColWidth="7.109375" defaultRowHeight="15"/>
  <cols>
    <col min="1" max="1" width="3.5546875" style="40" customWidth="1"/>
    <col min="2" max="2" width="2.21875" style="40" customWidth="1"/>
    <col min="3" max="3" width="27.5546875" style="40" customWidth="1"/>
    <col min="4" max="4" width="13.109375" style="40" bestFit="1" customWidth="1"/>
    <col min="5" max="5" width="1.33203125" style="40" customWidth="1"/>
    <col min="6" max="6" width="12.6640625" style="40" customWidth="1"/>
    <col min="7" max="7" width="6.21875" style="40" bestFit="1" customWidth="1"/>
    <col min="8" max="8" width="7.33203125" style="40" customWidth="1"/>
    <col min="9" max="9" width="6" style="40" customWidth="1"/>
    <col min="10" max="10" width="1.44140625" style="40" customWidth="1"/>
    <col min="11" max="11" width="12.88671875" style="40" customWidth="1"/>
    <col min="12" max="12" width="1.44140625" style="40" customWidth="1"/>
    <col min="13" max="13" width="11.5546875" style="40" customWidth="1"/>
    <col min="14" max="14" width="17.6640625" style="40" customWidth="1"/>
    <col min="15" max="15" width="13.44140625" style="40" customWidth="1"/>
    <col min="16" max="16" width="11.77734375" style="40" bestFit="1" customWidth="1"/>
    <col min="17" max="17" width="2.109375" style="40" customWidth="1"/>
    <col min="18" max="18" width="8.5546875" style="40" customWidth="1"/>
    <col min="19" max="21" width="7.109375" style="40"/>
    <col min="22" max="22" width="8" style="40" bestFit="1" customWidth="1"/>
    <col min="23" max="23" width="9.21875" style="40" customWidth="1"/>
    <col min="24" max="16384" width="7.109375" style="40"/>
  </cols>
  <sheetData>
    <row r="1" spans="1:20" s="1" customFormat="1">
      <c r="A1" s="1206" t="str">
        <f>'Table of Contents'!A1:C1</f>
        <v>Atmos Energy Corporation, Kentucky/Mid-States Division</v>
      </c>
      <c r="B1" s="1206"/>
      <c r="C1" s="1206"/>
      <c r="D1" s="1206"/>
      <c r="E1" s="1206"/>
      <c r="F1" s="1206"/>
      <c r="G1" s="1206"/>
      <c r="H1" s="1206"/>
      <c r="I1" s="1206"/>
      <c r="J1" s="1206"/>
      <c r="K1" s="1206"/>
      <c r="L1" s="1206"/>
      <c r="M1" s="1206"/>
      <c r="N1" s="1206"/>
      <c r="O1" s="1206"/>
    </row>
    <row r="2" spans="1:20" s="1" customFormat="1">
      <c r="A2" s="1206" t="str">
        <f>'Table of Contents'!A2:C2</f>
        <v>Kentucky Jurisdiction Case No. 2018-00281</v>
      </c>
      <c r="B2" s="1206"/>
      <c r="C2" s="1206"/>
      <c r="D2" s="1206"/>
      <c r="E2" s="1206"/>
      <c r="F2" s="1206"/>
      <c r="G2" s="1206"/>
      <c r="H2" s="1206"/>
      <c r="I2" s="1206"/>
      <c r="J2" s="1206"/>
      <c r="K2" s="1206"/>
      <c r="L2" s="1206"/>
      <c r="M2" s="1206"/>
      <c r="N2" s="1206"/>
      <c r="O2" s="1206"/>
    </row>
    <row r="3" spans="1:20" s="1" customFormat="1">
      <c r="A3" s="1206" t="s">
        <v>398</v>
      </c>
      <c r="B3" s="1206"/>
      <c r="C3" s="1206"/>
      <c r="D3" s="1206"/>
      <c r="E3" s="1206"/>
      <c r="F3" s="1206"/>
      <c r="G3" s="1206"/>
      <c r="H3" s="1206"/>
      <c r="I3" s="1206"/>
      <c r="J3" s="1206"/>
      <c r="K3" s="1206"/>
      <c r="L3" s="1206"/>
      <c r="M3" s="1206"/>
      <c r="N3" s="1206"/>
      <c r="O3" s="1206"/>
    </row>
    <row r="4" spans="1:20" s="1" customFormat="1">
      <c r="A4" s="1206" t="str">
        <f>'Table of Contents'!A3:C3</f>
        <v>Base Period: Twelve Months Ended December 31, 2018</v>
      </c>
      <c r="B4" s="1206"/>
      <c r="C4" s="1206"/>
      <c r="D4" s="1206"/>
      <c r="E4" s="1206"/>
      <c r="F4" s="1206"/>
      <c r="G4" s="1206"/>
      <c r="H4" s="1206"/>
      <c r="I4" s="1206"/>
      <c r="J4" s="1206"/>
      <c r="K4" s="1206"/>
      <c r="L4" s="1206"/>
      <c r="M4" s="1206"/>
      <c r="N4" s="1206"/>
      <c r="O4" s="1206"/>
    </row>
    <row r="5" spans="1:20" s="1" customFormat="1">
      <c r="A5" s="1206" t="str">
        <f>'Table of Contents'!A4:C4</f>
        <v>Forecasted Test Period: Twelve Months Ended March 31, 2020</v>
      </c>
      <c r="B5" s="1206"/>
      <c r="C5" s="1206"/>
      <c r="D5" s="1206"/>
      <c r="E5" s="1206"/>
      <c r="F5" s="1206"/>
      <c r="G5" s="1206"/>
      <c r="H5" s="1206"/>
      <c r="I5" s="1206"/>
      <c r="J5" s="1206"/>
      <c r="K5" s="1206"/>
      <c r="L5" s="1206"/>
      <c r="M5" s="1206"/>
      <c r="N5" s="1206"/>
      <c r="O5" s="1206"/>
    </row>
    <row r="6" spans="1:20" s="1" customFormat="1">
      <c r="C6" s="250"/>
    </row>
    <row r="7" spans="1:20" s="1" customFormat="1">
      <c r="A7" s="4" t="str">
        <f>'C.1'!A7</f>
        <v>Data:__X____Base Period___X___Forecasted Period</v>
      </c>
      <c r="K7" s="251"/>
      <c r="O7" s="375" t="s">
        <v>1425</v>
      </c>
    </row>
    <row r="8" spans="1:20" s="1" customFormat="1">
      <c r="A8" s="4" t="str">
        <f>'C.1'!A8</f>
        <v>Type of Filing:___X____Original________Updated ________Revised</v>
      </c>
      <c r="K8" s="251"/>
      <c r="O8" s="490" t="s">
        <v>266</v>
      </c>
    </row>
    <row r="9" spans="1:20" s="1" customFormat="1">
      <c r="A9" s="51" t="str">
        <f>'C.1'!A9</f>
        <v>Workpaper Reference No(s).____________________</v>
      </c>
      <c r="B9" s="6"/>
      <c r="C9" s="6"/>
      <c r="D9" s="6"/>
      <c r="E9" s="6"/>
      <c r="F9" s="6"/>
      <c r="G9" s="6"/>
      <c r="H9" s="6"/>
      <c r="I9" s="6"/>
      <c r="J9" s="6"/>
      <c r="K9" s="252"/>
      <c r="L9" s="6"/>
      <c r="M9" s="33"/>
      <c r="N9" s="33"/>
      <c r="O9" s="491" t="str">
        <f>'C.1'!J9</f>
        <v>Witness: Waller, Densman</v>
      </c>
    </row>
    <row r="10" spans="1:20">
      <c r="A10" s="1"/>
      <c r="B10" s="1"/>
      <c r="C10" s="1"/>
      <c r="D10" s="2" t="s">
        <v>1127</v>
      </c>
      <c r="E10" s="1"/>
      <c r="F10" s="1"/>
      <c r="G10" s="253"/>
      <c r="H10" s="78" t="s">
        <v>1356</v>
      </c>
      <c r="K10" s="188" t="s">
        <v>43</v>
      </c>
      <c r="O10" s="78" t="s">
        <v>128</v>
      </c>
    </row>
    <row r="11" spans="1:20">
      <c r="A11" s="205" t="s">
        <v>93</v>
      </c>
      <c r="C11" s="188" t="s">
        <v>1130</v>
      </c>
      <c r="D11" s="205" t="s">
        <v>739</v>
      </c>
      <c r="F11" s="78" t="s">
        <v>450</v>
      </c>
      <c r="G11" s="78" t="s">
        <v>448</v>
      </c>
      <c r="H11" s="188" t="s">
        <v>1357</v>
      </c>
      <c r="I11" s="78" t="s">
        <v>448</v>
      </c>
      <c r="K11" s="205" t="s">
        <v>739</v>
      </c>
      <c r="M11" s="78" t="s">
        <v>127</v>
      </c>
      <c r="N11" s="78" t="s">
        <v>448</v>
      </c>
      <c r="O11" s="78" t="s">
        <v>129</v>
      </c>
    </row>
    <row r="12" spans="1:20">
      <c r="A12" s="254" t="s">
        <v>99</v>
      </c>
      <c r="B12" s="190"/>
      <c r="C12" s="254" t="s">
        <v>1129</v>
      </c>
      <c r="D12" s="228" t="s">
        <v>1128</v>
      </c>
      <c r="E12" s="190"/>
      <c r="F12" s="228" t="s">
        <v>987</v>
      </c>
      <c r="G12" s="255" t="s">
        <v>449</v>
      </c>
      <c r="H12" s="228" t="s">
        <v>1358</v>
      </c>
      <c r="I12" s="255" t="s">
        <v>449</v>
      </c>
      <c r="J12" s="190"/>
      <c r="K12" s="228" t="s">
        <v>1128</v>
      </c>
      <c r="L12" s="190"/>
      <c r="M12" s="428" t="s">
        <v>987</v>
      </c>
      <c r="N12" s="255" t="s">
        <v>449</v>
      </c>
      <c r="O12" s="222" t="s">
        <v>988</v>
      </c>
    </row>
    <row r="13" spans="1:20">
      <c r="C13" s="15"/>
      <c r="D13" s="188"/>
      <c r="F13" s="188"/>
      <c r="H13" s="188"/>
      <c r="K13" s="209"/>
      <c r="M13" s="763"/>
      <c r="O13" s="188"/>
    </row>
    <row r="14" spans="1:20">
      <c r="A14" s="256">
        <v>1</v>
      </c>
      <c r="C14" s="180" t="s">
        <v>738</v>
      </c>
      <c r="D14" s="526">
        <f>+'C.2.1 B'!D33</f>
        <v>180854481.05000001</v>
      </c>
      <c r="E14" s="195"/>
      <c r="F14" s="307">
        <f>+K14-D14</f>
        <v>-11136615.213044226</v>
      </c>
      <c r="G14" s="264" t="s">
        <v>1065</v>
      </c>
      <c r="H14" s="223"/>
      <c r="I14" s="195"/>
      <c r="J14" s="195"/>
      <c r="K14" s="526">
        <f>'C.2.1 F'!D28</f>
        <v>169717865.83695579</v>
      </c>
      <c r="L14" s="259"/>
      <c r="M14" s="307">
        <v>0</v>
      </c>
      <c r="N14" s="259"/>
      <c r="O14" s="307">
        <f>+K14+M14</f>
        <v>169717865.83695579</v>
      </c>
      <c r="P14" s="257"/>
    </row>
    <row r="15" spans="1:20">
      <c r="A15" s="234">
        <v>2</v>
      </c>
      <c r="C15" s="253"/>
      <c r="D15" s="259"/>
      <c r="E15" s="195"/>
      <c r="F15" s="259"/>
      <c r="G15" s="259"/>
      <c r="H15" s="259"/>
      <c r="I15" s="195"/>
      <c r="J15" s="195"/>
      <c r="K15" s="259"/>
      <c r="L15" s="259"/>
      <c r="M15" s="464"/>
      <c r="N15" s="259"/>
      <c r="O15" s="464"/>
      <c r="P15" s="257"/>
    </row>
    <row r="16" spans="1:20">
      <c r="A16" s="256">
        <v>3</v>
      </c>
      <c r="C16" s="180" t="s">
        <v>990</v>
      </c>
      <c r="D16" s="195"/>
      <c r="E16" s="195"/>
      <c r="F16" s="195"/>
      <c r="G16" s="195"/>
      <c r="H16" s="195"/>
      <c r="I16" s="195"/>
      <c r="J16" s="195"/>
      <c r="K16" s="195"/>
      <c r="L16" s="195"/>
      <c r="M16" s="464"/>
      <c r="N16" s="195"/>
      <c r="O16" s="464"/>
      <c r="P16" s="257"/>
      <c r="Q16" s="227"/>
      <c r="S16" s="227"/>
      <c r="T16" s="257"/>
    </row>
    <row r="17" spans="1:23">
      <c r="A17" s="234">
        <v>4</v>
      </c>
      <c r="C17" s="249" t="s">
        <v>24</v>
      </c>
      <c r="D17" s="396">
        <f>+'C.2.1 B'!D105</f>
        <v>89006235.689999998</v>
      </c>
      <c r="E17" s="195"/>
      <c r="F17" s="309">
        <f t="shared" ref="F17:F28" si="0">+K17-D17-H17</f>
        <v>-10623881.536744118</v>
      </c>
      <c r="G17" s="264" t="s">
        <v>1065</v>
      </c>
      <c r="H17" s="223"/>
      <c r="I17" s="195"/>
      <c r="J17" s="195"/>
      <c r="K17" s="396">
        <f>'C.2.1 F'!D100</f>
        <v>78382354.15325588</v>
      </c>
      <c r="L17" s="259"/>
      <c r="M17" s="309">
        <v>0</v>
      </c>
      <c r="N17" s="259"/>
      <c r="O17" s="309">
        <f t="shared" ref="O17:O22" si="1">+K17+M17</f>
        <v>78382354.15325588</v>
      </c>
      <c r="P17" s="257"/>
      <c r="Q17" s="227"/>
      <c r="S17" s="227"/>
      <c r="T17" s="257"/>
    </row>
    <row r="18" spans="1:23">
      <c r="A18" s="256">
        <v>5</v>
      </c>
      <c r="C18" s="249" t="s">
        <v>635</v>
      </c>
      <c r="D18" s="527">
        <f>+'C.2.1 B'!D39+'C.2.1 B'!D43</f>
        <v>0</v>
      </c>
      <c r="E18" s="195"/>
      <c r="F18" s="309">
        <f t="shared" si="0"/>
        <v>0</v>
      </c>
      <c r="G18" s="264" t="s">
        <v>1065</v>
      </c>
      <c r="H18" s="223"/>
      <c r="I18" s="195"/>
      <c r="J18" s="195"/>
      <c r="K18" s="396">
        <f>'C.2.1 F'!D34+'C.2.1 F'!D38</f>
        <v>0</v>
      </c>
      <c r="L18" s="223"/>
      <c r="M18" s="309">
        <v>0</v>
      </c>
      <c r="N18" s="223"/>
      <c r="O18" s="309">
        <f t="shared" si="1"/>
        <v>0</v>
      </c>
      <c r="P18" s="257"/>
    </row>
    <row r="19" spans="1:23">
      <c r="A19" s="234">
        <v>6</v>
      </c>
      <c r="C19" s="249" t="s">
        <v>636</v>
      </c>
      <c r="D19" s="527">
        <f>+'C.2.1 B'!D55+'C.2.1 B'!D65</f>
        <v>709797.99</v>
      </c>
      <c r="E19" s="195"/>
      <c r="F19" s="309">
        <f t="shared" si="0"/>
        <v>-220883.88029090711</v>
      </c>
      <c r="G19" s="264" t="s">
        <v>1065</v>
      </c>
      <c r="H19" s="223"/>
      <c r="I19" s="195"/>
      <c r="J19" s="195"/>
      <c r="K19" s="396">
        <f>'C.2.1 F'!D50+'C.2.1 F'!D60</f>
        <v>488914.10970909288</v>
      </c>
      <c r="L19" s="223"/>
      <c r="M19" s="309">
        <v>0</v>
      </c>
      <c r="N19" s="223"/>
      <c r="O19" s="309">
        <f t="shared" si="1"/>
        <v>488914.10970909288</v>
      </c>
      <c r="P19" s="257"/>
    </row>
    <row r="20" spans="1:23">
      <c r="A20" s="256">
        <v>7</v>
      </c>
      <c r="C20" s="249" t="s">
        <v>651</v>
      </c>
      <c r="D20" s="527">
        <f>+'C.2.1 B'!D75+'C.2.1 B'!D83</f>
        <v>479476.08</v>
      </c>
      <c r="E20" s="195"/>
      <c r="F20" s="309">
        <f t="shared" si="0"/>
        <v>-69373.030415530433</v>
      </c>
      <c r="G20" s="264" t="s">
        <v>1065</v>
      </c>
      <c r="H20" s="223"/>
      <c r="I20" s="195"/>
      <c r="J20" s="195"/>
      <c r="K20" s="396">
        <f>'C.2.1 F'!D70+'C.2.1 F'!D78</f>
        <v>410103.04958446958</v>
      </c>
      <c r="L20" s="223"/>
      <c r="M20" s="309">
        <v>0</v>
      </c>
      <c r="N20" s="223"/>
      <c r="O20" s="309">
        <f t="shared" si="1"/>
        <v>410103.04958446958</v>
      </c>
      <c r="P20" s="257"/>
      <c r="R20" s="591"/>
      <c r="S20" s="591"/>
      <c r="T20" s="591"/>
      <c r="U20" s="591"/>
      <c r="V20" s="591"/>
      <c r="W20" s="591"/>
    </row>
    <row r="21" spans="1:23">
      <c r="A21" s="234">
        <v>8</v>
      </c>
      <c r="C21" s="261" t="s">
        <v>672</v>
      </c>
      <c r="D21" s="527">
        <f>+'C.2.1 B'!D120+'C.2.1 B'!D133</f>
        <v>9376799.950000003</v>
      </c>
      <c r="E21" s="195"/>
      <c r="F21" s="309">
        <f t="shared" si="0"/>
        <v>-2031259.1491300724</v>
      </c>
      <c r="G21" s="264" t="s">
        <v>1065</v>
      </c>
      <c r="H21" s="223"/>
      <c r="I21" s="460" t="s">
        <v>775</v>
      </c>
      <c r="J21" s="195"/>
      <c r="K21" s="528">
        <f>'C.2.1 F'!D115+'C.2.1 F'!D128</f>
        <v>7345540.8008699305</v>
      </c>
      <c r="L21" s="223"/>
      <c r="M21" s="309">
        <v>-3435</v>
      </c>
      <c r="N21" s="238" t="s">
        <v>1700</v>
      </c>
      <c r="O21" s="309">
        <f t="shared" si="1"/>
        <v>7342105.8008699305</v>
      </c>
      <c r="P21" s="257"/>
      <c r="R21" s="591"/>
      <c r="S21" s="591"/>
      <c r="T21" s="591"/>
      <c r="U21" s="591"/>
      <c r="V21" s="591"/>
      <c r="W21" s="591"/>
    </row>
    <row r="22" spans="1:23">
      <c r="A22" s="256">
        <v>9</v>
      </c>
      <c r="C22" s="261" t="s">
        <v>70</v>
      </c>
      <c r="D22" s="527">
        <f>+'C.2.1 B'!D140</f>
        <v>3471519.4699999997</v>
      </c>
      <c r="E22" s="195"/>
      <c r="F22" s="309">
        <f t="shared" si="0"/>
        <v>-824619.55318991374</v>
      </c>
      <c r="G22" s="264" t="s">
        <v>1065</v>
      </c>
      <c r="H22" s="223"/>
      <c r="I22" s="460" t="s">
        <v>775</v>
      </c>
      <c r="J22" s="195"/>
      <c r="K22" s="396">
        <f>'C.2.1 F'!D135</f>
        <v>2646899.916810086</v>
      </c>
      <c r="L22" s="223"/>
      <c r="M22" s="309">
        <v>0</v>
      </c>
      <c r="N22" s="223"/>
      <c r="O22" s="309">
        <f t="shared" si="1"/>
        <v>2646899.916810086</v>
      </c>
      <c r="P22" s="257"/>
      <c r="R22" s="591"/>
      <c r="S22" s="591"/>
      <c r="T22" s="680"/>
      <c r="U22" s="591"/>
      <c r="V22" s="591"/>
      <c r="W22" s="591"/>
    </row>
    <row r="23" spans="1:23">
      <c r="A23" s="234">
        <v>10</v>
      </c>
      <c r="C23" s="249" t="s">
        <v>71</v>
      </c>
      <c r="D23" s="396">
        <f>+'C.2.1 B'!D147</f>
        <v>113725.03</v>
      </c>
      <c r="E23" s="195"/>
      <c r="F23" s="309">
        <f t="shared" si="0"/>
        <v>14546.617179905123</v>
      </c>
      <c r="G23" s="264" t="s">
        <v>1065</v>
      </c>
      <c r="H23" s="223"/>
      <c r="I23" s="460" t="s">
        <v>775</v>
      </c>
      <c r="J23" s="195"/>
      <c r="K23" s="396">
        <f>'C.2.1 F'!D142</f>
        <v>128271.64717990512</v>
      </c>
      <c r="L23" s="259"/>
      <c r="M23" s="309">
        <v>0</v>
      </c>
      <c r="N23" s="238"/>
      <c r="O23" s="309">
        <f>+K23+M23</f>
        <v>128271.64717990512</v>
      </c>
      <c r="P23" s="257"/>
      <c r="R23" s="591"/>
      <c r="S23" s="591"/>
      <c r="T23" s="681"/>
      <c r="U23" s="591"/>
      <c r="V23" s="591"/>
      <c r="W23" s="591"/>
    </row>
    <row r="24" spans="1:23">
      <c r="A24" s="256">
        <v>11</v>
      </c>
      <c r="C24" s="261" t="s">
        <v>494</v>
      </c>
      <c r="D24" s="396">
        <f>+'C.2.1 B'!D154</f>
        <v>416913.23000000004</v>
      </c>
      <c r="E24" s="195"/>
      <c r="F24" s="309">
        <f t="shared" si="0"/>
        <v>-12338.100525853748</v>
      </c>
      <c r="G24" s="264" t="s">
        <v>1065</v>
      </c>
      <c r="H24" s="223"/>
      <c r="I24" s="460" t="s">
        <v>775</v>
      </c>
      <c r="J24" s="195"/>
      <c r="K24" s="396">
        <f>'C.2.1 F'!D149</f>
        <v>404575.12947414629</v>
      </c>
      <c r="L24" s="259"/>
      <c r="M24" s="309">
        <f>-F.4!K29</f>
        <v>-196297.42596782028</v>
      </c>
      <c r="N24" s="238" t="s">
        <v>553</v>
      </c>
      <c r="O24" s="309">
        <f>+K24+M24</f>
        <v>208277.70350632601</v>
      </c>
      <c r="P24" s="257"/>
      <c r="R24" s="591"/>
      <c r="S24" s="591"/>
      <c r="T24" s="681"/>
      <c r="U24" s="591"/>
      <c r="V24" s="591"/>
      <c r="W24" s="591"/>
    </row>
    <row r="25" spans="1:23">
      <c r="A25" s="234">
        <v>12</v>
      </c>
      <c r="C25" s="261" t="s">
        <v>495</v>
      </c>
      <c r="D25" s="396">
        <f>+'C.2.1 B'!D168+'C.2.1 B'!D172</f>
        <v>14769692.249999998</v>
      </c>
      <c r="E25" s="195"/>
      <c r="F25" s="309">
        <f t="shared" si="0"/>
        <v>2821136.293557601</v>
      </c>
      <c r="G25" s="264" t="s">
        <v>1065</v>
      </c>
      <c r="H25" s="223"/>
      <c r="I25" s="460" t="s">
        <v>775</v>
      </c>
      <c r="J25" s="195"/>
      <c r="K25" s="396">
        <f>'C.2.1 F'!D163+'C.2.1 F'!D167</f>
        <v>17590828.543557599</v>
      </c>
      <c r="L25" s="259"/>
      <c r="M25" s="309">
        <f>F.6!R39-F.8!I24+F.9!G20-F.10!F41-F.11!F19</f>
        <v>-1593854.417426303</v>
      </c>
      <c r="N25" s="238" t="s">
        <v>1665</v>
      </c>
      <c r="O25" s="309">
        <f>+K25+M25</f>
        <v>15996974.126131296</v>
      </c>
      <c r="P25" s="257"/>
      <c r="Q25" s="227"/>
      <c r="R25" s="591"/>
      <c r="S25" s="591"/>
      <c r="T25" s="681"/>
      <c r="U25" s="591"/>
      <c r="V25" s="591"/>
      <c r="W25" s="591"/>
    </row>
    <row r="26" spans="1:23">
      <c r="A26" s="256">
        <v>13</v>
      </c>
      <c r="C26" s="263" t="s">
        <v>91</v>
      </c>
      <c r="D26" s="396">
        <f>+'C.2.1 B'!D176</f>
        <v>20792783.009999998</v>
      </c>
      <c r="E26" s="195"/>
      <c r="F26" s="309">
        <f t="shared" si="0"/>
        <v>2309312.9705251791</v>
      </c>
      <c r="G26" s="264" t="s">
        <v>1065</v>
      </c>
      <c r="H26" s="223"/>
      <c r="I26" s="195"/>
      <c r="J26" s="195"/>
      <c r="K26" s="396">
        <f>'C.2.1 F'!D171</f>
        <v>23102095.980525177</v>
      </c>
      <c r="L26" s="259"/>
      <c r="M26" s="309">
        <f>O26-K26</f>
        <v>0</v>
      </c>
      <c r="N26" s="259"/>
      <c r="O26" s="396">
        <f>'C.2.1 F'!D171</f>
        <v>23102095.980525177</v>
      </c>
      <c r="P26" s="257"/>
      <c r="Q26" s="227"/>
      <c r="R26" s="591"/>
      <c r="S26" s="682"/>
      <c r="T26" s="681"/>
      <c r="U26" s="591"/>
      <c r="V26" s="591"/>
      <c r="W26" s="591"/>
    </row>
    <row r="27" spans="1:23">
      <c r="A27" s="234">
        <v>14</v>
      </c>
      <c r="C27" s="261" t="s">
        <v>592</v>
      </c>
      <c r="D27" s="396">
        <f>+'C.2.1 B'!D178</f>
        <v>6454875.1700000009</v>
      </c>
      <c r="F27" s="523">
        <f t="shared" si="0"/>
        <v>1056961.7626441745</v>
      </c>
      <c r="G27" s="258" t="s">
        <v>1065</v>
      </c>
      <c r="H27" s="187"/>
      <c r="K27" s="396">
        <f>'C.2.1 F'!D172</f>
        <v>7511836.9326441754</v>
      </c>
      <c r="L27" s="223"/>
      <c r="M27" s="309">
        <f>-F.10!F43</f>
        <v>-62593.883678261293</v>
      </c>
      <c r="N27" s="238" t="s">
        <v>1371</v>
      </c>
      <c r="O27" s="523">
        <f>+K27+M27</f>
        <v>7449243.0489659142</v>
      </c>
      <c r="P27" s="257"/>
      <c r="Q27" s="227"/>
      <c r="S27" s="227"/>
      <c r="T27" s="187"/>
    </row>
    <row r="28" spans="1:23">
      <c r="A28" s="256">
        <v>15</v>
      </c>
      <c r="C28" s="263" t="s">
        <v>567</v>
      </c>
      <c r="D28" s="396">
        <f>+'C.2.1 B'!D179</f>
        <v>6533331.729108762</v>
      </c>
      <c r="F28" s="523">
        <f t="shared" si="0"/>
        <v>-496030.1652337024</v>
      </c>
      <c r="H28" s="187"/>
      <c r="K28" s="396">
        <f>'C.2.1 F'!D173</f>
        <v>6037301.5638750596</v>
      </c>
      <c r="L28" s="259"/>
      <c r="M28" s="396">
        <f>+O28-K28</f>
        <v>0</v>
      </c>
      <c r="N28" s="264"/>
      <c r="O28" s="396">
        <f>+E!G23</f>
        <v>6037301.5638750596</v>
      </c>
      <c r="P28" s="257"/>
      <c r="Q28" s="227"/>
      <c r="S28" s="227"/>
      <c r="T28" s="257"/>
    </row>
    <row r="29" spans="1:23">
      <c r="A29" s="234">
        <v>16</v>
      </c>
      <c r="C29" s="204"/>
      <c r="D29" s="192"/>
      <c r="F29" s="265"/>
      <c r="H29" s="266"/>
      <c r="K29" s="192"/>
      <c r="L29" s="187"/>
      <c r="M29" s="189"/>
      <c r="N29" s="187"/>
      <c r="O29" s="189"/>
      <c r="P29" s="257"/>
    </row>
    <row r="30" spans="1:23">
      <c r="A30" s="256">
        <v>17</v>
      </c>
      <c r="C30" s="220"/>
      <c r="D30" s="187"/>
      <c r="F30" s="187"/>
      <c r="H30" s="187"/>
      <c r="K30" s="187"/>
      <c r="L30" s="187"/>
      <c r="M30" s="260"/>
      <c r="N30" s="187"/>
      <c r="O30" s="260"/>
      <c r="P30" s="257"/>
      <c r="T30" s="262"/>
    </row>
    <row r="31" spans="1:23">
      <c r="A31" s="234">
        <v>18</v>
      </c>
      <c r="C31" s="180" t="s">
        <v>1120</v>
      </c>
      <c r="D31" s="475">
        <f>SUM(D17:D29)</f>
        <v>152125149.59910873</v>
      </c>
      <c r="F31" s="475">
        <f>SUM(F17:F29)</f>
        <v>-8076427.7716232389</v>
      </c>
      <c r="H31" s="475">
        <f>SUM(H21:H29)</f>
        <v>0</v>
      </c>
      <c r="K31" s="475">
        <f>SUM(K17:K29)</f>
        <v>144048721.8274855</v>
      </c>
      <c r="L31" s="187"/>
      <c r="M31" s="475">
        <f>SUM(M17:M29)</f>
        <v>-1856180.7270723844</v>
      </c>
      <c r="N31" s="187"/>
      <c r="O31" s="475">
        <f>SUM(O17:O29)</f>
        <v>142192541.10041311</v>
      </c>
      <c r="P31" s="257"/>
    </row>
    <row r="32" spans="1:23">
      <c r="A32" s="256">
        <v>19</v>
      </c>
      <c r="D32" s="257"/>
      <c r="F32" s="257"/>
      <c r="H32" s="257"/>
      <c r="K32" s="257"/>
      <c r="L32" s="257"/>
      <c r="M32" s="257"/>
      <c r="N32" s="257"/>
      <c r="O32" s="257"/>
      <c r="P32" s="257"/>
    </row>
    <row r="33" spans="1:21" ht="15.75" thickBot="1">
      <c r="A33" s="234">
        <v>20</v>
      </c>
      <c r="C33" s="180" t="s">
        <v>1191</v>
      </c>
      <c r="D33" s="521">
        <f>D14-D31</f>
        <v>28729331.450891286</v>
      </c>
      <c r="F33" s="521">
        <f>F14-F31</f>
        <v>-3060187.4414209872</v>
      </c>
      <c r="H33" s="521">
        <f>H14-H31</f>
        <v>0</v>
      </c>
      <c r="K33" s="521">
        <f>K14-K31</f>
        <v>25669144.009470284</v>
      </c>
      <c r="L33" s="187"/>
      <c r="M33" s="521">
        <f>M14-M31</f>
        <v>1856180.7270723844</v>
      </c>
      <c r="N33" s="187"/>
      <c r="O33" s="521">
        <f>O14-O31</f>
        <v>27525324.736542672</v>
      </c>
      <c r="P33" s="257"/>
      <c r="Q33" s="227"/>
      <c r="S33" s="227"/>
      <c r="T33" s="187"/>
      <c r="U33" s="187"/>
    </row>
    <row r="34" spans="1:21" ht="15.75" thickTop="1">
      <c r="A34" s="234"/>
      <c r="D34" s="187"/>
      <c r="F34" s="187"/>
      <c r="G34" s="187"/>
      <c r="H34" s="187"/>
      <c r="K34" s="229"/>
      <c r="L34" s="187"/>
      <c r="M34" s="229"/>
      <c r="N34" s="187"/>
      <c r="O34" s="187"/>
      <c r="P34" s="187"/>
      <c r="Q34" s="227"/>
      <c r="S34" s="227"/>
      <c r="T34" s="187"/>
      <c r="U34" s="187"/>
    </row>
    <row r="35" spans="1:21">
      <c r="A35" s="256"/>
      <c r="D35" s="267"/>
      <c r="F35" s="187"/>
      <c r="G35" s="187"/>
      <c r="H35" s="187"/>
      <c r="K35" s="267"/>
      <c r="L35" s="187"/>
      <c r="M35" s="227"/>
      <c r="N35" s="187"/>
      <c r="O35" s="267"/>
      <c r="P35" s="187"/>
    </row>
    <row r="36" spans="1:21">
      <c r="A36" s="256"/>
      <c r="C36" s="765"/>
      <c r="D36" s="666"/>
      <c r="E36" s="665"/>
      <c r="F36" s="666"/>
      <c r="G36" s="666"/>
      <c r="H36" s="666"/>
      <c r="I36" s="665"/>
      <c r="J36" s="665"/>
      <c r="K36" s="666"/>
      <c r="L36" s="187"/>
      <c r="M36" s="309"/>
      <c r="N36" s="187"/>
      <c r="O36" s="267"/>
      <c r="P36" s="187"/>
    </row>
    <row r="37" spans="1:21">
      <c r="A37" s="256"/>
      <c r="C37" s="665"/>
      <c r="D37" s="766"/>
      <c r="E37" s="665"/>
      <c r="F37" s="666"/>
      <c r="G37" s="666"/>
      <c r="H37" s="666"/>
      <c r="I37" s="665"/>
      <c r="J37" s="665"/>
      <c r="K37" s="766"/>
      <c r="L37" s="187"/>
      <c r="M37" s="227"/>
      <c r="N37" s="187"/>
      <c r="O37" s="267"/>
      <c r="P37" s="187"/>
    </row>
    <row r="38" spans="1:21" s="269" customFormat="1">
      <c r="A38" s="234"/>
      <c r="B38" s="268"/>
      <c r="C38" s="765"/>
      <c r="D38" s="666"/>
      <c r="E38" s="665"/>
      <c r="F38" s="666"/>
      <c r="G38" s="666"/>
      <c r="H38" s="666"/>
      <c r="I38" s="665"/>
      <c r="J38" s="665"/>
      <c r="K38" s="666"/>
      <c r="L38" s="270"/>
      <c r="N38" s="270"/>
      <c r="P38" s="270"/>
    </row>
    <row r="39" spans="1:21" s="269" customFormat="1">
      <c r="A39" s="271"/>
      <c r="B39" s="272"/>
      <c r="C39" s="765"/>
      <c r="D39" s="666"/>
      <c r="E39" s="665"/>
      <c r="F39" s="666"/>
      <c r="G39" s="666"/>
      <c r="H39" s="666"/>
      <c r="I39" s="665"/>
      <c r="J39" s="665"/>
      <c r="K39" s="666"/>
      <c r="L39" s="270"/>
      <c r="M39" s="273"/>
      <c r="N39" s="270"/>
      <c r="O39" s="273"/>
      <c r="P39" s="270"/>
      <c r="T39" s="274"/>
    </row>
    <row r="40" spans="1:21" s="269" customFormat="1">
      <c r="D40" s="270"/>
      <c r="F40" s="270"/>
      <c r="G40" s="270"/>
      <c r="K40" s="270"/>
      <c r="L40" s="270"/>
      <c r="M40" s="666"/>
      <c r="N40" s="665"/>
    </row>
    <row r="41" spans="1:21">
      <c r="A41" s="269"/>
      <c r="B41" s="269"/>
      <c r="C41" s="269"/>
      <c r="D41" s="187"/>
      <c r="F41" s="187"/>
      <c r="G41" s="187"/>
      <c r="H41" s="227"/>
      <c r="K41" s="187"/>
      <c r="L41" s="187"/>
      <c r="M41" s="666"/>
      <c r="N41" s="666"/>
      <c r="O41" s="227"/>
      <c r="P41" s="187"/>
    </row>
    <row r="42" spans="1:21">
      <c r="A42" s="220"/>
      <c r="D42" s="187"/>
      <c r="F42" s="187"/>
      <c r="G42" s="187"/>
      <c r="K42" s="187"/>
      <c r="L42" s="187"/>
      <c r="M42" s="666"/>
      <c r="N42" s="666"/>
      <c r="P42" s="187"/>
      <c r="Q42" s="227"/>
      <c r="S42" s="227"/>
      <c r="T42" s="187"/>
      <c r="U42" s="187"/>
    </row>
    <row r="43" spans="1:21">
      <c r="A43" s="220"/>
      <c r="D43" s="187"/>
      <c r="F43" s="187"/>
      <c r="G43" s="187"/>
      <c r="H43" s="227"/>
      <c r="K43" s="187"/>
      <c r="L43" s="187"/>
      <c r="M43" s="191"/>
      <c r="N43" s="666"/>
      <c r="O43" s="227"/>
      <c r="P43" s="187"/>
      <c r="Q43" s="227"/>
      <c r="S43" s="227"/>
      <c r="T43" s="187"/>
      <c r="U43" s="187"/>
    </row>
    <row r="44" spans="1:21">
      <c r="A44" s="220"/>
      <c r="C44" s="220"/>
      <c r="D44" s="187"/>
      <c r="F44" s="187"/>
      <c r="G44" s="187"/>
      <c r="M44" s="839"/>
      <c r="N44" s="665"/>
    </row>
    <row r="45" spans="1:21">
      <c r="A45" s="220"/>
      <c r="C45" s="220"/>
      <c r="D45" s="187"/>
      <c r="F45" s="187"/>
      <c r="G45" s="187"/>
    </row>
    <row r="46" spans="1:21">
      <c r="D46" s="187"/>
      <c r="F46" s="187"/>
      <c r="G46" s="187"/>
      <c r="K46" s="262"/>
      <c r="L46" s="262"/>
      <c r="N46" s="262"/>
      <c r="P46" s="262"/>
      <c r="T46" s="262"/>
    </row>
    <row r="47" spans="1:21">
      <c r="A47" s="220"/>
      <c r="D47" s="187"/>
      <c r="F47" s="187"/>
      <c r="G47" s="187"/>
    </row>
    <row r="48" spans="1:21">
      <c r="C48" s="253"/>
      <c r="E48" s="187"/>
      <c r="G48" s="187"/>
    </row>
    <row r="49" spans="1:23">
      <c r="A49" s="220"/>
      <c r="C49" s="220"/>
      <c r="E49" s="187"/>
      <c r="F49" s="227"/>
      <c r="G49" s="187"/>
      <c r="H49" s="227"/>
      <c r="K49" s="227"/>
      <c r="L49" s="257"/>
      <c r="M49" s="227"/>
      <c r="N49" s="257"/>
      <c r="O49" s="227"/>
      <c r="P49" s="257"/>
      <c r="Q49" s="227"/>
      <c r="S49" s="227"/>
      <c r="T49" s="187"/>
      <c r="V49" s="220"/>
    </row>
    <row r="50" spans="1:23">
      <c r="C50" s="220"/>
      <c r="D50" s="227"/>
      <c r="E50" s="187"/>
      <c r="F50" s="227"/>
      <c r="G50" s="187"/>
      <c r="H50" s="227"/>
      <c r="K50" s="227"/>
      <c r="L50" s="257"/>
      <c r="M50" s="227"/>
      <c r="N50" s="257"/>
      <c r="O50" s="227"/>
      <c r="P50" s="257"/>
      <c r="Q50" s="227"/>
      <c r="S50" s="227"/>
      <c r="T50" s="187"/>
    </row>
    <row r="51" spans="1:23">
      <c r="D51" s="227"/>
      <c r="V51" s="220"/>
    </row>
    <row r="52" spans="1:23">
      <c r="V52" s="257"/>
      <c r="W52" s="187"/>
    </row>
    <row r="53" spans="1:23">
      <c r="V53" s="257"/>
      <c r="W53" s="187"/>
    </row>
    <row r="56" spans="1:23">
      <c r="V56" s="262"/>
    </row>
    <row r="58" spans="1:23">
      <c r="S58" s="187"/>
      <c r="T58" s="187"/>
    </row>
    <row r="59" spans="1:23">
      <c r="E59" s="257"/>
      <c r="R59" s="257"/>
      <c r="S59" s="187"/>
      <c r="T59" s="187"/>
    </row>
    <row r="62" spans="1:23">
      <c r="R62" s="262"/>
    </row>
    <row r="63" spans="1:23">
      <c r="R63" s="257"/>
    </row>
    <row r="64" spans="1:23">
      <c r="R64" s="257"/>
    </row>
    <row r="65" spans="1:18">
      <c r="R65" s="257"/>
    </row>
    <row r="67" spans="1:18">
      <c r="A67" s="220"/>
    </row>
    <row r="68" spans="1:18">
      <c r="A68" s="220"/>
      <c r="C68" s="220"/>
      <c r="G68" s="262"/>
      <c r="I68" s="262"/>
      <c r="J68" s="262"/>
      <c r="L68" s="262"/>
      <c r="N68" s="262"/>
      <c r="P68" s="262"/>
      <c r="R68" s="262"/>
    </row>
    <row r="69" spans="1:18">
      <c r="G69" s="257"/>
      <c r="R69" s="257"/>
    </row>
    <row r="70" spans="1:18">
      <c r="A70" s="220"/>
    </row>
    <row r="71" spans="1:18">
      <c r="A71" s="220"/>
    </row>
    <row r="72" spans="1:18">
      <c r="A72" s="220"/>
    </row>
    <row r="73" spans="1:18">
      <c r="A73" s="220"/>
    </row>
    <row r="75" spans="1:18">
      <c r="A75" s="220"/>
    </row>
    <row r="76" spans="1:18">
      <c r="A76" s="220"/>
    </row>
    <row r="79" spans="1:18">
      <c r="A79" s="220"/>
    </row>
    <row r="80" spans="1:18">
      <c r="C80" s="220"/>
    </row>
    <row r="86" spans="7:18">
      <c r="G86" s="257"/>
      <c r="I86" s="257"/>
      <c r="J86" s="257"/>
      <c r="L86" s="257"/>
      <c r="N86" s="257"/>
      <c r="P86" s="257"/>
      <c r="R86" s="257"/>
    </row>
    <row r="87" spans="7:18">
      <c r="G87" s="257"/>
      <c r="I87" s="257"/>
      <c r="J87" s="257"/>
      <c r="L87" s="257"/>
      <c r="N87" s="257"/>
      <c r="P87" s="257"/>
      <c r="R87" s="257"/>
    </row>
    <row r="88" spans="7:18">
      <c r="G88" s="257"/>
      <c r="I88" s="257"/>
      <c r="J88" s="257"/>
      <c r="L88" s="257"/>
      <c r="N88" s="257"/>
      <c r="P88" s="257"/>
      <c r="R88" s="257"/>
    </row>
    <row r="89" spans="7:18">
      <c r="G89" s="257"/>
      <c r="I89" s="257"/>
      <c r="J89" s="257"/>
      <c r="L89" s="257"/>
      <c r="N89" s="257"/>
      <c r="P89" s="257"/>
      <c r="R89" s="257"/>
    </row>
    <row r="90" spans="7:18">
      <c r="G90" s="257"/>
      <c r="I90" s="257"/>
      <c r="J90" s="257"/>
      <c r="L90" s="257"/>
      <c r="N90" s="257"/>
      <c r="P90" s="257"/>
      <c r="R90" s="257"/>
    </row>
    <row r="91" spans="7:18">
      <c r="G91" s="257"/>
      <c r="I91" s="257"/>
      <c r="J91" s="257"/>
      <c r="L91" s="257"/>
      <c r="N91" s="257"/>
      <c r="P91" s="257"/>
      <c r="R91" s="257"/>
    </row>
    <row r="92" spans="7:18">
      <c r="G92" s="257"/>
      <c r="I92" s="257"/>
      <c r="J92" s="257"/>
      <c r="L92" s="257"/>
      <c r="N92" s="257"/>
      <c r="P92" s="257"/>
      <c r="R92" s="257"/>
    </row>
    <row r="93" spans="7:18">
      <c r="G93" s="257"/>
      <c r="I93" s="257"/>
      <c r="J93" s="257"/>
      <c r="L93" s="257"/>
      <c r="N93" s="257"/>
      <c r="P93" s="257"/>
      <c r="R93" s="257"/>
    </row>
    <row r="94" spans="7:18">
      <c r="G94" s="257"/>
      <c r="I94" s="257"/>
      <c r="J94" s="257"/>
      <c r="L94" s="257"/>
      <c r="N94" s="257"/>
      <c r="P94" s="257"/>
      <c r="R94" s="257"/>
    </row>
    <row r="95" spans="7:18">
      <c r="G95" s="257"/>
      <c r="I95" s="257"/>
      <c r="J95" s="257"/>
      <c r="L95" s="257"/>
      <c r="N95" s="257"/>
      <c r="P95" s="257"/>
      <c r="R95" s="257"/>
    </row>
  </sheetData>
  <mergeCells count="5">
    <mergeCell ref="A5:O5"/>
    <mergeCell ref="A1:O1"/>
    <mergeCell ref="A2:O2"/>
    <mergeCell ref="A3:O3"/>
    <mergeCell ref="A4:O4"/>
  </mergeCells>
  <phoneticPr fontId="23" type="noConversion"/>
  <printOptions horizontalCentered="1"/>
  <pageMargins left="0.38" right="0.5" top="0.75" bottom="0.5" header="0.5" footer="0.5"/>
  <pageSetup scale="78" orientation="landscape" verticalDpi="300" r:id="rId1"/>
  <headerFooter alignWithMargins="0">
    <oddFooter>&amp;RSchedule &amp;A
Page 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H197"/>
  <sheetViews>
    <sheetView view="pageBreakPreview" zoomScale="80" zoomScaleNormal="80" zoomScaleSheetLayoutView="80" workbookViewId="0">
      <pane ySplit="11" topLeftCell="A150" activePane="bottomLeft" state="frozen"/>
      <selection activeCell="B6" sqref="B6"/>
      <selection pane="bottomLeft" activeCell="H167" sqref="H167"/>
    </sheetView>
  </sheetViews>
  <sheetFormatPr defaultColWidth="8.44140625" defaultRowHeight="15.75" customHeight="1"/>
  <cols>
    <col min="1" max="1" width="4.77734375" style="62" customWidth="1"/>
    <col min="2" max="2" width="11.88671875" style="62" customWidth="1"/>
    <col min="3" max="3" width="49.109375" style="62" customWidth="1"/>
    <col min="4" max="4" width="15.5546875" style="62" customWidth="1"/>
    <col min="5" max="5" width="7.21875" style="62" customWidth="1"/>
    <col min="6" max="6" width="11.44140625" style="62" bestFit="1" customWidth="1"/>
    <col min="7" max="7" width="10" style="62" bestFit="1" customWidth="1"/>
    <col min="8" max="8" width="10.21875" style="62" customWidth="1"/>
    <col min="9" max="16384" width="8.44140625" style="62"/>
  </cols>
  <sheetData>
    <row r="1" spans="1:7" ht="15.75" customHeight="1">
      <c r="A1" s="1207" t="str">
        <f>'Table of Contents'!A1:C1</f>
        <v>Atmos Energy Corporation, Kentucky/Mid-States Division</v>
      </c>
      <c r="B1" s="1207"/>
      <c r="C1" s="1207"/>
      <c r="D1" s="1207"/>
    </row>
    <row r="2" spans="1:7" ht="15.75" customHeight="1">
      <c r="A2" s="1207" t="str">
        <f>'Table of Contents'!A2:C2</f>
        <v>Kentucky Jurisdiction Case No. 2018-00281</v>
      </c>
      <c r="B2" s="1207"/>
      <c r="C2" s="1207"/>
      <c r="D2" s="1207"/>
    </row>
    <row r="3" spans="1:7" ht="15.75" customHeight="1">
      <c r="A3" s="1207" t="s">
        <v>1138</v>
      </c>
      <c r="B3" s="1207"/>
      <c r="C3" s="1207"/>
      <c r="D3" s="1207"/>
    </row>
    <row r="4" spans="1:7" ht="15.75" customHeight="1">
      <c r="A4" s="1207" t="str">
        <f>'Table of Contents'!A3:C3</f>
        <v>Base Period: Twelve Months Ended December 31, 2018</v>
      </c>
      <c r="B4" s="1207"/>
      <c r="C4" s="1207"/>
      <c r="D4" s="1207"/>
    </row>
    <row r="5" spans="1:7" ht="15.75" customHeight="1">
      <c r="A5" s="65"/>
      <c r="B5" s="65"/>
      <c r="C5" s="200"/>
      <c r="D5" s="200"/>
    </row>
    <row r="6" spans="1:7" ht="15.75" customHeight="1">
      <c r="A6" s="66" t="s">
        <v>54</v>
      </c>
      <c r="D6" s="496" t="s">
        <v>1426</v>
      </c>
    </row>
    <row r="7" spans="1:7" ht="15.75" customHeight="1">
      <c r="A7" s="4" t="s">
        <v>615</v>
      </c>
      <c r="D7" s="497" t="s">
        <v>712</v>
      </c>
    </row>
    <row r="8" spans="1:7" ht="15.75" customHeight="1">
      <c r="A8" s="239" t="s">
        <v>365</v>
      </c>
      <c r="B8" s="240"/>
      <c r="C8" s="240"/>
      <c r="D8" s="498" t="str">
        <f>'C.1'!J9</f>
        <v>Witness: Waller, Densman</v>
      </c>
    </row>
    <row r="9" spans="1:7" ht="15.75" customHeight="1">
      <c r="D9" s="275"/>
    </row>
    <row r="10" spans="1:7" ht="15.75" customHeight="1">
      <c r="A10" s="276" t="s">
        <v>93</v>
      </c>
      <c r="B10" s="275" t="s">
        <v>338</v>
      </c>
      <c r="C10" s="276" t="s">
        <v>338</v>
      </c>
      <c r="D10" s="275" t="s">
        <v>986</v>
      </c>
    </row>
    <row r="11" spans="1:7" ht="15.75" customHeight="1">
      <c r="A11" s="277" t="s">
        <v>99</v>
      </c>
      <c r="B11" s="278" t="s">
        <v>1302</v>
      </c>
      <c r="C11" s="277" t="s">
        <v>217</v>
      </c>
      <c r="D11" s="278" t="s">
        <v>314</v>
      </c>
    </row>
    <row r="12" spans="1:7" ht="15.75" customHeight="1">
      <c r="D12" s="275" t="s">
        <v>1092</v>
      </c>
    </row>
    <row r="13" spans="1:7" ht="15.75" customHeight="1">
      <c r="A13" s="275">
        <v>1</v>
      </c>
      <c r="B13" s="279"/>
      <c r="C13" s="280" t="s">
        <v>65</v>
      </c>
    </row>
    <row r="14" spans="1:7" ht="15.75" customHeight="1">
      <c r="A14" s="275">
        <f>A13+1</f>
        <v>2</v>
      </c>
      <c r="B14" s="279"/>
      <c r="C14" s="280" t="s">
        <v>135</v>
      </c>
      <c r="D14" s="96"/>
    </row>
    <row r="15" spans="1:7" ht="15.75" customHeight="1">
      <c r="A15" s="275">
        <f t="shared" ref="A15:A85" si="0">A14+1</f>
        <v>3</v>
      </c>
      <c r="B15" s="529">
        <v>4800</v>
      </c>
      <c r="C15" s="281" t="s">
        <v>130</v>
      </c>
      <c r="D15" s="340">
        <f>-'C.2.2 B 09'!P17</f>
        <v>104140252.17000003</v>
      </c>
      <c r="F15" s="408"/>
      <c r="G15" s="408"/>
    </row>
    <row r="16" spans="1:7" ht="15.75" customHeight="1">
      <c r="A16" s="275">
        <f t="shared" si="0"/>
        <v>4</v>
      </c>
      <c r="B16" s="707">
        <v>4805</v>
      </c>
      <c r="C16" s="708" t="s">
        <v>1308</v>
      </c>
      <c r="D16" s="353">
        <f>-'C.2.2 B 09'!P18</f>
        <v>-1203269.9999999991</v>
      </c>
      <c r="F16" s="408"/>
      <c r="G16" s="408"/>
    </row>
    <row r="17" spans="1:8" ht="15.75" customHeight="1">
      <c r="A17" s="275">
        <f t="shared" si="0"/>
        <v>5</v>
      </c>
      <c r="B17" s="707">
        <v>4811</v>
      </c>
      <c r="C17" s="708" t="s">
        <v>131</v>
      </c>
      <c r="D17" s="353">
        <f>-'C.2.2 B 09'!P19</f>
        <v>44941378.350000001</v>
      </c>
      <c r="F17" s="408"/>
      <c r="G17" s="408"/>
    </row>
    <row r="18" spans="1:8" ht="15.75" customHeight="1">
      <c r="A18" s="275">
        <f t="shared" si="0"/>
        <v>6</v>
      </c>
      <c r="B18" s="707">
        <v>4812</v>
      </c>
      <c r="C18" s="708" t="s">
        <v>132</v>
      </c>
      <c r="D18" s="353">
        <f>-'C.2.2 B 09'!P20</f>
        <v>6556064.4399999995</v>
      </c>
      <c r="F18" s="408"/>
      <c r="G18" s="408"/>
    </row>
    <row r="19" spans="1:8" ht="15.75" customHeight="1">
      <c r="A19" s="275">
        <f t="shared" si="0"/>
        <v>7</v>
      </c>
      <c r="B19" s="707">
        <v>4815</v>
      </c>
      <c r="C19" s="708" t="s">
        <v>1309</v>
      </c>
      <c r="D19" s="353">
        <f>-'C.2.2 B 09'!P21</f>
        <v>-381550.36999999988</v>
      </c>
      <c r="F19" s="408"/>
      <c r="G19" s="408"/>
    </row>
    <row r="20" spans="1:8" ht="15.75" customHeight="1">
      <c r="A20" s="275">
        <f t="shared" si="0"/>
        <v>8</v>
      </c>
      <c r="B20" s="707">
        <v>4816</v>
      </c>
      <c r="C20" s="708" t="s">
        <v>1347</v>
      </c>
      <c r="D20" s="353">
        <f>-'C.2.2 B 09'!P22</f>
        <v>252796.27999999985</v>
      </c>
      <c r="F20" s="408"/>
      <c r="G20" s="408"/>
    </row>
    <row r="21" spans="1:8" ht="15.75" customHeight="1">
      <c r="A21" s="275">
        <f t="shared" si="0"/>
        <v>9</v>
      </c>
      <c r="B21" s="707">
        <v>4820</v>
      </c>
      <c r="C21" s="708" t="s">
        <v>778</v>
      </c>
      <c r="D21" s="353">
        <f>-'C.2.2 B 09'!P23</f>
        <v>7381197.1900000013</v>
      </c>
      <c r="F21" s="408"/>
      <c r="G21" s="408"/>
    </row>
    <row r="22" spans="1:8" ht="15.75" customHeight="1">
      <c r="A22" s="275">
        <f t="shared" si="0"/>
        <v>10</v>
      </c>
      <c r="B22" s="707">
        <v>4825</v>
      </c>
      <c r="C22" s="708" t="s">
        <v>1310</v>
      </c>
      <c r="D22" s="354">
        <f>-'C.2.2 B 09'!P24</f>
        <v>-102757.12</v>
      </c>
      <c r="F22" s="408"/>
      <c r="G22" s="408"/>
    </row>
    <row r="23" spans="1:8" ht="15.75" customHeight="1">
      <c r="A23" s="275">
        <f t="shared" si="0"/>
        <v>11</v>
      </c>
      <c r="B23" s="275"/>
      <c r="C23" s="276" t="s">
        <v>1155</v>
      </c>
      <c r="D23" s="340">
        <f>SUM(D15:D22)</f>
        <v>161584110.94000003</v>
      </c>
    </row>
    <row r="24" spans="1:8" ht="15.75" customHeight="1">
      <c r="A24" s="275">
        <f t="shared" si="0"/>
        <v>12</v>
      </c>
      <c r="B24" s="275"/>
      <c r="D24" s="96"/>
    </row>
    <row r="25" spans="1:8" ht="15.75" customHeight="1">
      <c r="A25" s="275">
        <f t="shared" si="0"/>
        <v>13</v>
      </c>
      <c r="B25" s="530"/>
      <c r="C25" s="280" t="s">
        <v>64</v>
      </c>
      <c r="D25" s="456"/>
    </row>
    <row r="26" spans="1:8" ht="15.75" customHeight="1">
      <c r="A26" s="275">
        <f t="shared" si="0"/>
        <v>14</v>
      </c>
      <c r="B26" s="529">
        <v>4870</v>
      </c>
      <c r="C26" s="281" t="s">
        <v>1013</v>
      </c>
      <c r="D26" s="340">
        <f>-'C.2.2 B 09'!P25</f>
        <v>1373536.7699999998</v>
      </c>
    </row>
    <row r="27" spans="1:8" ht="15.75" customHeight="1">
      <c r="A27" s="275">
        <f t="shared" si="0"/>
        <v>15</v>
      </c>
      <c r="B27" s="529">
        <v>4880</v>
      </c>
      <c r="C27" s="281" t="s">
        <v>1014</v>
      </c>
      <c r="D27" s="353">
        <f>-'C.2.2 B 09'!P26</f>
        <v>783570.45</v>
      </c>
    </row>
    <row r="28" spans="1:8" ht="15.75" customHeight="1">
      <c r="A28" s="275">
        <f t="shared" si="0"/>
        <v>16</v>
      </c>
      <c r="B28" s="531">
        <v>4893</v>
      </c>
      <c r="C28" s="284" t="s">
        <v>63</v>
      </c>
      <c r="D28" s="353">
        <f>-'C.2.2 B 09'!P27</f>
        <v>18537372.689999998</v>
      </c>
      <c r="F28" s="597"/>
    </row>
    <row r="29" spans="1:8" ht="15.75" customHeight="1">
      <c r="A29" s="275">
        <f t="shared" si="0"/>
        <v>17</v>
      </c>
      <c r="B29" s="529">
        <v>4950</v>
      </c>
      <c r="C29" s="281" t="s">
        <v>662</v>
      </c>
      <c r="D29" s="353">
        <f>-'C.2.2 B 09'!P28</f>
        <v>1.19</v>
      </c>
      <c r="F29" s="96"/>
      <c r="G29" s="96"/>
      <c r="H29" s="597"/>
    </row>
    <row r="30" spans="1:8" ht="15.75" customHeight="1">
      <c r="A30" s="275"/>
      <c r="B30" s="529">
        <v>4960</v>
      </c>
      <c r="C30" s="281" t="s">
        <v>1622</v>
      </c>
      <c r="D30" s="353">
        <f>-'C.2.2 B 09'!P29</f>
        <v>-1424110.99</v>
      </c>
      <c r="F30" s="96"/>
      <c r="G30" s="96"/>
      <c r="H30" s="597"/>
    </row>
    <row r="31" spans="1:8" ht="15.75" customHeight="1">
      <c r="A31" s="275">
        <f>A29+1</f>
        <v>18</v>
      </c>
      <c r="B31" s="530"/>
      <c r="C31" s="276" t="s">
        <v>1156</v>
      </c>
      <c r="D31" s="729">
        <f>SUM(D26:D30)</f>
        <v>19270370.109999999</v>
      </c>
    </row>
    <row r="32" spans="1:8" ht="15.75" customHeight="1">
      <c r="A32" s="275">
        <f t="shared" si="0"/>
        <v>19</v>
      </c>
      <c r="B32" s="530"/>
      <c r="D32" s="456"/>
      <c r="F32" s="731"/>
      <c r="G32" s="96"/>
    </row>
    <row r="33" spans="1:8" ht="15.75" customHeight="1">
      <c r="A33" s="275">
        <f t="shared" si="0"/>
        <v>20</v>
      </c>
      <c r="B33" s="275"/>
      <c r="C33" s="276" t="s">
        <v>66</v>
      </c>
      <c r="D33" s="340">
        <f>D23+D31</f>
        <v>180854481.05000001</v>
      </c>
      <c r="E33" s="285"/>
      <c r="F33" s="96"/>
      <c r="G33" s="96"/>
      <c r="H33" s="597"/>
    </row>
    <row r="34" spans="1:8" ht="15.75" customHeight="1">
      <c r="A34" s="275">
        <f t="shared" si="0"/>
        <v>21</v>
      </c>
      <c r="B34" s="530"/>
      <c r="D34" s="456"/>
      <c r="F34" s="96"/>
      <c r="G34" s="96"/>
    </row>
    <row r="35" spans="1:8" ht="15.75" customHeight="1">
      <c r="A35" s="275">
        <f t="shared" si="0"/>
        <v>22</v>
      </c>
      <c r="B35" s="530"/>
      <c r="C35" s="280" t="s">
        <v>302</v>
      </c>
      <c r="D35" s="456"/>
    </row>
    <row r="36" spans="1:8" ht="15.75" customHeight="1">
      <c r="A36" s="275">
        <f t="shared" si="0"/>
        <v>23</v>
      </c>
      <c r="B36" s="530"/>
      <c r="C36" s="286" t="s">
        <v>661</v>
      </c>
      <c r="D36" s="397"/>
    </row>
    <row r="37" spans="1:8" ht="15.75" customHeight="1">
      <c r="A37" s="275">
        <f t="shared" si="0"/>
        <v>24</v>
      </c>
      <c r="B37" s="532">
        <v>7560</v>
      </c>
      <c r="C37" s="281" t="s">
        <v>326</v>
      </c>
      <c r="D37" s="457">
        <f>'C.2.2 B 09'!P30</f>
        <v>0</v>
      </c>
    </row>
    <row r="38" spans="1:8" ht="15.75" customHeight="1">
      <c r="A38" s="275">
        <f t="shared" si="0"/>
        <v>25</v>
      </c>
      <c r="B38" s="532">
        <v>7590</v>
      </c>
      <c r="C38" s="281" t="s">
        <v>1346</v>
      </c>
      <c r="D38" s="354">
        <f>'C.2.2 B 09'!P31</f>
        <v>0</v>
      </c>
    </row>
    <row r="39" spans="1:8" ht="15.75" customHeight="1">
      <c r="A39" s="275">
        <f t="shared" si="0"/>
        <v>26</v>
      </c>
      <c r="B39" s="530"/>
      <c r="C39" s="287" t="s">
        <v>436</v>
      </c>
      <c r="D39" s="340">
        <f>SUM(D37:D38)</f>
        <v>0</v>
      </c>
    </row>
    <row r="40" spans="1:8" ht="15.75" customHeight="1">
      <c r="A40" s="275">
        <f t="shared" si="0"/>
        <v>27</v>
      </c>
      <c r="B40" s="530"/>
      <c r="C40" s="287"/>
      <c r="D40" s="340"/>
    </row>
    <row r="41" spans="1:8" ht="15.75" customHeight="1">
      <c r="A41" s="275">
        <f t="shared" si="0"/>
        <v>28</v>
      </c>
      <c r="B41" s="530"/>
      <c r="C41" s="286" t="s">
        <v>1139</v>
      </c>
      <c r="D41" s="353"/>
    </row>
    <row r="42" spans="1:8" ht="15.75" customHeight="1">
      <c r="A42" s="275">
        <f t="shared" si="0"/>
        <v>29</v>
      </c>
      <c r="B42" s="532">
        <v>7610</v>
      </c>
      <c r="C42" s="281" t="s">
        <v>1140</v>
      </c>
      <c r="D42" s="492">
        <v>0</v>
      </c>
    </row>
    <row r="43" spans="1:8" ht="15.75" customHeight="1">
      <c r="A43" s="275">
        <f t="shared" si="0"/>
        <v>30</v>
      </c>
      <c r="B43" s="530"/>
      <c r="C43" s="66"/>
      <c r="D43" s="340">
        <f>SUM(D42)</f>
        <v>0</v>
      </c>
    </row>
    <row r="44" spans="1:8" ht="15.75" customHeight="1">
      <c r="A44" s="275">
        <f t="shared" si="0"/>
        <v>31</v>
      </c>
      <c r="B44" s="530"/>
      <c r="C44" s="286" t="s">
        <v>1025</v>
      </c>
      <c r="D44" s="397"/>
    </row>
    <row r="45" spans="1:8" ht="15.75" customHeight="1">
      <c r="A45" s="275">
        <f t="shared" si="0"/>
        <v>32</v>
      </c>
      <c r="B45" s="532">
        <v>8140</v>
      </c>
      <c r="C45" s="281" t="s">
        <v>671</v>
      </c>
      <c r="D45" s="493">
        <f>'C.2.2 B 09'!P47</f>
        <v>0</v>
      </c>
    </row>
    <row r="46" spans="1:8" ht="15.75" customHeight="1">
      <c r="A46" s="275">
        <f t="shared" si="0"/>
        <v>33</v>
      </c>
      <c r="B46" s="532">
        <v>8150</v>
      </c>
      <c r="C46" s="281" t="s">
        <v>294</v>
      </c>
      <c r="D46" s="457">
        <v>0</v>
      </c>
    </row>
    <row r="47" spans="1:8" ht="15.75" customHeight="1">
      <c r="A47" s="275">
        <f t="shared" si="0"/>
        <v>34</v>
      </c>
      <c r="B47" s="532">
        <v>8160</v>
      </c>
      <c r="C47" s="281" t="s">
        <v>507</v>
      </c>
      <c r="D47" s="457">
        <f>'C.2.2 B 09'!P48</f>
        <v>434474.25000000006</v>
      </c>
    </row>
    <row r="48" spans="1:8" ht="15.75" customHeight="1">
      <c r="A48" s="275">
        <f t="shared" si="0"/>
        <v>35</v>
      </c>
      <c r="B48" s="532">
        <v>8170</v>
      </c>
      <c r="C48" s="281" t="s">
        <v>508</v>
      </c>
      <c r="D48" s="457">
        <f>'C.2.2 B 09'!P49</f>
        <v>32250.74</v>
      </c>
    </row>
    <row r="49" spans="1:4" ht="15.75" customHeight="1">
      <c r="A49" s="275">
        <f t="shared" si="0"/>
        <v>36</v>
      </c>
      <c r="B49" s="532">
        <v>8180</v>
      </c>
      <c r="C49" s="281" t="s">
        <v>144</v>
      </c>
      <c r="D49" s="457">
        <f>'C.2.2 B 09'!P50</f>
        <v>35243.47</v>
      </c>
    </row>
    <row r="50" spans="1:4" ht="15.75" customHeight="1">
      <c r="A50" s="275">
        <f t="shared" si="0"/>
        <v>37</v>
      </c>
      <c r="B50" s="533">
        <v>8190</v>
      </c>
      <c r="C50" s="288" t="s">
        <v>145</v>
      </c>
      <c r="D50" s="457">
        <f>'C.2.2 B 09'!P51</f>
        <v>1039.6000000000001</v>
      </c>
    </row>
    <row r="51" spans="1:4" ht="15.75" customHeight="1">
      <c r="A51" s="275">
        <f t="shared" si="0"/>
        <v>38</v>
      </c>
      <c r="B51" s="533">
        <v>8200</v>
      </c>
      <c r="C51" s="288" t="s">
        <v>475</v>
      </c>
      <c r="D51" s="457">
        <f>'C.2.2 B 09'!P52</f>
        <v>6873.4499999999989</v>
      </c>
    </row>
    <row r="52" spans="1:4" ht="15.75" customHeight="1">
      <c r="A52" s="275">
        <f t="shared" si="0"/>
        <v>39</v>
      </c>
      <c r="B52" s="533">
        <v>8210</v>
      </c>
      <c r="C52" s="288" t="s">
        <v>476</v>
      </c>
      <c r="D52" s="457">
        <f>'C.2.2 B 09'!P53</f>
        <v>50443.05</v>
      </c>
    </row>
    <row r="53" spans="1:4" ht="15.75" customHeight="1">
      <c r="A53" s="275">
        <f t="shared" si="0"/>
        <v>40</v>
      </c>
      <c r="B53" s="533">
        <v>8240</v>
      </c>
      <c r="C53" s="288" t="s">
        <v>584</v>
      </c>
      <c r="D53" s="457">
        <f>'C.2.2 B 09'!P54</f>
        <v>0</v>
      </c>
    </row>
    <row r="54" spans="1:4" ht="15.75" customHeight="1">
      <c r="A54" s="275">
        <f t="shared" si="0"/>
        <v>41</v>
      </c>
      <c r="B54" s="533">
        <v>8250</v>
      </c>
      <c r="C54" s="288" t="s">
        <v>637</v>
      </c>
      <c r="D54" s="354">
        <f>'C.2.2 B 09'!P55</f>
        <v>9841.1099999999988</v>
      </c>
    </row>
    <row r="55" spans="1:4" ht="15.75" customHeight="1">
      <c r="A55" s="275">
        <f t="shared" si="0"/>
        <v>42</v>
      </c>
      <c r="B55" s="530"/>
      <c r="C55" s="287" t="s">
        <v>1026</v>
      </c>
      <c r="D55" s="340">
        <f>SUM(D45:D54)</f>
        <v>570165.67000000004</v>
      </c>
    </row>
    <row r="56" spans="1:4" ht="15.75" customHeight="1">
      <c r="A56" s="275">
        <f t="shared" si="0"/>
        <v>43</v>
      </c>
      <c r="B56" s="530"/>
      <c r="C56" s="66"/>
      <c r="D56" s="353"/>
    </row>
    <row r="57" spans="1:4" ht="15.75" customHeight="1">
      <c r="A57" s="275">
        <f t="shared" si="0"/>
        <v>44</v>
      </c>
      <c r="B57" s="530"/>
      <c r="C57" s="286" t="s">
        <v>1012</v>
      </c>
      <c r="D57" s="353"/>
    </row>
    <row r="58" spans="1:4" ht="15.75" customHeight="1">
      <c r="A58" s="275">
        <f t="shared" si="0"/>
        <v>45</v>
      </c>
      <c r="B58" s="533">
        <v>8310</v>
      </c>
      <c r="C58" s="288" t="s">
        <v>638</v>
      </c>
      <c r="D58" s="493">
        <f>'C.2.2 B 09'!P56</f>
        <v>26909.34</v>
      </c>
    </row>
    <row r="59" spans="1:4" ht="15.75" customHeight="1">
      <c r="A59" s="275">
        <f t="shared" si="0"/>
        <v>46</v>
      </c>
      <c r="B59" s="533">
        <v>8320</v>
      </c>
      <c r="C59" s="288" t="s">
        <v>639</v>
      </c>
      <c r="D59" s="457">
        <v>0</v>
      </c>
    </row>
    <row r="60" spans="1:4" ht="15.75" customHeight="1">
      <c r="A60" s="275">
        <f t="shared" si="0"/>
        <v>47</v>
      </c>
      <c r="B60" s="533">
        <v>8340</v>
      </c>
      <c r="C60" s="288" t="s">
        <v>640</v>
      </c>
      <c r="D60" s="457">
        <f>'C.2.2 B 09'!P57</f>
        <v>3962.0299999999997</v>
      </c>
    </row>
    <row r="61" spans="1:4" ht="15.75" customHeight="1">
      <c r="A61" s="275">
        <f t="shared" si="0"/>
        <v>48</v>
      </c>
      <c r="B61" s="533">
        <v>8350</v>
      </c>
      <c r="C61" s="288" t="s">
        <v>641</v>
      </c>
      <c r="D61" s="457">
        <f>'C.2.2 B 09'!P58</f>
        <v>19.91</v>
      </c>
    </row>
    <row r="62" spans="1:4" ht="15.75" customHeight="1">
      <c r="A62" s="275">
        <f t="shared" si="0"/>
        <v>49</v>
      </c>
      <c r="B62" s="533">
        <v>8360</v>
      </c>
      <c r="C62" s="288" t="s">
        <v>1040</v>
      </c>
      <c r="D62" s="457">
        <f>'C.2.2 B 09'!P59</f>
        <v>0</v>
      </c>
    </row>
    <row r="63" spans="1:4" ht="15.75" customHeight="1">
      <c r="A63" s="275">
        <f t="shared" si="0"/>
        <v>50</v>
      </c>
      <c r="B63" s="533">
        <v>8370</v>
      </c>
      <c r="C63" s="288" t="s">
        <v>1339</v>
      </c>
      <c r="D63" s="457">
        <f>'C.2.2 B 09'!P60</f>
        <v>0</v>
      </c>
    </row>
    <row r="64" spans="1:4" ht="15.75" customHeight="1">
      <c r="A64" s="275">
        <f t="shared" si="0"/>
        <v>51</v>
      </c>
      <c r="B64" s="534" t="s">
        <v>295</v>
      </c>
      <c r="C64" s="288" t="s">
        <v>447</v>
      </c>
      <c r="D64" s="457">
        <f>'C.2.2 B 09'!P61</f>
        <v>108741.04000000001</v>
      </c>
    </row>
    <row r="65" spans="1:7" ht="15.75" customHeight="1">
      <c r="A65" s="275">
        <f t="shared" si="0"/>
        <v>52</v>
      </c>
      <c r="B65" s="530"/>
      <c r="C65" s="287" t="s">
        <v>1027</v>
      </c>
      <c r="D65" s="729">
        <f>SUM(D58:D64)</f>
        <v>139632.32000000001</v>
      </c>
    </row>
    <row r="66" spans="1:7" ht="15.75" customHeight="1">
      <c r="A66" s="275">
        <f t="shared" si="0"/>
        <v>53</v>
      </c>
      <c r="B66" s="530"/>
      <c r="C66" s="66"/>
      <c r="D66" s="353"/>
    </row>
    <row r="67" spans="1:7" ht="15.75" customHeight="1">
      <c r="A67" s="275">
        <f t="shared" si="0"/>
        <v>54</v>
      </c>
      <c r="B67" s="530"/>
      <c r="C67" s="286" t="s">
        <v>1028</v>
      </c>
      <c r="D67" s="353"/>
    </row>
    <row r="68" spans="1:7" ht="15.75" customHeight="1">
      <c r="A68" s="275">
        <f t="shared" si="0"/>
        <v>55</v>
      </c>
      <c r="B68" s="533">
        <v>8500</v>
      </c>
      <c r="C68" s="288" t="s">
        <v>671</v>
      </c>
      <c r="D68" s="493">
        <f>'C.2.2 B 09'!P62</f>
        <v>28.57</v>
      </c>
    </row>
    <row r="69" spans="1:7" ht="15.75" customHeight="1">
      <c r="A69" s="275">
        <f t="shared" si="0"/>
        <v>56</v>
      </c>
      <c r="B69" s="533">
        <v>8520</v>
      </c>
      <c r="C69" s="288" t="s">
        <v>1340</v>
      </c>
      <c r="D69" s="457">
        <f>'C.2.2 B 09'!P63</f>
        <v>0</v>
      </c>
      <c r="G69" s="796"/>
    </row>
    <row r="70" spans="1:7" ht="15.75" customHeight="1">
      <c r="A70" s="275">
        <f t="shared" si="0"/>
        <v>57</v>
      </c>
      <c r="B70" s="533">
        <v>8550</v>
      </c>
      <c r="C70" s="288" t="s">
        <v>1394</v>
      </c>
      <c r="D70" s="457">
        <f>'C.2.2 B 09'!P64</f>
        <v>415.74000000000007</v>
      </c>
      <c r="G70" s="796"/>
    </row>
    <row r="71" spans="1:7" ht="15.75" customHeight="1">
      <c r="A71" s="275">
        <f t="shared" si="0"/>
        <v>58</v>
      </c>
      <c r="B71" s="533">
        <v>8560</v>
      </c>
      <c r="C71" s="288" t="s">
        <v>642</v>
      </c>
      <c r="D71" s="457">
        <f>'C.2.2 B 09'!P65</f>
        <v>425187.32</v>
      </c>
    </row>
    <row r="72" spans="1:7" ht="15.75" customHeight="1">
      <c r="A72" s="275">
        <f t="shared" si="0"/>
        <v>59</v>
      </c>
      <c r="B72" s="533">
        <v>8570</v>
      </c>
      <c r="C72" s="288" t="s">
        <v>643</v>
      </c>
      <c r="D72" s="457">
        <f>'C.2.2 B 09'!P66</f>
        <v>24759.549999999996</v>
      </c>
    </row>
    <row r="73" spans="1:7" ht="15.75" customHeight="1">
      <c r="A73" s="275">
        <f t="shared" si="0"/>
        <v>60</v>
      </c>
      <c r="B73" s="533">
        <v>8590</v>
      </c>
      <c r="C73" s="288" t="s">
        <v>646</v>
      </c>
      <c r="D73" s="457">
        <v>0</v>
      </c>
    </row>
    <row r="74" spans="1:7" ht="15.75" customHeight="1">
      <c r="A74" s="275">
        <f t="shared" si="0"/>
        <v>61</v>
      </c>
      <c r="B74" s="533">
        <v>8600</v>
      </c>
      <c r="C74" s="288" t="s">
        <v>769</v>
      </c>
      <c r="D74" s="354">
        <v>0</v>
      </c>
    </row>
    <row r="75" spans="1:7" ht="15.75" customHeight="1">
      <c r="A75" s="275">
        <f t="shared" si="0"/>
        <v>62</v>
      </c>
      <c r="B75" s="530"/>
      <c r="C75" s="287" t="s">
        <v>1004</v>
      </c>
      <c r="D75" s="340">
        <f>SUM(D68:D74)</f>
        <v>450391.18</v>
      </c>
    </row>
    <row r="76" spans="1:7" ht="15.75" customHeight="1">
      <c r="A76" s="275">
        <f t="shared" si="0"/>
        <v>63</v>
      </c>
      <c r="B76" s="530"/>
      <c r="C76" s="66"/>
      <c r="D76" s="353"/>
    </row>
    <row r="77" spans="1:7" ht="15.75" customHeight="1">
      <c r="A77" s="275">
        <f t="shared" si="0"/>
        <v>64</v>
      </c>
      <c r="B77" s="530"/>
      <c r="C77" s="286" t="s">
        <v>1005</v>
      </c>
      <c r="D77" s="353"/>
    </row>
    <row r="78" spans="1:7" ht="15.75" customHeight="1">
      <c r="A78" s="275">
        <f t="shared" si="0"/>
        <v>65</v>
      </c>
      <c r="B78" s="533">
        <v>8620</v>
      </c>
      <c r="C78" s="288" t="s">
        <v>969</v>
      </c>
      <c r="D78" s="493">
        <v>0</v>
      </c>
    </row>
    <row r="79" spans="1:7" ht="15.75" customHeight="1">
      <c r="A79" s="275">
        <f t="shared" si="0"/>
        <v>66</v>
      </c>
      <c r="B79" s="533">
        <v>8630</v>
      </c>
      <c r="C79" s="288" t="s">
        <v>506</v>
      </c>
      <c r="D79" s="457">
        <f>'C.2.2 B 09'!P67</f>
        <v>28804.320000000003</v>
      </c>
    </row>
    <row r="80" spans="1:7" ht="15.75" customHeight="1">
      <c r="A80" s="275">
        <f t="shared" si="0"/>
        <v>67</v>
      </c>
      <c r="B80" s="533">
        <v>8640</v>
      </c>
      <c r="C80" s="288" t="s">
        <v>591</v>
      </c>
      <c r="D80" s="457">
        <f>'C.2.2 B 09'!P68</f>
        <v>0</v>
      </c>
    </row>
    <row r="81" spans="1:5" ht="15.75" customHeight="1">
      <c r="A81" s="275">
        <f t="shared" si="0"/>
        <v>68</v>
      </c>
      <c r="B81" s="533">
        <v>8650</v>
      </c>
      <c r="C81" s="288" t="s">
        <v>644</v>
      </c>
      <c r="D81" s="457">
        <f>'C.2.2 B 09'!P69</f>
        <v>280.58</v>
      </c>
    </row>
    <row r="82" spans="1:5" ht="15.75" customHeight="1">
      <c r="A82" s="275">
        <f t="shared" si="0"/>
        <v>69</v>
      </c>
      <c r="B82" s="533">
        <v>8670</v>
      </c>
      <c r="C82" s="288" t="s">
        <v>645</v>
      </c>
      <c r="D82" s="354">
        <v>0</v>
      </c>
    </row>
    <row r="83" spans="1:5" ht="15.75" customHeight="1">
      <c r="A83" s="275">
        <f t="shared" si="0"/>
        <v>70</v>
      </c>
      <c r="B83" s="530"/>
      <c r="C83" s="287" t="s">
        <v>1006</v>
      </c>
      <c r="D83" s="340">
        <f>SUM(D78:D82)</f>
        <v>29084.900000000005</v>
      </c>
    </row>
    <row r="84" spans="1:5" ht="15.75" customHeight="1">
      <c r="A84" s="275">
        <f t="shared" si="0"/>
        <v>71</v>
      </c>
      <c r="B84" s="530"/>
      <c r="C84" s="66"/>
      <c r="D84" s="353"/>
    </row>
    <row r="85" spans="1:5" ht="15.75" customHeight="1">
      <c r="A85" s="275">
        <f t="shared" si="0"/>
        <v>72</v>
      </c>
      <c r="B85" s="530"/>
      <c r="C85" s="286" t="s">
        <v>327</v>
      </c>
      <c r="D85" s="456"/>
    </row>
    <row r="86" spans="1:5" ht="15.75" customHeight="1">
      <c r="A86" s="275">
        <f t="shared" ref="A86:A149" si="1">A85+1</f>
        <v>73</v>
      </c>
      <c r="B86" s="529">
        <v>8001</v>
      </c>
      <c r="C86" s="281" t="s">
        <v>867</v>
      </c>
      <c r="D86" s="493">
        <f>'C.2.2 B 09'!P32</f>
        <v>0</v>
      </c>
      <c r="E86" s="312"/>
    </row>
    <row r="87" spans="1:5" ht="15.75" customHeight="1">
      <c r="A87" s="275">
        <f t="shared" si="1"/>
        <v>74</v>
      </c>
      <c r="B87" s="529">
        <v>8010</v>
      </c>
      <c r="C87" s="92" t="s">
        <v>1212</v>
      </c>
      <c r="D87" s="457">
        <f>'C.2.2 B 09'!P33</f>
        <v>67330.52</v>
      </c>
      <c r="E87" s="312"/>
    </row>
    <row r="88" spans="1:5" ht="15.75" customHeight="1">
      <c r="A88" s="275">
        <f t="shared" si="1"/>
        <v>75</v>
      </c>
      <c r="B88" s="529">
        <v>8040</v>
      </c>
      <c r="C88" s="276" t="s">
        <v>303</v>
      </c>
      <c r="D88" s="457">
        <f>'C.2.2 B 09'!P34</f>
        <v>56233271.459999993</v>
      </c>
      <c r="E88" s="312"/>
    </row>
    <row r="89" spans="1:5" ht="15.75" customHeight="1">
      <c r="A89" s="275">
        <f t="shared" si="1"/>
        <v>76</v>
      </c>
      <c r="B89" s="529">
        <v>8045</v>
      </c>
      <c r="C89" s="276" t="s">
        <v>1137</v>
      </c>
      <c r="D89" s="457">
        <v>0</v>
      </c>
      <c r="E89" s="312"/>
    </row>
    <row r="90" spans="1:5" ht="15.75" customHeight="1">
      <c r="A90" s="275">
        <f t="shared" si="1"/>
        <v>77</v>
      </c>
      <c r="B90" s="529">
        <v>8050</v>
      </c>
      <c r="C90" s="281" t="s">
        <v>908</v>
      </c>
      <c r="D90" s="457">
        <f>'C.2.2 B 09'!P35</f>
        <v>-11267.03</v>
      </c>
      <c r="E90" s="312"/>
    </row>
    <row r="91" spans="1:5" ht="15.75" customHeight="1">
      <c r="A91" s="275">
        <f t="shared" si="1"/>
        <v>78</v>
      </c>
      <c r="B91" s="529">
        <v>8051</v>
      </c>
      <c r="C91" s="276" t="s">
        <v>811</v>
      </c>
      <c r="D91" s="457">
        <f>'C.2.2 B 09'!P36</f>
        <v>52922515.230000004</v>
      </c>
      <c r="E91" s="312"/>
    </row>
    <row r="92" spans="1:5" ht="15.75" customHeight="1">
      <c r="A92" s="275">
        <f t="shared" si="1"/>
        <v>79</v>
      </c>
      <c r="B92" s="529">
        <v>8052</v>
      </c>
      <c r="C92" s="276" t="s">
        <v>421</v>
      </c>
      <c r="D92" s="457">
        <f>'C.2.2 B 09'!P37</f>
        <v>26915065.560000006</v>
      </c>
      <c r="E92" s="312"/>
    </row>
    <row r="93" spans="1:5" ht="15.75" customHeight="1">
      <c r="A93" s="275">
        <f t="shared" si="1"/>
        <v>80</v>
      </c>
      <c r="B93" s="529">
        <v>8053</v>
      </c>
      <c r="C93" s="276" t="s">
        <v>835</v>
      </c>
      <c r="D93" s="457">
        <f>'C.2.2 B 09'!P38</f>
        <v>5527388.4499999993</v>
      </c>
      <c r="E93" s="312"/>
    </row>
    <row r="94" spans="1:5" ht="15.75" customHeight="1">
      <c r="A94" s="275">
        <f t="shared" si="1"/>
        <v>81</v>
      </c>
      <c r="B94" s="529">
        <v>8054</v>
      </c>
      <c r="C94" s="276" t="s">
        <v>836</v>
      </c>
      <c r="D94" s="457">
        <f>'C.2.2 B 09'!P39</f>
        <v>5048907.84</v>
      </c>
      <c r="E94" s="312"/>
    </row>
    <row r="95" spans="1:5" ht="15.75" customHeight="1">
      <c r="A95" s="275">
        <f t="shared" si="1"/>
        <v>82</v>
      </c>
      <c r="B95" s="529">
        <v>8057</v>
      </c>
      <c r="C95" s="276" t="s">
        <v>281</v>
      </c>
      <c r="D95" s="457">
        <v>0</v>
      </c>
      <c r="E95" s="312"/>
    </row>
    <row r="96" spans="1:5" ht="15.75" customHeight="1">
      <c r="A96" s="275">
        <f t="shared" si="1"/>
        <v>83</v>
      </c>
      <c r="B96" s="529">
        <v>8058</v>
      </c>
      <c r="C96" s="276" t="s">
        <v>282</v>
      </c>
      <c r="D96" s="457">
        <f>'C.2.2 B 09'!P40</f>
        <v>-1385119.1600000011</v>
      </c>
      <c r="E96" s="312"/>
    </row>
    <row r="97" spans="1:6" ht="15.75" customHeight="1">
      <c r="A97" s="275">
        <f t="shared" si="1"/>
        <v>84</v>
      </c>
      <c r="B97" s="529">
        <v>8059</v>
      </c>
      <c r="C97" s="276" t="s">
        <v>283</v>
      </c>
      <c r="D97" s="457">
        <f>'C.2.2 B 09'!P41</f>
        <v>-80918760.420000002</v>
      </c>
      <c r="E97" s="312"/>
    </row>
    <row r="98" spans="1:6" ht="15.75" customHeight="1">
      <c r="A98" s="275">
        <f t="shared" si="1"/>
        <v>85</v>
      </c>
      <c r="B98" s="529">
        <v>8060</v>
      </c>
      <c r="C98" s="276" t="s">
        <v>1007</v>
      </c>
      <c r="D98" s="457">
        <f>'C.2.2 B 09'!P42</f>
        <v>661486.43999999948</v>
      </c>
      <c r="E98" s="312"/>
    </row>
    <row r="99" spans="1:6" ht="15.75" customHeight="1">
      <c r="A99" s="275">
        <f t="shared" si="1"/>
        <v>86</v>
      </c>
      <c r="B99" s="529">
        <v>8081</v>
      </c>
      <c r="C99" s="276" t="s">
        <v>284</v>
      </c>
      <c r="D99" s="457">
        <f>'C.2.2 B 09'!P43</f>
        <v>14089929.169999998</v>
      </c>
      <c r="E99" s="312"/>
    </row>
    <row r="100" spans="1:6" ht="15.75" customHeight="1">
      <c r="A100" s="275">
        <f t="shared" si="1"/>
        <v>87</v>
      </c>
      <c r="B100" s="529">
        <v>8082</v>
      </c>
      <c r="C100" s="276" t="s">
        <v>67</v>
      </c>
      <c r="D100" s="457">
        <f>'C.2.2 B 09'!P44</f>
        <v>-14902550.960000001</v>
      </c>
      <c r="E100" s="312"/>
    </row>
    <row r="101" spans="1:6" ht="15.75" customHeight="1">
      <c r="A101" s="275">
        <f t="shared" si="1"/>
        <v>88</v>
      </c>
      <c r="B101" s="529">
        <v>8110</v>
      </c>
      <c r="C101" s="276" t="s">
        <v>1213</v>
      </c>
      <c r="D101" s="457">
        <v>0</v>
      </c>
      <c r="E101" s="312"/>
    </row>
    <row r="102" spans="1:6" ht="15.75" customHeight="1">
      <c r="A102" s="275">
        <f t="shared" si="1"/>
        <v>89</v>
      </c>
      <c r="B102" s="529">
        <v>8120</v>
      </c>
      <c r="C102" s="276" t="s">
        <v>1023</v>
      </c>
      <c r="D102" s="457">
        <f>'C.2.2 B 09'!P45</f>
        <v>-22522.33</v>
      </c>
      <c r="E102" s="312"/>
    </row>
    <row r="103" spans="1:6" ht="15.75" customHeight="1">
      <c r="A103" s="275">
        <f t="shared" si="1"/>
        <v>90</v>
      </c>
      <c r="B103" s="529">
        <v>8130</v>
      </c>
      <c r="C103" s="276" t="s">
        <v>1023</v>
      </c>
      <c r="D103" s="457">
        <v>0</v>
      </c>
      <c r="E103" s="312"/>
    </row>
    <row r="104" spans="1:6" ht="15.75" customHeight="1">
      <c r="A104" s="275">
        <f t="shared" si="1"/>
        <v>91</v>
      </c>
      <c r="B104" s="529">
        <v>8580</v>
      </c>
      <c r="C104" s="276" t="s">
        <v>1211</v>
      </c>
      <c r="D104" s="354">
        <f>'C.2.2 B 09'!P46</f>
        <v>24780560.920000002</v>
      </c>
      <c r="E104" s="312"/>
      <c r="F104" s="591"/>
    </row>
    <row r="105" spans="1:6" ht="15.75" customHeight="1">
      <c r="A105" s="275">
        <f t="shared" si="1"/>
        <v>92</v>
      </c>
      <c r="B105" s="530"/>
      <c r="C105" s="289" t="s">
        <v>1024</v>
      </c>
      <c r="D105" s="340">
        <f>SUM(D86:D104)</f>
        <v>89006235.689999998</v>
      </c>
      <c r="F105" s="86"/>
    </row>
    <row r="106" spans="1:6" ht="15.75" customHeight="1">
      <c r="A106" s="275">
        <f t="shared" si="1"/>
        <v>93</v>
      </c>
      <c r="B106" s="530"/>
      <c r="D106" s="397"/>
    </row>
    <row r="107" spans="1:6" ht="15.75" customHeight="1">
      <c r="A107" s="275">
        <f t="shared" si="1"/>
        <v>94</v>
      </c>
      <c r="B107" s="530"/>
      <c r="C107" s="286" t="s">
        <v>1050</v>
      </c>
      <c r="D107" s="397"/>
    </row>
    <row r="108" spans="1:6" ht="15.75" customHeight="1">
      <c r="A108" s="275">
        <f t="shared" si="1"/>
        <v>95</v>
      </c>
      <c r="B108" s="529">
        <v>8700</v>
      </c>
      <c r="C108" s="281" t="s">
        <v>647</v>
      </c>
      <c r="D108" s="493">
        <f>'C.2.2 B 09'!P70</f>
        <v>1549674.0100000012</v>
      </c>
    </row>
    <row r="109" spans="1:6" ht="15.75" customHeight="1">
      <c r="A109" s="275">
        <f t="shared" si="1"/>
        <v>96</v>
      </c>
      <c r="B109" s="529">
        <v>8710</v>
      </c>
      <c r="C109" s="281" t="s">
        <v>648</v>
      </c>
      <c r="D109" s="457">
        <f>'C.2.2 B 09'!P71</f>
        <v>969.81</v>
      </c>
    </row>
    <row r="110" spans="1:6" ht="15.75" customHeight="1">
      <c r="A110" s="275">
        <f t="shared" si="1"/>
        <v>97</v>
      </c>
      <c r="B110" s="529">
        <v>8711</v>
      </c>
      <c r="C110" s="276" t="s">
        <v>344</v>
      </c>
      <c r="D110" s="457">
        <f>'C.2.2 B 09'!P72</f>
        <v>42445.58</v>
      </c>
    </row>
    <row r="111" spans="1:6" ht="15.75" customHeight="1">
      <c r="A111" s="275">
        <f t="shared" si="1"/>
        <v>98</v>
      </c>
      <c r="B111" s="529">
        <v>8720</v>
      </c>
      <c r="C111" s="281" t="s">
        <v>961</v>
      </c>
      <c r="D111" s="457">
        <f>'C.2.2 B 09'!P73</f>
        <v>0</v>
      </c>
    </row>
    <row r="112" spans="1:6" ht="15.75" customHeight="1">
      <c r="A112" s="275">
        <f t="shared" si="1"/>
        <v>99</v>
      </c>
      <c r="B112" s="529">
        <v>8740</v>
      </c>
      <c r="C112" s="281" t="s">
        <v>962</v>
      </c>
      <c r="D112" s="457">
        <f>'C.2.2 B 09'!P74</f>
        <v>5253515.9700000007</v>
      </c>
    </row>
    <row r="113" spans="1:4" ht="15.75" customHeight="1">
      <c r="A113" s="275">
        <f t="shared" si="1"/>
        <v>100</v>
      </c>
      <c r="B113" s="529">
        <v>8750</v>
      </c>
      <c r="C113" s="281" t="s">
        <v>966</v>
      </c>
      <c r="D113" s="457">
        <f>'C.2.2 B 09'!P75</f>
        <v>600716.4800000001</v>
      </c>
    </row>
    <row r="114" spans="1:4" ht="15.75" customHeight="1">
      <c r="A114" s="275">
        <f t="shared" si="1"/>
        <v>101</v>
      </c>
      <c r="B114" s="529">
        <v>8760</v>
      </c>
      <c r="C114" s="281" t="s">
        <v>967</v>
      </c>
      <c r="D114" s="457">
        <f>'C.2.2 B 09'!P76</f>
        <v>155175.59999999998</v>
      </c>
    </row>
    <row r="115" spans="1:4" ht="15.75" customHeight="1">
      <c r="A115" s="275">
        <f t="shared" si="1"/>
        <v>102</v>
      </c>
      <c r="B115" s="529">
        <v>8770</v>
      </c>
      <c r="C115" s="281" t="s">
        <v>968</v>
      </c>
      <c r="D115" s="457">
        <f>'C.2.2 B 09'!P77</f>
        <v>56817.969999999987</v>
      </c>
    </row>
    <row r="116" spans="1:4" ht="15.75" customHeight="1">
      <c r="A116" s="275">
        <f t="shared" si="1"/>
        <v>103</v>
      </c>
      <c r="B116" s="529">
        <v>8780</v>
      </c>
      <c r="C116" s="281" t="s">
        <v>963</v>
      </c>
      <c r="D116" s="457">
        <f>'C.2.2 B 09'!P78</f>
        <v>1057754.6700000002</v>
      </c>
    </row>
    <row r="117" spans="1:4" ht="15.75" customHeight="1">
      <c r="A117" s="275">
        <f t="shared" si="1"/>
        <v>104</v>
      </c>
      <c r="B117" s="529">
        <v>8790</v>
      </c>
      <c r="C117" s="281" t="s">
        <v>964</v>
      </c>
      <c r="D117" s="457">
        <f>'C.2.2 B 09'!P79</f>
        <v>2055.34</v>
      </c>
    </row>
    <row r="118" spans="1:4" ht="15.75" customHeight="1">
      <c r="A118" s="275">
        <f t="shared" si="1"/>
        <v>105</v>
      </c>
      <c r="B118" s="529">
        <v>8800</v>
      </c>
      <c r="C118" s="281" t="s">
        <v>965</v>
      </c>
      <c r="D118" s="457">
        <f>'C.2.2 B 09'!P80</f>
        <v>7990.0500000000011</v>
      </c>
    </row>
    <row r="119" spans="1:4" ht="15.75" customHeight="1">
      <c r="A119" s="275">
        <f t="shared" si="1"/>
        <v>106</v>
      </c>
      <c r="B119" s="529">
        <v>8810</v>
      </c>
      <c r="C119" s="281" t="s">
        <v>769</v>
      </c>
      <c r="D119" s="354">
        <f>'C.2.2 B 09'!P81</f>
        <v>514574.05000000005</v>
      </c>
    </row>
    <row r="120" spans="1:4" ht="15.75" customHeight="1">
      <c r="A120" s="275">
        <f t="shared" si="1"/>
        <v>107</v>
      </c>
      <c r="B120" s="530"/>
      <c r="C120" s="287" t="s">
        <v>659</v>
      </c>
      <c r="D120" s="340">
        <f>SUM(D108:D119)</f>
        <v>9241689.5300000031</v>
      </c>
    </row>
    <row r="121" spans="1:4" ht="15.75" customHeight="1">
      <c r="A121" s="275">
        <f t="shared" si="1"/>
        <v>108</v>
      </c>
      <c r="B121" s="530"/>
      <c r="C121" s="66"/>
      <c r="D121" s="353"/>
    </row>
    <row r="122" spans="1:4" ht="15.75" customHeight="1">
      <c r="A122" s="275">
        <f t="shared" si="1"/>
        <v>109</v>
      </c>
      <c r="B122" s="275"/>
      <c r="C122" s="286" t="s">
        <v>660</v>
      </c>
      <c r="D122" s="456"/>
    </row>
    <row r="123" spans="1:4" ht="15.75" customHeight="1">
      <c r="A123" s="275">
        <f t="shared" si="1"/>
        <v>110</v>
      </c>
      <c r="B123" s="529">
        <v>8850</v>
      </c>
      <c r="C123" s="281" t="s">
        <v>647</v>
      </c>
      <c r="D123" s="493">
        <f>'C.2.2 B 09'!P82</f>
        <v>1141.57</v>
      </c>
    </row>
    <row r="124" spans="1:4" ht="15.75" customHeight="1">
      <c r="A124" s="275">
        <f t="shared" si="1"/>
        <v>111</v>
      </c>
      <c r="B124" s="529">
        <v>8860</v>
      </c>
      <c r="C124" s="281" t="s">
        <v>969</v>
      </c>
      <c r="D124" s="457">
        <f>'C.2.2 B 09'!P83</f>
        <v>119.19</v>
      </c>
    </row>
    <row r="125" spans="1:4" ht="15.75" customHeight="1">
      <c r="A125" s="275">
        <f t="shared" si="1"/>
        <v>112</v>
      </c>
      <c r="B125" s="529">
        <v>8870</v>
      </c>
      <c r="C125" s="281" t="s">
        <v>506</v>
      </c>
      <c r="D125" s="457">
        <f>'C.2.2 B 09'!P84</f>
        <v>43910.619999999995</v>
      </c>
    </row>
    <row r="126" spans="1:4" ht="15.75" customHeight="1">
      <c r="A126" s="275">
        <f t="shared" si="1"/>
        <v>113</v>
      </c>
      <c r="B126" s="529">
        <v>8890</v>
      </c>
      <c r="C126" s="281" t="s">
        <v>966</v>
      </c>
      <c r="D126" s="457">
        <f>'C.2.2 B 09'!P85</f>
        <v>69570.410000000018</v>
      </c>
    </row>
    <row r="127" spans="1:4" ht="15.75" customHeight="1">
      <c r="A127" s="275">
        <f t="shared" si="1"/>
        <v>114</v>
      </c>
      <c r="B127" s="529">
        <v>8900</v>
      </c>
      <c r="C127" s="281" t="s">
        <v>967</v>
      </c>
      <c r="D127" s="457">
        <f>'C.2.2 B 09'!P86</f>
        <v>1441.2099999999998</v>
      </c>
    </row>
    <row r="128" spans="1:4" ht="15.75" customHeight="1">
      <c r="A128" s="275">
        <f t="shared" si="1"/>
        <v>115</v>
      </c>
      <c r="B128" s="529">
        <v>8910</v>
      </c>
      <c r="C128" s="281" t="s">
        <v>968</v>
      </c>
      <c r="D128" s="457">
        <f>'C.2.2 B 09'!P87</f>
        <v>1007.35</v>
      </c>
    </row>
    <row r="129" spans="1:5" ht="15.75" customHeight="1">
      <c r="A129" s="275">
        <f t="shared" si="1"/>
        <v>116</v>
      </c>
      <c r="B129" s="529">
        <v>8920</v>
      </c>
      <c r="C129" s="281" t="s">
        <v>1052</v>
      </c>
      <c r="D129" s="457">
        <f>'C.2.2 B 09'!P88</f>
        <v>5467.9399999999987</v>
      </c>
    </row>
    <row r="130" spans="1:5" ht="15.75" customHeight="1">
      <c r="A130" s="275">
        <f t="shared" si="1"/>
        <v>117</v>
      </c>
      <c r="B130" s="529">
        <v>8930</v>
      </c>
      <c r="C130" s="281" t="s">
        <v>970</v>
      </c>
      <c r="D130" s="457">
        <f>'C.2.2 B 09'!P89</f>
        <v>378.49</v>
      </c>
    </row>
    <row r="131" spans="1:5" ht="15.75" customHeight="1">
      <c r="A131" s="275">
        <f t="shared" si="1"/>
        <v>118</v>
      </c>
      <c r="B131" s="529">
        <v>8940</v>
      </c>
      <c r="C131" s="281" t="s">
        <v>645</v>
      </c>
      <c r="D131" s="457">
        <f>'C.2.2 B 09'!P90</f>
        <v>12073.639999999998</v>
      </c>
    </row>
    <row r="132" spans="1:5" ht="15.75" customHeight="1">
      <c r="A132" s="275">
        <f t="shared" si="1"/>
        <v>119</v>
      </c>
      <c r="B132" s="529">
        <v>8950</v>
      </c>
      <c r="C132" s="281" t="s">
        <v>293</v>
      </c>
      <c r="D132" s="354">
        <v>0</v>
      </c>
    </row>
    <row r="133" spans="1:5" ht="15.75" customHeight="1">
      <c r="A133" s="275">
        <f t="shared" si="1"/>
        <v>120</v>
      </c>
      <c r="B133" s="530"/>
      <c r="C133" s="287" t="s">
        <v>422</v>
      </c>
      <c r="D133" s="340">
        <f>SUM(D123:D132)</f>
        <v>135110.42000000001</v>
      </c>
    </row>
    <row r="134" spans="1:5" ht="15.75" customHeight="1">
      <c r="A134" s="275">
        <f t="shared" si="1"/>
        <v>121</v>
      </c>
      <c r="B134" s="530"/>
      <c r="C134" s="287"/>
      <c r="D134" s="353"/>
    </row>
    <row r="135" spans="1:5" ht="15.75" customHeight="1">
      <c r="A135" s="275">
        <f t="shared" si="1"/>
        <v>122</v>
      </c>
      <c r="B135" s="275"/>
      <c r="C135" s="286" t="s">
        <v>423</v>
      </c>
      <c r="D135" s="456"/>
    </row>
    <row r="136" spans="1:5" ht="15.75" customHeight="1">
      <c r="A136" s="275">
        <f t="shared" si="1"/>
        <v>123</v>
      </c>
      <c r="B136" s="529">
        <v>9010</v>
      </c>
      <c r="C136" s="281" t="s">
        <v>478</v>
      </c>
      <c r="D136" s="493">
        <f>'C.2.2 B 09'!P91</f>
        <v>0</v>
      </c>
    </row>
    <row r="137" spans="1:5" ht="15.75" customHeight="1">
      <c r="A137" s="275">
        <f t="shared" si="1"/>
        <v>124</v>
      </c>
      <c r="B137" s="529">
        <v>9020</v>
      </c>
      <c r="C137" s="281" t="s">
        <v>666</v>
      </c>
      <c r="D137" s="457">
        <f>'C.2.2 B 09'!P92</f>
        <v>1221384.77</v>
      </c>
    </row>
    <row r="138" spans="1:5" ht="15.75" customHeight="1">
      <c r="A138" s="275">
        <f t="shared" si="1"/>
        <v>125</v>
      </c>
      <c r="B138" s="529">
        <v>9030</v>
      </c>
      <c r="C138" s="281" t="s">
        <v>971</v>
      </c>
      <c r="D138" s="457">
        <f>'C.2.2 B 09'!P93</f>
        <v>1326590.8299999998</v>
      </c>
    </row>
    <row r="139" spans="1:5" ht="15.75" customHeight="1">
      <c r="A139" s="275">
        <f t="shared" si="1"/>
        <v>126</v>
      </c>
      <c r="B139" s="529">
        <v>9040</v>
      </c>
      <c r="C139" s="281" t="s">
        <v>667</v>
      </c>
      <c r="D139" s="354">
        <f>'C.2.2 B 09'!P94</f>
        <v>923543.87</v>
      </c>
      <c r="E139" s="577"/>
    </row>
    <row r="140" spans="1:5" ht="15.75" customHeight="1">
      <c r="A140" s="275">
        <f t="shared" si="1"/>
        <v>127</v>
      </c>
      <c r="B140" s="275"/>
      <c r="C140" s="287" t="s">
        <v>543</v>
      </c>
      <c r="D140" s="340">
        <f>SUM(D136:D139)</f>
        <v>3471519.4699999997</v>
      </c>
    </row>
    <row r="141" spans="1:5" ht="15.75" customHeight="1">
      <c r="A141" s="275">
        <f t="shared" si="1"/>
        <v>128</v>
      </c>
      <c r="B141" s="530"/>
      <c r="C141" s="287"/>
      <c r="D141" s="353"/>
    </row>
    <row r="142" spans="1:5" ht="15.75" customHeight="1">
      <c r="A142" s="275">
        <f t="shared" si="1"/>
        <v>129</v>
      </c>
      <c r="B142" s="530"/>
      <c r="C142" s="286" t="s">
        <v>544</v>
      </c>
      <c r="D142" s="397"/>
    </row>
    <row r="143" spans="1:5" ht="15.75" customHeight="1">
      <c r="A143" s="275">
        <f t="shared" si="1"/>
        <v>130</v>
      </c>
      <c r="B143" s="529">
        <v>9070</v>
      </c>
      <c r="C143" s="281" t="s">
        <v>478</v>
      </c>
      <c r="D143" s="493">
        <v>0</v>
      </c>
    </row>
    <row r="144" spans="1:5" ht="15.75" customHeight="1">
      <c r="A144" s="275">
        <f t="shared" si="1"/>
        <v>131</v>
      </c>
      <c r="B144" s="529">
        <v>9080</v>
      </c>
      <c r="C144" s="281" t="s">
        <v>665</v>
      </c>
      <c r="D144" s="457">
        <v>0</v>
      </c>
    </row>
    <row r="145" spans="1:4" ht="15.75" customHeight="1">
      <c r="A145" s="275">
        <f t="shared" si="1"/>
        <v>132</v>
      </c>
      <c r="B145" s="529">
        <v>9090</v>
      </c>
      <c r="C145" s="281" t="s">
        <v>664</v>
      </c>
      <c r="D145" s="457">
        <f>'C.2.2 B 09'!P95</f>
        <v>113640.03</v>
      </c>
    </row>
    <row r="146" spans="1:4" ht="15.75" customHeight="1">
      <c r="A146" s="275">
        <f t="shared" si="1"/>
        <v>133</v>
      </c>
      <c r="B146" s="529">
        <v>9100</v>
      </c>
      <c r="C146" s="281" t="s">
        <v>452</v>
      </c>
      <c r="D146" s="354">
        <f>'C.2.2 B 09'!P96</f>
        <v>85</v>
      </c>
    </row>
    <row r="147" spans="1:4" ht="15.75" customHeight="1">
      <c r="A147" s="275">
        <f t="shared" si="1"/>
        <v>134</v>
      </c>
      <c r="B147" s="275"/>
      <c r="C147" s="287" t="s">
        <v>855</v>
      </c>
      <c r="D147" s="340">
        <f>SUM(D143:D146)</f>
        <v>113725.03</v>
      </c>
    </row>
    <row r="148" spans="1:4" ht="15.75" customHeight="1">
      <c r="A148" s="275">
        <f t="shared" si="1"/>
        <v>135</v>
      </c>
      <c r="B148" s="275"/>
      <c r="C148" s="279"/>
      <c r="D148" s="456"/>
    </row>
    <row r="149" spans="1:4" ht="15.75" customHeight="1">
      <c r="A149" s="275">
        <f t="shared" si="1"/>
        <v>136</v>
      </c>
      <c r="B149" s="275"/>
      <c r="C149" s="286" t="s">
        <v>494</v>
      </c>
      <c r="D149" s="456"/>
    </row>
    <row r="150" spans="1:4" ht="15.75" customHeight="1">
      <c r="A150" s="275">
        <f t="shared" ref="A150:A183" si="2">A149+1</f>
        <v>137</v>
      </c>
      <c r="B150" s="529">
        <v>9110</v>
      </c>
      <c r="C150" s="281" t="s">
        <v>478</v>
      </c>
      <c r="D150" s="493">
        <f>'C.2.2 B 09'!P97</f>
        <v>263258.08</v>
      </c>
    </row>
    <row r="151" spans="1:4" ht="15.75" customHeight="1">
      <c r="A151" s="275">
        <f t="shared" si="2"/>
        <v>138</v>
      </c>
      <c r="B151" s="529">
        <v>9120</v>
      </c>
      <c r="C151" s="281" t="s">
        <v>770</v>
      </c>
      <c r="D151" s="457">
        <f>'C.2.2 B 09'!P98</f>
        <v>123584.46</v>
      </c>
    </row>
    <row r="152" spans="1:4" ht="15.75" customHeight="1">
      <c r="A152" s="275">
        <f t="shared" si="2"/>
        <v>139</v>
      </c>
      <c r="B152" s="529">
        <v>9130</v>
      </c>
      <c r="C152" s="281" t="s">
        <v>852</v>
      </c>
      <c r="D152" s="457">
        <f>'C.2.2 B 09'!P99</f>
        <v>30070.690000000002</v>
      </c>
    </row>
    <row r="153" spans="1:4" ht="15.75" customHeight="1">
      <c r="A153" s="275">
        <f t="shared" si="2"/>
        <v>140</v>
      </c>
      <c r="B153" s="529">
        <v>9160</v>
      </c>
      <c r="C153" s="281" t="s">
        <v>837</v>
      </c>
      <c r="D153" s="354">
        <v>0</v>
      </c>
    </row>
    <row r="154" spans="1:4" ht="15.75" customHeight="1">
      <c r="A154" s="275">
        <f t="shared" si="2"/>
        <v>141</v>
      </c>
      <c r="B154" s="275"/>
      <c r="C154" s="287" t="s">
        <v>1114</v>
      </c>
      <c r="D154" s="340">
        <f>SUM(D150:D153)</f>
        <v>416913.23000000004</v>
      </c>
    </row>
    <row r="155" spans="1:4" ht="15.75" customHeight="1">
      <c r="A155" s="275">
        <f t="shared" si="2"/>
        <v>142</v>
      </c>
      <c r="B155" s="530"/>
      <c r="D155" s="456"/>
    </row>
    <row r="156" spans="1:4" ht="15.75" customHeight="1">
      <c r="A156" s="275">
        <f t="shared" si="2"/>
        <v>143</v>
      </c>
      <c r="B156" s="275"/>
      <c r="C156" s="286" t="s">
        <v>1115</v>
      </c>
      <c r="D156" s="456"/>
    </row>
    <row r="157" spans="1:4" ht="15.75" customHeight="1">
      <c r="A157" s="275">
        <f t="shared" si="2"/>
        <v>144</v>
      </c>
      <c r="B157" s="529">
        <v>9200</v>
      </c>
      <c r="C157" s="281" t="s">
        <v>761</v>
      </c>
      <c r="D157" s="493">
        <f>'C.2.2 B 09'!P100</f>
        <v>141308.29999999999</v>
      </c>
    </row>
    <row r="158" spans="1:4" ht="15.75" customHeight="1">
      <c r="A158" s="275">
        <f t="shared" si="2"/>
        <v>145</v>
      </c>
      <c r="B158" s="529">
        <v>9210</v>
      </c>
      <c r="C158" s="281" t="s">
        <v>762</v>
      </c>
      <c r="D158" s="457">
        <f>'C.2.2 B 09'!P101</f>
        <v>15363.11</v>
      </c>
    </row>
    <row r="159" spans="1:4" ht="15.75" customHeight="1">
      <c r="A159" s="275">
        <f t="shared" si="2"/>
        <v>146</v>
      </c>
      <c r="B159" s="529">
        <v>9220</v>
      </c>
      <c r="C159" s="281" t="s">
        <v>763</v>
      </c>
      <c r="D159" s="457">
        <f>'C.2.2 B 09'!P102</f>
        <v>11934602.569999998</v>
      </c>
    </row>
    <row r="160" spans="1:4" ht="15.75" customHeight="1">
      <c r="A160" s="275">
        <f t="shared" si="2"/>
        <v>147</v>
      </c>
      <c r="B160" s="529">
        <v>9230</v>
      </c>
      <c r="C160" s="281" t="s">
        <v>764</v>
      </c>
      <c r="D160" s="457">
        <f>'C.2.2 B 09'!P103</f>
        <v>332297.08999999997</v>
      </c>
    </row>
    <row r="161" spans="1:7" ht="15.75" customHeight="1">
      <c r="A161" s="275">
        <f t="shared" si="2"/>
        <v>148</v>
      </c>
      <c r="B161" s="529">
        <v>9240</v>
      </c>
      <c r="C161" s="281" t="s">
        <v>309</v>
      </c>
      <c r="D161" s="457">
        <f>'C.2.2 B 09'!P104</f>
        <v>171002.78999999998</v>
      </c>
    </row>
    <row r="162" spans="1:7" ht="15.75" customHeight="1">
      <c r="A162" s="275">
        <f t="shared" si="2"/>
        <v>149</v>
      </c>
      <c r="B162" s="529">
        <v>9250</v>
      </c>
      <c r="C162" s="281" t="s">
        <v>765</v>
      </c>
      <c r="D162" s="457">
        <f>'C.2.2 B 09'!P105</f>
        <v>67761.080000000016</v>
      </c>
    </row>
    <row r="163" spans="1:7" ht="15.75" customHeight="1">
      <c r="A163" s="275">
        <f t="shared" si="2"/>
        <v>150</v>
      </c>
      <c r="B163" s="529">
        <v>9260</v>
      </c>
      <c r="C163" s="281" t="s">
        <v>767</v>
      </c>
      <c r="D163" s="457">
        <f>'C.2.2 B 09'!P106</f>
        <v>1821690.6100000003</v>
      </c>
    </row>
    <row r="164" spans="1:7" ht="15.75" customHeight="1">
      <c r="A164" s="275">
        <f t="shared" si="2"/>
        <v>151</v>
      </c>
      <c r="B164" s="529">
        <v>9270</v>
      </c>
      <c r="C164" s="281" t="s">
        <v>310</v>
      </c>
      <c r="D164" s="457">
        <f>'C.2.2 B 09'!P107</f>
        <v>726.81</v>
      </c>
    </row>
    <row r="165" spans="1:7" ht="15.75" customHeight="1">
      <c r="A165" s="275">
        <f t="shared" si="2"/>
        <v>152</v>
      </c>
      <c r="B165" s="529">
        <v>9280</v>
      </c>
      <c r="C165" s="281" t="s">
        <v>768</v>
      </c>
      <c r="D165" s="457">
        <f>'C.2.2 B 09'!P108</f>
        <v>146891.86999999997</v>
      </c>
    </row>
    <row r="166" spans="1:7" ht="15.75" customHeight="1">
      <c r="A166" s="275">
        <f t="shared" si="2"/>
        <v>153</v>
      </c>
      <c r="B166" s="535">
        <v>930.2</v>
      </c>
      <c r="C166" s="281" t="s">
        <v>311</v>
      </c>
      <c r="D166" s="457">
        <f>'C.2.2 B 09'!P109</f>
        <v>111433.38</v>
      </c>
    </row>
    <row r="167" spans="1:7" ht="15.75" customHeight="1">
      <c r="A167" s="275">
        <f t="shared" si="2"/>
        <v>154</v>
      </c>
      <c r="B167" s="529">
        <v>9310</v>
      </c>
      <c r="C167" s="281" t="s">
        <v>184</v>
      </c>
      <c r="D167" s="492">
        <f>'C.2.2 B 09'!P110</f>
        <v>15614.639999999998</v>
      </c>
    </row>
    <row r="168" spans="1:7" ht="15.75" customHeight="1">
      <c r="A168" s="275">
        <f t="shared" si="2"/>
        <v>155</v>
      </c>
      <c r="B168" s="275"/>
      <c r="C168" s="287" t="s">
        <v>760</v>
      </c>
      <c r="D168" s="340">
        <f>SUM(D157:D167)</f>
        <v>14758692.249999998</v>
      </c>
    </row>
    <row r="169" spans="1:7" ht="15.75" customHeight="1">
      <c r="A169" s="275">
        <f t="shared" si="2"/>
        <v>156</v>
      </c>
      <c r="B169" s="275"/>
      <c r="C169" s="279"/>
      <c r="D169" s="456"/>
    </row>
    <row r="170" spans="1:7" ht="15.75" customHeight="1">
      <c r="A170" s="275">
        <f t="shared" si="2"/>
        <v>157</v>
      </c>
      <c r="B170" s="275"/>
      <c r="C170" s="286" t="s">
        <v>771</v>
      </c>
      <c r="D170" s="456"/>
    </row>
    <row r="171" spans="1:7" ht="15.75" customHeight="1">
      <c r="A171" s="275">
        <f t="shared" si="2"/>
        <v>158</v>
      </c>
      <c r="B171" s="529">
        <v>9320</v>
      </c>
      <c r="C171" s="281" t="s">
        <v>858</v>
      </c>
      <c r="D171" s="492">
        <f>'C.2.2 B 09'!P111</f>
        <v>11000</v>
      </c>
    </row>
    <row r="172" spans="1:7" ht="15.75" customHeight="1">
      <c r="A172" s="275">
        <f t="shared" si="2"/>
        <v>159</v>
      </c>
      <c r="B172" s="275"/>
      <c r="C172" s="287" t="s">
        <v>732</v>
      </c>
      <c r="D172" s="494">
        <f>SUM(D171:D171)</f>
        <v>11000</v>
      </c>
    </row>
    <row r="173" spans="1:7" ht="15.75" customHeight="1">
      <c r="A173" s="275">
        <f t="shared" si="2"/>
        <v>160</v>
      </c>
      <c r="B173" s="530"/>
      <c r="D173" s="397"/>
    </row>
    <row r="174" spans="1:7" ht="15.75" customHeight="1">
      <c r="A174" s="275">
        <f t="shared" si="2"/>
        <v>161</v>
      </c>
      <c r="B174" s="275"/>
      <c r="C174" s="280" t="s">
        <v>329</v>
      </c>
      <c r="D174" s="495">
        <f>+D39+D43+D55+D65+D75+D83+D105+D120+D133+D140+D147+D154+D168+D172</f>
        <v>118344159.69</v>
      </c>
      <c r="F174" s="62">
        <f>'C.2.2 B 09'!P119</f>
        <v>118344159.68999992</v>
      </c>
      <c r="G174" s="96">
        <f>D174-F174</f>
        <v>0</v>
      </c>
    </row>
    <row r="175" spans="1:7" ht="15.75" customHeight="1">
      <c r="A175" s="275">
        <f t="shared" si="2"/>
        <v>162</v>
      </c>
      <c r="B175" s="530"/>
      <c r="D175" s="397"/>
    </row>
    <row r="176" spans="1:7" ht="15.75" customHeight="1">
      <c r="A176" s="275">
        <f t="shared" si="2"/>
        <v>163</v>
      </c>
      <c r="B176" s="275">
        <v>403</v>
      </c>
      <c r="C176" s="276" t="s">
        <v>1667</v>
      </c>
      <c r="D176" s="494">
        <f>SUM('C.2.2 B 09'!P14)</f>
        <v>20792783.009999998</v>
      </c>
    </row>
    <row r="177" spans="1:7" ht="15.75" customHeight="1">
      <c r="A177" s="275">
        <f t="shared" si="2"/>
        <v>164</v>
      </c>
      <c r="B177" s="275">
        <v>406</v>
      </c>
      <c r="C177" s="276" t="s">
        <v>1666</v>
      </c>
      <c r="D177" s="494">
        <f>'C.2.2 B 09'!P15</f>
        <v>49462.65</v>
      </c>
    </row>
    <row r="178" spans="1:7" ht="15.75" customHeight="1">
      <c r="A178" s="275">
        <f t="shared" si="2"/>
        <v>165</v>
      </c>
      <c r="B178" s="529">
        <v>4081</v>
      </c>
      <c r="C178" s="276" t="s">
        <v>670</v>
      </c>
      <c r="D178" s="457">
        <f>'C.2.2 B 09'!P16</f>
        <v>6454875.1700000009</v>
      </c>
    </row>
    <row r="179" spans="1:7" ht="15.75" customHeight="1">
      <c r="A179" s="275">
        <f t="shared" si="2"/>
        <v>166</v>
      </c>
      <c r="B179" s="529" t="s">
        <v>733</v>
      </c>
      <c r="C179" s="276" t="s">
        <v>668</v>
      </c>
      <c r="D179" s="354">
        <f>+E!E23</f>
        <v>6533331.729108762</v>
      </c>
      <c r="F179" s="597"/>
      <c r="G179" s="597"/>
    </row>
    <row r="180" spans="1:7" ht="15.75" customHeight="1">
      <c r="A180" s="275">
        <f t="shared" si="2"/>
        <v>167</v>
      </c>
      <c r="B180" s="530"/>
      <c r="D180" s="397"/>
    </row>
    <row r="181" spans="1:7" ht="15.75" customHeight="1">
      <c r="A181" s="275">
        <f t="shared" si="2"/>
        <v>168</v>
      </c>
      <c r="B181" s="282"/>
      <c r="C181" s="276" t="s">
        <v>333</v>
      </c>
      <c r="D181" s="492">
        <f>+D174+SUM(D176:D179)</f>
        <v>152174612.24910876</v>
      </c>
    </row>
    <row r="182" spans="1:7" ht="15.75" customHeight="1">
      <c r="A182" s="275">
        <f t="shared" si="2"/>
        <v>169</v>
      </c>
      <c r="B182" s="283"/>
      <c r="D182" s="397"/>
    </row>
    <row r="183" spans="1:7" ht="15.75" customHeight="1" thickBot="1">
      <c r="A183" s="275">
        <f t="shared" si="2"/>
        <v>170</v>
      </c>
      <c r="B183" s="282"/>
      <c r="C183" s="276" t="s">
        <v>334</v>
      </c>
      <c r="D183" s="675">
        <f>D33-D181</f>
        <v>28679868.80089125</v>
      </c>
    </row>
    <row r="184" spans="1:7" ht="15.75" customHeight="1" thickTop="1">
      <c r="B184" s="290"/>
    </row>
    <row r="185" spans="1:7" ht="15.75" customHeight="1">
      <c r="A185" s="279"/>
      <c r="B185" s="290"/>
    </row>
    <row r="186" spans="1:7" ht="15.75" customHeight="1">
      <c r="B186" s="290"/>
    </row>
    <row r="187" spans="1:7" ht="15.75" customHeight="1">
      <c r="B187" s="290"/>
    </row>
    <row r="188" spans="1:7" ht="15.75" customHeight="1">
      <c r="B188" s="290"/>
    </row>
    <row r="189" spans="1:7" ht="15.75" customHeight="1">
      <c r="B189" s="290"/>
    </row>
    <row r="190" spans="1:7" ht="15.75" customHeight="1">
      <c r="B190" s="290"/>
    </row>
    <row r="191" spans="1:7" ht="15.75" customHeight="1">
      <c r="B191" s="290"/>
    </row>
    <row r="192" spans="1:7" ht="15.75" customHeight="1">
      <c r="B192" s="290"/>
    </row>
    <row r="193" spans="2:2" ht="15.75" customHeight="1">
      <c r="B193" s="283"/>
    </row>
    <row r="194" spans="2:2" ht="15.75" customHeight="1">
      <c r="B194" s="283"/>
    </row>
    <row r="195" spans="2:2" ht="15.75" customHeight="1">
      <c r="B195" s="283"/>
    </row>
    <row r="196" spans="2:2" ht="15.75" customHeight="1">
      <c r="B196" s="283"/>
    </row>
    <row r="197" spans="2:2" ht="15.75" customHeight="1">
      <c r="B197" s="283"/>
    </row>
  </sheetData>
  <mergeCells count="4">
    <mergeCell ref="A1:D1"/>
    <mergeCell ref="A2:D2"/>
    <mergeCell ref="A3:D3"/>
    <mergeCell ref="A4:D4"/>
  </mergeCells>
  <phoneticPr fontId="23" type="noConversion"/>
  <printOptions horizontalCentered="1"/>
  <pageMargins left="0.84" right="0.67" top="0.62" bottom="1.04" header="0.5" footer="0.5"/>
  <pageSetup scale="91" fitToHeight="15" orientation="portrait" verticalDpi="300" r:id="rId1"/>
  <headerFooter alignWithMargins="0">
    <oddFooter>&amp;RSchedule &amp;A
Page &amp;P of &amp;N</oddFooter>
  </headerFooter>
  <rowBreaks count="1" manualBreakCount="1">
    <brk id="120" max="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/>
  <dimension ref="A1:J188"/>
  <sheetViews>
    <sheetView view="pageBreakPreview" zoomScale="90" zoomScaleNormal="80" zoomScaleSheetLayoutView="90" workbookViewId="0">
      <pane ySplit="11" topLeftCell="A12" activePane="bottomLeft" state="frozen"/>
      <selection activeCell="B6" sqref="B6"/>
      <selection pane="bottomLeft" activeCell="D25" sqref="D25"/>
    </sheetView>
  </sheetViews>
  <sheetFormatPr defaultColWidth="8.44140625" defaultRowHeight="15"/>
  <cols>
    <col min="1" max="1" width="4.77734375" style="40" customWidth="1"/>
    <col min="2" max="2" width="11.88671875" style="40" customWidth="1"/>
    <col min="3" max="3" width="45.77734375" style="40" customWidth="1"/>
    <col min="4" max="4" width="13.109375" style="40" customWidth="1"/>
    <col min="5" max="5" width="3.77734375" style="40" customWidth="1"/>
    <col min="6" max="6" width="14" style="40" customWidth="1"/>
    <col min="7" max="7" width="11.109375" style="40" customWidth="1"/>
    <col min="8" max="8" width="10.88671875" style="40" customWidth="1"/>
    <col min="9" max="16384" width="8.44140625" style="40"/>
  </cols>
  <sheetData>
    <row r="1" spans="1:8" s="1" customFormat="1">
      <c r="A1" s="1208" t="str">
        <f>'Table of Contents'!A1:C1</f>
        <v>Atmos Energy Corporation, Kentucky/Mid-States Division</v>
      </c>
      <c r="B1" s="1208"/>
      <c r="C1" s="1208"/>
      <c r="D1" s="1208"/>
      <c r="E1" s="595"/>
    </row>
    <row r="2" spans="1:8" s="1" customFormat="1">
      <c r="A2" s="1208" t="str">
        <f>'Table of Contents'!A2:C2</f>
        <v>Kentucky Jurisdiction Case No. 2018-00281</v>
      </c>
      <c r="B2" s="1208"/>
      <c r="C2" s="1208"/>
      <c r="D2" s="1208"/>
      <c r="E2" s="595"/>
    </row>
    <row r="3" spans="1:8" s="1" customFormat="1">
      <c r="A3" s="1208" t="s">
        <v>285</v>
      </c>
      <c r="B3" s="1208"/>
      <c r="C3" s="1208"/>
      <c r="D3" s="1208"/>
      <c r="E3" s="595"/>
    </row>
    <row r="4" spans="1:8">
      <c r="A4" s="1208" t="str">
        <f>'Table of Contents'!A4:C4</f>
        <v>Forecasted Test Period: Twelve Months Ended March 31, 2020</v>
      </c>
      <c r="B4" s="1208"/>
      <c r="C4" s="1208"/>
      <c r="D4" s="1208"/>
      <c r="E4" s="595"/>
    </row>
    <row r="5" spans="1:8">
      <c r="A5" s="186"/>
      <c r="B5" s="186"/>
      <c r="C5" s="30"/>
      <c r="D5" s="30"/>
      <c r="E5" s="30"/>
    </row>
    <row r="6" spans="1:8">
      <c r="A6" s="180" t="s">
        <v>1064</v>
      </c>
      <c r="D6" s="496" t="s">
        <v>1426</v>
      </c>
      <c r="E6" s="496"/>
    </row>
    <row r="7" spans="1:8">
      <c r="A7" s="4" t="str">
        <f>'C.2.1 B'!A7</f>
        <v>Type of Filing:___X____Original________Updated ________Revised</v>
      </c>
      <c r="D7" s="497" t="s">
        <v>711</v>
      </c>
      <c r="E7" s="497"/>
    </row>
    <row r="8" spans="1:8">
      <c r="A8" s="202" t="s">
        <v>365</v>
      </c>
      <c r="B8" s="190"/>
      <c r="C8" s="190"/>
      <c r="D8" s="499" t="str">
        <f>'C.1'!J9</f>
        <v>Witness: Waller, Densman</v>
      </c>
      <c r="E8" s="598"/>
    </row>
    <row r="9" spans="1:8">
      <c r="D9" s="205"/>
      <c r="E9" s="205"/>
    </row>
    <row r="10" spans="1:8">
      <c r="A10" s="204" t="s">
        <v>93</v>
      </c>
      <c r="B10" s="205" t="s">
        <v>338</v>
      </c>
      <c r="C10" s="204" t="s">
        <v>338</v>
      </c>
      <c r="D10" s="205" t="s">
        <v>986</v>
      </c>
      <c r="E10" s="205"/>
    </row>
    <row r="11" spans="1:8">
      <c r="A11" s="206" t="s">
        <v>99</v>
      </c>
      <c r="B11" s="254" t="s">
        <v>1302</v>
      </c>
      <c r="C11" s="206" t="s">
        <v>217</v>
      </c>
      <c r="D11" s="254" t="s">
        <v>314</v>
      </c>
      <c r="E11" s="599"/>
    </row>
    <row r="12" spans="1:8">
      <c r="D12" s="205" t="s">
        <v>1092</v>
      </c>
      <c r="E12" s="205"/>
    </row>
    <row r="13" spans="1:8">
      <c r="A13" s="205">
        <v>1</v>
      </c>
      <c r="B13" s="220"/>
      <c r="C13" s="41" t="s">
        <v>65</v>
      </c>
    </row>
    <row r="14" spans="1:8">
      <c r="A14" s="205">
        <f>A13+1</f>
        <v>2</v>
      </c>
      <c r="B14" s="205"/>
      <c r="C14" s="41" t="s">
        <v>135</v>
      </c>
      <c r="G14" s="191"/>
      <c r="H14" s="578"/>
    </row>
    <row r="15" spans="1:8">
      <c r="A15" s="205">
        <f t="shared" ref="A15:A81" si="0">A14+1</f>
        <v>3</v>
      </c>
      <c r="B15" s="536">
        <v>4800</v>
      </c>
      <c r="C15" s="291" t="s">
        <v>130</v>
      </c>
      <c r="D15" s="500">
        <f>-'C.2.2-F 09'!P17</f>
        <v>96519490.135870919</v>
      </c>
      <c r="E15" s="500"/>
      <c r="G15" s="191"/>
      <c r="H15" s="191"/>
    </row>
    <row r="16" spans="1:8">
      <c r="A16" s="205">
        <f t="shared" si="0"/>
        <v>4</v>
      </c>
      <c r="B16" s="536">
        <v>4811</v>
      </c>
      <c r="C16" s="291" t="s">
        <v>131</v>
      </c>
      <c r="D16" s="364">
        <f>-'C.2.2-F 09'!P19</f>
        <v>41608020.101760417</v>
      </c>
      <c r="E16" s="364"/>
      <c r="G16" s="191"/>
      <c r="H16" s="191"/>
    </row>
    <row r="17" spans="1:8">
      <c r="A17" s="205">
        <f t="shared" si="0"/>
        <v>5</v>
      </c>
      <c r="B17" s="536">
        <v>4812</v>
      </c>
      <c r="C17" s="291" t="s">
        <v>132</v>
      </c>
      <c r="D17" s="364">
        <f>-'C.2.2-F 09'!P20</f>
        <v>5370384.8363220226</v>
      </c>
      <c r="E17" s="364"/>
      <c r="F17" s="591"/>
      <c r="G17" s="720"/>
      <c r="H17" s="191"/>
    </row>
    <row r="18" spans="1:8">
      <c r="A18" s="205">
        <f t="shared" si="0"/>
        <v>6</v>
      </c>
      <c r="B18" s="536">
        <v>4820</v>
      </c>
      <c r="C18" s="291" t="s">
        <v>778</v>
      </c>
      <c r="D18" s="310">
        <f>-'C.2.2-F 09'!P23</f>
        <v>6749806.8088478921</v>
      </c>
      <c r="E18" s="364"/>
      <c r="F18" s="591"/>
      <c r="G18" s="720"/>
      <c r="H18" s="191"/>
    </row>
    <row r="19" spans="1:8">
      <c r="A19" s="205">
        <f t="shared" si="0"/>
        <v>7</v>
      </c>
      <c r="B19" s="205"/>
      <c r="C19" s="204" t="s">
        <v>1155</v>
      </c>
      <c r="D19" s="306">
        <f>SUM(D15:D18)</f>
        <v>150247701.88280123</v>
      </c>
      <c r="E19" s="306"/>
      <c r="F19" s="591"/>
      <c r="G19" s="720"/>
      <c r="H19" s="191"/>
    </row>
    <row r="20" spans="1:8">
      <c r="A20" s="205">
        <f t="shared" si="0"/>
        <v>8</v>
      </c>
      <c r="B20" s="78"/>
      <c r="D20" s="195"/>
      <c r="E20" s="195"/>
      <c r="F20" s="591"/>
      <c r="G20" s="720"/>
      <c r="H20" s="191"/>
    </row>
    <row r="21" spans="1:8">
      <c r="A21" s="205">
        <f t="shared" si="0"/>
        <v>9</v>
      </c>
      <c r="B21" s="78"/>
      <c r="C21" s="41" t="s">
        <v>64</v>
      </c>
      <c r="D21" s="259"/>
      <c r="E21" s="259"/>
      <c r="F21" s="591"/>
      <c r="G21" s="720"/>
      <c r="H21" s="191"/>
    </row>
    <row r="22" spans="1:8">
      <c r="A22" s="205">
        <f t="shared" si="0"/>
        <v>10</v>
      </c>
      <c r="B22" s="536">
        <v>4870</v>
      </c>
      <c r="C22" s="291" t="s">
        <v>1013</v>
      </c>
      <c r="D22" s="500">
        <f>-'C.2.2-F 09'!P25</f>
        <v>1304964.5637731818</v>
      </c>
      <c r="E22" s="500"/>
      <c r="F22" s="591"/>
      <c r="G22" s="720"/>
      <c r="H22" s="191"/>
    </row>
    <row r="23" spans="1:8">
      <c r="A23" s="205">
        <f t="shared" si="0"/>
        <v>11</v>
      </c>
      <c r="B23" s="536">
        <v>4880</v>
      </c>
      <c r="C23" s="291" t="s">
        <v>1014</v>
      </c>
      <c r="D23" s="364">
        <f>-'C.2.2-F 09'!P26</f>
        <v>806054</v>
      </c>
      <c r="E23" s="364"/>
      <c r="F23" s="591"/>
      <c r="G23" s="720"/>
      <c r="H23" s="191"/>
    </row>
    <row r="24" spans="1:8">
      <c r="A24" s="205">
        <f t="shared" si="0"/>
        <v>12</v>
      </c>
      <c r="B24" s="537" t="s">
        <v>1214</v>
      </c>
      <c r="C24" s="293" t="s">
        <v>63</v>
      </c>
      <c r="D24" s="364">
        <f>-'C.2.2-F 09'!P27</f>
        <v>14881381.989872882</v>
      </c>
      <c r="E24" s="364"/>
      <c r="F24" s="591"/>
      <c r="G24" s="591"/>
      <c r="H24" s="191"/>
    </row>
    <row r="25" spans="1:8">
      <c r="A25" s="205">
        <f t="shared" si="0"/>
        <v>13</v>
      </c>
      <c r="B25" s="536">
        <v>4950</v>
      </c>
      <c r="C25" s="291" t="s">
        <v>662</v>
      </c>
      <c r="D25" s="364">
        <f>-'C.2.2-F 09'!P28</f>
        <v>2477763.4005084746</v>
      </c>
      <c r="E25" s="364"/>
      <c r="F25" s="591"/>
      <c r="G25" s="591"/>
      <c r="H25" s="191"/>
    </row>
    <row r="26" spans="1:8">
      <c r="A26" s="205">
        <f t="shared" si="0"/>
        <v>14</v>
      </c>
      <c r="B26" s="78"/>
      <c r="C26" s="204" t="s">
        <v>1156</v>
      </c>
      <c r="D26" s="674">
        <f>SUM(D22:D25)</f>
        <v>19470163.95415454</v>
      </c>
      <c r="E26" s="306"/>
      <c r="F26" s="591"/>
      <c r="G26" s="720"/>
      <c r="H26" s="191"/>
    </row>
    <row r="27" spans="1:8">
      <c r="A27" s="205">
        <f t="shared" si="0"/>
        <v>15</v>
      </c>
      <c r="B27" s="78"/>
      <c r="D27" s="259"/>
      <c r="E27" s="259"/>
      <c r="F27" s="591"/>
      <c r="G27" s="591"/>
      <c r="H27" s="191"/>
    </row>
    <row r="28" spans="1:8">
      <c r="A28" s="205">
        <f t="shared" si="0"/>
        <v>16</v>
      </c>
      <c r="B28" s="205"/>
      <c r="C28" s="204" t="s">
        <v>66</v>
      </c>
      <c r="D28" s="305">
        <f>D26+D19</f>
        <v>169717865.83695579</v>
      </c>
      <c r="E28" s="305"/>
      <c r="F28" s="591"/>
      <c r="G28" s="720"/>
      <c r="H28" s="191"/>
    </row>
    <row r="29" spans="1:8">
      <c r="A29" s="205">
        <f t="shared" si="0"/>
        <v>17</v>
      </c>
      <c r="B29" s="78"/>
      <c r="D29" s="259"/>
      <c r="E29" s="259"/>
    </row>
    <row r="30" spans="1:8">
      <c r="A30" s="205">
        <f t="shared" si="0"/>
        <v>18</v>
      </c>
      <c r="B30" s="78"/>
      <c r="C30" s="41" t="s">
        <v>302</v>
      </c>
      <c r="D30" s="259"/>
      <c r="E30" s="259"/>
    </row>
    <row r="31" spans="1:8">
      <c r="A31" s="205">
        <f t="shared" si="0"/>
        <v>19</v>
      </c>
      <c r="B31" s="78"/>
      <c r="C31" s="294" t="s">
        <v>661</v>
      </c>
      <c r="D31" s="195"/>
      <c r="E31" s="195"/>
    </row>
    <row r="32" spans="1:8">
      <c r="A32" s="205">
        <f t="shared" si="0"/>
        <v>20</v>
      </c>
      <c r="B32" s="538">
        <v>7560</v>
      </c>
      <c r="C32" s="291" t="s">
        <v>326</v>
      </c>
      <c r="D32" s="364">
        <f>'C.2.2-F 09'!P30</f>
        <v>0</v>
      </c>
      <c r="E32" s="364"/>
    </row>
    <row r="33" spans="1:10">
      <c r="A33" s="205">
        <f t="shared" si="0"/>
        <v>21</v>
      </c>
      <c r="B33" s="532">
        <v>7590</v>
      </c>
      <c r="C33" s="281" t="s">
        <v>1346</v>
      </c>
      <c r="D33" s="92">
        <f>'C.2.2-F 09'!P31</f>
        <v>0</v>
      </c>
      <c r="E33" s="364"/>
    </row>
    <row r="34" spans="1:10">
      <c r="A34" s="205">
        <f t="shared" si="0"/>
        <v>22</v>
      </c>
      <c r="B34" s="78"/>
      <c r="C34" s="261" t="s">
        <v>436</v>
      </c>
      <c r="D34" s="674">
        <f>SUM(D32:D33)</f>
        <v>0</v>
      </c>
      <c r="E34" s="306"/>
      <c r="F34" s="591"/>
      <c r="G34" s="720"/>
    </row>
    <row r="35" spans="1:10">
      <c r="A35" s="205">
        <f t="shared" si="0"/>
        <v>23</v>
      </c>
      <c r="B35" s="78"/>
      <c r="C35" s="180"/>
      <c r="D35" s="309"/>
      <c r="E35" s="309"/>
    </row>
    <row r="36" spans="1:10">
      <c r="A36" s="205">
        <f t="shared" si="0"/>
        <v>24</v>
      </c>
      <c r="B36" s="78"/>
      <c r="C36" s="294" t="s">
        <v>1139</v>
      </c>
      <c r="D36" s="309"/>
      <c r="E36" s="309"/>
    </row>
    <row r="37" spans="1:10">
      <c r="A37" s="205">
        <f t="shared" si="0"/>
        <v>25</v>
      </c>
      <c r="B37" s="538">
        <v>7610</v>
      </c>
      <c r="C37" s="291" t="s">
        <v>1141</v>
      </c>
      <c r="D37" s="501">
        <v>0</v>
      </c>
      <c r="E37" s="500"/>
    </row>
    <row r="38" spans="1:10">
      <c r="A38" s="205">
        <f t="shared" si="0"/>
        <v>26</v>
      </c>
      <c r="B38" s="78"/>
      <c r="C38" s="180"/>
      <c r="D38" s="306">
        <f>SUM(D37)</f>
        <v>0</v>
      </c>
      <c r="E38" s="306"/>
    </row>
    <row r="39" spans="1:10">
      <c r="A39" s="205">
        <f t="shared" si="0"/>
        <v>27</v>
      </c>
      <c r="B39" s="78"/>
      <c r="C39" s="294" t="s">
        <v>1025</v>
      </c>
      <c r="D39" s="195"/>
      <c r="E39" s="195"/>
    </row>
    <row r="40" spans="1:10">
      <c r="A40" s="205">
        <f t="shared" si="0"/>
        <v>28</v>
      </c>
      <c r="B40" s="538">
        <v>8140</v>
      </c>
      <c r="C40" s="291" t="s">
        <v>671</v>
      </c>
      <c r="D40" s="500">
        <f>'C.2.2-F 09'!P47</f>
        <v>0</v>
      </c>
      <c r="E40" s="500"/>
      <c r="J40" s="700"/>
    </row>
    <row r="41" spans="1:10">
      <c r="A41" s="205">
        <f t="shared" si="0"/>
        <v>29</v>
      </c>
      <c r="B41" s="538">
        <v>8150</v>
      </c>
      <c r="C41" s="291" t="s">
        <v>294</v>
      </c>
      <c r="D41" s="364">
        <v>0</v>
      </c>
      <c r="E41" s="194"/>
    </row>
    <row r="42" spans="1:10">
      <c r="A42" s="205">
        <f t="shared" si="0"/>
        <v>30</v>
      </c>
      <c r="B42" s="538">
        <v>8160</v>
      </c>
      <c r="C42" s="291" t="s">
        <v>507</v>
      </c>
      <c r="D42" s="364">
        <f>'C.2.2-F 09'!P48</f>
        <v>291917.25162716309</v>
      </c>
      <c r="E42" s="194"/>
      <c r="J42" s="700"/>
    </row>
    <row r="43" spans="1:10">
      <c r="A43" s="205">
        <f t="shared" si="0"/>
        <v>31</v>
      </c>
      <c r="B43" s="538">
        <v>8170</v>
      </c>
      <c r="C43" s="291" t="s">
        <v>508</v>
      </c>
      <c r="D43" s="364">
        <f>'C.2.2-F 09'!P49</f>
        <v>21251.403291294595</v>
      </c>
      <c r="E43" s="194"/>
      <c r="J43" s="700"/>
    </row>
    <row r="44" spans="1:10">
      <c r="A44" s="205">
        <f t="shared" si="0"/>
        <v>32</v>
      </c>
      <c r="B44" s="538">
        <v>8180</v>
      </c>
      <c r="C44" s="291" t="s">
        <v>144</v>
      </c>
      <c r="D44" s="364">
        <f>'C.2.2-F 09'!P50</f>
        <v>25060.377734532805</v>
      </c>
      <c r="E44" s="194"/>
      <c r="J44" s="700"/>
    </row>
    <row r="45" spans="1:10">
      <c r="A45" s="205">
        <f t="shared" si="0"/>
        <v>33</v>
      </c>
      <c r="B45" s="539">
        <v>8190</v>
      </c>
      <c r="C45" s="245" t="s">
        <v>145</v>
      </c>
      <c r="D45" s="364">
        <f>'C.2.2-F 09'!P51</f>
        <v>735.31548750117838</v>
      </c>
      <c r="E45" s="194"/>
      <c r="J45" s="700"/>
    </row>
    <row r="46" spans="1:10">
      <c r="A46" s="205">
        <f t="shared" si="0"/>
        <v>34</v>
      </c>
      <c r="B46" s="539">
        <v>8200</v>
      </c>
      <c r="C46" s="245" t="s">
        <v>475</v>
      </c>
      <c r="D46" s="364">
        <f>'C.2.2-F 09'!P52</f>
        <v>6180.8695012862445</v>
      </c>
      <c r="E46" s="194"/>
      <c r="J46" s="700"/>
    </row>
    <row r="47" spans="1:10">
      <c r="A47" s="205">
        <f t="shared" si="0"/>
        <v>35</v>
      </c>
      <c r="B47" s="539">
        <v>8210</v>
      </c>
      <c r="C47" s="245" t="s">
        <v>476</v>
      </c>
      <c r="D47" s="364">
        <f>'C.2.2-F 09'!P53</f>
        <v>49855.629403574771</v>
      </c>
      <c r="E47" s="194"/>
      <c r="J47" s="700"/>
    </row>
    <row r="48" spans="1:10">
      <c r="A48" s="205">
        <f t="shared" si="0"/>
        <v>36</v>
      </c>
      <c r="B48" s="539">
        <v>8240</v>
      </c>
      <c r="C48" s="245" t="s">
        <v>584</v>
      </c>
      <c r="D48" s="364">
        <f>'C.2.2-F 09'!P54</f>
        <v>0</v>
      </c>
      <c r="E48" s="194"/>
      <c r="J48" s="700"/>
    </row>
    <row r="49" spans="1:10">
      <c r="A49" s="205">
        <f t="shared" si="0"/>
        <v>37</v>
      </c>
      <c r="B49" s="539">
        <v>8250</v>
      </c>
      <c r="C49" s="245" t="s">
        <v>637</v>
      </c>
      <c r="D49" s="364">
        <f>'C.2.2-F 09'!P55</f>
        <v>8763.2029185619394</v>
      </c>
      <c r="E49" s="194"/>
      <c r="J49" s="700"/>
    </row>
    <row r="50" spans="1:10">
      <c r="A50" s="205">
        <f t="shared" si="0"/>
        <v>38</v>
      </c>
      <c r="B50" s="78"/>
      <c r="C50" s="261" t="s">
        <v>1026</v>
      </c>
      <c r="D50" s="674">
        <f>SUM(D40:D49)</f>
        <v>403764.04996391461</v>
      </c>
      <c r="E50" s="306"/>
      <c r="F50" s="591"/>
      <c r="G50" s="720"/>
    </row>
    <row r="51" spans="1:10">
      <c r="A51" s="205">
        <f t="shared" si="0"/>
        <v>39</v>
      </c>
      <c r="B51" s="78"/>
      <c r="C51" s="180"/>
      <c r="D51" s="223"/>
      <c r="E51" s="223"/>
    </row>
    <row r="52" spans="1:10">
      <c r="A52" s="205">
        <f t="shared" si="0"/>
        <v>40</v>
      </c>
      <c r="B52" s="78"/>
      <c r="C52" s="294" t="s">
        <v>1012</v>
      </c>
      <c r="D52" s="223"/>
      <c r="E52" s="223"/>
    </row>
    <row r="53" spans="1:10">
      <c r="A53" s="205">
        <f t="shared" si="0"/>
        <v>41</v>
      </c>
      <c r="B53" s="539">
        <v>8310</v>
      </c>
      <c r="C53" s="245" t="s">
        <v>638</v>
      </c>
      <c r="D53" s="500">
        <f>'C.2.2-F 09'!P56</f>
        <v>12735.719785935193</v>
      </c>
      <c r="E53" s="500"/>
      <c r="J53" s="700"/>
    </row>
    <row r="54" spans="1:10">
      <c r="A54" s="205">
        <f t="shared" si="0"/>
        <v>42</v>
      </c>
      <c r="B54" s="539">
        <v>8320</v>
      </c>
      <c r="C54" s="245" t="s">
        <v>639</v>
      </c>
      <c r="D54" s="364">
        <v>0</v>
      </c>
      <c r="E54" s="194"/>
    </row>
    <row r="55" spans="1:10">
      <c r="A55" s="205">
        <f t="shared" si="0"/>
        <v>43</v>
      </c>
      <c r="B55" s="539">
        <v>8340</v>
      </c>
      <c r="C55" s="245" t="s">
        <v>640</v>
      </c>
      <c r="D55" s="364">
        <f>'C.2.2-F 09'!P57</f>
        <v>3330.9810827280085</v>
      </c>
      <c r="E55" s="194"/>
      <c r="J55" s="700"/>
    </row>
    <row r="56" spans="1:10">
      <c r="A56" s="205">
        <f t="shared" si="0"/>
        <v>44</v>
      </c>
      <c r="B56" s="539">
        <v>8350</v>
      </c>
      <c r="C56" s="245" t="s">
        <v>641</v>
      </c>
      <c r="D56" s="364">
        <f>'C.2.2-F 09'!P58</f>
        <v>0</v>
      </c>
      <c r="E56" s="194"/>
      <c r="J56" s="700"/>
    </row>
    <row r="57" spans="1:10">
      <c r="A57" s="205">
        <f t="shared" si="0"/>
        <v>45</v>
      </c>
      <c r="B57" s="539">
        <v>8360</v>
      </c>
      <c r="C57" s="245" t="s">
        <v>1040</v>
      </c>
      <c r="D57" s="364">
        <f>'C.2.2-F 09'!P59</f>
        <v>0</v>
      </c>
      <c r="E57" s="194"/>
      <c r="J57" s="700"/>
    </row>
    <row r="58" spans="1:10">
      <c r="A58" s="205">
        <f t="shared" si="0"/>
        <v>46</v>
      </c>
      <c r="B58" s="539">
        <v>8370</v>
      </c>
      <c r="C58" s="245" t="s">
        <v>1339</v>
      </c>
      <c r="D58" s="364">
        <f>'C.2.2-F 09'!P60</f>
        <v>0</v>
      </c>
      <c r="E58" s="194"/>
      <c r="J58" s="700"/>
    </row>
    <row r="59" spans="1:10">
      <c r="A59" s="205">
        <f t="shared" si="0"/>
        <v>47</v>
      </c>
      <c r="B59" s="540" t="s">
        <v>446</v>
      </c>
      <c r="C59" s="245" t="s">
        <v>447</v>
      </c>
      <c r="D59" s="364">
        <f>'C.2.2-F 09'!P61</f>
        <v>69083.358876515063</v>
      </c>
      <c r="E59" s="194"/>
    </row>
    <row r="60" spans="1:10">
      <c r="A60" s="205">
        <f t="shared" si="0"/>
        <v>48</v>
      </c>
      <c r="B60" s="78"/>
      <c r="C60" s="261" t="s">
        <v>1027</v>
      </c>
      <c r="D60" s="674">
        <f>SUM(D53:D59)</f>
        <v>85150.059745178267</v>
      </c>
      <c r="E60" s="500"/>
      <c r="F60" s="591"/>
      <c r="G60" s="720"/>
    </row>
    <row r="61" spans="1:10">
      <c r="A61" s="205">
        <f t="shared" si="0"/>
        <v>49</v>
      </c>
      <c r="B61" s="78"/>
      <c r="C61" s="180"/>
      <c r="D61" s="223"/>
      <c r="E61" s="223"/>
    </row>
    <row r="62" spans="1:10">
      <c r="A62" s="205">
        <f t="shared" si="0"/>
        <v>50</v>
      </c>
      <c r="B62" s="78"/>
      <c r="C62" s="294" t="s">
        <v>1028</v>
      </c>
      <c r="D62" s="223"/>
      <c r="E62" s="223"/>
    </row>
    <row r="63" spans="1:10">
      <c r="A63" s="205">
        <f t="shared" si="0"/>
        <v>51</v>
      </c>
      <c r="B63" s="539">
        <v>8500</v>
      </c>
      <c r="C63" s="245" t="s">
        <v>671</v>
      </c>
      <c r="D63" s="500">
        <f>'C.2.2-F 09'!P62</f>
        <v>35.118373757013437</v>
      </c>
      <c r="E63" s="500"/>
      <c r="J63" s="700"/>
    </row>
    <row r="64" spans="1:10">
      <c r="A64" s="205">
        <f t="shared" si="0"/>
        <v>52</v>
      </c>
      <c r="B64" s="539">
        <v>8520</v>
      </c>
      <c r="C64" s="288" t="s">
        <v>1340</v>
      </c>
      <c r="D64" s="364">
        <f>'C.2.2-F 09'!P63</f>
        <v>0</v>
      </c>
      <c r="E64" s="500"/>
      <c r="J64" s="700"/>
    </row>
    <row r="65" spans="1:10">
      <c r="A65" s="205">
        <f t="shared" si="0"/>
        <v>53</v>
      </c>
      <c r="B65" s="539">
        <v>8550</v>
      </c>
      <c r="C65" s="288" t="s">
        <v>1395</v>
      </c>
      <c r="D65" s="364">
        <f>'C.2.2-F 09'!P64</f>
        <v>308.09014622881716</v>
      </c>
      <c r="E65" s="500"/>
      <c r="J65" s="700"/>
    </row>
    <row r="66" spans="1:10">
      <c r="A66" s="205">
        <f t="shared" si="0"/>
        <v>54</v>
      </c>
      <c r="B66" s="539">
        <v>8560</v>
      </c>
      <c r="C66" s="245" t="s">
        <v>642</v>
      </c>
      <c r="D66" s="364">
        <f>'C.2.2-F 09'!P65</f>
        <v>366202.05756504892</v>
      </c>
      <c r="E66" s="194"/>
      <c r="J66" s="700"/>
    </row>
    <row r="67" spans="1:10">
      <c r="A67" s="205">
        <f t="shared" si="0"/>
        <v>55</v>
      </c>
      <c r="B67" s="539">
        <v>8570</v>
      </c>
      <c r="C67" s="245" t="s">
        <v>643</v>
      </c>
      <c r="D67" s="364">
        <f>'C.2.2-F 09'!P66</f>
        <v>27278.000971434969</v>
      </c>
      <c r="E67" s="194"/>
      <c r="J67" s="700"/>
    </row>
    <row r="68" spans="1:10">
      <c r="A68" s="205">
        <f t="shared" si="0"/>
        <v>56</v>
      </c>
      <c r="B68" s="539">
        <v>8590</v>
      </c>
      <c r="C68" s="245" t="s">
        <v>646</v>
      </c>
      <c r="D68" s="194">
        <v>0</v>
      </c>
      <c r="E68" s="194"/>
    </row>
    <row r="69" spans="1:10">
      <c r="A69" s="205">
        <f t="shared" si="0"/>
        <v>57</v>
      </c>
      <c r="B69" s="539">
        <v>8600</v>
      </c>
      <c r="C69" s="245" t="s">
        <v>769</v>
      </c>
      <c r="D69" s="231">
        <v>0</v>
      </c>
      <c r="E69" s="194"/>
    </row>
    <row r="70" spans="1:10">
      <c r="A70" s="205">
        <f t="shared" si="0"/>
        <v>58</v>
      </c>
      <c r="B70" s="78"/>
      <c r="C70" s="261" t="s">
        <v>1004</v>
      </c>
      <c r="D70" s="306">
        <f>SUM(D63:D69)</f>
        <v>393823.26705646975</v>
      </c>
      <c r="E70" s="306"/>
      <c r="F70" s="591"/>
      <c r="G70" s="720"/>
    </row>
    <row r="71" spans="1:10">
      <c r="A71" s="205">
        <f t="shared" si="0"/>
        <v>59</v>
      </c>
      <c r="B71" s="78"/>
      <c r="C71" s="180"/>
      <c r="D71" s="223"/>
      <c r="E71" s="223"/>
    </row>
    <row r="72" spans="1:10">
      <c r="A72" s="205">
        <f t="shared" si="0"/>
        <v>60</v>
      </c>
      <c r="B72" s="78"/>
      <c r="C72" s="294" t="s">
        <v>1005</v>
      </c>
      <c r="D72" s="223"/>
      <c r="E72" s="223"/>
    </row>
    <row r="73" spans="1:10">
      <c r="A73" s="205">
        <f t="shared" si="0"/>
        <v>61</v>
      </c>
      <c r="B73" s="539">
        <v>8620</v>
      </c>
      <c r="C73" s="245" t="s">
        <v>969</v>
      </c>
      <c r="D73" s="500">
        <v>0</v>
      </c>
      <c r="E73" s="500"/>
    </row>
    <row r="74" spans="1:10">
      <c r="A74" s="205">
        <f t="shared" si="0"/>
        <v>62</v>
      </c>
      <c r="B74" s="539">
        <v>8630</v>
      </c>
      <c r="C74" s="245" t="s">
        <v>506</v>
      </c>
      <c r="D74" s="364">
        <f>'C.2.2-F 09'!P67</f>
        <v>16279.782527999811</v>
      </c>
      <c r="E74" s="194"/>
      <c r="J74" s="700"/>
    </row>
    <row r="75" spans="1:10">
      <c r="A75" s="205">
        <f t="shared" si="0"/>
        <v>63</v>
      </c>
      <c r="B75" s="539">
        <v>8640</v>
      </c>
      <c r="C75" s="245" t="s">
        <v>591</v>
      </c>
      <c r="D75" s="364">
        <f>'C.2.2-F 09'!P68</f>
        <v>0</v>
      </c>
      <c r="E75" s="194"/>
    </row>
    <row r="76" spans="1:10">
      <c r="A76" s="205">
        <f t="shared" si="0"/>
        <v>64</v>
      </c>
      <c r="B76" s="539">
        <v>8650</v>
      </c>
      <c r="C76" s="245" t="s">
        <v>644</v>
      </c>
      <c r="D76" s="364">
        <f>'C.2.2-F 09'!P69</f>
        <v>0</v>
      </c>
      <c r="E76" s="194"/>
      <c r="J76" s="700"/>
    </row>
    <row r="77" spans="1:10">
      <c r="A77" s="205">
        <f t="shared" si="0"/>
        <v>65</v>
      </c>
      <c r="B77" s="539">
        <v>8670</v>
      </c>
      <c r="C77" s="245" t="s">
        <v>645</v>
      </c>
      <c r="D77" s="364">
        <v>0</v>
      </c>
      <c r="E77" s="194"/>
      <c r="J77" s="700"/>
    </row>
    <row r="78" spans="1:10">
      <c r="A78" s="205">
        <f t="shared" si="0"/>
        <v>66</v>
      </c>
      <c r="B78" s="78"/>
      <c r="C78" s="261" t="s">
        <v>1006</v>
      </c>
      <c r="D78" s="674">
        <f>SUM(D73:D77)</f>
        <v>16279.782527999811</v>
      </c>
      <c r="E78" s="306"/>
      <c r="F78" s="591"/>
      <c r="G78" s="720"/>
    </row>
    <row r="79" spans="1:10">
      <c r="A79" s="205">
        <f t="shared" si="0"/>
        <v>67</v>
      </c>
      <c r="B79" s="78"/>
      <c r="C79" s="180"/>
      <c r="D79" s="223"/>
      <c r="E79" s="223"/>
    </row>
    <row r="80" spans="1:10">
      <c r="A80" s="205">
        <f t="shared" si="0"/>
        <v>68</v>
      </c>
      <c r="B80" s="78"/>
      <c r="C80" s="294" t="s">
        <v>327</v>
      </c>
      <c r="D80" s="259"/>
      <c r="E80" s="259"/>
    </row>
    <row r="81" spans="1:6">
      <c r="A81" s="205">
        <f t="shared" si="0"/>
        <v>69</v>
      </c>
      <c r="B81" s="529">
        <v>8001</v>
      </c>
      <c r="C81" s="281" t="s">
        <v>867</v>
      </c>
      <c r="D81" s="500">
        <f>'C.2.2-F 09'!P32</f>
        <v>0</v>
      </c>
      <c r="E81" s="500"/>
    </row>
    <row r="82" spans="1:6">
      <c r="A82" s="205">
        <f t="shared" ref="A82:A145" si="1">A81+1</f>
        <v>70</v>
      </c>
      <c r="B82" s="529">
        <v>8010</v>
      </c>
      <c r="C82" s="92" t="s">
        <v>1212</v>
      </c>
      <c r="D82" s="194">
        <f>'C.2.2-F 09'!P33</f>
        <v>61239.873096168121</v>
      </c>
      <c r="E82" s="500"/>
    </row>
    <row r="83" spans="1:6">
      <c r="A83" s="205">
        <f t="shared" si="1"/>
        <v>71</v>
      </c>
      <c r="B83" s="536">
        <v>8040</v>
      </c>
      <c r="C83" s="204" t="s">
        <v>303</v>
      </c>
      <c r="D83" s="194">
        <f>'C.2.2-F 09'!P34</f>
        <v>51401318.063134104</v>
      </c>
      <c r="E83" s="194"/>
      <c r="F83" s="194"/>
    </row>
    <row r="84" spans="1:6">
      <c r="A84" s="205">
        <f t="shared" si="1"/>
        <v>72</v>
      </c>
      <c r="B84" s="536">
        <v>8045</v>
      </c>
      <c r="C84" s="204" t="s">
        <v>1137</v>
      </c>
      <c r="D84" s="194">
        <v>0</v>
      </c>
      <c r="E84" s="194"/>
      <c r="F84" s="194"/>
    </row>
    <row r="85" spans="1:6">
      <c r="A85" s="205">
        <f t="shared" si="1"/>
        <v>73</v>
      </c>
      <c r="B85" s="529">
        <v>8050</v>
      </c>
      <c r="C85" s="281" t="s">
        <v>908</v>
      </c>
      <c r="D85" s="194">
        <f>'C.2.2-F 09'!P35</f>
        <v>-7601.6991613188902</v>
      </c>
      <c r="E85" s="194"/>
      <c r="F85" s="194"/>
    </row>
    <row r="86" spans="1:6">
      <c r="A86" s="205">
        <f t="shared" si="1"/>
        <v>74</v>
      </c>
      <c r="B86" s="536">
        <v>8051</v>
      </c>
      <c r="C86" s="204" t="s">
        <v>811</v>
      </c>
      <c r="D86" s="194">
        <f>'C.2.2-F 09'!P36</f>
        <v>47517426.99680312</v>
      </c>
      <c r="E86" s="194"/>
      <c r="F86" s="194"/>
    </row>
    <row r="87" spans="1:6">
      <c r="A87" s="205">
        <f t="shared" si="1"/>
        <v>75</v>
      </c>
      <c r="B87" s="536">
        <v>8052</v>
      </c>
      <c r="C87" s="204" t="s">
        <v>421</v>
      </c>
      <c r="D87" s="194">
        <f>'C.2.2-F 09'!P37</f>
        <v>24564310.870280467</v>
      </c>
      <c r="E87" s="194"/>
      <c r="F87" s="194"/>
    </row>
    <row r="88" spans="1:6">
      <c r="A88" s="205">
        <f t="shared" si="1"/>
        <v>76</v>
      </c>
      <c r="B88" s="536">
        <v>8053</v>
      </c>
      <c r="C88" s="204" t="s">
        <v>835</v>
      </c>
      <c r="D88" s="194">
        <f>'C.2.2-F 09'!P38</f>
        <v>4854141.7455384377</v>
      </c>
      <c r="E88" s="194"/>
      <c r="F88" s="194"/>
    </row>
    <row r="89" spans="1:6">
      <c r="A89" s="205">
        <f t="shared" si="1"/>
        <v>77</v>
      </c>
      <c r="B89" s="536">
        <v>8054</v>
      </c>
      <c r="C89" s="204" t="s">
        <v>836</v>
      </c>
      <c r="D89" s="194">
        <f>'C.2.2-F 09'!P39</f>
        <v>4585481.8250290044</v>
      </c>
      <c r="E89" s="194"/>
      <c r="F89" s="194"/>
    </row>
    <row r="90" spans="1:6">
      <c r="A90" s="205">
        <f t="shared" si="1"/>
        <v>78</v>
      </c>
      <c r="B90" s="536">
        <v>8057</v>
      </c>
      <c r="C90" s="204" t="s">
        <v>281</v>
      </c>
      <c r="D90" s="194">
        <v>0</v>
      </c>
      <c r="E90" s="194"/>
      <c r="F90" s="194"/>
    </row>
    <row r="91" spans="1:6">
      <c r="A91" s="205">
        <f t="shared" si="1"/>
        <v>79</v>
      </c>
      <c r="B91" s="536">
        <v>8058</v>
      </c>
      <c r="C91" s="204" t="s">
        <v>282</v>
      </c>
      <c r="D91" s="194">
        <f>'C.2.2-F 09'!P40</f>
        <v>-3124678.318749161</v>
      </c>
      <c r="E91" s="194"/>
      <c r="F91" s="194"/>
    </row>
    <row r="92" spans="1:6">
      <c r="A92" s="205">
        <f t="shared" si="1"/>
        <v>80</v>
      </c>
      <c r="B92" s="536">
        <v>8059</v>
      </c>
      <c r="C92" s="204" t="s">
        <v>283</v>
      </c>
      <c r="D92" s="194">
        <f>'C.2.2-F 09'!P41</f>
        <v>-71826171.145405352</v>
      </c>
      <c r="E92" s="194"/>
      <c r="F92" s="194"/>
    </row>
    <row r="93" spans="1:6">
      <c r="A93" s="205">
        <f t="shared" si="1"/>
        <v>81</v>
      </c>
      <c r="B93" s="536">
        <v>8060</v>
      </c>
      <c r="C93" s="204" t="s">
        <v>1007</v>
      </c>
      <c r="D93" s="194">
        <f>'C.2.2-F 09'!P42</f>
        <v>-2147338.3896632735</v>
      </c>
      <c r="E93" s="194"/>
      <c r="F93" s="194"/>
    </row>
    <row r="94" spans="1:6">
      <c r="A94" s="205">
        <f t="shared" si="1"/>
        <v>82</v>
      </c>
      <c r="B94" s="536">
        <v>8081</v>
      </c>
      <c r="C94" s="204" t="s">
        <v>284</v>
      </c>
      <c r="D94" s="194">
        <f>'C.2.2-F 09'!P43</f>
        <v>12436037.28370617</v>
      </c>
      <c r="E94" s="194"/>
      <c r="F94" s="194"/>
    </row>
    <row r="95" spans="1:6">
      <c r="A95" s="205">
        <f t="shared" si="1"/>
        <v>83</v>
      </c>
      <c r="B95" s="536">
        <v>8082</v>
      </c>
      <c r="C95" s="204" t="s">
        <v>67</v>
      </c>
      <c r="D95" s="194">
        <f>'C.2.2-F 09'!P44</f>
        <v>-12626734.322241789</v>
      </c>
      <c r="E95" s="194"/>
      <c r="F95" s="194"/>
    </row>
    <row r="96" spans="1:6">
      <c r="A96" s="205">
        <f t="shared" si="1"/>
        <v>84</v>
      </c>
      <c r="B96" s="529">
        <v>8110</v>
      </c>
      <c r="C96" s="276" t="s">
        <v>1213</v>
      </c>
      <c r="D96" s="194">
        <v>0</v>
      </c>
      <c r="E96" s="194"/>
      <c r="F96" s="194"/>
    </row>
    <row r="97" spans="1:10">
      <c r="A97" s="205">
        <f t="shared" si="1"/>
        <v>85</v>
      </c>
      <c r="B97" s="536">
        <v>8120</v>
      </c>
      <c r="C97" s="204" t="s">
        <v>1023</v>
      </c>
      <c r="D97" s="194">
        <f>'C.2.2-F 09'!P45</f>
        <v>-14328.965645982522</v>
      </c>
      <c r="E97" s="194"/>
      <c r="F97" s="194"/>
    </row>
    <row r="98" spans="1:10">
      <c r="A98" s="205">
        <f t="shared" si="1"/>
        <v>86</v>
      </c>
      <c r="B98" s="536">
        <v>8130</v>
      </c>
      <c r="C98" s="204" t="s">
        <v>69</v>
      </c>
      <c r="D98" s="194">
        <v>0</v>
      </c>
      <c r="E98" s="194"/>
      <c r="F98" s="194"/>
    </row>
    <row r="99" spans="1:10">
      <c r="A99" s="205">
        <f t="shared" si="1"/>
        <v>87</v>
      </c>
      <c r="B99" s="529">
        <v>8580</v>
      </c>
      <c r="C99" s="276" t="s">
        <v>1211</v>
      </c>
      <c r="D99" s="194">
        <f>'C.2.2-F 09'!P46</f>
        <v>22709250.336535297</v>
      </c>
      <c r="E99" s="194"/>
    </row>
    <row r="100" spans="1:10">
      <c r="A100" s="205">
        <f t="shared" si="1"/>
        <v>88</v>
      </c>
      <c r="B100" s="78"/>
      <c r="C100" s="673" t="s">
        <v>1024</v>
      </c>
      <c r="D100" s="674">
        <f>SUM(D81:D99)</f>
        <v>78382354.15325588</v>
      </c>
      <c r="E100" s="306"/>
      <c r="F100" s="591"/>
      <c r="G100" s="720"/>
    </row>
    <row r="101" spans="1:10">
      <c r="A101" s="205">
        <f t="shared" si="1"/>
        <v>89</v>
      </c>
      <c r="B101" s="78"/>
      <c r="D101" s="195"/>
      <c r="E101" s="195"/>
    </row>
    <row r="102" spans="1:10">
      <c r="A102" s="205">
        <f t="shared" si="1"/>
        <v>90</v>
      </c>
      <c r="B102" s="78"/>
      <c r="C102" s="294" t="s">
        <v>1050</v>
      </c>
      <c r="D102" s="195"/>
      <c r="E102" s="195"/>
    </row>
    <row r="103" spans="1:10">
      <c r="A103" s="205">
        <f t="shared" si="1"/>
        <v>91</v>
      </c>
      <c r="B103" s="536">
        <v>8700</v>
      </c>
      <c r="C103" s="291" t="s">
        <v>647</v>
      </c>
      <c r="D103" s="500">
        <f>'C.2.2-F 09'!P70</f>
        <v>963410.59630892519</v>
      </c>
      <c r="E103" s="500"/>
      <c r="J103" s="700"/>
    </row>
    <row r="104" spans="1:10">
      <c r="A104" s="205">
        <f t="shared" si="1"/>
        <v>92</v>
      </c>
      <c r="B104" s="536">
        <v>8710</v>
      </c>
      <c r="C104" s="291" t="s">
        <v>648</v>
      </c>
      <c r="D104" s="194">
        <f>'C.2.2-F 09'!P71</f>
        <v>662.75519588347731</v>
      </c>
      <c r="E104" s="194"/>
      <c r="J104" s="700"/>
    </row>
    <row r="105" spans="1:10">
      <c r="A105" s="205">
        <f t="shared" si="1"/>
        <v>93</v>
      </c>
      <c r="B105" s="536">
        <v>8711</v>
      </c>
      <c r="C105" s="204" t="s">
        <v>344</v>
      </c>
      <c r="D105" s="194">
        <f>'C.2.2-F 09'!P72</f>
        <v>19955.644053049011</v>
      </c>
      <c r="E105" s="194"/>
      <c r="J105" s="700"/>
    </row>
    <row r="106" spans="1:10">
      <c r="A106" s="205">
        <f t="shared" si="1"/>
        <v>94</v>
      </c>
      <c r="B106" s="536">
        <v>8720</v>
      </c>
      <c r="C106" s="291" t="s">
        <v>961</v>
      </c>
      <c r="D106" s="194">
        <f>'C.2.2-F 09'!P73</f>
        <v>0</v>
      </c>
      <c r="E106" s="194"/>
    </row>
    <row r="107" spans="1:10">
      <c r="A107" s="205">
        <f t="shared" si="1"/>
        <v>95</v>
      </c>
      <c r="B107" s="536">
        <v>8740</v>
      </c>
      <c r="C107" s="291" t="s">
        <v>962</v>
      </c>
      <c r="D107" s="194">
        <f>'C.2.2-F 09'!P74</f>
        <v>4320718.7295684638</v>
      </c>
      <c r="E107" s="194"/>
      <c r="J107" s="700"/>
    </row>
    <row r="108" spans="1:10">
      <c r="A108" s="205">
        <f t="shared" si="1"/>
        <v>96</v>
      </c>
      <c r="B108" s="536">
        <v>8750</v>
      </c>
      <c r="C108" s="291" t="s">
        <v>966</v>
      </c>
      <c r="D108" s="194">
        <f>'C.2.2-F 09'!P75</f>
        <v>574713.5460668921</v>
      </c>
      <c r="E108" s="194"/>
      <c r="J108" s="700"/>
    </row>
    <row r="109" spans="1:10">
      <c r="A109" s="205">
        <f t="shared" si="1"/>
        <v>97</v>
      </c>
      <c r="B109" s="536">
        <v>8760</v>
      </c>
      <c r="C109" s="291" t="s">
        <v>967</v>
      </c>
      <c r="D109" s="194">
        <f>'C.2.2-F 09'!P76</f>
        <v>120928.18145158212</v>
      </c>
      <c r="E109" s="194"/>
      <c r="J109" s="700"/>
    </row>
    <row r="110" spans="1:10">
      <c r="A110" s="205">
        <f t="shared" si="1"/>
        <v>98</v>
      </c>
      <c r="B110" s="536">
        <v>8770</v>
      </c>
      <c r="C110" s="291" t="s">
        <v>968</v>
      </c>
      <c r="D110" s="194">
        <f>'C.2.2-F 09'!P77</f>
        <v>38285.750086711603</v>
      </c>
      <c r="E110" s="194"/>
      <c r="J110" s="700"/>
    </row>
    <row r="111" spans="1:10">
      <c r="A111" s="205">
        <f t="shared" si="1"/>
        <v>99</v>
      </c>
      <c r="B111" s="536">
        <v>8780</v>
      </c>
      <c r="C111" s="291" t="s">
        <v>963</v>
      </c>
      <c r="D111" s="194">
        <f>'C.2.2-F 09'!P78</f>
        <v>820620.69918436499</v>
      </c>
      <c r="E111" s="194"/>
      <c r="J111" s="700"/>
    </row>
    <row r="112" spans="1:10">
      <c r="A112" s="205">
        <f t="shared" si="1"/>
        <v>100</v>
      </c>
      <c r="B112" s="536">
        <v>8790</v>
      </c>
      <c r="C112" s="291" t="s">
        <v>964</v>
      </c>
      <c r="D112" s="194">
        <f>'C.2.2-F 09'!P79</f>
        <v>2246.2975477254686</v>
      </c>
      <c r="E112" s="194"/>
      <c r="J112" s="700"/>
    </row>
    <row r="113" spans="1:10">
      <c r="A113" s="205">
        <f t="shared" si="1"/>
        <v>101</v>
      </c>
      <c r="B113" s="536">
        <v>8800</v>
      </c>
      <c r="C113" s="291" t="s">
        <v>965</v>
      </c>
      <c r="D113" s="194">
        <f>'C.2.2-F 09'!P80</f>
        <v>3203.5302991371959</v>
      </c>
      <c r="E113" s="194"/>
      <c r="J113" s="700"/>
    </row>
    <row r="114" spans="1:10">
      <c r="A114" s="205">
        <f t="shared" si="1"/>
        <v>102</v>
      </c>
      <c r="B114" s="536">
        <v>8810</v>
      </c>
      <c r="C114" s="291" t="s">
        <v>769</v>
      </c>
      <c r="D114" s="194">
        <f>'C.2.2-F 09'!P81</f>
        <v>369767.98262219987</v>
      </c>
      <c r="E114" s="194"/>
      <c r="J114" s="700"/>
    </row>
    <row r="115" spans="1:10">
      <c r="A115" s="205">
        <f t="shared" si="1"/>
        <v>103</v>
      </c>
      <c r="B115" s="78"/>
      <c r="C115" s="261" t="s">
        <v>659</v>
      </c>
      <c r="D115" s="674">
        <f>SUM(D103:D114)</f>
        <v>7234513.7123849345</v>
      </c>
      <c r="E115" s="306"/>
      <c r="F115" s="591"/>
      <c r="G115" s="720"/>
    </row>
    <row r="116" spans="1:10">
      <c r="A116" s="205">
        <f t="shared" si="1"/>
        <v>104</v>
      </c>
      <c r="B116" s="78"/>
      <c r="D116" s="195"/>
      <c r="E116" s="195"/>
    </row>
    <row r="117" spans="1:10">
      <c r="A117" s="205">
        <f t="shared" si="1"/>
        <v>105</v>
      </c>
      <c r="B117" s="205"/>
      <c r="C117" s="294" t="s">
        <v>660</v>
      </c>
      <c r="D117" s="259"/>
      <c r="E117" s="259"/>
    </row>
    <row r="118" spans="1:10">
      <c r="A118" s="205">
        <f t="shared" si="1"/>
        <v>106</v>
      </c>
      <c r="B118" s="536">
        <v>8850</v>
      </c>
      <c r="C118" s="291" t="s">
        <v>647</v>
      </c>
      <c r="D118" s="500">
        <f>'C.2.2-F 09'!P82</f>
        <v>1588.0199403374866</v>
      </c>
      <c r="E118" s="500"/>
      <c r="H118" s="700"/>
      <c r="J118" s="700"/>
    </row>
    <row r="119" spans="1:10">
      <c r="A119" s="205">
        <f t="shared" si="1"/>
        <v>107</v>
      </c>
      <c r="B119" s="536">
        <v>8860</v>
      </c>
      <c r="C119" s="291" t="s">
        <v>969</v>
      </c>
      <c r="D119" s="194">
        <f>'C.2.2-F 09'!P83</f>
        <v>98.164274701963336</v>
      </c>
      <c r="E119" s="194"/>
      <c r="H119" s="700"/>
      <c r="J119" s="700"/>
    </row>
    <row r="120" spans="1:10">
      <c r="A120" s="205">
        <f t="shared" si="1"/>
        <v>108</v>
      </c>
      <c r="B120" s="536">
        <v>8870</v>
      </c>
      <c r="C120" s="291" t="s">
        <v>506</v>
      </c>
      <c r="D120" s="194">
        <f>'C.2.2-F 09'!P84</f>
        <v>28852.101092614503</v>
      </c>
      <c r="E120" s="194"/>
      <c r="H120" s="700"/>
      <c r="J120" s="700"/>
    </row>
    <row r="121" spans="1:10">
      <c r="A121" s="205">
        <f t="shared" si="1"/>
        <v>109</v>
      </c>
      <c r="B121" s="536">
        <v>8890</v>
      </c>
      <c r="C121" s="291" t="s">
        <v>966</v>
      </c>
      <c r="D121" s="194">
        <f>'C.2.2-F 09'!P85</f>
        <v>65571.866984355671</v>
      </c>
      <c r="E121" s="194"/>
      <c r="H121" s="700"/>
      <c r="J121" s="700"/>
    </row>
    <row r="122" spans="1:10">
      <c r="A122" s="205">
        <f t="shared" si="1"/>
        <v>110</v>
      </c>
      <c r="B122" s="536">
        <v>8900</v>
      </c>
      <c r="C122" s="291" t="s">
        <v>967</v>
      </c>
      <c r="D122" s="194">
        <f>'C.2.2-F 09'!P86</f>
        <v>1723.0432342067479</v>
      </c>
      <c r="E122" s="194"/>
      <c r="H122" s="700"/>
      <c r="J122" s="700"/>
    </row>
    <row r="123" spans="1:10">
      <c r="A123" s="205">
        <f t="shared" si="1"/>
        <v>111</v>
      </c>
      <c r="B123" s="536">
        <v>8910</v>
      </c>
      <c r="C123" s="291" t="s">
        <v>968</v>
      </c>
      <c r="D123" s="194">
        <f>'C.2.2-F 09'!P87</f>
        <v>795.18127800220111</v>
      </c>
      <c r="E123" s="194"/>
      <c r="H123" s="700"/>
      <c r="J123" s="700"/>
    </row>
    <row r="124" spans="1:10">
      <c r="A124" s="205">
        <f t="shared" si="1"/>
        <v>112</v>
      </c>
      <c r="B124" s="536">
        <v>8920</v>
      </c>
      <c r="C124" s="291" t="s">
        <v>1052</v>
      </c>
      <c r="D124" s="194">
        <f>'C.2.2-F 09'!P88</f>
        <v>6532.5159239421191</v>
      </c>
      <c r="E124" s="194"/>
      <c r="H124" s="700"/>
      <c r="J124" s="700"/>
    </row>
    <row r="125" spans="1:10">
      <c r="A125" s="205">
        <f t="shared" si="1"/>
        <v>113</v>
      </c>
      <c r="B125" s="536">
        <v>8930</v>
      </c>
      <c r="C125" s="291" t="s">
        <v>970</v>
      </c>
      <c r="D125" s="194">
        <f>'C.2.2-F 09'!P89</f>
        <v>0</v>
      </c>
      <c r="E125" s="194"/>
      <c r="H125" s="700"/>
      <c r="J125" s="700"/>
    </row>
    <row r="126" spans="1:10">
      <c r="A126" s="205">
        <f t="shared" si="1"/>
        <v>114</v>
      </c>
      <c r="B126" s="536">
        <v>8940</v>
      </c>
      <c r="C126" s="291" t="s">
        <v>645</v>
      </c>
      <c r="D126" s="194">
        <f>'C.2.2-F 09'!P90</f>
        <v>5866.1957568348671</v>
      </c>
      <c r="E126" s="194"/>
      <c r="H126" s="700"/>
      <c r="J126" s="700"/>
    </row>
    <row r="127" spans="1:10">
      <c r="A127" s="205">
        <f t="shared" si="1"/>
        <v>115</v>
      </c>
      <c r="B127" s="541" t="s">
        <v>781</v>
      </c>
      <c r="C127" s="291" t="s">
        <v>293</v>
      </c>
      <c r="D127" s="231">
        <v>0</v>
      </c>
      <c r="E127" s="194"/>
      <c r="H127" s="700"/>
    </row>
    <row r="128" spans="1:10">
      <c r="A128" s="205">
        <f t="shared" si="1"/>
        <v>116</v>
      </c>
      <c r="B128" s="78"/>
      <c r="C128" s="261" t="s">
        <v>422</v>
      </c>
      <c r="D128" s="306">
        <f>SUM(D118:D127)</f>
        <v>111027.08848499556</v>
      </c>
      <c r="E128" s="306"/>
      <c r="F128" s="591"/>
      <c r="G128" s="720"/>
    </row>
    <row r="129" spans="1:10">
      <c r="A129" s="205">
        <f t="shared" si="1"/>
        <v>117</v>
      </c>
      <c r="B129" s="78"/>
      <c r="C129" s="261"/>
      <c r="D129" s="223"/>
      <c r="E129" s="223"/>
    </row>
    <row r="130" spans="1:10">
      <c r="A130" s="205">
        <f t="shared" si="1"/>
        <v>118</v>
      </c>
      <c r="B130" s="205"/>
      <c r="C130" s="294" t="s">
        <v>423</v>
      </c>
      <c r="D130" s="259"/>
      <c r="E130" s="259"/>
    </row>
    <row r="131" spans="1:10">
      <c r="A131" s="205">
        <f t="shared" si="1"/>
        <v>119</v>
      </c>
      <c r="B131" s="536">
        <v>9010</v>
      </c>
      <c r="C131" s="291" t="s">
        <v>478</v>
      </c>
      <c r="D131" s="500">
        <f>'C.2.2-F 09'!P91</f>
        <v>0</v>
      </c>
      <c r="E131" s="500"/>
      <c r="H131" s="700"/>
      <c r="J131" s="700"/>
    </row>
    <row r="132" spans="1:10">
      <c r="A132" s="205">
        <f t="shared" si="1"/>
        <v>120</v>
      </c>
      <c r="B132" s="536">
        <v>9020</v>
      </c>
      <c r="C132" s="291" t="s">
        <v>666</v>
      </c>
      <c r="D132" s="194">
        <f>'C.2.2-F 09'!P92</f>
        <v>1085047.0517187177</v>
      </c>
      <c r="E132" s="194"/>
      <c r="H132" s="700"/>
      <c r="J132" s="700"/>
    </row>
    <row r="133" spans="1:10">
      <c r="A133" s="205">
        <f t="shared" si="1"/>
        <v>121</v>
      </c>
      <c r="B133" s="536">
        <v>9030</v>
      </c>
      <c r="C133" s="291" t="s">
        <v>971</v>
      </c>
      <c r="D133" s="194">
        <f>'C.2.2-F 09'!P93</f>
        <v>1220802.3783195349</v>
      </c>
      <c r="E133" s="194"/>
      <c r="H133" s="700"/>
      <c r="J133" s="700"/>
    </row>
    <row r="134" spans="1:10">
      <c r="A134" s="205">
        <f t="shared" si="1"/>
        <v>122</v>
      </c>
      <c r="B134" s="536">
        <v>9040</v>
      </c>
      <c r="C134" s="291" t="s">
        <v>667</v>
      </c>
      <c r="D134" s="194">
        <f>'C.2.2-F 09'!P94</f>
        <v>341050.48677183327</v>
      </c>
      <c r="E134" s="194"/>
      <c r="H134" s="700"/>
      <c r="J134" s="700"/>
    </row>
    <row r="135" spans="1:10">
      <c r="A135" s="205">
        <f t="shared" si="1"/>
        <v>123</v>
      </c>
      <c r="B135" s="205"/>
      <c r="C135" s="261" t="s">
        <v>543</v>
      </c>
      <c r="D135" s="674">
        <f>SUM(D131:D134)</f>
        <v>2646899.916810086</v>
      </c>
      <c r="E135" s="306"/>
      <c r="F135" s="591"/>
      <c r="G135" s="720"/>
      <c r="H135" s="700"/>
    </row>
    <row r="136" spans="1:10">
      <c r="A136" s="205">
        <f t="shared" si="1"/>
        <v>124</v>
      </c>
      <c r="B136" s="78"/>
      <c r="D136" s="195"/>
      <c r="E136" s="195"/>
    </row>
    <row r="137" spans="1:10">
      <c r="A137" s="205">
        <f t="shared" si="1"/>
        <v>125</v>
      </c>
      <c r="B137" s="78"/>
      <c r="C137" s="294" t="s">
        <v>544</v>
      </c>
      <c r="D137" s="195"/>
      <c r="E137" s="195"/>
    </row>
    <row r="138" spans="1:10">
      <c r="A138" s="205">
        <f t="shared" si="1"/>
        <v>126</v>
      </c>
      <c r="B138" s="536">
        <v>9070</v>
      </c>
      <c r="C138" s="291" t="s">
        <v>478</v>
      </c>
      <c r="D138" s="500">
        <v>0</v>
      </c>
      <c r="E138" s="500"/>
      <c r="H138" s="700"/>
      <c r="J138" s="700"/>
    </row>
    <row r="139" spans="1:10">
      <c r="A139" s="205">
        <f t="shared" si="1"/>
        <v>127</v>
      </c>
      <c r="B139" s="536">
        <v>9080</v>
      </c>
      <c r="C139" s="291" t="s">
        <v>665</v>
      </c>
      <c r="D139" s="194">
        <v>0</v>
      </c>
      <c r="E139" s="194"/>
      <c r="H139" s="700"/>
      <c r="J139" s="700"/>
    </row>
    <row r="140" spans="1:10">
      <c r="A140" s="205">
        <f t="shared" si="1"/>
        <v>128</v>
      </c>
      <c r="B140" s="536">
        <v>9090</v>
      </c>
      <c r="C140" s="291" t="s">
        <v>664</v>
      </c>
      <c r="D140" s="194">
        <f>'C.2.2-F 09'!P95</f>
        <v>128271.64717990512</v>
      </c>
      <c r="E140" s="194"/>
      <c r="H140" s="700"/>
      <c r="J140" s="700"/>
    </row>
    <row r="141" spans="1:10">
      <c r="A141" s="205">
        <f t="shared" si="1"/>
        <v>129</v>
      </c>
      <c r="B141" s="536">
        <v>9100</v>
      </c>
      <c r="C141" s="291" t="s">
        <v>452</v>
      </c>
      <c r="D141" s="194">
        <f>'C.2.2-F 09'!P96</f>
        <v>0</v>
      </c>
      <c r="E141" s="194"/>
      <c r="H141" s="700"/>
      <c r="J141" s="700"/>
    </row>
    <row r="142" spans="1:10">
      <c r="A142" s="205">
        <f t="shared" si="1"/>
        <v>130</v>
      </c>
      <c r="B142" s="205"/>
      <c r="C142" s="261" t="s">
        <v>855</v>
      </c>
      <c r="D142" s="674">
        <f>SUM(D138:D141)</f>
        <v>128271.64717990512</v>
      </c>
      <c r="E142" s="306"/>
      <c r="F142" s="591"/>
      <c r="G142" s="720"/>
    </row>
    <row r="143" spans="1:10">
      <c r="A143" s="205">
        <f t="shared" si="1"/>
        <v>131</v>
      </c>
      <c r="B143" s="205"/>
      <c r="C143" s="261"/>
      <c r="D143" s="223"/>
      <c r="E143" s="223"/>
    </row>
    <row r="144" spans="1:10">
      <c r="A144" s="205">
        <f t="shared" si="1"/>
        <v>132</v>
      </c>
      <c r="B144" s="205"/>
      <c r="C144" s="294" t="s">
        <v>494</v>
      </c>
      <c r="D144" s="259"/>
      <c r="E144" s="259"/>
    </row>
    <row r="145" spans="1:10">
      <c r="A145" s="205">
        <f t="shared" si="1"/>
        <v>133</v>
      </c>
      <c r="B145" s="536">
        <v>9110</v>
      </c>
      <c r="C145" s="291" t="s">
        <v>478</v>
      </c>
      <c r="D145" s="500">
        <f>'C.2.2-F 09'!P97</f>
        <v>253467.52409467613</v>
      </c>
      <c r="E145" s="500"/>
      <c r="H145" s="700"/>
      <c r="J145" s="700"/>
    </row>
    <row r="146" spans="1:10">
      <c r="A146" s="205">
        <f t="shared" ref="A146:A177" si="2">A145+1</f>
        <v>134</v>
      </c>
      <c r="B146" s="536">
        <v>9120</v>
      </c>
      <c r="C146" s="291" t="s">
        <v>770</v>
      </c>
      <c r="D146" s="194">
        <f>'C.2.2-F 09'!P98</f>
        <v>115937.25847628263</v>
      </c>
      <c r="E146" s="194"/>
      <c r="H146" s="700"/>
      <c r="J146" s="700"/>
    </row>
    <row r="147" spans="1:10">
      <c r="A147" s="205">
        <f t="shared" si="2"/>
        <v>135</v>
      </c>
      <c r="B147" s="536">
        <v>9130</v>
      </c>
      <c r="C147" s="291" t="s">
        <v>852</v>
      </c>
      <c r="D147" s="194">
        <f>'C.2.2-F 09'!P99</f>
        <v>35170.346903187507</v>
      </c>
      <c r="E147" s="194"/>
      <c r="H147" s="700"/>
      <c r="J147" s="700"/>
    </row>
    <row r="148" spans="1:10">
      <c r="A148" s="205">
        <f t="shared" si="2"/>
        <v>136</v>
      </c>
      <c r="B148" s="536">
        <v>9160</v>
      </c>
      <c r="C148" s="291" t="s">
        <v>837</v>
      </c>
      <c r="D148" s="194">
        <v>0</v>
      </c>
      <c r="E148" s="194"/>
      <c r="H148" s="700"/>
      <c r="J148" s="700"/>
    </row>
    <row r="149" spans="1:10">
      <c r="A149" s="205">
        <f t="shared" si="2"/>
        <v>137</v>
      </c>
      <c r="B149" s="205"/>
      <c r="C149" s="261" t="s">
        <v>1114</v>
      </c>
      <c r="D149" s="674">
        <f>SUM(D145:D148)</f>
        <v>404575.12947414629</v>
      </c>
      <c r="E149" s="306"/>
      <c r="F149" s="591"/>
      <c r="G149" s="720"/>
    </row>
    <row r="150" spans="1:10">
      <c r="A150" s="205">
        <f t="shared" si="2"/>
        <v>138</v>
      </c>
      <c r="B150" s="78"/>
      <c r="D150" s="259"/>
      <c r="E150" s="259"/>
    </row>
    <row r="151" spans="1:10">
      <c r="A151" s="205">
        <f t="shared" si="2"/>
        <v>139</v>
      </c>
      <c r="B151" s="205"/>
      <c r="C151" s="294" t="s">
        <v>1115</v>
      </c>
      <c r="D151" s="259"/>
      <c r="E151" s="259"/>
      <c r="H151" s="700"/>
    </row>
    <row r="152" spans="1:10">
      <c r="A152" s="205">
        <f t="shared" si="2"/>
        <v>140</v>
      </c>
      <c r="B152" s="536">
        <v>9200</v>
      </c>
      <c r="C152" s="291" t="s">
        <v>761</v>
      </c>
      <c r="D152" s="306">
        <f>'C.2.2-F 09'!P100</f>
        <v>128440.24159693743</v>
      </c>
      <c r="E152" s="500"/>
      <c r="H152" s="700"/>
      <c r="J152" s="700"/>
    </row>
    <row r="153" spans="1:10">
      <c r="A153" s="205">
        <f t="shared" si="2"/>
        <v>141</v>
      </c>
      <c r="B153" s="536">
        <v>9210</v>
      </c>
      <c r="C153" s="291" t="s">
        <v>762</v>
      </c>
      <c r="D153" s="194">
        <f>'C.2.2-F 09'!P101</f>
        <v>17615.50272749288</v>
      </c>
      <c r="E153" s="194"/>
      <c r="H153" s="700"/>
      <c r="J153" s="700"/>
    </row>
    <row r="154" spans="1:10">
      <c r="A154" s="205">
        <f t="shared" si="2"/>
        <v>142</v>
      </c>
      <c r="B154" s="536">
        <v>9220</v>
      </c>
      <c r="C154" s="291" t="s">
        <v>763</v>
      </c>
      <c r="D154" s="194">
        <f>'C.2.2-F 09'!P102</f>
        <v>14498764.188985625</v>
      </c>
      <c r="E154" s="194"/>
      <c r="H154" s="700"/>
      <c r="J154" s="700"/>
    </row>
    <row r="155" spans="1:10">
      <c r="A155" s="205">
        <f t="shared" si="2"/>
        <v>143</v>
      </c>
      <c r="B155" s="536">
        <v>9230</v>
      </c>
      <c r="C155" s="291" t="s">
        <v>764</v>
      </c>
      <c r="D155" s="194">
        <f>'C.2.2-F 09'!P103</f>
        <v>339696.84086385532</v>
      </c>
      <c r="E155" s="194"/>
      <c r="H155" s="700"/>
      <c r="J155" s="700"/>
    </row>
    <row r="156" spans="1:10">
      <c r="A156" s="205">
        <f t="shared" si="2"/>
        <v>144</v>
      </c>
      <c r="B156" s="536">
        <v>9240</v>
      </c>
      <c r="C156" s="291" t="s">
        <v>309</v>
      </c>
      <c r="D156" s="194">
        <f>'C.2.2-F 09'!P104</f>
        <v>3718.3663252685374</v>
      </c>
      <c r="E156" s="194"/>
      <c r="H156" s="700"/>
      <c r="J156" s="700"/>
    </row>
    <row r="157" spans="1:10">
      <c r="A157" s="205">
        <f t="shared" si="2"/>
        <v>145</v>
      </c>
      <c r="B157" s="536">
        <v>9250</v>
      </c>
      <c r="C157" s="291" t="s">
        <v>765</v>
      </c>
      <c r="D157" s="194">
        <f>'C.2.2-F 09'!P105</f>
        <v>74010.457241629658</v>
      </c>
      <c r="E157" s="194"/>
      <c r="H157" s="700"/>
      <c r="J157" s="700"/>
    </row>
    <row r="158" spans="1:10">
      <c r="A158" s="205">
        <f t="shared" si="2"/>
        <v>146</v>
      </c>
      <c r="B158" s="536">
        <v>9260</v>
      </c>
      <c r="C158" s="291" t="s">
        <v>767</v>
      </c>
      <c r="D158" s="194">
        <f>'C.2.2-F 09'!P106</f>
        <v>1791281.1807905775</v>
      </c>
      <c r="E158" s="194"/>
      <c r="H158" s="700"/>
      <c r="J158" s="700"/>
    </row>
    <row r="159" spans="1:10">
      <c r="A159" s="205">
        <f t="shared" si="2"/>
        <v>147</v>
      </c>
      <c r="B159" s="536">
        <v>9270</v>
      </c>
      <c r="C159" s="291" t="s">
        <v>310</v>
      </c>
      <c r="D159" s="194">
        <f>'C.2.2-F 09'!P107</f>
        <v>646.41788627271671</v>
      </c>
      <c r="E159" s="194"/>
      <c r="H159" s="700"/>
      <c r="J159" s="700"/>
    </row>
    <row r="160" spans="1:10">
      <c r="A160" s="205">
        <f t="shared" si="2"/>
        <v>148</v>
      </c>
      <c r="B160" s="536">
        <v>9280</v>
      </c>
      <c r="C160" s="291" t="s">
        <v>768</v>
      </c>
      <c r="D160" s="194">
        <f>'C.2.2-F 09'!P108</f>
        <v>671993.94135810703</v>
      </c>
      <c r="E160" s="194"/>
      <c r="H160" s="700"/>
      <c r="J160" s="700"/>
    </row>
    <row r="161" spans="1:10">
      <c r="A161" s="205">
        <f t="shared" si="2"/>
        <v>149</v>
      </c>
      <c r="B161" s="542">
        <v>930.2</v>
      </c>
      <c r="C161" s="291" t="s">
        <v>311</v>
      </c>
      <c r="D161" s="194">
        <f>'C.2.2-F 09'!P109</f>
        <v>41757.417661238971</v>
      </c>
      <c r="E161" s="194"/>
      <c r="H161" s="700"/>
      <c r="J161" s="700"/>
    </row>
    <row r="162" spans="1:10">
      <c r="A162" s="205">
        <f t="shared" si="2"/>
        <v>150</v>
      </c>
      <c r="B162" s="529">
        <v>9310</v>
      </c>
      <c r="C162" s="281" t="s">
        <v>184</v>
      </c>
      <c r="D162" s="194">
        <f>'C.2.2-F 09'!P110</f>
        <v>11100.191053614941</v>
      </c>
      <c r="E162" s="194"/>
      <c r="H162" s="700"/>
      <c r="J162" s="700"/>
    </row>
    <row r="163" spans="1:10">
      <c r="A163" s="205">
        <f t="shared" si="2"/>
        <v>151</v>
      </c>
      <c r="B163" s="205"/>
      <c r="C163" s="261" t="s">
        <v>760</v>
      </c>
      <c r="D163" s="674">
        <f>SUM(D152:D162)</f>
        <v>17579024.74649062</v>
      </c>
      <c r="E163" s="306"/>
      <c r="F163" s="591"/>
      <c r="G163" s="720"/>
    </row>
    <row r="164" spans="1:10">
      <c r="A164" s="205">
        <f t="shared" si="2"/>
        <v>152</v>
      </c>
      <c r="B164" s="205"/>
      <c r="C164" s="220"/>
      <c r="D164" s="259"/>
      <c r="E164" s="259"/>
      <c r="H164" s="700"/>
    </row>
    <row r="165" spans="1:10">
      <c r="A165" s="205">
        <f t="shared" si="2"/>
        <v>153</v>
      </c>
      <c r="B165" s="205"/>
      <c r="C165" s="294" t="s">
        <v>771</v>
      </c>
      <c r="D165" s="259"/>
      <c r="E165" s="259"/>
      <c r="H165" s="700"/>
    </row>
    <row r="166" spans="1:10">
      <c r="A166" s="205">
        <f t="shared" si="2"/>
        <v>154</v>
      </c>
      <c r="B166" s="536">
        <v>9320</v>
      </c>
      <c r="C166" s="291" t="s">
        <v>772</v>
      </c>
      <c r="D166" s="231">
        <f>'C.2.2-F 09'!P111</f>
        <v>11803.797066978957</v>
      </c>
      <c r="E166" s="194"/>
      <c r="H166" s="700"/>
    </row>
    <row r="167" spans="1:10">
      <c r="A167" s="205">
        <f t="shared" si="2"/>
        <v>155</v>
      </c>
      <c r="B167" s="205"/>
      <c r="C167" s="261" t="s">
        <v>732</v>
      </c>
      <c r="D167" s="502">
        <f>SUM(D166:D166)</f>
        <v>11803.797066978957</v>
      </c>
      <c r="E167" s="502"/>
      <c r="H167" s="700"/>
    </row>
    <row r="168" spans="1:10">
      <c r="A168" s="205">
        <f t="shared" si="2"/>
        <v>156</v>
      </c>
      <c r="B168" s="78"/>
      <c r="D168" s="195"/>
      <c r="E168" s="195"/>
      <c r="H168" s="700"/>
    </row>
    <row r="169" spans="1:10">
      <c r="A169" s="205">
        <f t="shared" si="2"/>
        <v>157</v>
      </c>
      <c r="B169" s="205"/>
      <c r="C169" s="41" t="s">
        <v>329</v>
      </c>
      <c r="D169" s="306">
        <f>+D34+D50+D60+D70+D78+D100+D115+D128+D135+D142+D149+D163+D167</f>
        <v>107397487.35044111</v>
      </c>
      <c r="E169" s="306"/>
      <c r="F169" s="40">
        <f>'C.2.2-F 09'!Q116</f>
        <v>107397487.35044111</v>
      </c>
      <c r="G169" s="40">
        <f>D169-F169</f>
        <v>0</v>
      </c>
      <c r="H169" s="700"/>
      <c r="I169" s="62"/>
    </row>
    <row r="170" spans="1:10">
      <c r="A170" s="205">
        <f t="shared" si="2"/>
        <v>158</v>
      </c>
      <c r="B170" s="78"/>
      <c r="D170" s="195"/>
      <c r="E170" s="195"/>
      <c r="H170" s="700"/>
    </row>
    <row r="171" spans="1:10">
      <c r="A171" s="205">
        <f t="shared" si="2"/>
        <v>159</v>
      </c>
      <c r="B171" s="205" t="s">
        <v>312</v>
      </c>
      <c r="C171" s="204" t="s">
        <v>669</v>
      </c>
      <c r="D171" s="500">
        <f>'C.2.2-F 09'!P14+'C.2.2-F 09'!P15</f>
        <v>23102095.980525177</v>
      </c>
      <c r="E171" s="500"/>
      <c r="F171" s="591"/>
      <c r="G171" s="720"/>
      <c r="H171" s="700"/>
    </row>
    <row r="172" spans="1:10">
      <c r="A172" s="205">
        <f t="shared" si="2"/>
        <v>160</v>
      </c>
      <c r="B172" s="536">
        <v>4081</v>
      </c>
      <c r="C172" s="204" t="s">
        <v>670</v>
      </c>
      <c r="D172" s="194">
        <f>'C.2.2-F 09'!P16</f>
        <v>7511836.9326441754</v>
      </c>
      <c r="E172" s="194"/>
      <c r="F172" s="591"/>
      <c r="G172" s="720"/>
      <c r="H172" s="700"/>
    </row>
    <row r="173" spans="1:10">
      <c r="A173" s="205">
        <f t="shared" si="2"/>
        <v>161</v>
      </c>
      <c r="B173" s="536">
        <v>4091</v>
      </c>
      <c r="C173" s="204" t="s">
        <v>668</v>
      </c>
      <c r="D173" s="194">
        <f>'C.2.2-F 09'!P12</f>
        <v>6037301.5638750596</v>
      </c>
      <c r="E173" s="194"/>
      <c r="F173" s="591"/>
      <c r="G173" s="720"/>
    </row>
    <row r="174" spans="1:10">
      <c r="A174" s="205">
        <f t="shared" si="2"/>
        <v>162</v>
      </c>
      <c r="B174" s="232"/>
      <c r="D174" s="195"/>
      <c r="E174" s="195"/>
    </row>
    <row r="175" spans="1:10">
      <c r="A175" s="205">
        <f t="shared" si="2"/>
        <v>163</v>
      </c>
      <c r="B175" s="292"/>
      <c r="C175" s="204" t="s">
        <v>328</v>
      </c>
      <c r="D175" s="501">
        <f>+D169+SUM(D171:D173)</f>
        <v>144048721.82748553</v>
      </c>
      <c r="E175" s="500"/>
    </row>
    <row r="176" spans="1:10">
      <c r="A176" s="205">
        <f t="shared" si="2"/>
        <v>164</v>
      </c>
      <c r="B176" s="232"/>
      <c r="D176" s="195"/>
      <c r="E176" s="195"/>
    </row>
    <row r="177" spans="1:5" ht="15.75" thickBot="1">
      <c r="A177" s="205">
        <f t="shared" si="2"/>
        <v>165</v>
      </c>
      <c r="B177" s="292"/>
      <c r="C177" s="204" t="s">
        <v>345</v>
      </c>
      <c r="D177" s="543">
        <f>(D28-D175)</f>
        <v>25669144.009470254</v>
      </c>
      <c r="E177" s="500"/>
    </row>
    <row r="178" spans="1:5" ht="15.75" thickTop="1">
      <c r="A178" s="191"/>
      <c r="B178" s="503"/>
      <c r="C178" s="191"/>
      <c r="D178" s="230"/>
      <c r="E178" s="230"/>
    </row>
    <row r="179" spans="1:5">
      <c r="A179" s="191"/>
      <c r="B179" s="504"/>
      <c r="C179" s="191"/>
      <c r="D179" s="191"/>
      <c r="E179" s="191"/>
    </row>
    <row r="180" spans="1:5">
      <c r="B180" s="296"/>
    </row>
    <row r="181" spans="1:5">
      <c r="B181" s="296"/>
    </row>
    <row r="182" spans="1:5">
      <c r="B182" s="296"/>
    </row>
    <row r="183" spans="1:5">
      <c r="B183" s="296"/>
    </row>
    <row r="184" spans="1:5">
      <c r="B184" s="232"/>
    </row>
    <row r="185" spans="1:5">
      <c r="B185" s="232"/>
    </row>
    <row r="186" spans="1:5">
      <c r="B186" s="232"/>
    </row>
    <row r="187" spans="1:5">
      <c r="B187" s="232"/>
    </row>
    <row r="188" spans="1:5">
      <c r="B188" s="232"/>
    </row>
  </sheetData>
  <mergeCells count="4">
    <mergeCell ref="A1:D1"/>
    <mergeCell ref="A2:D2"/>
    <mergeCell ref="A3:D3"/>
    <mergeCell ref="A4:D4"/>
  </mergeCells>
  <phoneticPr fontId="23" type="noConversion"/>
  <printOptions horizontalCentered="1"/>
  <pageMargins left="0.81" right="0.7" top="0.71" bottom="0.94" header="0.5" footer="0.25"/>
  <pageSetup scale="73" fitToHeight="10" orientation="portrait" verticalDpi="300" r:id="rId1"/>
  <headerFooter alignWithMargins="0">
    <oddFooter>&amp;RSchedule &amp;A
Page &amp;P of &amp;N</oddFooter>
  </headerFooter>
  <rowBreaks count="1" manualBreakCount="1">
    <brk id="50" max="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Y143"/>
  <sheetViews>
    <sheetView view="pageBreakPreview" zoomScale="80" zoomScaleNormal="70" zoomScaleSheetLayoutView="80" workbookViewId="0">
      <pane xSplit="3" ySplit="10" topLeftCell="D56" activePane="bottomRight" state="frozen"/>
      <selection activeCell="J34" sqref="J34"/>
      <selection pane="topRight" activeCell="J34" sqref="J34"/>
      <selection pane="bottomLeft" activeCell="J34" sqref="J34"/>
      <selection pane="bottomRight" activeCell="J34" sqref="J34"/>
    </sheetView>
  </sheetViews>
  <sheetFormatPr defaultColWidth="7.109375" defaultRowHeight="15"/>
  <cols>
    <col min="1" max="1" width="4.6640625" customWidth="1"/>
    <col min="2" max="2" width="8.6640625" customWidth="1"/>
    <col min="3" max="3" width="42" customWidth="1"/>
    <col min="4" max="4" width="12.44140625" bestFit="1" customWidth="1"/>
    <col min="5" max="5" width="11.109375" customWidth="1"/>
    <col min="6" max="6" width="12" bestFit="1" customWidth="1"/>
    <col min="7" max="7" width="11.77734375" bestFit="1" customWidth="1"/>
    <col min="8" max="8" width="11.33203125" bestFit="1" customWidth="1"/>
    <col min="9" max="9" width="11.109375" customWidth="1"/>
    <col min="10" max="11" width="11.33203125" bestFit="1" customWidth="1"/>
    <col min="12" max="13" width="12.44140625" bestFit="1" customWidth="1"/>
    <col min="14" max="14" width="11.33203125" bestFit="1" customWidth="1"/>
    <col min="15" max="15" width="16.6640625" customWidth="1"/>
    <col min="16" max="16" width="19.109375" customWidth="1"/>
    <col min="17" max="17" width="12.44140625" customWidth="1"/>
    <col min="18" max="18" width="12.5546875" customWidth="1"/>
    <col min="19" max="19" width="10.88671875" customWidth="1"/>
  </cols>
  <sheetData>
    <row r="1" spans="1:21">
      <c r="A1" s="1203" t="str">
        <f>'Table of Contents'!A1:C1</f>
        <v>Atmos Energy Corporation, Kentucky/Mid-States Division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1203"/>
      <c r="O1" s="1203"/>
      <c r="P1" s="1203"/>
      <c r="Q1" s="1"/>
      <c r="R1" s="1"/>
      <c r="S1" s="1"/>
    </row>
    <row r="2" spans="1:21">
      <c r="A2" s="1203" t="str">
        <f>'Table of Contents'!A2:C2</f>
        <v>Kentucky Jurisdiction Case No. 2018-00281</v>
      </c>
      <c r="B2" s="1203"/>
      <c r="C2" s="1203"/>
      <c r="D2" s="1203"/>
      <c r="E2" s="1203"/>
      <c r="F2" s="1203"/>
      <c r="G2" s="1203"/>
      <c r="H2" s="1203"/>
      <c r="I2" s="1203"/>
      <c r="J2" s="1203"/>
      <c r="K2" s="1203"/>
      <c r="L2" s="1203"/>
      <c r="M2" s="1203"/>
      <c r="N2" s="1203"/>
      <c r="O2" s="1203"/>
      <c r="P2" s="1203"/>
      <c r="Q2" s="1"/>
      <c r="R2" s="1"/>
      <c r="S2" s="1"/>
    </row>
    <row r="3" spans="1:21">
      <c r="A3" s="1203" t="s">
        <v>418</v>
      </c>
      <c r="B3" s="1203"/>
      <c r="C3" s="1203"/>
      <c r="D3" s="1203"/>
      <c r="E3" s="1203"/>
      <c r="F3" s="1203"/>
      <c r="G3" s="1203"/>
      <c r="H3" s="1203"/>
      <c r="I3" s="1203"/>
      <c r="J3" s="1203"/>
      <c r="K3" s="1203"/>
      <c r="L3" s="1203"/>
      <c r="M3" s="1203"/>
      <c r="N3" s="1203"/>
      <c r="O3" s="1203"/>
      <c r="P3" s="1203"/>
      <c r="Q3" s="1"/>
      <c r="R3" s="1"/>
      <c r="S3" s="1"/>
    </row>
    <row r="4" spans="1:21">
      <c r="A4" s="1203" t="str">
        <f>'Table of Contents'!A3:C3</f>
        <v>Base Period: Twelve Months Ended December 31, 2018</v>
      </c>
      <c r="B4" s="1203"/>
      <c r="C4" s="1203"/>
      <c r="D4" s="1203"/>
      <c r="E4" s="1203"/>
      <c r="F4" s="1203"/>
      <c r="G4" s="1203"/>
      <c r="H4" s="1203"/>
      <c r="I4" s="1203"/>
      <c r="J4" s="1203"/>
      <c r="K4" s="1203"/>
      <c r="L4" s="1203"/>
      <c r="M4" s="1203"/>
      <c r="N4" s="1203"/>
      <c r="O4" s="1203"/>
      <c r="P4" s="1203"/>
      <c r="Q4" s="1"/>
      <c r="R4" s="40"/>
      <c r="S4" s="40"/>
    </row>
    <row r="5" spans="1:21" ht="15.75">
      <c r="A5" s="850"/>
      <c r="B5" s="850"/>
      <c r="C5" s="850"/>
      <c r="D5" s="230"/>
      <c r="E5" s="80"/>
      <c r="F5" s="859"/>
      <c r="G5" s="850"/>
      <c r="H5" s="850"/>
      <c r="I5" s="850"/>
      <c r="J5" s="80"/>
      <c r="K5" s="859"/>
      <c r="L5" s="850"/>
      <c r="M5" s="850"/>
      <c r="N5" s="850"/>
      <c r="O5" s="850"/>
      <c r="P5" s="850"/>
      <c r="Q5" s="1"/>
      <c r="R5" s="40"/>
      <c r="S5" s="40"/>
    </row>
    <row r="6" spans="1:21" ht="15.75">
      <c r="A6" s="233" t="str">
        <f>'C.2.1 B'!A6</f>
        <v>Data:___X____Base Period________Forecasted Period</v>
      </c>
      <c r="B6" s="195"/>
      <c r="C6" s="195"/>
      <c r="D6" s="230"/>
      <c r="E6" s="230"/>
      <c r="F6" s="859"/>
      <c r="G6" s="230"/>
      <c r="H6" s="230"/>
      <c r="I6" s="230"/>
      <c r="J6" s="230"/>
      <c r="K6" s="80"/>
      <c r="L6" s="195"/>
      <c r="M6" s="195"/>
      <c r="N6" s="195"/>
      <c r="O6" s="850"/>
      <c r="P6" s="505" t="s">
        <v>1427</v>
      </c>
      <c r="Q6" s="1"/>
      <c r="R6" s="40"/>
      <c r="S6" s="40"/>
    </row>
    <row r="7" spans="1:21">
      <c r="A7" s="233" t="str">
        <f>'C.2.1 B'!A7</f>
        <v>Type of Filing:___X____Original________Updated ________Revised</v>
      </c>
      <c r="B7" s="195"/>
      <c r="C7" s="195"/>
      <c r="D7" s="230"/>
      <c r="E7" s="670"/>
      <c r="F7" s="195"/>
      <c r="G7" s="195"/>
      <c r="H7" s="195"/>
      <c r="I7" s="195"/>
      <c r="J7" s="195"/>
      <c r="K7" s="195"/>
      <c r="L7" s="195"/>
      <c r="M7" s="195"/>
      <c r="N7" s="195"/>
      <c r="O7" s="850"/>
      <c r="P7" s="506" t="s">
        <v>37</v>
      </c>
      <c r="Q7" s="40"/>
      <c r="R7" s="40"/>
      <c r="S7" s="40"/>
    </row>
    <row r="8" spans="1:21">
      <c r="A8" s="313" t="str">
        <f>'C.2.1 B'!A8</f>
        <v>Workpaper Reference No(s).____________________</v>
      </c>
      <c r="B8" s="195"/>
      <c r="C8" s="195"/>
      <c r="D8" s="237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7"/>
      <c r="P8" s="507" t="str">
        <f>'C.1'!J9</f>
        <v>Witness: Waller, Densman</v>
      </c>
      <c r="Q8" s="40"/>
      <c r="R8" s="40"/>
      <c r="S8" s="40"/>
    </row>
    <row r="9" spans="1:21">
      <c r="A9" s="860" t="s">
        <v>93</v>
      </c>
      <c r="B9" s="861" t="s">
        <v>100</v>
      </c>
      <c r="C9" s="862"/>
      <c r="D9" s="830" t="s">
        <v>107</v>
      </c>
      <c r="E9" s="830" t="s">
        <v>107</v>
      </c>
      <c r="F9" s="830" t="s">
        <v>107</v>
      </c>
      <c r="G9" s="830" t="s">
        <v>107</v>
      </c>
      <c r="H9" s="830" t="s">
        <v>107</v>
      </c>
      <c r="I9" s="830" t="s">
        <v>107</v>
      </c>
      <c r="J9" s="830" t="s">
        <v>107</v>
      </c>
      <c r="K9" s="830" t="s">
        <v>107</v>
      </c>
      <c r="L9" s="830" t="s">
        <v>107</v>
      </c>
      <c r="M9" s="830" t="s">
        <v>107</v>
      </c>
      <c r="N9" s="830" t="s">
        <v>107</v>
      </c>
      <c r="O9" s="830" t="s">
        <v>107</v>
      </c>
      <c r="P9" s="460"/>
      <c r="Q9" s="78"/>
      <c r="R9" s="78"/>
      <c r="S9" s="78"/>
    </row>
    <row r="10" spans="1:21">
      <c r="A10" s="863" t="s">
        <v>99</v>
      </c>
      <c r="B10" s="864" t="s">
        <v>99</v>
      </c>
      <c r="C10" s="865" t="s">
        <v>952</v>
      </c>
      <c r="D10" s="612">
        <v>43101</v>
      </c>
      <c r="E10" s="612">
        <v>43132</v>
      </c>
      <c r="F10" s="612">
        <v>43160</v>
      </c>
      <c r="G10" s="612">
        <v>43191</v>
      </c>
      <c r="H10" s="612">
        <v>43221</v>
      </c>
      <c r="I10" s="612">
        <v>43252</v>
      </c>
      <c r="J10" s="612">
        <v>43282</v>
      </c>
      <c r="K10" s="612">
        <v>43313</v>
      </c>
      <c r="L10" s="612">
        <v>43344</v>
      </c>
      <c r="M10" s="612">
        <v>43374</v>
      </c>
      <c r="N10" s="612">
        <v>43405</v>
      </c>
      <c r="O10" s="612">
        <v>43435</v>
      </c>
      <c r="P10" s="866" t="s">
        <v>96</v>
      </c>
      <c r="Q10" s="208"/>
      <c r="R10" s="78"/>
      <c r="S10" s="78"/>
    </row>
    <row r="11" spans="1:21">
      <c r="A11" s="195"/>
      <c r="B11" s="195"/>
      <c r="C11" s="195"/>
      <c r="D11" s="209" t="s">
        <v>146</v>
      </c>
      <c r="E11" s="209" t="s">
        <v>146</v>
      </c>
      <c r="F11" s="209" t="s">
        <v>146</v>
      </c>
      <c r="G11" s="209" t="s">
        <v>146</v>
      </c>
      <c r="H11" s="209" t="s">
        <v>146</v>
      </c>
      <c r="I11" s="209" t="s">
        <v>146</v>
      </c>
      <c r="J11" s="209" t="s">
        <v>146</v>
      </c>
      <c r="K11" s="209" t="s">
        <v>146</v>
      </c>
      <c r="L11" s="209" t="s">
        <v>146</v>
      </c>
      <c r="M11" s="209" t="s">
        <v>146</v>
      </c>
      <c r="N11" s="209" t="s">
        <v>146</v>
      </c>
      <c r="O11" s="209" t="s">
        <v>146</v>
      </c>
      <c r="P11" s="209" t="s">
        <v>146</v>
      </c>
      <c r="Q11" s="188"/>
      <c r="R11" s="40"/>
    </row>
    <row r="12" spans="1:21">
      <c r="A12" s="460">
        <v>1</v>
      </c>
      <c r="B12" s="829" t="s">
        <v>733</v>
      </c>
      <c r="C12" s="103" t="s">
        <v>724</v>
      </c>
      <c r="D12" s="96">
        <f>0</f>
        <v>0</v>
      </c>
      <c r="E12" s="96">
        <f>0</f>
        <v>0</v>
      </c>
      <c r="F12" s="96">
        <f>0</f>
        <v>0</v>
      </c>
      <c r="G12" s="96">
        <f>0</f>
        <v>0</v>
      </c>
      <c r="H12" s="96">
        <f>0</f>
        <v>0</v>
      </c>
      <c r="I12" s="96">
        <f>0</f>
        <v>0</v>
      </c>
      <c r="J12" s="96">
        <v>0</v>
      </c>
      <c r="K12" s="96">
        <v>0</v>
      </c>
      <c r="L12" s="96">
        <v>2014516</v>
      </c>
      <c r="M12" s="96">
        <v>-94628.49</v>
      </c>
      <c r="N12" s="96">
        <v>-94628.49</v>
      </c>
      <c r="O12" s="96">
        <v>10311728.51</v>
      </c>
      <c r="P12" s="210">
        <f>SUM(D12:O12)</f>
        <v>12136987.529999999</v>
      </c>
      <c r="Q12" s="591"/>
      <c r="R12" s="591"/>
      <c r="S12" s="591"/>
      <c r="U12" s="793"/>
    </row>
    <row r="13" spans="1:21">
      <c r="A13" s="867">
        <f t="shared" ref="A13:A85" si="0">A12+1</f>
        <v>2</v>
      </c>
      <c r="B13" s="829"/>
      <c r="C13" s="1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210"/>
      <c r="R13" s="148"/>
      <c r="S13" s="148"/>
    </row>
    <row r="14" spans="1:21">
      <c r="A14" s="867">
        <f t="shared" si="0"/>
        <v>3</v>
      </c>
      <c r="B14" s="829">
        <v>4030</v>
      </c>
      <c r="C14" s="195" t="s">
        <v>91</v>
      </c>
      <c r="D14" s="596">
        <v>1669957.5100000002</v>
      </c>
      <c r="E14" s="596">
        <v>1669432.77</v>
      </c>
      <c r="F14" s="596">
        <v>1675464.78</v>
      </c>
      <c r="G14" s="596">
        <v>1687862.1</v>
      </c>
      <c r="H14" s="596">
        <v>1698141.52</v>
      </c>
      <c r="I14" s="596">
        <v>1711939.78</v>
      </c>
      <c r="J14" s="596">
        <v>1695922.6</v>
      </c>
      <c r="K14" s="596">
        <v>1849506.9800000002</v>
      </c>
      <c r="L14" s="596">
        <v>1842725.99</v>
      </c>
      <c r="M14" s="596">
        <v>1759507.38</v>
      </c>
      <c r="N14" s="596">
        <v>1762879.9700000002</v>
      </c>
      <c r="O14" s="596">
        <v>1769441.63</v>
      </c>
      <c r="P14" s="210">
        <f t="shared" ref="P14" si="1">SUM(D14:O14)</f>
        <v>20792783.009999998</v>
      </c>
      <c r="Q14" s="690"/>
      <c r="R14" s="210"/>
      <c r="S14" s="210"/>
    </row>
    <row r="15" spans="1:21">
      <c r="A15" s="867">
        <f t="shared" si="0"/>
        <v>4</v>
      </c>
      <c r="B15" s="829">
        <v>4060</v>
      </c>
      <c r="C15" s="210" t="s">
        <v>861</v>
      </c>
      <c r="D15" s="596">
        <v>4093.11</v>
      </c>
      <c r="E15" s="596">
        <v>4093.11</v>
      </c>
      <c r="F15" s="596">
        <v>4093.11</v>
      </c>
      <c r="G15" s="596">
        <v>4093.11</v>
      </c>
      <c r="H15" s="596">
        <v>4093.11</v>
      </c>
      <c r="I15" s="596">
        <v>4093.11</v>
      </c>
      <c r="J15" s="596">
        <v>4093.11</v>
      </c>
      <c r="K15" s="596">
        <v>4093.11</v>
      </c>
      <c r="L15" s="596">
        <v>4093.11</v>
      </c>
      <c r="M15" s="596">
        <v>4208.22</v>
      </c>
      <c r="N15" s="596">
        <v>4208.22</v>
      </c>
      <c r="O15" s="596">
        <v>4208.22</v>
      </c>
      <c r="P15" s="210">
        <f t="shared" ref="P15:P66" si="2">SUM(D15:O15)</f>
        <v>49462.65</v>
      </c>
      <c r="R15" s="591"/>
      <c r="S15" s="148"/>
    </row>
    <row r="16" spans="1:21">
      <c r="A16" s="867">
        <f t="shared" si="0"/>
        <v>5</v>
      </c>
      <c r="B16" s="829">
        <v>4081</v>
      </c>
      <c r="C16" s="210" t="s">
        <v>862</v>
      </c>
      <c r="D16" s="596">
        <v>566216.2699999999</v>
      </c>
      <c r="E16" s="596">
        <v>312504.24</v>
      </c>
      <c r="F16" s="596">
        <v>527772.14000000013</v>
      </c>
      <c r="G16" s="596">
        <v>552950.53</v>
      </c>
      <c r="H16" s="596">
        <v>656879.85999999987</v>
      </c>
      <c r="I16" s="596">
        <v>452393.76000000013</v>
      </c>
      <c r="J16" s="596">
        <v>504718.57000000018</v>
      </c>
      <c r="K16" s="596">
        <v>551838.42000000016</v>
      </c>
      <c r="L16" s="596">
        <v>509166.80999999994</v>
      </c>
      <c r="M16" s="596">
        <v>584119.20000000007</v>
      </c>
      <c r="N16" s="596">
        <v>692972.75</v>
      </c>
      <c r="O16" s="596">
        <v>543342.62</v>
      </c>
      <c r="P16" s="210">
        <f>SUM(D16:O16)</f>
        <v>6454875.1700000009</v>
      </c>
      <c r="Q16" s="591"/>
      <c r="R16" s="670"/>
      <c r="S16" s="591"/>
    </row>
    <row r="17" spans="1:25">
      <c r="A17" s="867">
        <f t="shared" si="0"/>
        <v>6</v>
      </c>
      <c r="B17" s="829">
        <v>4800</v>
      </c>
      <c r="C17" s="730" t="s">
        <v>863</v>
      </c>
      <c r="D17" s="596">
        <v>-18914907.850000001</v>
      </c>
      <c r="E17" s="596">
        <v>-17207259.700000003</v>
      </c>
      <c r="F17" s="596">
        <v>-12369455.85</v>
      </c>
      <c r="G17" s="596">
        <v>-11018917.73</v>
      </c>
      <c r="H17" s="596">
        <v>-6154175.7400000002</v>
      </c>
      <c r="I17" s="596">
        <v>-3781326.5299999993</v>
      </c>
      <c r="J17" s="596">
        <v>-3864942.48</v>
      </c>
      <c r="K17" s="596">
        <v>-3571448.29</v>
      </c>
      <c r="L17" s="596">
        <v>-3653082.67</v>
      </c>
      <c r="M17" s="596">
        <v>-4050903.06</v>
      </c>
      <c r="N17" s="596">
        <v>-7737108.8200000003</v>
      </c>
      <c r="O17" s="596">
        <v>-11816723.449999999</v>
      </c>
      <c r="P17" s="210">
        <f t="shared" si="2"/>
        <v>-104140252.17000003</v>
      </c>
      <c r="Q17" s="148"/>
      <c r="R17" s="148"/>
      <c r="S17" s="148"/>
    </row>
    <row r="18" spans="1:25">
      <c r="A18" s="867">
        <f t="shared" si="0"/>
        <v>7</v>
      </c>
      <c r="B18" s="706">
        <v>4805</v>
      </c>
      <c r="C18" s="362" t="s">
        <v>1311</v>
      </c>
      <c r="D18" s="596">
        <v>405968.1</v>
      </c>
      <c r="E18" s="596">
        <v>3377819.57</v>
      </c>
      <c r="F18" s="596">
        <v>-677729.4</v>
      </c>
      <c r="G18" s="596">
        <v>1794375.08</v>
      </c>
      <c r="H18" s="596">
        <v>1963448</v>
      </c>
      <c r="I18" s="596">
        <v>45375</v>
      </c>
      <c r="J18" s="596">
        <v>27636</v>
      </c>
      <c r="K18" s="596">
        <v>15431</v>
      </c>
      <c r="L18" s="596">
        <v>-14771</v>
      </c>
      <c r="M18" s="596">
        <v>-1397828.4</v>
      </c>
      <c r="N18" s="596">
        <v>-2184921.1</v>
      </c>
      <c r="O18" s="596">
        <v>-2151532.85</v>
      </c>
      <c r="P18" s="210">
        <f t="shared" si="2"/>
        <v>1203269.9999999991</v>
      </c>
      <c r="Q18" s="148"/>
      <c r="R18" s="148"/>
      <c r="S18" s="148"/>
    </row>
    <row r="19" spans="1:25">
      <c r="A19" s="867">
        <f t="shared" si="0"/>
        <v>8</v>
      </c>
      <c r="B19" s="829">
        <v>4811</v>
      </c>
      <c r="C19" s="730" t="s">
        <v>1384</v>
      </c>
      <c r="D19" s="596">
        <v>-8086207.9299999997</v>
      </c>
      <c r="E19" s="596">
        <v>-7415174.7999999998</v>
      </c>
      <c r="F19" s="596">
        <v>-5130721.6899999995</v>
      </c>
      <c r="G19" s="596">
        <v>-4548594.92</v>
      </c>
      <c r="H19" s="596">
        <v>-2633468.4799999995</v>
      </c>
      <c r="I19" s="596">
        <v>-1707133.54</v>
      </c>
      <c r="J19" s="596">
        <v>-1797589.72</v>
      </c>
      <c r="K19" s="596">
        <v>-1658518.39</v>
      </c>
      <c r="L19" s="596">
        <v>-2052468.1799999997</v>
      </c>
      <c r="M19" s="596">
        <v>-1928804.5100000002</v>
      </c>
      <c r="N19" s="596">
        <v>-3141173.37</v>
      </c>
      <c r="O19" s="596">
        <v>-4841522.82</v>
      </c>
      <c r="P19" s="210">
        <f t="shared" si="2"/>
        <v>-44941378.350000001</v>
      </c>
      <c r="Q19" s="148"/>
      <c r="R19" s="591"/>
      <c r="S19" s="148"/>
    </row>
    <row r="20" spans="1:25">
      <c r="A20" s="867">
        <f t="shared" si="0"/>
        <v>9</v>
      </c>
      <c r="B20" s="829">
        <v>4812</v>
      </c>
      <c r="C20" s="210" t="s">
        <v>1385</v>
      </c>
      <c r="D20" s="596">
        <v>-973706.71</v>
      </c>
      <c r="E20" s="596">
        <v>-1334353.76</v>
      </c>
      <c r="F20" s="596">
        <v>-899110.9</v>
      </c>
      <c r="G20" s="596">
        <v>-594159.13</v>
      </c>
      <c r="H20" s="596">
        <v>-355282.98</v>
      </c>
      <c r="I20" s="596">
        <v>-174114.03</v>
      </c>
      <c r="J20" s="596">
        <v>-196091.19</v>
      </c>
      <c r="K20" s="596">
        <v>-199809.00999999998</v>
      </c>
      <c r="L20" s="596">
        <v>-166704.51999999999</v>
      </c>
      <c r="M20" s="596">
        <v>-213654.5</v>
      </c>
      <c r="N20" s="596">
        <v>-431773.88</v>
      </c>
      <c r="O20" s="596">
        <v>-1017303.83</v>
      </c>
      <c r="P20" s="210">
        <f t="shared" si="2"/>
        <v>-6556064.4399999995</v>
      </c>
      <c r="Q20" s="148"/>
      <c r="R20" s="591"/>
      <c r="S20" s="148"/>
    </row>
    <row r="21" spans="1:25">
      <c r="A21" s="867">
        <f t="shared" si="0"/>
        <v>10</v>
      </c>
      <c r="B21" s="829">
        <v>4815</v>
      </c>
      <c r="C21" s="210" t="s">
        <v>1312</v>
      </c>
      <c r="D21" s="596">
        <v>87594.73</v>
      </c>
      <c r="E21" s="596">
        <v>1449165.56</v>
      </c>
      <c r="F21" s="596">
        <v>-170765.7</v>
      </c>
      <c r="G21" s="596">
        <v>667416.28</v>
      </c>
      <c r="H21" s="596">
        <v>568707</v>
      </c>
      <c r="I21" s="596">
        <v>44232</v>
      </c>
      <c r="J21" s="596">
        <v>28042</v>
      </c>
      <c r="K21" s="596">
        <v>11832</v>
      </c>
      <c r="L21" s="596">
        <v>26822</v>
      </c>
      <c r="M21" s="596">
        <v>-403460.43</v>
      </c>
      <c r="N21" s="596">
        <v>-858589.26</v>
      </c>
      <c r="O21" s="596">
        <v>-1069445.81</v>
      </c>
      <c r="P21" s="210">
        <f t="shared" si="2"/>
        <v>381550.36999999988</v>
      </c>
      <c r="Q21" s="148"/>
      <c r="R21" s="591"/>
      <c r="S21" s="148"/>
    </row>
    <row r="22" spans="1:25">
      <c r="A22" s="867">
        <f t="shared" si="0"/>
        <v>11</v>
      </c>
      <c r="B22" s="829">
        <v>4816</v>
      </c>
      <c r="C22" s="210" t="s">
        <v>1343</v>
      </c>
      <c r="D22" s="596">
        <v>-505592.3</v>
      </c>
      <c r="E22" s="596">
        <v>248260.24000000002</v>
      </c>
      <c r="F22" s="596">
        <v>260988.22</v>
      </c>
      <c r="G22" s="596">
        <v>70106.89</v>
      </c>
      <c r="H22" s="596">
        <v>48981.37</v>
      </c>
      <c r="I22" s="596">
        <v>80943.959999999992</v>
      </c>
      <c r="J22" s="596">
        <v>-9322.5399999999991</v>
      </c>
      <c r="K22" s="596">
        <v>6694.28</v>
      </c>
      <c r="L22" s="596">
        <v>-14530.859999999999</v>
      </c>
      <c r="M22" s="596">
        <v>-69939.179999999993</v>
      </c>
      <c r="N22" s="596">
        <v>-459911.81999999995</v>
      </c>
      <c r="O22" s="596">
        <v>90525.46</v>
      </c>
      <c r="P22" s="210">
        <f t="shared" si="2"/>
        <v>-252796.27999999985</v>
      </c>
      <c r="R22" s="591"/>
      <c r="S22" s="148"/>
    </row>
    <row r="23" spans="1:25">
      <c r="A23" s="867">
        <f t="shared" si="0"/>
        <v>12</v>
      </c>
      <c r="B23" s="829">
        <v>4820</v>
      </c>
      <c r="C23" s="210" t="s">
        <v>864</v>
      </c>
      <c r="D23" s="596">
        <v>-1354829.99</v>
      </c>
      <c r="E23" s="596">
        <v>-1331272.1100000001</v>
      </c>
      <c r="F23" s="596">
        <v>-872594.26</v>
      </c>
      <c r="G23" s="596">
        <v>-783701.12000000011</v>
      </c>
      <c r="H23" s="596">
        <v>-441272.28000000009</v>
      </c>
      <c r="I23" s="596">
        <v>-251739.36</v>
      </c>
      <c r="J23" s="596">
        <v>-232370.77000000002</v>
      </c>
      <c r="K23" s="596">
        <v>-205719.91</v>
      </c>
      <c r="L23" s="596">
        <v>-230211.49</v>
      </c>
      <c r="M23" s="596">
        <v>-269827.58</v>
      </c>
      <c r="N23" s="596">
        <v>-537800.36</v>
      </c>
      <c r="O23" s="596">
        <v>-869857.96</v>
      </c>
      <c r="P23" s="210">
        <f t="shared" si="2"/>
        <v>-7381197.1900000013</v>
      </c>
      <c r="Q23" s="210"/>
      <c r="R23" s="591"/>
      <c r="S23" s="148"/>
    </row>
    <row r="24" spans="1:25">
      <c r="A24" s="867">
        <f t="shared" si="0"/>
        <v>13</v>
      </c>
      <c r="B24" s="829">
        <v>4825</v>
      </c>
      <c r="C24" s="210" t="s">
        <v>1313</v>
      </c>
      <c r="D24" s="596">
        <v>20773.28</v>
      </c>
      <c r="E24" s="596">
        <v>303343.87</v>
      </c>
      <c r="F24" s="596">
        <v>-75991.209999999992</v>
      </c>
      <c r="G24" s="596">
        <v>96466.27</v>
      </c>
      <c r="H24" s="596">
        <v>221124</v>
      </c>
      <c r="I24" s="596">
        <v>6068</v>
      </c>
      <c r="J24" s="596">
        <v>3135</v>
      </c>
      <c r="K24" s="596">
        <v>-521</v>
      </c>
      <c r="L24" s="596">
        <v>-575</v>
      </c>
      <c r="M24" s="596">
        <v>-118363.67</v>
      </c>
      <c r="N24" s="596">
        <v>-167778.62</v>
      </c>
      <c r="O24" s="596">
        <v>-184923.8</v>
      </c>
      <c r="P24" s="210">
        <f t="shared" si="2"/>
        <v>102757.12</v>
      </c>
      <c r="S24" s="148"/>
    </row>
    <row r="25" spans="1:25">
      <c r="A25" s="867">
        <f t="shared" si="0"/>
        <v>14</v>
      </c>
      <c r="B25" s="829">
        <v>4870</v>
      </c>
      <c r="C25" s="210" t="s">
        <v>230</v>
      </c>
      <c r="D25" s="596">
        <v>-192879.14</v>
      </c>
      <c r="E25" s="596">
        <v>-230566.08</v>
      </c>
      <c r="F25" s="596">
        <v>-230342.12</v>
      </c>
      <c r="G25" s="596">
        <v>-151214.99</v>
      </c>
      <c r="H25" s="596">
        <v>-139652.79999999999</v>
      </c>
      <c r="I25" s="596">
        <v>-59470.85</v>
      </c>
      <c r="J25" s="596">
        <v>-49867.9</v>
      </c>
      <c r="K25" s="596">
        <v>-62748.49</v>
      </c>
      <c r="L25" s="596">
        <v>-41460.449999999997</v>
      </c>
      <c r="M25" s="596">
        <v>-59093.21</v>
      </c>
      <c r="N25" s="596">
        <v>-58441.98</v>
      </c>
      <c r="O25" s="596">
        <v>-97798.76</v>
      </c>
      <c r="P25" s="210">
        <f t="shared" si="2"/>
        <v>-1373536.7699999998</v>
      </c>
      <c r="R25" s="148"/>
      <c r="S25" s="148"/>
    </row>
    <row r="26" spans="1:25">
      <c r="A26" s="867">
        <f t="shared" si="0"/>
        <v>15</v>
      </c>
      <c r="B26" s="829">
        <v>4880</v>
      </c>
      <c r="C26" s="210" t="s">
        <v>865</v>
      </c>
      <c r="D26" s="596">
        <v>-59320</v>
      </c>
      <c r="E26" s="596">
        <v>-48866</v>
      </c>
      <c r="F26" s="596">
        <v>-64491</v>
      </c>
      <c r="G26" s="596">
        <v>-54927</v>
      </c>
      <c r="H26" s="596">
        <v>-49757</v>
      </c>
      <c r="I26" s="596">
        <v>-54928</v>
      </c>
      <c r="J26" s="596">
        <v>-48970</v>
      </c>
      <c r="K26" s="596">
        <v>-52828</v>
      </c>
      <c r="L26" s="596">
        <v>-47375.45</v>
      </c>
      <c r="M26" s="596">
        <v>-138366</v>
      </c>
      <c r="N26" s="596">
        <v>-114169</v>
      </c>
      <c r="O26" s="596">
        <v>-49573</v>
      </c>
      <c r="P26" s="210">
        <f t="shared" si="2"/>
        <v>-783570.45</v>
      </c>
      <c r="R26" s="148"/>
      <c r="S26" s="148"/>
    </row>
    <row r="27" spans="1:25">
      <c r="A27" s="867">
        <f t="shared" si="0"/>
        <v>16</v>
      </c>
      <c r="B27" s="829">
        <v>4893</v>
      </c>
      <c r="C27" s="210" t="s">
        <v>1210</v>
      </c>
      <c r="D27" s="596">
        <v>-2135654.7199999997</v>
      </c>
      <c r="E27" s="596">
        <v>-1772397.93</v>
      </c>
      <c r="F27" s="596">
        <v>-1770851.04</v>
      </c>
      <c r="G27" s="596">
        <v>-1589667.64</v>
      </c>
      <c r="H27" s="596">
        <v>-1412282.73</v>
      </c>
      <c r="I27" s="596">
        <v>-1232115.18</v>
      </c>
      <c r="J27" s="596">
        <v>-1215794.3599999996</v>
      </c>
      <c r="K27" s="596">
        <v>-1345886.4400000002</v>
      </c>
      <c r="L27" s="596">
        <v>-1235837.56</v>
      </c>
      <c r="M27" s="596">
        <v>-1524018.8800000001</v>
      </c>
      <c r="N27" s="596">
        <v>-1623332.56</v>
      </c>
      <c r="O27" s="596">
        <v>-1679533.65</v>
      </c>
      <c r="P27" s="210">
        <f t="shared" ref="P27:P31" si="3">SUM(D27:O27)</f>
        <v>-18537372.689999998</v>
      </c>
      <c r="Q27" s="832"/>
      <c r="R27" s="80"/>
      <c r="S27" s="80"/>
      <c r="T27" s="80"/>
      <c r="U27" s="80"/>
      <c r="V27" s="80"/>
      <c r="W27" s="80"/>
      <c r="X27" s="80"/>
      <c r="Y27" s="80"/>
    </row>
    <row r="28" spans="1:25">
      <c r="A28" s="867">
        <f t="shared" si="0"/>
        <v>17</v>
      </c>
      <c r="B28" s="706">
        <v>4950</v>
      </c>
      <c r="C28" s="81" t="s">
        <v>662</v>
      </c>
      <c r="D28" s="596">
        <f>0</f>
        <v>0</v>
      </c>
      <c r="E28" s="596">
        <f>0</f>
        <v>0</v>
      </c>
      <c r="F28" s="596">
        <f>0</f>
        <v>0</v>
      </c>
      <c r="G28" s="596">
        <f>0</f>
        <v>0</v>
      </c>
      <c r="H28" s="596">
        <f>0</f>
        <v>0</v>
      </c>
      <c r="I28" s="596">
        <f>0</f>
        <v>0</v>
      </c>
      <c r="J28" s="596">
        <f>0</f>
        <v>0</v>
      </c>
      <c r="K28" s="596">
        <f>0</f>
        <v>0</v>
      </c>
      <c r="L28" s="596">
        <v>-1.19</v>
      </c>
      <c r="M28" s="596">
        <f>0</f>
        <v>0</v>
      </c>
      <c r="N28" s="596">
        <f>0</f>
        <v>0</v>
      </c>
      <c r="O28" s="596">
        <f>0</f>
        <v>0</v>
      </c>
      <c r="P28" s="210">
        <f t="shared" si="3"/>
        <v>-1.19</v>
      </c>
      <c r="Q28" s="725"/>
    </row>
    <row r="29" spans="1:25" s="792" customFormat="1">
      <c r="A29" s="867">
        <f t="shared" si="0"/>
        <v>18</v>
      </c>
      <c r="B29" s="706">
        <v>4960</v>
      </c>
      <c r="C29" s="103" t="s">
        <v>1622</v>
      </c>
      <c r="D29" s="596">
        <v>651059</v>
      </c>
      <c r="E29" s="596">
        <v>688493</v>
      </c>
      <c r="F29" s="596">
        <v>452336</v>
      </c>
      <c r="G29" s="596">
        <v>0</v>
      </c>
      <c r="H29" s="596">
        <v>0</v>
      </c>
      <c r="I29" s="596">
        <v>0</v>
      </c>
      <c r="J29" s="596">
        <f>0</f>
        <v>0</v>
      </c>
      <c r="K29" s="596">
        <f>0</f>
        <v>0</v>
      </c>
      <c r="L29" s="596">
        <v>-367777.01</v>
      </c>
      <c r="M29" s="596">
        <f>0</f>
        <v>0</v>
      </c>
      <c r="N29" s="596">
        <f>0</f>
        <v>0</v>
      </c>
      <c r="O29" s="596">
        <f>0</f>
        <v>0</v>
      </c>
      <c r="P29" s="210">
        <f t="shared" si="3"/>
        <v>1424110.99</v>
      </c>
      <c r="Q29" s="725"/>
    </row>
    <row r="30" spans="1:25" ht="12" customHeight="1">
      <c r="A30" s="867">
        <f t="shared" si="0"/>
        <v>19</v>
      </c>
      <c r="B30" s="829">
        <v>7560</v>
      </c>
      <c r="C30" s="80" t="s">
        <v>1388</v>
      </c>
      <c r="D30" s="596">
        <f>0</f>
        <v>0</v>
      </c>
      <c r="E30" s="596">
        <f>0</f>
        <v>0</v>
      </c>
      <c r="F30" s="596">
        <f>0</f>
        <v>0</v>
      </c>
      <c r="G30" s="596">
        <f>0</f>
        <v>0</v>
      </c>
      <c r="H30" s="596">
        <f>0</f>
        <v>0</v>
      </c>
      <c r="I30" s="596">
        <f>0</f>
        <v>0</v>
      </c>
      <c r="J30" s="596">
        <f>0</f>
        <v>0</v>
      </c>
      <c r="K30" s="596">
        <f>0</f>
        <v>0</v>
      </c>
      <c r="L30" s="596">
        <f>0</f>
        <v>0</v>
      </c>
      <c r="M30" s="596">
        <f>0</f>
        <v>0</v>
      </c>
      <c r="N30" s="596">
        <f>0</f>
        <v>0</v>
      </c>
      <c r="O30" s="596">
        <f>0</f>
        <v>0</v>
      </c>
      <c r="P30" s="210">
        <f t="shared" si="3"/>
        <v>0</v>
      </c>
      <c r="S30" s="148"/>
    </row>
    <row r="31" spans="1:25" s="788" customFormat="1">
      <c r="A31" s="867">
        <f t="shared" si="0"/>
        <v>20</v>
      </c>
      <c r="B31" s="829">
        <v>7590</v>
      </c>
      <c r="C31" s="103" t="s">
        <v>1346</v>
      </c>
      <c r="D31" s="596">
        <f>0</f>
        <v>0</v>
      </c>
      <c r="E31" s="596">
        <f>0</f>
        <v>0</v>
      </c>
      <c r="F31" s="596">
        <f>0</f>
        <v>0</v>
      </c>
      <c r="G31" s="596">
        <f>0</f>
        <v>0</v>
      </c>
      <c r="H31" s="596">
        <f>0</f>
        <v>0</v>
      </c>
      <c r="I31" s="596">
        <f>0</f>
        <v>0</v>
      </c>
      <c r="J31" s="596">
        <f>0</f>
        <v>0</v>
      </c>
      <c r="K31" s="596">
        <f>0</f>
        <v>0</v>
      </c>
      <c r="L31" s="596">
        <f>0</f>
        <v>0</v>
      </c>
      <c r="M31" s="596">
        <f>0</f>
        <v>0</v>
      </c>
      <c r="N31" s="596">
        <f>0</f>
        <v>0</v>
      </c>
      <c r="O31" s="596">
        <f>0</f>
        <v>0</v>
      </c>
      <c r="P31" s="210">
        <f t="shared" si="3"/>
        <v>0</v>
      </c>
      <c r="S31" s="148"/>
    </row>
    <row r="32" spans="1:25">
      <c r="A32" s="867">
        <f t="shared" si="0"/>
        <v>21</v>
      </c>
      <c r="B32" s="829">
        <v>8001</v>
      </c>
      <c r="C32" s="210" t="s">
        <v>867</v>
      </c>
      <c r="D32" s="596">
        <f>0</f>
        <v>0</v>
      </c>
      <c r="E32" s="596">
        <f>0</f>
        <v>0</v>
      </c>
      <c r="F32" s="596">
        <f>0</f>
        <v>0</v>
      </c>
      <c r="G32" s="596">
        <f>0</f>
        <v>0</v>
      </c>
      <c r="H32" s="596">
        <f>0</f>
        <v>0</v>
      </c>
      <c r="I32" s="596">
        <f>0</f>
        <v>0</v>
      </c>
      <c r="J32" s="596">
        <f>0</f>
        <v>0</v>
      </c>
      <c r="K32" s="596">
        <f>0</f>
        <v>0</v>
      </c>
      <c r="L32" s="596">
        <f>0</f>
        <v>0</v>
      </c>
      <c r="M32" s="596">
        <f>0</f>
        <v>0</v>
      </c>
      <c r="N32" s="596">
        <f>0</f>
        <v>0</v>
      </c>
      <c r="O32" s="596">
        <f>0</f>
        <v>0</v>
      </c>
      <c r="P32" s="210">
        <f t="shared" si="2"/>
        <v>0</v>
      </c>
      <c r="Q32" s="591"/>
      <c r="R32" s="591"/>
      <c r="S32" s="148"/>
    </row>
    <row r="33" spans="1:19">
      <c r="A33" s="867">
        <f t="shared" si="0"/>
        <v>22</v>
      </c>
      <c r="B33" s="829">
        <v>8010</v>
      </c>
      <c r="C33" s="103" t="s">
        <v>1208</v>
      </c>
      <c r="D33" s="596">
        <v>4142.43</v>
      </c>
      <c r="E33" s="596">
        <v>4390.79</v>
      </c>
      <c r="F33" s="596">
        <v>5052.87</v>
      </c>
      <c r="G33" s="596">
        <v>4211.0600000000004</v>
      </c>
      <c r="H33" s="596">
        <v>4530.34</v>
      </c>
      <c r="I33" s="596">
        <v>5322.71</v>
      </c>
      <c r="J33" s="596">
        <v>4940.37</v>
      </c>
      <c r="K33" s="596">
        <v>5341.21</v>
      </c>
      <c r="L33" s="596">
        <v>5233.51</v>
      </c>
      <c r="M33" s="596">
        <v>5832.34</v>
      </c>
      <c r="N33" s="596">
        <v>10406.93</v>
      </c>
      <c r="O33" s="596">
        <v>7925.96</v>
      </c>
      <c r="P33" s="210">
        <f t="shared" ref="P33" si="4">SUM(D33:O33)</f>
        <v>67330.52</v>
      </c>
      <c r="Q33" s="148"/>
      <c r="R33" s="148"/>
      <c r="S33" s="148"/>
    </row>
    <row r="34" spans="1:19">
      <c r="A34" s="867">
        <f t="shared" si="0"/>
        <v>23</v>
      </c>
      <c r="B34" s="829">
        <v>8040</v>
      </c>
      <c r="C34" s="210" t="s">
        <v>868</v>
      </c>
      <c r="D34" s="596">
        <v>6202228.0199999996</v>
      </c>
      <c r="E34" s="596">
        <v>6877704.7200000007</v>
      </c>
      <c r="F34" s="596">
        <v>2247878.71</v>
      </c>
      <c r="G34" s="596">
        <v>927969.08</v>
      </c>
      <c r="H34" s="596">
        <v>6008159.8899999997</v>
      </c>
      <c r="I34" s="596">
        <v>4785365.57</v>
      </c>
      <c r="J34" s="596">
        <v>4154886.4200000004</v>
      </c>
      <c r="K34" s="596">
        <v>4698036.68</v>
      </c>
      <c r="L34" s="596">
        <v>4304767.51</v>
      </c>
      <c r="M34" s="596">
        <v>4456647.04</v>
      </c>
      <c r="N34" s="596">
        <v>6237398.5199999996</v>
      </c>
      <c r="O34" s="596">
        <v>5332229.3</v>
      </c>
      <c r="P34" s="210">
        <f t="shared" si="2"/>
        <v>56233271.459999993</v>
      </c>
      <c r="Q34" s="148"/>
      <c r="R34" s="591"/>
      <c r="S34" s="148"/>
    </row>
    <row r="35" spans="1:19">
      <c r="A35" s="867">
        <f t="shared" si="0"/>
        <v>24</v>
      </c>
      <c r="B35" s="829">
        <v>8050</v>
      </c>
      <c r="C35" s="210" t="s">
        <v>869</v>
      </c>
      <c r="D35" s="596">
        <v>-1038.32</v>
      </c>
      <c r="E35" s="596">
        <v>-266.42</v>
      </c>
      <c r="F35" s="596">
        <v>-310.01</v>
      </c>
      <c r="G35" s="596">
        <v>-1325.87</v>
      </c>
      <c r="H35" s="596">
        <v>-63.36</v>
      </c>
      <c r="I35" s="596">
        <v>0</v>
      </c>
      <c r="J35" s="596">
        <v>-693.79</v>
      </c>
      <c r="K35" s="596">
        <v>-889.09</v>
      </c>
      <c r="L35" s="596">
        <v>-667.42</v>
      </c>
      <c r="M35" s="596">
        <v>-3139.04</v>
      </c>
      <c r="N35" s="596">
        <v>-404.19</v>
      </c>
      <c r="O35" s="596">
        <v>-2469.52</v>
      </c>
      <c r="P35" s="210">
        <f t="shared" si="2"/>
        <v>-11267.03</v>
      </c>
      <c r="Q35" s="148"/>
      <c r="R35" s="591"/>
      <c r="S35" s="148"/>
    </row>
    <row r="36" spans="1:19">
      <c r="A36" s="867">
        <f t="shared" si="0"/>
        <v>25</v>
      </c>
      <c r="B36" s="829">
        <v>8051</v>
      </c>
      <c r="C36" s="210" t="s">
        <v>870</v>
      </c>
      <c r="D36" s="596">
        <v>12247863.539999999</v>
      </c>
      <c r="E36" s="596">
        <v>10646486.09</v>
      </c>
      <c r="F36" s="596">
        <v>6624828.5599999996</v>
      </c>
      <c r="G36" s="596">
        <v>6433023.0899999999</v>
      </c>
      <c r="H36" s="596">
        <v>2509641.14</v>
      </c>
      <c r="I36" s="596">
        <v>813836.76</v>
      </c>
      <c r="J36" s="596">
        <v>877332.11</v>
      </c>
      <c r="K36" s="596">
        <v>643597.43999999994</v>
      </c>
      <c r="L36" s="596">
        <v>717396.06</v>
      </c>
      <c r="M36" s="596">
        <v>994006.84</v>
      </c>
      <c r="N36" s="596">
        <v>3802366.93</v>
      </c>
      <c r="O36" s="596">
        <v>6612136.6699999999</v>
      </c>
      <c r="P36" s="210">
        <f t="shared" si="2"/>
        <v>52922515.230000004</v>
      </c>
      <c r="Q36" s="148"/>
      <c r="R36" s="148"/>
      <c r="S36" s="148"/>
    </row>
    <row r="37" spans="1:19">
      <c r="A37" s="867">
        <f t="shared" si="0"/>
        <v>26</v>
      </c>
      <c r="B37" s="829">
        <v>8052</v>
      </c>
      <c r="C37" s="210" t="s">
        <v>871</v>
      </c>
      <c r="D37" s="596">
        <v>5664066.96</v>
      </c>
      <c r="E37" s="596">
        <v>4986155.1500000004</v>
      </c>
      <c r="F37" s="596">
        <v>3093000.9</v>
      </c>
      <c r="G37" s="596">
        <v>2940052.18</v>
      </c>
      <c r="H37" s="596">
        <v>1392501.77</v>
      </c>
      <c r="I37" s="596">
        <v>720018.14</v>
      </c>
      <c r="J37" s="596">
        <v>794275.78</v>
      </c>
      <c r="K37" s="596">
        <v>670271.05000000005</v>
      </c>
      <c r="L37" s="596">
        <v>980365.67</v>
      </c>
      <c r="M37" s="596">
        <v>876031.19</v>
      </c>
      <c r="N37" s="596">
        <v>1804358.62</v>
      </c>
      <c r="O37" s="596">
        <v>2993968.15</v>
      </c>
      <c r="P37" s="210">
        <f t="shared" si="2"/>
        <v>26915065.560000006</v>
      </c>
      <c r="Q37" s="148"/>
      <c r="R37" s="148"/>
      <c r="S37" s="148"/>
    </row>
    <row r="38" spans="1:19">
      <c r="A38" s="867">
        <f t="shared" si="0"/>
        <v>27</v>
      </c>
      <c r="B38" s="829">
        <v>8053</v>
      </c>
      <c r="C38" s="210" t="s">
        <v>872</v>
      </c>
      <c r="D38" s="596">
        <v>839872.67</v>
      </c>
      <c r="E38" s="596">
        <v>1154836.7</v>
      </c>
      <c r="F38" s="596">
        <v>782933.51</v>
      </c>
      <c r="G38" s="596">
        <v>531775.71</v>
      </c>
      <c r="H38" s="596">
        <v>326707.57</v>
      </c>
      <c r="I38" s="596">
        <v>154525.03</v>
      </c>
      <c r="J38" s="596">
        <v>150469.75</v>
      </c>
      <c r="K38" s="596">
        <v>148266.60999999999</v>
      </c>
      <c r="L38" s="596">
        <v>121393.99</v>
      </c>
      <c r="M38" s="596">
        <v>157848.16</v>
      </c>
      <c r="N38" s="596">
        <v>328593.25</v>
      </c>
      <c r="O38" s="596">
        <v>830165.5</v>
      </c>
      <c r="P38" s="210">
        <f t="shared" si="2"/>
        <v>5527388.4499999993</v>
      </c>
      <c r="Q38" s="148"/>
      <c r="R38" s="148"/>
      <c r="S38" s="148"/>
    </row>
    <row r="39" spans="1:19">
      <c r="A39" s="867">
        <f t="shared" si="0"/>
        <v>28</v>
      </c>
      <c r="B39" s="829">
        <v>8054</v>
      </c>
      <c r="C39" s="210" t="s">
        <v>873</v>
      </c>
      <c r="D39" s="596">
        <v>1022753.76</v>
      </c>
      <c r="E39" s="596">
        <v>979168.91</v>
      </c>
      <c r="F39" s="596">
        <v>585698.86</v>
      </c>
      <c r="G39" s="596">
        <v>571222.75</v>
      </c>
      <c r="H39" s="596">
        <v>290609.27</v>
      </c>
      <c r="I39" s="596">
        <v>141188.26999999999</v>
      </c>
      <c r="J39" s="596">
        <v>126044.48</v>
      </c>
      <c r="K39" s="596">
        <v>100019.38</v>
      </c>
      <c r="L39" s="596">
        <v>120293.78</v>
      </c>
      <c r="M39" s="596">
        <v>148788.81</v>
      </c>
      <c r="N39" s="596">
        <v>359871.78</v>
      </c>
      <c r="O39" s="596">
        <v>603247.79</v>
      </c>
      <c r="P39" s="210">
        <f t="shared" si="2"/>
        <v>5048907.84</v>
      </c>
      <c r="Q39" s="148"/>
      <c r="S39" s="148"/>
    </row>
    <row r="40" spans="1:19">
      <c r="A40" s="867">
        <f t="shared" si="0"/>
        <v>29</v>
      </c>
      <c r="B40" s="829">
        <v>8058</v>
      </c>
      <c r="C40" s="210" t="s">
        <v>874</v>
      </c>
      <c r="D40" s="596">
        <v>-125247.93</v>
      </c>
      <c r="E40" s="596">
        <v>-4775431.7300000004</v>
      </c>
      <c r="F40" s="596">
        <v>1386749.3599999999</v>
      </c>
      <c r="G40" s="596">
        <v>-2097362</v>
      </c>
      <c r="H40" s="596">
        <v>-2064133.79</v>
      </c>
      <c r="I40" s="596">
        <v>-132916.89000000001</v>
      </c>
      <c r="J40" s="596">
        <v>-56144.47</v>
      </c>
      <c r="K40" s="596">
        <v>-13346.17</v>
      </c>
      <c r="L40" s="596">
        <v>16290.89</v>
      </c>
      <c r="M40" s="596">
        <v>1534936.18</v>
      </c>
      <c r="N40" s="596">
        <v>2743070.2199999997</v>
      </c>
      <c r="O40" s="596">
        <v>2198417.17</v>
      </c>
      <c r="P40" s="210">
        <f t="shared" si="2"/>
        <v>-1385119.1600000011</v>
      </c>
      <c r="Q40" s="148"/>
      <c r="R40" s="148"/>
      <c r="S40" s="148"/>
    </row>
    <row r="41" spans="1:19">
      <c r="A41" s="867">
        <f t="shared" si="0"/>
        <v>30</v>
      </c>
      <c r="B41" s="829">
        <v>8059</v>
      </c>
      <c r="C41" s="210" t="s">
        <v>875</v>
      </c>
      <c r="D41" s="596">
        <v>-12305786.710000001</v>
      </c>
      <c r="E41" s="596">
        <v>-14904062.199999999</v>
      </c>
      <c r="F41" s="596">
        <v>-9380793.1899999995</v>
      </c>
      <c r="G41" s="596">
        <v>-8938833.0299999993</v>
      </c>
      <c r="H41" s="596">
        <v>-5948837.0899999999</v>
      </c>
      <c r="I41" s="596">
        <v>-3054463.42</v>
      </c>
      <c r="J41" s="596">
        <v>-2459005.4</v>
      </c>
      <c r="K41" s="596">
        <v>-2905076.38</v>
      </c>
      <c r="L41" s="596">
        <v>-2673745.9700000002</v>
      </c>
      <c r="M41" s="596">
        <v>-2718278.08</v>
      </c>
      <c r="N41" s="596">
        <v>-4751929.6500000004</v>
      </c>
      <c r="O41" s="596">
        <v>-10877949.300000001</v>
      </c>
      <c r="P41" s="210">
        <f t="shared" si="2"/>
        <v>-80918760.420000002</v>
      </c>
      <c r="Q41" s="148"/>
      <c r="R41" s="148"/>
      <c r="S41" s="148"/>
    </row>
    <row r="42" spans="1:19">
      <c r="A42" s="867">
        <f t="shared" si="0"/>
        <v>31</v>
      </c>
      <c r="B42" s="829">
        <v>8060</v>
      </c>
      <c r="C42" s="210" t="s">
        <v>876</v>
      </c>
      <c r="D42" s="596">
        <v>2208043.6</v>
      </c>
      <c r="E42" s="596">
        <v>2687186.07</v>
      </c>
      <c r="F42" s="596">
        <v>1880162.88</v>
      </c>
      <c r="G42" s="596">
        <v>1445651.89</v>
      </c>
      <c r="H42" s="596">
        <v>-953989.42</v>
      </c>
      <c r="I42" s="596">
        <v>-1317365.48</v>
      </c>
      <c r="J42" s="596">
        <v>-1329961.1299999999</v>
      </c>
      <c r="K42" s="596">
        <v>-1303661.05</v>
      </c>
      <c r="L42" s="596">
        <v>-1269846.25</v>
      </c>
      <c r="M42" s="596">
        <v>-1329590.1299999999</v>
      </c>
      <c r="N42" s="596">
        <v>-1360977.52</v>
      </c>
      <c r="O42" s="596">
        <v>1305832.98</v>
      </c>
      <c r="P42" s="210">
        <f t="shared" si="2"/>
        <v>661486.43999999948</v>
      </c>
      <c r="Q42" s="148"/>
      <c r="R42" s="148"/>
      <c r="S42" s="148"/>
    </row>
    <row r="43" spans="1:19">
      <c r="A43" s="867">
        <f t="shared" si="0"/>
        <v>32</v>
      </c>
      <c r="B43" s="829">
        <v>8081</v>
      </c>
      <c r="C43" s="210" t="s">
        <v>877</v>
      </c>
      <c r="D43" s="596">
        <v>2111350.42</v>
      </c>
      <c r="E43" s="596">
        <v>2831484.03</v>
      </c>
      <c r="F43" s="596">
        <v>3028402.48</v>
      </c>
      <c r="G43" s="596">
        <v>4186572.5</v>
      </c>
      <c r="H43" s="596">
        <v>93596.59</v>
      </c>
      <c r="I43" s="596">
        <v>0</v>
      </c>
      <c r="J43" s="596">
        <v>0</v>
      </c>
      <c r="K43" s="596">
        <v>0</v>
      </c>
      <c r="L43" s="596">
        <v>0</v>
      </c>
      <c r="M43" s="596">
        <v>0</v>
      </c>
      <c r="N43" s="596">
        <v>27640.53</v>
      </c>
      <c r="O43" s="596">
        <v>1810882.62</v>
      </c>
      <c r="P43" s="210">
        <f t="shared" si="2"/>
        <v>14089929.169999998</v>
      </c>
      <c r="Q43" s="148"/>
      <c r="R43" s="148"/>
      <c r="S43" s="148"/>
    </row>
    <row r="44" spans="1:19">
      <c r="A44" s="867">
        <f t="shared" si="0"/>
        <v>33</v>
      </c>
      <c r="B44" s="829">
        <v>8082</v>
      </c>
      <c r="C44" s="210" t="s">
        <v>878</v>
      </c>
      <c r="D44" s="596">
        <v>-767259.71</v>
      </c>
      <c r="E44" s="596">
        <v>-82686.990000000005</v>
      </c>
      <c r="F44" s="596">
        <v>-93914.68</v>
      </c>
      <c r="G44" s="596">
        <v>-68390.820000000007</v>
      </c>
      <c r="H44" s="596">
        <v>-1292343.8</v>
      </c>
      <c r="I44" s="596">
        <v>-2081696.93</v>
      </c>
      <c r="J44" s="596">
        <v>-1995068.88</v>
      </c>
      <c r="K44" s="596">
        <v>-2158256.65</v>
      </c>
      <c r="L44" s="596">
        <v>-2028296.54</v>
      </c>
      <c r="M44" s="596">
        <v>-2043541.56</v>
      </c>
      <c r="N44" s="596">
        <v>-2265047.88</v>
      </c>
      <c r="O44" s="596">
        <v>-26046.52</v>
      </c>
      <c r="P44" s="210">
        <f t="shared" si="2"/>
        <v>-14902550.960000001</v>
      </c>
      <c r="Q44" s="725"/>
      <c r="S44" s="148"/>
    </row>
    <row r="45" spans="1:19">
      <c r="A45" s="867">
        <f t="shared" si="0"/>
        <v>34</v>
      </c>
      <c r="B45" s="829">
        <v>8120</v>
      </c>
      <c r="C45" s="210" t="s">
        <v>879</v>
      </c>
      <c r="D45" s="596">
        <v>-3733.119999999999</v>
      </c>
      <c r="E45" s="596">
        <v>-4846.1900000000005</v>
      </c>
      <c r="F45" s="596">
        <v>-8115.1899999999987</v>
      </c>
      <c r="G45" s="596">
        <v>-3818.7199999999993</v>
      </c>
      <c r="H45" s="596">
        <v>-1045</v>
      </c>
      <c r="I45" s="596">
        <v>7015.07</v>
      </c>
      <c r="J45" s="596">
        <v>193.84999999999991</v>
      </c>
      <c r="K45" s="596">
        <v>-112.14999999999986</v>
      </c>
      <c r="L45" s="596">
        <v>113.19000000000051</v>
      </c>
      <c r="M45" s="596">
        <v>-197.96000000000004</v>
      </c>
      <c r="N45" s="596">
        <v>252.88999999999942</v>
      </c>
      <c r="O45" s="596">
        <v>-8229</v>
      </c>
      <c r="P45" s="210">
        <f t="shared" si="2"/>
        <v>-22522.33</v>
      </c>
      <c r="Q45" s="148"/>
      <c r="R45" s="148"/>
      <c r="S45" s="148"/>
    </row>
    <row r="46" spans="1:19" s="792" customFormat="1">
      <c r="A46" s="867">
        <f t="shared" si="0"/>
        <v>35</v>
      </c>
      <c r="B46" s="829">
        <v>8580</v>
      </c>
      <c r="C46" s="103" t="s">
        <v>1209</v>
      </c>
      <c r="D46" s="596">
        <v>2548320.27</v>
      </c>
      <c r="E46" s="596">
        <v>2586250</v>
      </c>
      <c r="F46" s="596">
        <v>2313520.94</v>
      </c>
      <c r="G46" s="596">
        <v>2444145.19</v>
      </c>
      <c r="H46" s="596">
        <v>2088946.8499999999</v>
      </c>
      <c r="I46" s="596">
        <v>1662837.5500000003</v>
      </c>
      <c r="J46" s="596">
        <v>1624902.4100000001</v>
      </c>
      <c r="K46" s="596">
        <v>1664505.28</v>
      </c>
      <c r="L46" s="596">
        <v>1662555.1600000001</v>
      </c>
      <c r="M46" s="596">
        <v>1632069.5299999998</v>
      </c>
      <c r="N46" s="596">
        <v>2102913.2600000002</v>
      </c>
      <c r="O46" s="596">
        <v>2449594.48</v>
      </c>
      <c r="P46" s="210">
        <f t="shared" si="2"/>
        <v>24780560.920000002</v>
      </c>
      <c r="Q46" s="591"/>
      <c r="R46" s="148"/>
      <c r="S46" s="148"/>
    </row>
    <row r="47" spans="1:19" ht="22.5" customHeight="1">
      <c r="A47" s="867">
        <f t="shared" si="0"/>
        <v>36</v>
      </c>
      <c r="B47" s="829">
        <v>8140</v>
      </c>
      <c r="C47" s="210" t="s">
        <v>880</v>
      </c>
      <c r="D47" s="596">
        <f>0</f>
        <v>0</v>
      </c>
      <c r="E47" s="596">
        <f>0</f>
        <v>0</v>
      </c>
      <c r="F47" s="596">
        <f>0</f>
        <v>0</v>
      </c>
      <c r="G47" s="596">
        <f>0</f>
        <v>0</v>
      </c>
      <c r="H47" s="596">
        <f>0</f>
        <v>0</v>
      </c>
      <c r="I47" s="596">
        <f>0</f>
        <v>0</v>
      </c>
      <c r="J47" s="596">
        <f>0</f>
        <v>0</v>
      </c>
      <c r="K47" s="596">
        <f>0</f>
        <v>0</v>
      </c>
      <c r="L47" s="596">
        <f>0</f>
        <v>0</v>
      </c>
      <c r="M47" s="596">
        <f>0</f>
        <v>0</v>
      </c>
      <c r="N47" s="596">
        <f>0</f>
        <v>0</v>
      </c>
      <c r="O47" s="596">
        <f>0</f>
        <v>0</v>
      </c>
      <c r="P47" s="210">
        <f t="shared" si="2"/>
        <v>0</v>
      </c>
      <c r="S47" s="148"/>
    </row>
    <row r="48" spans="1:19" ht="21.75" customHeight="1">
      <c r="A48" s="867">
        <f t="shared" si="0"/>
        <v>37</v>
      </c>
      <c r="B48" s="829">
        <v>8160</v>
      </c>
      <c r="C48" s="210" t="s">
        <v>881</v>
      </c>
      <c r="D48" s="596">
        <v>17162.68</v>
      </c>
      <c r="E48" s="596">
        <v>8905.0399999999991</v>
      </c>
      <c r="F48" s="596">
        <v>2878.4</v>
      </c>
      <c r="G48" s="596">
        <v>3990.9499999999994</v>
      </c>
      <c r="H48" s="596">
        <v>33606.07</v>
      </c>
      <c r="I48" s="596">
        <v>124066.81999999999</v>
      </c>
      <c r="J48" s="596">
        <v>32714.84</v>
      </c>
      <c r="K48" s="596">
        <v>30158.39</v>
      </c>
      <c r="L48" s="596">
        <v>135125.62000000002</v>
      </c>
      <c r="M48" s="596">
        <v>31874.399999999998</v>
      </c>
      <c r="N48" s="596">
        <v>3432</v>
      </c>
      <c r="O48" s="596">
        <v>10559.039999999999</v>
      </c>
      <c r="P48" s="210">
        <f t="shared" si="2"/>
        <v>434474.25000000006</v>
      </c>
      <c r="Q48" s="148"/>
      <c r="R48" s="148"/>
      <c r="S48" s="148"/>
    </row>
    <row r="49" spans="1:22">
      <c r="A49" s="867">
        <f t="shared" si="0"/>
        <v>38</v>
      </c>
      <c r="B49" s="829">
        <v>8170</v>
      </c>
      <c r="C49" s="210" t="s">
        <v>887</v>
      </c>
      <c r="D49" s="596">
        <v>5748.35</v>
      </c>
      <c r="E49" s="596">
        <v>1963.5899999999997</v>
      </c>
      <c r="F49" s="596">
        <v>613.67999999999995</v>
      </c>
      <c r="G49" s="596">
        <v>812.28000000000009</v>
      </c>
      <c r="H49" s="596">
        <v>1432.28</v>
      </c>
      <c r="I49" s="596">
        <v>1515.31</v>
      </c>
      <c r="J49" s="596">
        <v>2573.84</v>
      </c>
      <c r="K49" s="596">
        <v>3862.85</v>
      </c>
      <c r="L49" s="596">
        <v>9477.9000000000015</v>
      </c>
      <c r="M49" s="596">
        <v>2279.14</v>
      </c>
      <c r="N49" s="596">
        <v>689.15000000000009</v>
      </c>
      <c r="O49" s="596">
        <v>1282.3699999999999</v>
      </c>
      <c r="P49" s="210">
        <f t="shared" si="2"/>
        <v>32250.74</v>
      </c>
      <c r="Q49" s="148"/>
      <c r="R49" s="148"/>
      <c r="S49" s="148"/>
    </row>
    <row r="50" spans="1:22">
      <c r="A50" s="867">
        <f t="shared" si="0"/>
        <v>39</v>
      </c>
      <c r="B50" s="829">
        <v>8180</v>
      </c>
      <c r="C50" s="210" t="s">
        <v>888</v>
      </c>
      <c r="D50" s="596">
        <v>3767.84</v>
      </c>
      <c r="E50" s="596">
        <v>2066.5099999999998</v>
      </c>
      <c r="F50" s="596">
        <v>2175.2800000000002</v>
      </c>
      <c r="G50" s="596">
        <v>1614.34</v>
      </c>
      <c r="H50" s="596">
        <v>4831.5599999999995</v>
      </c>
      <c r="I50" s="596">
        <v>1735.18</v>
      </c>
      <c r="J50" s="596">
        <v>6268.2999999999993</v>
      </c>
      <c r="K50" s="596">
        <v>4332.4000000000005</v>
      </c>
      <c r="L50" s="596">
        <v>3931.34</v>
      </c>
      <c r="M50" s="596">
        <v>3666.2599999999998</v>
      </c>
      <c r="N50" s="596">
        <v>110.12000000000003</v>
      </c>
      <c r="O50" s="596">
        <v>744.33999999999992</v>
      </c>
      <c r="P50" s="210">
        <f t="shared" si="2"/>
        <v>35243.47</v>
      </c>
      <c r="Q50" s="148"/>
      <c r="R50" s="148"/>
      <c r="S50" s="148"/>
    </row>
    <row r="51" spans="1:22" ht="15.75">
      <c r="A51" s="867">
        <f t="shared" si="0"/>
        <v>40</v>
      </c>
      <c r="B51" s="829">
        <v>8190</v>
      </c>
      <c r="C51" s="210" t="s">
        <v>889</v>
      </c>
      <c r="D51" s="596">
        <v>94.86</v>
      </c>
      <c r="E51" s="596">
        <v>114.33</v>
      </c>
      <c r="F51" s="596">
        <v>104.41</v>
      </c>
      <c r="G51" s="596">
        <v>0</v>
      </c>
      <c r="H51" s="596">
        <v>100.72</v>
      </c>
      <c r="I51" s="596">
        <v>103.52</v>
      </c>
      <c r="J51" s="596">
        <v>94.29</v>
      </c>
      <c r="K51" s="596">
        <v>44.7</v>
      </c>
      <c r="L51" s="596">
        <v>97.09</v>
      </c>
      <c r="M51" s="596">
        <v>95.76</v>
      </c>
      <c r="N51" s="596">
        <v>93.63</v>
      </c>
      <c r="O51" s="596">
        <v>96.29</v>
      </c>
      <c r="P51" s="210">
        <f t="shared" si="2"/>
        <v>1039.6000000000001</v>
      </c>
      <c r="Q51" s="148"/>
      <c r="R51" s="592"/>
      <c r="S51" s="102"/>
    </row>
    <row r="52" spans="1:22" ht="15.75">
      <c r="A52" s="867">
        <f t="shared" si="0"/>
        <v>41</v>
      </c>
      <c r="B52" s="829">
        <v>8200</v>
      </c>
      <c r="C52" s="210" t="s">
        <v>890</v>
      </c>
      <c r="D52" s="596">
        <v>327.27999999999997</v>
      </c>
      <c r="E52" s="596">
        <v>1967.46</v>
      </c>
      <c r="F52" s="596">
        <v>796.03</v>
      </c>
      <c r="G52" s="596">
        <v>-61.56</v>
      </c>
      <c r="H52" s="596">
        <v>574.07999999999993</v>
      </c>
      <c r="I52" s="596">
        <v>278.54000000000002</v>
      </c>
      <c r="J52" s="596">
        <v>1538.8700000000001</v>
      </c>
      <c r="K52" s="596">
        <v>187.60999999999996</v>
      </c>
      <c r="L52" s="596">
        <v>185.19</v>
      </c>
      <c r="M52" s="596">
        <v>71.86</v>
      </c>
      <c r="N52" s="596">
        <v>424.66</v>
      </c>
      <c r="O52" s="596">
        <v>583.43000000000006</v>
      </c>
      <c r="P52" s="210">
        <f t="shared" si="2"/>
        <v>6873.4499999999989</v>
      </c>
      <c r="Q52" s="148"/>
      <c r="R52" s="624"/>
      <c r="S52" s="625"/>
    </row>
    <row r="53" spans="1:22">
      <c r="A53" s="867">
        <f t="shared" si="0"/>
        <v>42</v>
      </c>
      <c r="B53" s="829">
        <v>8210</v>
      </c>
      <c r="C53" s="210" t="s">
        <v>891</v>
      </c>
      <c r="D53" s="596">
        <v>16004.170000000002</v>
      </c>
      <c r="E53" s="596">
        <v>8232.48</v>
      </c>
      <c r="F53" s="596">
        <v>979.35999999999956</v>
      </c>
      <c r="G53" s="596">
        <v>-180.35</v>
      </c>
      <c r="H53" s="596">
        <v>1240.8499999999999</v>
      </c>
      <c r="I53" s="596">
        <v>3290.67</v>
      </c>
      <c r="J53" s="596">
        <v>1425.85</v>
      </c>
      <c r="K53" s="596">
        <v>15299.56</v>
      </c>
      <c r="L53" s="596">
        <v>-348.02</v>
      </c>
      <c r="M53" s="596">
        <v>229.48</v>
      </c>
      <c r="N53" s="596">
        <v>1755.04</v>
      </c>
      <c r="O53" s="596">
        <v>2513.9599999999996</v>
      </c>
      <c r="P53" s="210">
        <f t="shared" si="2"/>
        <v>50443.05</v>
      </c>
      <c r="Q53" s="148"/>
      <c r="R53" s="211"/>
      <c r="S53" s="148"/>
    </row>
    <row r="54" spans="1:22">
      <c r="A54" s="867">
        <f t="shared" si="0"/>
        <v>43</v>
      </c>
      <c r="B54" s="829">
        <v>8240</v>
      </c>
      <c r="C54" s="210" t="s">
        <v>892</v>
      </c>
      <c r="D54" s="596">
        <f>0</f>
        <v>0</v>
      </c>
      <c r="E54" s="596">
        <f>0</f>
        <v>0</v>
      </c>
      <c r="F54" s="596">
        <f>0</f>
        <v>0</v>
      </c>
      <c r="G54" s="596">
        <f>0</f>
        <v>0</v>
      </c>
      <c r="H54" s="596">
        <f>0</f>
        <v>0</v>
      </c>
      <c r="I54" s="596">
        <f>0</f>
        <v>0</v>
      </c>
      <c r="J54" s="596">
        <f>0</f>
        <v>0</v>
      </c>
      <c r="K54" s="596">
        <f>0</f>
        <v>0</v>
      </c>
      <c r="L54" s="596">
        <f>0</f>
        <v>0</v>
      </c>
      <c r="M54" s="596">
        <f>0</f>
        <v>0</v>
      </c>
      <c r="N54" s="596">
        <f>0</f>
        <v>0</v>
      </c>
      <c r="O54" s="596">
        <f>0</f>
        <v>0</v>
      </c>
      <c r="P54" s="210">
        <f t="shared" si="2"/>
        <v>0</v>
      </c>
      <c r="Q54" s="148"/>
      <c r="R54" s="211"/>
      <c r="S54" s="148"/>
    </row>
    <row r="55" spans="1:22">
      <c r="A55" s="867">
        <f t="shared" si="0"/>
        <v>44</v>
      </c>
      <c r="B55" s="829">
        <v>8250</v>
      </c>
      <c r="C55" s="210" t="s">
        <v>903</v>
      </c>
      <c r="D55" s="596">
        <v>2637.08</v>
      </c>
      <c r="E55" s="596">
        <v>772.91000000000008</v>
      </c>
      <c r="F55" s="596">
        <v>854.21</v>
      </c>
      <c r="G55" s="596">
        <v>948.66000000000008</v>
      </c>
      <c r="H55" s="596">
        <v>406.31</v>
      </c>
      <c r="I55" s="596">
        <v>535.35</v>
      </c>
      <c r="J55" s="596">
        <v>287.87</v>
      </c>
      <c r="K55" s="596">
        <v>518.61</v>
      </c>
      <c r="L55" s="596">
        <v>981.00999999999976</v>
      </c>
      <c r="M55" s="596">
        <v>307.63</v>
      </c>
      <c r="N55" s="596">
        <v>769.96</v>
      </c>
      <c r="O55" s="596">
        <v>821.51</v>
      </c>
      <c r="P55" s="210">
        <f t="shared" si="2"/>
        <v>9841.1099999999988</v>
      </c>
      <c r="Q55" s="148"/>
      <c r="R55" s="148"/>
      <c r="S55" s="148"/>
    </row>
    <row r="56" spans="1:22">
      <c r="A56" s="867">
        <f t="shared" si="0"/>
        <v>45</v>
      </c>
      <c r="B56" s="829">
        <v>8310</v>
      </c>
      <c r="C56" s="210" t="s">
        <v>904</v>
      </c>
      <c r="D56" s="596">
        <v>459.78</v>
      </c>
      <c r="E56" s="596">
        <v>1020</v>
      </c>
      <c r="F56" s="596">
        <v>824.38</v>
      </c>
      <c r="G56" s="596">
        <v>88</v>
      </c>
      <c r="H56" s="596">
        <v>2405</v>
      </c>
      <c r="I56" s="596">
        <v>3015.25</v>
      </c>
      <c r="J56" s="596">
        <v>3530.2</v>
      </c>
      <c r="K56" s="596">
        <v>3407.9</v>
      </c>
      <c r="L56" s="596">
        <v>3463.06</v>
      </c>
      <c r="M56" s="596">
        <v>4589.8500000000004</v>
      </c>
      <c r="N56" s="596">
        <v>3701.72</v>
      </c>
      <c r="O56" s="596">
        <v>404.2</v>
      </c>
      <c r="P56" s="210">
        <f t="shared" si="2"/>
        <v>26909.34</v>
      </c>
      <c r="Q56" s="148"/>
      <c r="R56" s="211"/>
      <c r="S56" s="148"/>
    </row>
    <row r="57" spans="1:22">
      <c r="A57" s="867">
        <f t="shared" si="0"/>
        <v>46</v>
      </c>
      <c r="B57" s="829">
        <v>8340</v>
      </c>
      <c r="C57" s="210" t="s">
        <v>905</v>
      </c>
      <c r="D57" s="596">
        <v>0</v>
      </c>
      <c r="E57" s="596">
        <v>31.29</v>
      </c>
      <c r="F57" s="596">
        <v>1242.82</v>
      </c>
      <c r="G57" s="596">
        <v>-177.55</v>
      </c>
      <c r="H57" s="596">
        <v>1034.3799999999999</v>
      </c>
      <c r="I57" s="596">
        <v>-318.56</v>
      </c>
      <c r="J57" s="596">
        <v>18</v>
      </c>
      <c r="K57" s="596">
        <v>39.58</v>
      </c>
      <c r="L57" s="596">
        <v>16.93</v>
      </c>
      <c r="M57" s="596">
        <v>778.08999999999992</v>
      </c>
      <c r="N57" s="596">
        <v>973.48</v>
      </c>
      <c r="O57" s="596">
        <v>323.57000000000005</v>
      </c>
      <c r="P57" s="210">
        <f t="shared" si="2"/>
        <v>3962.0299999999997</v>
      </c>
      <c r="Q57" s="148"/>
      <c r="R57" s="211"/>
      <c r="S57" s="148"/>
    </row>
    <row r="58" spans="1:22">
      <c r="A58" s="867">
        <f t="shared" si="0"/>
        <v>47</v>
      </c>
      <c r="B58" s="829">
        <v>8350</v>
      </c>
      <c r="C58" s="210" t="s">
        <v>906</v>
      </c>
      <c r="D58" s="596">
        <f>0</f>
        <v>0</v>
      </c>
      <c r="E58" s="596">
        <f>0</f>
        <v>0</v>
      </c>
      <c r="F58" s="596">
        <f>0</f>
        <v>0</v>
      </c>
      <c r="G58" s="596">
        <f>0</f>
        <v>0</v>
      </c>
      <c r="H58" s="596">
        <f>0</f>
        <v>0</v>
      </c>
      <c r="I58" s="596">
        <f>0</f>
        <v>0</v>
      </c>
      <c r="J58" s="596">
        <v>19.91</v>
      </c>
      <c r="K58" s="596">
        <v>0</v>
      </c>
      <c r="L58" s="596">
        <v>0</v>
      </c>
      <c r="M58" s="596">
        <v>0</v>
      </c>
      <c r="N58" s="596">
        <v>0</v>
      </c>
      <c r="O58" s="596">
        <v>0</v>
      </c>
      <c r="P58" s="210">
        <f t="shared" si="2"/>
        <v>19.91</v>
      </c>
      <c r="Q58" s="148"/>
      <c r="R58" s="211"/>
      <c r="S58" s="148"/>
    </row>
    <row r="59" spans="1:22">
      <c r="A59" s="867">
        <f t="shared" si="0"/>
        <v>48</v>
      </c>
      <c r="B59" s="829">
        <v>8360</v>
      </c>
      <c r="C59" s="210" t="s">
        <v>907</v>
      </c>
      <c r="D59" s="596">
        <f>0</f>
        <v>0</v>
      </c>
      <c r="E59" s="596">
        <f>0</f>
        <v>0</v>
      </c>
      <c r="F59" s="596">
        <f>0</f>
        <v>0</v>
      </c>
      <c r="G59" s="596">
        <f>0</f>
        <v>0</v>
      </c>
      <c r="H59" s="596">
        <f>0</f>
        <v>0</v>
      </c>
      <c r="I59" s="596">
        <f>0</f>
        <v>0</v>
      </c>
      <c r="J59" s="596">
        <f>0</f>
        <v>0</v>
      </c>
      <c r="K59" s="596">
        <f>0</f>
        <v>0</v>
      </c>
      <c r="L59" s="596">
        <f>0</f>
        <v>0</v>
      </c>
      <c r="M59" s="596">
        <f>0</f>
        <v>0</v>
      </c>
      <c r="N59" s="596">
        <f>0</f>
        <v>0</v>
      </c>
      <c r="O59" s="596">
        <f>0</f>
        <v>0</v>
      </c>
      <c r="P59" s="210">
        <f t="shared" si="2"/>
        <v>0</v>
      </c>
      <c r="Q59" s="148"/>
      <c r="R59" s="211"/>
      <c r="S59" s="148"/>
    </row>
    <row r="60" spans="1:22" s="789" customFormat="1">
      <c r="A60" s="867">
        <f t="shared" si="0"/>
        <v>49</v>
      </c>
      <c r="B60" s="706">
        <v>8370</v>
      </c>
      <c r="C60" s="81" t="s">
        <v>1339</v>
      </c>
      <c r="D60" s="596">
        <f>0</f>
        <v>0</v>
      </c>
      <c r="E60" s="596">
        <f>0</f>
        <v>0</v>
      </c>
      <c r="F60" s="596">
        <f>0</f>
        <v>0</v>
      </c>
      <c r="G60" s="596">
        <f>0</f>
        <v>0</v>
      </c>
      <c r="H60" s="596">
        <f>0</f>
        <v>0</v>
      </c>
      <c r="I60" s="596">
        <f>0</f>
        <v>0</v>
      </c>
      <c r="J60" s="596">
        <f>0</f>
        <v>0</v>
      </c>
      <c r="K60" s="596">
        <f>0</f>
        <v>0</v>
      </c>
      <c r="L60" s="596">
        <f>0</f>
        <v>0</v>
      </c>
      <c r="M60" s="596">
        <f>0</f>
        <v>0</v>
      </c>
      <c r="N60" s="596">
        <f>0</f>
        <v>0</v>
      </c>
      <c r="O60" s="596">
        <f>0</f>
        <v>0</v>
      </c>
      <c r="P60" s="210">
        <f t="shared" si="2"/>
        <v>0</v>
      </c>
      <c r="Q60" s="148"/>
      <c r="R60" s="211"/>
      <c r="S60" s="148"/>
    </row>
    <row r="61" spans="1:22">
      <c r="A61" s="867">
        <f t="shared" si="0"/>
        <v>50</v>
      </c>
      <c r="B61" s="829">
        <v>8410</v>
      </c>
      <c r="C61" s="210" t="s">
        <v>188</v>
      </c>
      <c r="D61" s="596">
        <v>19063.29</v>
      </c>
      <c r="E61" s="596">
        <v>-7360.12</v>
      </c>
      <c r="F61" s="596">
        <v>6379.6500000000005</v>
      </c>
      <c r="G61" s="596">
        <v>5083.41</v>
      </c>
      <c r="H61" s="596">
        <v>5229.17</v>
      </c>
      <c r="I61" s="596">
        <v>9242.4</v>
      </c>
      <c r="J61" s="596">
        <v>5427.7599999999993</v>
      </c>
      <c r="K61" s="596">
        <v>9944.9499999999989</v>
      </c>
      <c r="L61" s="596">
        <v>7508.09</v>
      </c>
      <c r="M61" s="596">
        <v>16919.97</v>
      </c>
      <c r="N61" s="596">
        <v>14223.609999999999</v>
      </c>
      <c r="O61" s="596">
        <v>17078.86</v>
      </c>
      <c r="P61" s="210">
        <f t="shared" si="2"/>
        <v>108741.04000000001</v>
      </c>
      <c r="Q61" s="148"/>
      <c r="R61" s="148"/>
      <c r="S61" s="148"/>
    </row>
    <row r="62" spans="1:22" s="792" customFormat="1">
      <c r="A62" s="867">
        <f t="shared" si="0"/>
        <v>51</v>
      </c>
      <c r="B62" s="829">
        <v>8500</v>
      </c>
      <c r="C62" s="80" t="s">
        <v>908</v>
      </c>
      <c r="D62" s="596">
        <v>0</v>
      </c>
      <c r="E62" s="596">
        <v>0</v>
      </c>
      <c r="F62" s="596">
        <v>0</v>
      </c>
      <c r="G62" s="596">
        <v>0</v>
      </c>
      <c r="H62" s="596">
        <v>28.57</v>
      </c>
      <c r="I62" s="596">
        <v>0</v>
      </c>
      <c r="J62" s="596">
        <f>0</f>
        <v>0</v>
      </c>
      <c r="K62" s="596">
        <f>0</f>
        <v>0</v>
      </c>
      <c r="L62" s="596">
        <f>0</f>
        <v>0</v>
      </c>
      <c r="M62" s="596">
        <f>0</f>
        <v>0</v>
      </c>
      <c r="N62" s="596">
        <f>0</f>
        <v>0</v>
      </c>
      <c r="O62" s="596">
        <f>0</f>
        <v>0</v>
      </c>
      <c r="P62" s="210">
        <f t="shared" si="2"/>
        <v>28.57</v>
      </c>
      <c r="Q62" s="148"/>
      <c r="R62" s="148"/>
      <c r="S62" s="148"/>
    </row>
    <row r="63" spans="1:22" s="790" customFormat="1">
      <c r="A63" s="867">
        <f t="shared" si="0"/>
        <v>52</v>
      </c>
      <c r="B63" s="706">
        <v>8520</v>
      </c>
      <c r="C63" s="81" t="s">
        <v>1340</v>
      </c>
      <c r="D63" s="596">
        <f>0</f>
        <v>0</v>
      </c>
      <c r="E63" s="596">
        <f>0</f>
        <v>0</v>
      </c>
      <c r="F63" s="596">
        <f>0</f>
        <v>0</v>
      </c>
      <c r="G63" s="596">
        <f>0</f>
        <v>0</v>
      </c>
      <c r="H63" s="596">
        <f>0</f>
        <v>0</v>
      </c>
      <c r="I63" s="596">
        <f>0</f>
        <v>0</v>
      </c>
      <c r="J63" s="596">
        <f>0</f>
        <v>0</v>
      </c>
      <c r="K63" s="596">
        <f>0</f>
        <v>0</v>
      </c>
      <c r="L63" s="596">
        <f>0</f>
        <v>0</v>
      </c>
      <c r="M63" s="596">
        <f>0</f>
        <v>0</v>
      </c>
      <c r="N63" s="596">
        <f>0</f>
        <v>0</v>
      </c>
      <c r="O63" s="596">
        <f>0</f>
        <v>0</v>
      </c>
      <c r="P63" s="210">
        <f t="shared" si="2"/>
        <v>0</v>
      </c>
      <c r="Q63" s="148"/>
      <c r="R63" s="148"/>
      <c r="S63" s="148"/>
      <c r="U63" s="690"/>
      <c r="V63" s="80"/>
    </row>
    <row r="64" spans="1:22" s="792" customFormat="1">
      <c r="A64" s="867">
        <f t="shared" si="0"/>
        <v>53</v>
      </c>
      <c r="B64" s="706">
        <v>8550</v>
      </c>
      <c r="C64" s="81" t="s">
        <v>1393</v>
      </c>
      <c r="D64" s="596">
        <v>39.590000000000003</v>
      </c>
      <c r="E64" s="596">
        <v>34.520000000000003</v>
      </c>
      <c r="F64" s="596">
        <v>37.520000000000003</v>
      </c>
      <c r="G64" s="596">
        <v>34.909999999999997</v>
      </c>
      <c r="H64" s="596">
        <v>35.21</v>
      </c>
      <c r="I64" s="596">
        <v>35.22</v>
      </c>
      <c r="J64" s="596">
        <v>34.26</v>
      </c>
      <c r="K64" s="596">
        <v>32.85</v>
      </c>
      <c r="L64" s="596">
        <v>32.32</v>
      </c>
      <c r="M64" s="596">
        <v>30.68</v>
      </c>
      <c r="N64" s="596">
        <v>34.68</v>
      </c>
      <c r="O64" s="596">
        <v>33.979999999999997</v>
      </c>
      <c r="P64" s="210">
        <f t="shared" si="2"/>
        <v>415.74000000000007</v>
      </c>
      <c r="Q64" s="148"/>
      <c r="R64" s="148"/>
      <c r="S64" s="148"/>
      <c r="U64" s="690"/>
      <c r="V64" s="80"/>
    </row>
    <row r="65" spans="1:19">
      <c r="A65" s="867">
        <f t="shared" si="0"/>
        <v>54</v>
      </c>
      <c r="B65" s="829">
        <v>8560</v>
      </c>
      <c r="C65" s="210" t="s">
        <v>909</v>
      </c>
      <c r="D65" s="596">
        <v>12455.669999999998</v>
      </c>
      <c r="E65" s="596">
        <v>29430.539999999997</v>
      </c>
      <c r="F65" s="596">
        <v>47533.689999999988</v>
      </c>
      <c r="G65" s="596">
        <v>35350.81</v>
      </c>
      <c r="H65" s="596">
        <v>49826.01</v>
      </c>
      <c r="I65" s="596">
        <v>43467.520000000011</v>
      </c>
      <c r="J65" s="596">
        <v>61203.139999999992</v>
      </c>
      <c r="K65" s="596">
        <v>18759.449999999997</v>
      </c>
      <c r="L65" s="596">
        <v>35959.96</v>
      </c>
      <c r="M65" s="596">
        <v>55413.709999999992</v>
      </c>
      <c r="N65" s="596">
        <v>26942.990000000005</v>
      </c>
      <c r="O65" s="596">
        <v>8843.8299999999945</v>
      </c>
      <c r="P65" s="210">
        <f t="shared" si="2"/>
        <v>425187.32</v>
      </c>
      <c r="Q65" s="148"/>
      <c r="R65" s="211"/>
      <c r="S65" s="148"/>
    </row>
    <row r="66" spans="1:19">
      <c r="A66" s="867">
        <f t="shared" si="0"/>
        <v>55</v>
      </c>
      <c r="B66" s="829">
        <v>8570</v>
      </c>
      <c r="C66" s="210" t="s">
        <v>910</v>
      </c>
      <c r="D66" s="596">
        <v>2184.08</v>
      </c>
      <c r="E66" s="596">
        <v>10618.989999999998</v>
      </c>
      <c r="F66" s="596">
        <v>-1840.6700000000005</v>
      </c>
      <c r="G66" s="596">
        <v>1397.6299999999999</v>
      </c>
      <c r="H66" s="596">
        <v>2143.36</v>
      </c>
      <c r="I66" s="596">
        <v>1419.27</v>
      </c>
      <c r="J66" s="596">
        <v>3697.64</v>
      </c>
      <c r="K66" s="596">
        <v>529.74000000000012</v>
      </c>
      <c r="L66" s="596">
        <v>904.44</v>
      </c>
      <c r="M66" s="596">
        <v>1414.3200000000002</v>
      </c>
      <c r="N66" s="596">
        <v>849.42</v>
      </c>
      <c r="O66" s="596">
        <v>1441.33</v>
      </c>
      <c r="P66" s="210">
        <f t="shared" si="2"/>
        <v>24759.549999999996</v>
      </c>
      <c r="Q66" s="148"/>
      <c r="R66" s="148"/>
      <c r="S66" s="148"/>
    </row>
    <row r="67" spans="1:19">
      <c r="A67" s="867">
        <f t="shared" si="0"/>
        <v>56</v>
      </c>
      <c r="B67" s="829">
        <v>8630</v>
      </c>
      <c r="C67" s="210" t="s">
        <v>911</v>
      </c>
      <c r="D67" s="596">
        <v>0</v>
      </c>
      <c r="E67" s="596">
        <v>4742.46</v>
      </c>
      <c r="F67" s="596">
        <v>1145.7</v>
      </c>
      <c r="G67" s="596">
        <v>774.21</v>
      </c>
      <c r="H67" s="596">
        <v>2447.31</v>
      </c>
      <c r="I67" s="596">
        <v>-617.11999999999989</v>
      </c>
      <c r="J67" s="596">
        <v>2424.7800000000002</v>
      </c>
      <c r="K67" s="596">
        <v>2495.7200000000003</v>
      </c>
      <c r="L67" s="596">
        <v>12567.45</v>
      </c>
      <c r="M67" s="596">
        <v>2533.04</v>
      </c>
      <c r="N67" s="596">
        <v>-97.950000000000045</v>
      </c>
      <c r="O67" s="596">
        <v>388.72</v>
      </c>
      <c r="P67" s="210">
        <f t="shared" ref="P67:P68" si="5">SUM(D67:O67)</f>
        <v>28804.320000000003</v>
      </c>
      <c r="Q67" s="148"/>
      <c r="R67" s="211"/>
      <c r="S67" s="148"/>
    </row>
    <row r="68" spans="1:19" s="791" customFormat="1">
      <c r="A68" s="867">
        <f t="shared" si="0"/>
        <v>57</v>
      </c>
      <c r="B68" s="706">
        <v>8640</v>
      </c>
      <c r="C68" s="81" t="s">
        <v>1341</v>
      </c>
      <c r="D68" s="596">
        <f>0</f>
        <v>0</v>
      </c>
      <c r="E68" s="596">
        <f>0</f>
        <v>0</v>
      </c>
      <c r="F68" s="596">
        <f>0</f>
        <v>0</v>
      </c>
      <c r="G68" s="596">
        <f>0</f>
        <v>0</v>
      </c>
      <c r="H68" s="596">
        <f>0</f>
        <v>0</v>
      </c>
      <c r="I68" s="596">
        <f>0</f>
        <v>0</v>
      </c>
      <c r="J68" s="596">
        <f>0</f>
        <v>0</v>
      </c>
      <c r="K68" s="596">
        <f>0</f>
        <v>0</v>
      </c>
      <c r="L68" s="596">
        <f>0</f>
        <v>0</v>
      </c>
      <c r="M68" s="596">
        <f>0</f>
        <v>0</v>
      </c>
      <c r="N68" s="596">
        <f>0</f>
        <v>0</v>
      </c>
      <c r="O68" s="596">
        <f>0</f>
        <v>0</v>
      </c>
      <c r="P68" s="210">
        <f t="shared" si="5"/>
        <v>0</v>
      </c>
      <c r="Q68" s="148"/>
      <c r="R68" s="211"/>
      <c r="S68" s="148"/>
    </row>
    <row r="69" spans="1:19">
      <c r="A69" s="867">
        <f t="shared" si="0"/>
        <v>58</v>
      </c>
      <c r="B69" s="829">
        <v>8650</v>
      </c>
      <c r="C69" s="210" t="s">
        <v>912</v>
      </c>
      <c r="D69" s="596">
        <f>0</f>
        <v>0</v>
      </c>
      <c r="E69" s="596">
        <f>0</f>
        <v>0</v>
      </c>
      <c r="F69" s="596">
        <f>0</f>
        <v>0</v>
      </c>
      <c r="G69" s="596">
        <f>0</f>
        <v>0</v>
      </c>
      <c r="H69" s="596">
        <f>0</f>
        <v>0</v>
      </c>
      <c r="I69" s="596">
        <f>0</f>
        <v>0</v>
      </c>
      <c r="J69" s="596">
        <v>0</v>
      </c>
      <c r="K69" s="596">
        <v>0</v>
      </c>
      <c r="L69" s="596">
        <v>0</v>
      </c>
      <c r="M69" s="596">
        <v>0</v>
      </c>
      <c r="N69" s="596">
        <v>280.58</v>
      </c>
      <c r="O69" s="596">
        <v>0</v>
      </c>
      <c r="P69" s="210">
        <f t="shared" ref="P69:P108" si="6">SUM(D69:O69)</f>
        <v>280.58</v>
      </c>
      <c r="Q69" s="148"/>
      <c r="R69" s="148"/>
      <c r="S69" s="148"/>
    </row>
    <row r="70" spans="1:19">
      <c r="A70" s="867">
        <f t="shared" si="0"/>
        <v>59</v>
      </c>
      <c r="B70" s="829">
        <v>8700</v>
      </c>
      <c r="C70" s="210" t="s">
        <v>913</v>
      </c>
      <c r="D70" s="596">
        <v>161945.13000000003</v>
      </c>
      <c r="E70" s="596">
        <v>57921.109999999986</v>
      </c>
      <c r="F70" s="596">
        <v>123487.73999999977</v>
      </c>
      <c r="G70" s="596">
        <v>161656.09</v>
      </c>
      <c r="H70" s="596">
        <v>183227.56000000032</v>
      </c>
      <c r="I70" s="596">
        <v>205824.88000000012</v>
      </c>
      <c r="J70" s="596">
        <v>55073.500000000167</v>
      </c>
      <c r="K70" s="596">
        <v>371482.36000000022</v>
      </c>
      <c r="L70" s="596">
        <v>50435.970000000154</v>
      </c>
      <c r="M70" s="596">
        <v>-110410.80999999963</v>
      </c>
      <c r="N70" s="596">
        <v>181597.59999999995</v>
      </c>
      <c r="O70" s="596">
        <v>107432.88000000005</v>
      </c>
      <c r="P70" s="210">
        <f t="shared" si="6"/>
        <v>1549674.0100000012</v>
      </c>
      <c r="Q70" s="148"/>
      <c r="R70" s="211"/>
      <c r="S70" s="148"/>
    </row>
    <row r="71" spans="1:19">
      <c r="A71" s="867">
        <f t="shared" si="0"/>
        <v>60</v>
      </c>
      <c r="B71" s="829">
        <v>8710</v>
      </c>
      <c r="C71" s="210" t="s">
        <v>914</v>
      </c>
      <c r="D71" s="596">
        <v>69.58</v>
      </c>
      <c r="E71" s="596">
        <v>218.74</v>
      </c>
      <c r="F71" s="596">
        <v>43.39</v>
      </c>
      <c r="G71" s="596">
        <v>22.45</v>
      </c>
      <c r="H71" s="596">
        <v>22.2</v>
      </c>
      <c r="I71" s="596">
        <v>90.38</v>
      </c>
      <c r="J71" s="596">
        <v>0</v>
      </c>
      <c r="K71" s="596">
        <v>19.940000000000001</v>
      </c>
      <c r="L71" s="596">
        <v>22.16</v>
      </c>
      <c r="M71" s="596">
        <v>356.81</v>
      </c>
      <c r="N71" s="596">
        <v>55.01</v>
      </c>
      <c r="O71" s="596">
        <v>49.15</v>
      </c>
      <c r="P71" s="210">
        <f t="shared" si="6"/>
        <v>969.81</v>
      </c>
      <c r="Q71" s="148"/>
      <c r="R71" s="211"/>
      <c r="S71" s="148"/>
    </row>
    <row r="72" spans="1:19">
      <c r="A72" s="867">
        <f t="shared" si="0"/>
        <v>61</v>
      </c>
      <c r="B72" s="829">
        <v>8711</v>
      </c>
      <c r="C72" s="103" t="s">
        <v>189</v>
      </c>
      <c r="D72" s="596">
        <v>0</v>
      </c>
      <c r="E72" s="596">
        <v>0</v>
      </c>
      <c r="F72" s="596">
        <v>3088.43</v>
      </c>
      <c r="G72" s="596">
        <v>3033.77</v>
      </c>
      <c r="H72" s="596">
        <v>10112.4</v>
      </c>
      <c r="I72" s="596">
        <v>0</v>
      </c>
      <c r="J72" s="596">
        <v>7980.34</v>
      </c>
      <c r="K72" s="596">
        <v>0</v>
      </c>
      <c r="L72" s="596">
        <v>11653.91</v>
      </c>
      <c r="M72" s="596">
        <v>6059.58</v>
      </c>
      <c r="N72" s="596">
        <v>0</v>
      </c>
      <c r="O72" s="596">
        <v>517.15</v>
      </c>
      <c r="P72" s="210">
        <f t="shared" ref="P72:P73" si="7">SUM(D72:O72)</f>
        <v>42445.58</v>
      </c>
      <c r="Q72" s="148"/>
      <c r="R72" s="211"/>
      <c r="S72" s="148"/>
    </row>
    <row r="73" spans="1:19" s="792" customFormat="1">
      <c r="A73" s="867">
        <f t="shared" si="0"/>
        <v>62</v>
      </c>
      <c r="B73" s="706">
        <v>8720</v>
      </c>
      <c r="C73" s="103" t="s">
        <v>1342</v>
      </c>
      <c r="D73" s="596">
        <f>0</f>
        <v>0</v>
      </c>
      <c r="E73" s="596">
        <f>0</f>
        <v>0</v>
      </c>
      <c r="F73" s="596">
        <f>0</f>
        <v>0</v>
      </c>
      <c r="G73" s="596">
        <f>0</f>
        <v>0</v>
      </c>
      <c r="H73" s="596">
        <f>0</f>
        <v>0</v>
      </c>
      <c r="I73" s="596">
        <f>0</f>
        <v>0</v>
      </c>
      <c r="J73" s="596">
        <f>0</f>
        <v>0</v>
      </c>
      <c r="K73" s="596">
        <f>0</f>
        <v>0</v>
      </c>
      <c r="L73" s="596">
        <f>0</f>
        <v>0</v>
      </c>
      <c r="M73" s="596">
        <f>0</f>
        <v>0</v>
      </c>
      <c r="N73" s="596">
        <f>0</f>
        <v>0</v>
      </c>
      <c r="O73" s="596">
        <f>0</f>
        <v>0</v>
      </c>
      <c r="P73" s="210">
        <f t="shared" si="7"/>
        <v>0</v>
      </c>
      <c r="Q73" s="148"/>
      <c r="R73" s="211"/>
      <c r="S73" s="148"/>
    </row>
    <row r="74" spans="1:19">
      <c r="A74" s="867">
        <f t="shared" si="0"/>
        <v>63</v>
      </c>
      <c r="B74" s="829">
        <v>8740</v>
      </c>
      <c r="C74" s="210" t="s">
        <v>915</v>
      </c>
      <c r="D74" s="596">
        <v>361665.04000000004</v>
      </c>
      <c r="E74" s="596">
        <v>388134.93</v>
      </c>
      <c r="F74" s="596">
        <v>427162.31999999977</v>
      </c>
      <c r="G74" s="596">
        <v>365967.21999999991</v>
      </c>
      <c r="H74" s="596">
        <v>433283.29000000027</v>
      </c>
      <c r="I74" s="596">
        <v>539226.75999999989</v>
      </c>
      <c r="J74" s="596">
        <v>457443.27</v>
      </c>
      <c r="K74" s="596">
        <v>459097.14000000042</v>
      </c>
      <c r="L74" s="596">
        <v>503164.57999999984</v>
      </c>
      <c r="M74" s="596">
        <v>454512.7100000002</v>
      </c>
      <c r="N74" s="596">
        <v>423737.72000000003</v>
      </c>
      <c r="O74" s="596">
        <v>440120.99000000011</v>
      </c>
      <c r="P74" s="210">
        <f t="shared" si="6"/>
        <v>5253515.9700000007</v>
      </c>
      <c r="Q74" s="148"/>
      <c r="R74" s="211"/>
      <c r="S74" s="148"/>
    </row>
    <row r="75" spans="1:19">
      <c r="A75" s="867">
        <f t="shared" si="0"/>
        <v>64</v>
      </c>
      <c r="B75" s="829">
        <v>8750</v>
      </c>
      <c r="C75" s="210" t="s">
        <v>916</v>
      </c>
      <c r="D75" s="596">
        <v>105325.39000000001</v>
      </c>
      <c r="E75" s="596">
        <v>39732.149999999994</v>
      </c>
      <c r="F75" s="596">
        <v>29160.480000000007</v>
      </c>
      <c r="G75" s="596">
        <v>41974.970000000008</v>
      </c>
      <c r="H75" s="596">
        <v>68724.280000000013</v>
      </c>
      <c r="I75" s="596">
        <v>49620.76</v>
      </c>
      <c r="J75" s="596">
        <v>48335.380000000005</v>
      </c>
      <c r="K75" s="596">
        <v>58520.320000000022</v>
      </c>
      <c r="L75" s="596">
        <v>38160.189999999995</v>
      </c>
      <c r="M75" s="596">
        <v>30121.939999999995</v>
      </c>
      <c r="N75" s="596">
        <v>43070.990000000005</v>
      </c>
      <c r="O75" s="596">
        <v>47969.62999999999</v>
      </c>
      <c r="P75" s="210">
        <f t="shared" si="6"/>
        <v>600716.4800000001</v>
      </c>
      <c r="Q75" s="148"/>
      <c r="R75" s="211"/>
      <c r="S75" s="148"/>
    </row>
    <row r="76" spans="1:19">
      <c r="A76" s="867">
        <f t="shared" si="0"/>
        <v>65</v>
      </c>
      <c r="B76" s="829">
        <v>8760</v>
      </c>
      <c r="C76" s="210" t="s">
        <v>917</v>
      </c>
      <c r="D76" s="596">
        <v>5807.1399999999994</v>
      </c>
      <c r="E76" s="596">
        <v>9697.42</v>
      </c>
      <c r="F76" s="596">
        <v>17156.93</v>
      </c>
      <c r="G76" s="596">
        <v>7738.0599999999986</v>
      </c>
      <c r="H76" s="596">
        <v>12852.27</v>
      </c>
      <c r="I76" s="596">
        <v>12595.01</v>
      </c>
      <c r="J76" s="596">
        <v>15778.8</v>
      </c>
      <c r="K76" s="596">
        <v>24869.209999999995</v>
      </c>
      <c r="L76" s="596">
        <v>21913.62</v>
      </c>
      <c r="M76" s="596">
        <v>20772.62</v>
      </c>
      <c r="N76" s="596">
        <v>4001.4600000000009</v>
      </c>
      <c r="O76" s="596">
        <v>1993.06</v>
      </c>
      <c r="P76" s="210">
        <f t="shared" si="6"/>
        <v>155175.59999999998</v>
      </c>
      <c r="Q76" s="148"/>
      <c r="R76" s="211"/>
      <c r="S76" s="148"/>
    </row>
    <row r="77" spans="1:19">
      <c r="A77" s="867">
        <f t="shared" si="0"/>
        <v>66</v>
      </c>
      <c r="B77" s="829">
        <v>8770</v>
      </c>
      <c r="C77" s="210" t="s">
        <v>918</v>
      </c>
      <c r="D77" s="596">
        <v>665.18999999999994</v>
      </c>
      <c r="E77" s="596">
        <v>466.99</v>
      </c>
      <c r="F77" s="596">
        <v>206.28000000000003</v>
      </c>
      <c r="G77" s="596">
        <v>412.46</v>
      </c>
      <c r="H77" s="596">
        <v>14620.42</v>
      </c>
      <c r="I77" s="596">
        <v>10311.620000000001</v>
      </c>
      <c r="J77" s="596">
        <v>16660.059999999994</v>
      </c>
      <c r="K77" s="596">
        <v>8266.6299999999992</v>
      </c>
      <c r="L77" s="596">
        <v>93.66</v>
      </c>
      <c r="M77" s="596">
        <v>525.89</v>
      </c>
      <c r="N77" s="596">
        <v>121.6</v>
      </c>
      <c r="O77" s="596">
        <v>4467.17</v>
      </c>
      <c r="P77" s="210">
        <f t="shared" si="6"/>
        <v>56817.969999999987</v>
      </c>
      <c r="Q77" s="148"/>
      <c r="R77" s="211"/>
      <c r="S77" s="148"/>
    </row>
    <row r="78" spans="1:19">
      <c r="A78" s="867">
        <f t="shared" si="0"/>
        <v>67</v>
      </c>
      <c r="B78" s="829">
        <v>8780</v>
      </c>
      <c r="C78" s="210" t="s">
        <v>919</v>
      </c>
      <c r="D78" s="596">
        <v>123136.80000000002</v>
      </c>
      <c r="E78" s="596">
        <v>64566.010000000017</v>
      </c>
      <c r="F78" s="596">
        <v>51528.95</v>
      </c>
      <c r="G78" s="596">
        <v>67477.26999999999</v>
      </c>
      <c r="H78" s="596">
        <v>71004.609999999971</v>
      </c>
      <c r="I78" s="596">
        <v>67138.600000000006</v>
      </c>
      <c r="J78" s="596">
        <v>94402.84</v>
      </c>
      <c r="K78" s="596">
        <v>91466.529999999984</v>
      </c>
      <c r="L78" s="596">
        <v>86659.310000000012</v>
      </c>
      <c r="M78" s="596">
        <v>119886.03000000003</v>
      </c>
      <c r="N78" s="596">
        <v>139040.85</v>
      </c>
      <c r="O78" s="596">
        <v>81446.87000000001</v>
      </c>
      <c r="P78" s="210">
        <f t="shared" si="6"/>
        <v>1057754.6700000002</v>
      </c>
      <c r="Q78" s="148"/>
      <c r="R78" s="211"/>
      <c r="S78" s="148"/>
    </row>
    <row r="79" spans="1:19">
      <c r="A79" s="867">
        <f t="shared" si="0"/>
        <v>68</v>
      </c>
      <c r="B79" s="829">
        <v>8790</v>
      </c>
      <c r="C79" s="210" t="s">
        <v>920</v>
      </c>
      <c r="D79" s="596">
        <v>0</v>
      </c>
      <c r="E79" s="596">
        <v>0</v>
      </c>
      <c r="F79" s="596">
        <v>0</v>
      </c>
      <c r="G79" s="596">
        <v>1827.44</v>
      </c>
      <c r="H79" s="596">
        <v>0</v>
      </c>
      <c r="I79" s="596">
        <v>0</v>
      </c>
      <c r="J79" s="596">
        <v>0</v>
      </c>
      <c r="K79" s="596">
        <v>212</v>
      </c>
      <c r="L79" s="596">
        <v>0</v>
      </c>
      <c r="M79" s="596">
        <v>0</v>
      </c>
      <c r="N79" s="596">
        <v>0</v>
      </c>
      <c r="O79" s="596">
        <v>15.9</v>
      </c>
      <c r="P79" s="210">
        <f t="shared" si="6"/>
        <v>2055.34</v>
      </c>
      <c r="Q79" s="148"/>
      <c r="R79" s="211"/>
      <c r="S79" s="148"/>
    </row>
    <row r="80" spans="1:19">
      <c r="A80" s="867">
        <f t="shared" si="0"/>
        <v>69</v>
      </c>
      <c r="B80" s="829">
        <v>8800</v>
      </c>
      <c r="C80" s="210" t="s">
        <v>921</v>
      </c>
      <c r="D80" s="596">
        <v>732.66</v>
      </c>
      <c r="E80" s="596">
        <v>123.07000000000001</v>
      </c>
      <c r="F80" s="596">
        <v>1232.1099999999999</v>
      </c>
      <c r="G80" s="596">
        <v>444.54</v>
      </c>
      <c r="H80" s="596">
        <v>325.12</v>
      </c>
      <c r="I80" s="596">
        <v>698.71</v>
      </c>
      <c r="J80" s="596">
        <v>19.3</v>
      </c>
      <c r="K80" s="596">
        <v>390.22</v>
      </c>
      <c r="L80" s="596">
        <v>695.83</v>
      </c>
      <c r="M80" s="596">
        <v>1731.4700000000003</v>
      </c>
      <c r="N80" s="596">
        <v>863.55</v>
      </c>
      <c r="O80" s="596">
        <v>733.47</v>
      </c>
      <c r="P80" s="210">
        <f t="shared" si="6"/>
        <v>7990.0500000000011</v>
      </c>
      <c r="Q80" s="148"/>
      <c r="R80" s="148"/>
      <c r="S80" s="148"/>
    </row>
    <row r="81" spans="1:21">
      <c r="A81" s="867">
        <f t="shared" si="0"/>
        <v>70</v>
      </c>
      <c r="B81" s="829">
        <v>8810</v>
      </c>
      <c r="C81" s="210" t="s">
        <v>922</v>
      </c>
      <c r="D81" s="596">
        <v>38427.110000000008</v>
      </c>
      <c r="E81" s="596">
        <v>45087.55000000001</v>
      </c>
      <c r="F81" s="596">
        <v>46694.98000000001</v>
      </c>
      <c r="G81" s="596">
        <v>54738.010000000017</v>
      </c>
      <c r="H81" s="596">
        <v>40066.099999999991</v>
      </c>
      <c r="I81" s="596">
        <v>36209.22</v>
      </c>
      <c r="J81" s="596">
        <v>34937.530000000013</v>
      </c>
      <c r="K81" s="596">
        <v>38894.750000000007</v>
      </c>
      <c r="L81" s="596">
        <v>35704.710000000006</v>
      </c>
      <c r="M81" s="596">
        <v>27200.930000000004</v>
      </c>
      <c r="N81" s="596">
        <v>60290.35</v>
      </c>
      <c r="O81" s="596">
        <v>56322.80999999999</v>
      </c>
      <c r="P81" s="210">
        <f t="shared" si="6"/>
        <v>514574.05000000005</v>
      </c>
      <c r="Q81" s="148"/>
      <c r="R81" s="148"/>
      <c r="S81" s="148"/>
    </row>
    <row r="82" spans="1:21">
      <c r="A82" s="867">
        <f t="shared" si="0"/>
        <v>71</v>
      </c>
      <c r="B82" s="829">
        <v>8850</v>
      </c>
      <c r="C82" s="210" t="s">
        <v>923</v>
      </c>
      <c r="D82" s="596">
        <v>37.75</v>
      </c>
      <c r="E82" s="596">
        <v>168.29</v>
      </c>
      <c r="F82" s="596">
        <v>0</v>
      </c>
      <c r="G82" s="596">
        <v>20.89</v>
      </c>
      <c r="H82" s="596">
        <v>183.35000000000002</v>
      </c>
      <c r="I82" s="596">
        <v>8.3800000000000008</v>
      </c>
      <c r="J82" s="596">
        <v>346.43</v>
      </c>
      <c r="K82" s="596">
        <v>168.57999999999998</v>
      </c>
      <c r="L82" s="596">
        <v>0</v>
      </c>
      <c r="M82" s="596">
        <v>0</v>
      </c>
      <c r="N82" s="596">
        <v>177.10999999999999</v>
      </c>
      <c r="O82" s="596">
        <v>30.79</v>
      </c>
      <c r="P82" s="210">
        <f t="shared" si="6"/>
        <v>1141.57</v>
      </c>
      <c r="Q82" s="148"/>
      <c r="R82" s="148"/>
      <c r="S82" s="148"/>
    </row>
    <row r="83" spans="1:21">
      <c r="A83" s="867">
        <f t="shared" si="0"/>
        <v>72</v>
      </c>
      <c r="B83" s="829">
        <v>8860</v>
      </c>
      <c r="C83" s="210" t="s">
        <v>924</v>
      </c>
      <c r="D83" s="596">
        <v>0</v>
      </c>
      <c r="E83" s="596">
        <v>0</v>
      </c>
      <c r="F83" s="596">
        <v>0</v>
      </c>
      <c r="G83" s="596">
        <v>0</v>
      </c>
      <c r="H83" s="596">
        <v>79.86</v>
      </c>
      <c r="I83" s="596">
        <v>0</v>
      </c>
      <c r="J83" s="596">
        <v>0</v>
      </c>
      <c r="K83" s="596">
        <v>0</v>
      </c>
      <c r="L83" s="596">
        <v>39.33</v>
      </c>
      <c r="M83" s="596">
        <v>0</v>
      </c>
      <c r="N83" s="596">
        <v>0</v>
      </c>
      <c r="O83" s="596">
        <v>0</v>
      </c>
      <c r="P83" s="210">
        <f t="shared" si="6"/>
        <v>119.19</v>
      </c>
      <c r="Q83" s="148"/>
      <c r="R83" s="148"/>
      <c r="S83" s="148"/>
    </row>
    <row r="84" spans="1:21">
      <c r="A84" s="867">
        <f t="shared" si="0"/>
        <v>73</v>
      </c>
      <c r="B84" s="829">
        <v>8870</v>
      </c>
      <c r="C84" s="210" t="s">
        <v>925</v>
      </c>
      <c r="D84" s="596">
        <v>3557.6</v>
      </c>
      <c r="E84" s="596">
        <v>2537.9399999999996</v>
      </c>
      <c r="F84" s="596">
        <v>2437.12</v>
      </c>
      <c r="G84" s="596">
        <v>1169.1400000000001</v>
      </c>
      <c r="H84" s="596">
        <v>2175.04</v>
      </c>
      <c r="I84" s="596">
        <v>4206.62</v>
      </c>
      <c r="J84" s="596">
        <v>987.44</v>
      </c>
      <c r="K84" s="596">
        <v>11765.859999999999</v>
      </c>
      <c r="L84" s="596">
        <v>465.34999999999997</v>
      </c>
      <c r="M84" s="596">
        <v>1020.1999999999999</v>
      </c>
      <c r="N84" s="596">
        <v>4257.34</v>
      </c>
      <c r="O84" s="596">
        <v>9330.9699999999975</v>
      </c>
      <c r="P84" s="210">
        <f t="shared" si="6"/>
        <v>43910.619999999995</v>
      </c>
      <c r="Q84" s="148"/>
      <c r="R84" s="153"/>
      <c r="S84" s="148"/>
    </row>
    <row r="85" spans="1:21">
      <c r="A85" s="867">
        <f t="shared" si="0"/>
        <v>74</v>
      </c>
      <c r="B85" s="829">
        <v>8890</v>
      </c>
      <c r="C85" s="868" t="s">
        <v>926</v>
      </c>
      <c r="D85" s="596">
        <v>9671.44</v>
      </c>
      <c r="E85" s="596">
        <v>8890.89</v>
      </c>
      <c r="F85" s="596">
        <v>3151.4299999999994</v>
      </c>
      <c r="G85" s="596">
        <v>8057.46</v>
      </c>
      <c r="H85" s="596">
        <v>1172.2100000000003</v>
      </c>
      <c r="I85" s="596">
        <v>8114.9599999999991</v>
      </c>
      <c r="J85" s="596">
        <v>2422.0500000000002</v>
      </c>
      <c r="K85" s="596">
        <v>5255.4800000000005</v>
      </c>
      <c r="L85" s="596">
        <v>3235.9</v>
      </c>
      <c r="M85" s="596">
        <v>7223.66</v>
      </c>
      <c r="N85" s="596">
        <v>10543.630000000001</v>
      </c>
      <c r="O85" s="596">
        <v>1831.3000000000006</v>
      </c>
      <c r="P85" s="210">
        <f t="shared" si="6"/>
        <v>69570.410000000018</v>
      </c>
      <c r="Q85" s="148"/>
      <c r="R85" s="148"/>
      <c r="S85" s="148"/>
    </row>
    <row r="86" spans="1:21">
      <c r="A86" s="867">
        <f t="shared" ref="A86:A112" si="8">A85+1</f>
        <v>75</v>
      </c>
      <c r="B86" s="829">
        <v>8900</v>
      </c>
      <c r="C86" s="210" t="s">
        <v>927</v>
      </c>
      <c r="D86" s="596">
        <v>567.77</v>
      </c>
      <c r="E86" s="596">
        <v>-223.67000000000002</v>
      </c>
      <c r="F86" s="596">
        <v>463.96</v>
      </c>
      <c r="G86" s="596">
        <v>0</v>
      </c>
      <c r="H86" s="596">
        <v>419.53</v>
      </c>
      <c r="I86" s="596">
        <v>0</v>
      </c>
      <c r="J86" s="596">
        <v>341.78999999999996</v>
      </c>
      <c r="K86" s="596">
        <v>-128.16999999999999</v>
      </c>
      <c r="L86" s="596">
        <v>0</v>
      </c>
      <c r="M86" s="596">
        <v>0</v>
      </c>
      <c r="N86" s="596">
        <v>0</v>
      </c>
      <c r="O86" s="596">
        <v>0</v>
      </c>
      <c r="P86" s="210">
        <f t="shared" si="6"/>
        <v>1441.2099999999998</v>
      </c>
      <c r="Q86" s="148"/>
      <c r="R86" s="148"/>
      <c r="S86" s="148"/>
    </row>
    <row r="87" spans="1:21">
      <c r="A87" s="867">
        <f t="shared" si="8"/>
        <v>76</v>
      </c>
      <c r="B87" s="829">
        <v>8910</v>
      </c>
      <c r="C87" s="210" t="s">
        <v>928</v>
      </c>
      <c r="D87" s="596">
        <v>0</v>
      </c>
      <c r="E87" s="596">
        <v>0</v>
      </c>
      <c r="F87" s="596">
        <v>0</v>
      </c>
      <c r="G87" s="596">
        <v>0</v>
      </c>
      <c r="H87" s="596">
        <v>0</v>
      </c>
      <c r="I87" s="596">
        <v>560</v>
      </c>
      <c r="J87" s="596">
        <v>240</v>
      </c>
      <c r="K87" s="596">
        <v>0</v>
      </c>
      <c r="L87" s="596">
        <v>207.35</v>
      </c>
      <c r="M87" s="596">
        <v>0</v>
      </c>
      <c r="N87" s="596">
        <v>0</v>
      </c>
      <c r="O87" s="596">
        <v>0</v>
      </c>
      <c r="P87" s="210">
        <f t="shared" si="6"/>
        <v>1007.35</v>
      </c>
      <c r="Q87" s="148"/>
      <c r="R87" s="148"/>
      <c r="S87" s="148"/>
    </row>
    <row r="88" spans="1:21">
      <c r="A88" s="867">
        <f t="shared" si="8"/>
        <v>77</v>
      </c>
      <c r="B88" s="829">
        <v>8920</v>
      </c>
      <c r="C88" s="210" t="s">
        <v>929</v>
      </c>
      <c r="D88" s="596">
        <v>1873.3599999999997</v>
      </c>
      <c r="E88" s="596">
        <v>303.95000000000005</v>
      </c>
      <c r="F88" s="596">
        <v>-33.83</v>
      </c>
      <c r="G88" s="596">
        <v>509.33999999999992</v>
      </c>
      <c r="H88" s="596">
        <v>172.07999999999998</v>
      </c>
      <c r="I88" s="596">
        <v>732.34999999999991</v>
      </c>
      <c r="J88" s="596">
        <v>575.1099999999999</v>
      </c>
      <c r="K88" s="596">
        <v>703.11</v>
      </c>
      <c r="L88" s="596">
        <v>166.61</v>
      </c>
      <c r="M88" s="596">
        <v>97.25</v>
      </c>
      <c r="N88" s="596">
        <v>-45.64</v>
      </c>
      <c r="O88" s="596">
        <v>414.25</v>
      </c>
      <c r="P88" s="210">
        <f t="shared" si="6"/>
        <v>5467.9399999999987</v>
      </c>
      <c r="Q88" s="148"/>
      <c r="R88" s="148"/>
      <c r="S88" s="148"/>
    </row>
    <row r="89" spans="1:21">
      <c r="A89" s="867">
        <f t="shared" si="8"/>
        <v>78</v>
      </c>
      <c r="B89" s="829">
        <v>8930</v>
      </c>
      <c r="C89" s="210" t="s">
        <v>930</v>
      </c>
      <c r="D89" s="596">
        <f>0</f>
        <v>0</v>
      </c>
      <c r="E89" s="596">
        <f>0</f>
        <v>0</v>
      </c>
      <c r="F89" s="596">
        <f>0</f>
        <v>0</v>
      </c>
      <c r="G89" s="596">
        <f>0</f>
        <v>0</v>
      </c>
      <c r="H89" s="596">
        <f>0</f>
        <v>0</v>
      </c>
      <c r="I89" s="596">
        <f>0</f>
        <v>0</v>
      </c>
      <c r="J89" s="596">
        <v>0</v>
      </c>
      <c r="K89" s="596">
        <v>0</v>
      </c>
      <c r="L89" s="596">
        <v>0</v>
      </c>
      <c r="M89" s="596">
        <v>0</v>
      </c>
      <c r="N89" s="596">
        <v>378.49</v>
      </c>
      <c r="O89" s="596">
        <v>0</v>
      </c>
      <c r="P89" s="210">
        <f t="shared" si="6"/>
        <v>378.49</v>
      </c>
      <c r="Q89" s="148"/>
      <c r="R89" s="148"/>
      <c r="S89" s="148"/>
    </row>
    <row r="90" spans="1:21">
      <c r="A90" s="867">
        <f t="shared" si="8"/>
        <v>79</v>
      </c>
      <c r="B90" s="829">
        <v>8940</v>
      </c>
      <c r="C90" s="210" t="s">
        <v>931</v>
      </c>
      <c r="D90" s="596">
        <v>657.09</v>
      </c>
      <c r="E90" s="596">
        <v>430.48</v>
      </c>
      <c r="F90" s="596">
        <v>559.29</v>
      </c>
      <c r="G90" s="596">
        <v>1701.3700000000001</v>
      </c>
      <c r="H90" s="596">
        <v>1255.1400000000001</v>
      </c>
      <c r="I90" s="596">
        <v>161.74</v>
      </c>
      <c r="J90" s="596">
        <v>809.83</v>
      </c>
      <c r="K90" s="596">
        <v>2325.2400000000002</v>
      </c>
      <c r="L90" s="596">
        <v>1631.0599999999997</v>
      </c>
      <c r="M90" s="596">
        <v>1589.6999999999998</v>
      </c>
      <c r="N90" s="596">
        <v>440.97</v>
      </c>
      <c r="O90" s="596">
        <v>511.72999999999996</v>
      </c>
      <c r="P90" s="210">
        <f t="shared" si="6"/>
        <v>12073.639999999998</v>
      </c>
      <c r="Q90" s="148"/>
      <c r="R90" s="148"/>
      <c r="S90" s="148"/>
    </row>
    <row r="91" spans="1:21" s="792" customFormat="1">
      <c r="A91" s="867">
        <f t="shared" si="8"/>
        <v>80</v>
      </c>
      <c r="B91" s="829">
        <v>9010</v>
      </c>
      <c r="C91" s="80" t="s">
        <v>181</v>
      </c>
      <c r="D91" s="596">
        <f>0</f>
        <v>0</v>
      </c>
      <c r="E91" s="596">
        <f>0</f>
        <v>0</v>
      </c>
      <c r="F91" s="596">
        <f>0</f>
        <v>0</v>
      </c>
      <c r="G91" s="596">
        <f>0</f>
        <v>0</v>
      </c>
      <c r="H91" s="596">
        <f>0</f>
        <v>0</v>
      </c>
      <c r="I91" s="596">
        <f>0</f>
        <v>0</v>
      </c>
      <c r="J91" s="596">
        <f>0</f>
        <v>0</v>
      </c>
      <c r="K91" s="596">
        <f>0</f>
        <v>0</v>
      </c>
      <c r="L91" s="596">
        <f>0</f>
        <v>0</v>
      </c>
      <c r="M91" s="596">
        <f>0</f>
        <v>0</v>
      </c>
      <c r="N91" s="596">
        <f>0</f>
        <v>0</v>
      </c>
      <c r="O91" s="596">
        <f>0</f>
        <v>0</v>
      </c>
      <c r="P91" s="210">
        <f t="shared" si="6"/>
        <v>0</v>
      </c>
      <c r="Q91" s="148"/>
      <c r="R91" s="148"/>
      <c r="S91" s="148"/>
    </row>
    <row r="92" spans="1:21">
      <c r="A92" s="867">
        <f t="shared" si="8"/>
        <v>81</v>
      </c>
      <c r="B92" s="829">
        <v>9020</v>
      </c>
      <c r="C92" s="210" t="s">
        <v>932</v>
      </c>
      <c r="D92" s="596">
        <v>101007.06999999999</v>
      </c>
      <c r="E92" s="596">
        <v>103317.64999999997</v>
      </c>
      <c r="F92" s="596">
        <v>108554.81999999999</v>
      </c>
      <c r="G92" s="596">
        <v>100537.97999999997</v>
      </c>
      <c r="H92" s="596">
        <v>125550.17</v>
      </c>
      <c r="I92" s="596">
        <v>81656.400000000009</v>
      </c>
      <c r="J92" s="596">
        <v>96263.980000000025</v>
      </c>
      <c r="K92" s="596">
        <v>103315.36000000002</v>
      </c>
      <c r="L92" s="596">
        <v>112268.28000000001</v>
      </c>
      <c r="M92" s="596">
        <v>114621.40000000001</v>
      </c>
      <c r="N92" s="596">
        <v>81470.66</v>
      </c>
      <c r="O92" s="596">
        <v>92821.000000000044</v>
      </c>
      <c r="P92" s="210">
        <f t="shared" si="6"/>
        <v>1221384.77</v>
      </c>
      <c r="Q92" s="591"/>
      <c r="R92" s="591"/>
      <c r="S92" s="591"/>
      <c r="T92" s="591"/>
      <c r="U92" s="591"/>
    </row>
    <row r="93" spans="1:21">
      <c r="A93" s="867">
        <f t="shared" si="8"/>
        <v>82</v>
      </c>
      <c r="B93" s="829">
        <v>9030</v>
      </c>
      <c r="C93" s="210" t="s">
        <v>937</v>
      </c>
      <c r="D93" s="596">
        <v>97694.84</v>
      </c>
      <c r="E93" s="596">
        <v>100440.28</v>
      </c>
      <c r="F93" s="596">
        <v>127619.04</v>
      </c>
      <c r="G93" s="596">
        <v>120053.23</v>
      </c>
      <c r="H93" s="596">
        <v>127428.33000000003</v>
      </c>
      <c r="I93" s="596">
        <v>142633.01999999996</v>
      </c>
      <c r="J93" s="596">
        <v>122442.04000000001</v>
      </c>
      <c r="K93" s="596">
        <v>103522.38</v>
      </c>
      <c r="L93" s="596">
        <v>97166.270000000033</v>
      </c>
      <c r="M93" s="596">
        <v>104502.35999999999</v>
      </c>
      <c r="N93" s="596">
        <v>100268.15999999999</v>
      </c>
      <c r="O93" s="596">
        <v>82820.879999999961</v>
      </c>
      <c r="P93" s="210">
        <f t="shared" si="6"/>
        <v>1326590.8299999998</v>
      </c>
      <c r="Q93" s="591"/>
      <c r="R93" s="591"/>
      <c r="S93" s="591"/>
      <c r="T93" s="591"/>
      <c r="U93" s="591"/>
    </row>
    <row r="94" spans="1:21">
      <c r="A94" s="867">
        <f t="shared" si="8"/>
        <v>83</v>
      </c>
      <c r="B94" s="829">
        <v>9040</v>
      </c>
      <c r="C94" s="210" t="s">
        <v>938</v>
      </c>
      <c r="D94" s="596">
        <v>47272</v>
      </c>
      <c r="E94" s="596">
        <v>43913</v>
      </c>
      <c r="F94" s="596">
        <v>37532</v>
      </c>
      <c r="G94" s="596">
        <v>54899</v>
      </c>
      <c r="H94" s="596">
        <v>22112</v>
      </c>
      <c r="I94" s="596">
        <v>145471</v>
      </c>
      <c r="J94" s="596">
        <v>22562</v>
      </c>
      <c r="K94" s="596">
        <v>22016</v>
      </c>
      <c r="L94" s="596">
        <v>413203.87</v>
      </c>
      <c r="M94" s="596">
        <v>27566</v>
      </c>
      <c r="N94" s="596">
        <v>37137</v>
      </c>
      <c r="O94" s="596">
        <v>49860</v>
      </c>
      <c r="P94" s="210">
        <f t="shared" si="6"/>
        <v>923543.87</v>
      </c>
      <c r="Q94" s="148"/>
      <c r="R94" s="148"/>
      <c r="S94" s="148"/>
    </row>
    <row r="95" spans="1:21">
      <c r="A95" s="867">
        <f t="shared" si="8"/>
        <v>84</v>
      </c>
      <c r="B95" s="829">
        <v>9090</v>
      </c>
      <c r="C95" s="210" t="s">
        <v>939</v>
      </c>
      <c r="D95" s="596">
        <v>12026.800000000001</v>
      </c>
      <c r="E95" s="596">
        <v>8468.51</v>
      </c>
      <c r="F95" s="596">
        <v>11705.92</v>
      </c>
      <c r="G95" s="596">
        <v>11387.3</v>
      </c>
      <c r="H95" s="596">
        <v>12611.04</v>
      </c>
      <c r="I95" s="596">
        <v>11147.93</v>
      </c>
      <c r="J95" s="596">
        <v>9315.3700000000008</v>
      </c>
      <c r="K95" s="596">
        <v>15010.720000000001</v>
      </c>
      <c r="L95" s="596">
        <v>8468.52</v>
      </c>
      <c r="M95" s="596">
        <v>5021.2199999999993</v>
      </c>
      <c r="N95" s="596">
        <v>1432.67</v>
      </c>
      <c r="O95" s="596">
        <v>7044.0300000000007</v>
      </c>
      <c r="P95" s="210">
        <f t="shared" si="6"/>
        <v>113640.03</v>
      </c>
      <c r="Q95" s="148"/>
      <c r="R95" s="148"/>
      <c r="S95" s="148"/>
    </row>
    <row r="96" spans="1:21" s="792" customFormat="1">
      <c r="A96" s="867">
        <f t="shared" si="8"/>
        <v>85</v>
      </c>
      <c r="B96" s="829">
        <v>9100</v>
      </c>
      <c r="C96" s="210" t="s">
        <v>940</v>
      </c>
      <c r="D96" s="596">
        <f>0</f>
        <v>0</v>
      </c>
      <c r="E96" s="596">
        <f>0</f>
        <v>0</v>
      </c>
      <c r="F96" s="596">
        <f>0</f>
        <v>0</v>
      </c>
      <c r="G96" s="596">
        <f>0</f>
        <v>0</v>
      </c>
      <c r="H96" s="596">
        <f>0</f>
        <v>0</v>
      </c>
      <c r="I96" s="596">
        <f>0</f>
        <v>0</v>
      </c>
      <c r="J96" s="596">
        <v>0</v>
      </c>
      <c r="K96" s="596">
        <v>0</v>
      </c>
      <c r="L96" s="596">
        <v>85</v>
      </c>
      <c r="M96" s="596">
        <v>0</v>
      </c>
      <c r="N96" s="596">
        <v>0</v>
      </c>
      <c r="O96" s="596">
        <v>0</v>
      </c>
      <c r="P96" s="210">
        <f t="shared" si="6"/>
        <v>85</v>
      </c>
      <c r="Q96" s="148"/>
      <c r="R96" s="148"/>
      <c r="S96" s="148"/>
    </row>
    <row r="97" spans="1:19">
      <c r="A97" s="867">
        <f t="shared" si="8"/>
        <v>86</v>
      </c>
      <c r="B97" s="829">
        <v>9110</v>
      </c>
      <c r="C97" s="210" t="s">
        <v>941</v>
      </c>
      <c r="D97" s="596">
        <v>19520.36</v>
      </c>
      <c r="E97" s="596">
        <v>21068.82</v>
      </c>
      <c r="F97" s="596">
        <v>25225.98</v>
      </c>
      <c r="G97" s="596">
        <v>21668.09</v>
      </c>
      <c r="H97" s="596">
        <v>22385.53</v>
      </c>
      <c r="I97" s="596">
        <v>21581.869999999995</v>
      </c>
      <c r="J97" s="596">
        <v>23821.850000000002</v>
      </c>
      <c r="K97" s="596">
        <v>21262.18</v>
      </c>
      <c r="L97" s="596">
        <v>21137.489999999994</v>
      </c>
      <c r="M97" s="596">
        <v>26051.07</v>
      </c>
      <c r="N97" s="596">
        <v>21092.530000000002</v>
      </c>
      <c r="O97" s="596">
        <v>18442.310000000001</v>
      </c>
      <c r="P97" s="210">
        <f t="shared" si="6"/>
        <v>263258.08</v>
      </c>
      <c r="Q97" s="148"/>
      <c r="R97" s="153"/>
      <c r="S97" s="148"/>
    </row>
    <row r="98" spans="1:19">
      <c r="A98" s="867">
        <f t="shared" si="8"/>
        <v>87</v>
      </c>
      <c r="B98" s="829">
        <v>9120</v>
      </c>
      <c r="C98" s="210" t="s">
        <v>942</v>
      </c>
      <c r="D98" s="596">
        <v>14361.869999999999</v>
      </c>
      <c r="E98" s="596">
        <v>15310.52</v>
      </c>
      <c r="F98" s="596">
        <v>4892.2999999999993</v>
      </c>
      <c r="G98" s="596">
        <v>9360</v>
      </c>
      <c r="H98" s="596">
        <v>7556.7900000000009</v>
      </c>
      <c r="I98" s="596">
        <v>22228.080000000002</v>
      </c>
      <c r="J98" s="596">
        <v>4364.1399999999994</v>
      </c>
      <c r="K98" s="596">
        <v>16579.910000000003</v>
      </c>
      <c r="L98" s="596">
        <v>11905.43</v>
      </c>
      <c r="M98" s="596">
        <v>4642</v>
      </c>
      <c r="N98" s="596">
        <v>7531.7099999999991</v>
      </c>
      <c r="O98" s="596">
        <v>4851.71</v>
      </c>
      <c r="P98" s="210">
        <f t="shared" si="6"/>
        <v>123584.46</v>
      </c>
      <c r="Q98" s="148"/>
      <c r="R98" s="153"/>
      <c r="S98" s="148"/>
    </row>
    <row r="99" spans="1:19">
      <c r="A99" s="867">
        <f t="shared" si="8"/>
        <v>88</v>
      </c>
      <c r="B99" s="829">
        <v>9130</v>
      </c>
      <c r="C99" s="210" t="s">
        <v>943</v>
      </c>
      <c r="D99" s="596">
        <v>3358</v>
      </c>
      <c r="E99" s="596">
        <v>3434.5</v>
      </c>
      <c r="F99" s="596">
        <v>7296.82</v>
      </c>
      <c r="G99" s="596">
        <v>1606</v>
      </c>
      <c r="H99" s="596">
        <v>5853.73</v>
      </c>
      <c r="I99" s="596">
        <v>670.66</v>
      </c>
      <c r="J99" s="596">
        <v>1665.79</v>
      </c>
      <c r="K99" s="596">
        <v>460.31</v>
      </c>
      <c r="L99" s="596">
        <v>1304</v>
      </c>
      <c r="M99" s="596">
        <v>2744.4</v>
      </c>
      <c r="N99" s="596">
        <v>460</v>
      </c>
      <c r="O99" s="596">
        <v>1216.48</v>
      </c>
      <c r="P99" s="210">
        <f t="shared" si="6"/>
        <v>30070.690000000002</v>
      </c>
      <c r="Q99" s="148"/>
      <c r="R99" s="148"/>
      <c r="S99" s="148"/>
    </row>
    <row r="100" spans="1:19">
      <c r="A100" s="867">
        <f t="shared" si="8"/>
        <v>89</v>
      </c>
      <c r="B100" s="829">
        <v>9200</v>
      </c>
      <c r="C100" s="103" t="s">
        <v>182</v>
      </c>
      <c r="D100" s="596">
        <v>10060.35</v>
      </c>
      <c r="E100" s="596">
        <v>10881.92</v>
      </c>
      <c r="F100" s="596">
        <v>11970.02</v>
      </c>
      <c r="G100" s="596">
        <v>11635.840000000002</v>
      </c>
      <c r="H100" s="596">
        <v>12840.22</v>
      </c>
      <c r="I100" s="596">
        <v>11987.77</v>
      </c>
      <c r="J100" s="596">
        <v>11761.189999999999</v>
      </c>
      <c r="K100" s="596">
        <v>12523.89</v>
      </c>
      <c r="L100" s="596">
        <v>11204.369999999999</v>
      </c>
      <c r="M100" s="596">
        <v>12487.98</v>
      </c>
      <c r="N100" s="596">
        <v>12584.029999999999</v>
      </c>
      <c r="O100" s="596">
        <v>11370.72</v>
      </c>
      <c r="P100" s="210">
        <f t="shared" ref="P100" si="9">SUM(D100:O100)</f>
        <v>141308.29999999999</v>
      </c>
      <c r="Q100" s="148"/>
      <c r="R100" s="153"/>
      <c r="S100" s="148"/>
    </row>
    <row r="101" spans="1:19">
      <c r="A101" s="867">
        <f t="shared" si="8"/>
        <v>90</v>
      </c>
      <c r="B101" s="829">
        <v>9210</v>
      </c>
      <c r="C101" s="210" t="s">
        <v>944</v>
      </c>
      <c r="D101" s="596">
        <v>2618.4899999999998</v>
      </c>
      <c r="E101" s="596">
        <v>1092.6300000000001</v>
      </c>
      <c r="F101" s="596">
        <v>2815.3300000000004</v>
      </c>
      <c r="G101" s="596">
        <v>2162.7400000000002</v>
      </c>
      <c r="H101" s="596">
        <v>-50</v>
      </c>
      <c r="I101" s="596">
        <v>2570.1599999999994</v>
      </c>
      <c r="J101" s="596">
        <v>379.17</v>
      </c>
      <c r="K101" s="596">
        <v>1179.76</v>
      </c>
      <c r="L101" s="596">
        <v>668.38</v>
      </c>
      <c r="M101" s="596">
        <v>671.02</v>
      </c>
      <c r="N101" s="596">
        <v>751.43</v>
      </c>
      <c r="O101" s="596">
        <v>504</v>
      </c>
      <c r="P101" s="210">
        <f t="shared" si="6"/>
        <v>15363.11</v>
      </c>
      <c r="Q101" s="148"/>
      <c r="R101" s="153"/>
      <c r="S101" s="148"/>
    </row>
    <row r="102" spans="1:19">
      <c r="A102" s="867">
        <f t="shared" si="8"/>
        <v>91</v>
      </c>
      <c r="B102" s="829">
        <v>9220</v>
      </c>
      <c r="C102" s="210" t="s">
        <v>945</v>
      </c>
      <c r="D102" s="596">
        <v>1077087.21</v>
      </c>
      <c r="E102" s="596">
        <v>921577.6399999999</v>
      </c>
      <c r="F102" s="596">
        <v>1144943.74</v>
      </c>
      <c r="G102" s="596">
        <v>997870.45000000007</v>
      </c>
      <c r="H102" s="596">
        <v>1306075.25</v>
      </c>
      <c r="I102" s="596">
        <v>776411.64000000013</v>
      </c>
      <c r="J102" s="596">
        <v>1249960.79</v>
      </c>
      <c r="K102" s="596">
        <v>942359.86</v>
      </c>
      <c r="L102" s="596">
        <v>894565.61</v>
      </c>
      <c r="M102" s="596">
        <v>1026293.2</v>
      </c>
      <c r="N102" s="596">
        <v>781835.37000000011</v>
      </c>
      <c r="O102" s="596">
        <v>815621.80999999994</v>
      </c>
      <c r="P102" s="210">
        <f>SUM(D102:O102)</f>
        <v>11934602.569999998</v>
      </c>
      <c r="Q102" s="591"/>
      <c r="R102" s="808"/>
      <c r="S102" s="210"/>
    </row>
    <row r="103" spans="1:19">
      <c r="A103" s="867">
        <f t="shared" si="8"/>
        <v>92</v>
      </c>
      <c r="B103" s="829">
        <v>9230</v>
      </c>
      <c r="C103" s="210" t="s">
        <v>946</v>
      </c>
      <c r="D103" s="596">
        <v>160</v>
      </c>
      <c r="E103" s="596">
        <v>0</v>
      </c>
      <c r="F103" s="596">
        <v>15003.95</v>
      </c>
      <c r="G103" s="596">
        <v>6064.95</v>
      </c>
      <c r="H103" s="596">
        <v>256.70999999999998</v>
      </c>
      <c r="I103" s="596">
        <v>185986.05</v>
      </c>
      <c r="J103" s="596">
        <v>6000</v>
      </c>
      <c r="K103" s="596">
        <v>86000</v>
      </c>
      <c r="L103" s="596">
        <v>13171.93</v>
      </c>
      <c r="M103" s="596">
        <v>392</v>
      </c>
      <c r="N103" s="596">
        <v>6000</v>
      </c>
      <c r="O103" s="596">
        <v>13261.5</v>
      </c>
      <c r="P103" s="210">
        <f t="shared" si="6"/>
        <v>332297.08999999997</v>
      </c>
      <c r="Q103" s="148"/>
      <c r="R103" s="153"/>
      <c r="S103" s="148"/>
    </row>
    <row r="104" spans="1:19">
      <c r="A104" s="867">
        <f t="shared" si="8"/>
        <v>93</v>
      </c>
      <c r="B104" s="829">
        <v>9240</v>
      </c>
      <c r="C104" s="210" t="s">
        <v>947</v>
      </c>
      <c r="D104" s="596">
        <v>14262.050000000001</v>
      </c>
      <c r="E104" s="596">
        <v>14560.55</v>
      </c>
      <c r="F104" s="596">
        <v>13925.159999999996</v>
      </c>
      <c r="G104" s="596">
        <v>13180.759999999998</v>
      </c>
      <c r="H104" s="596">
        <v>14464.279999999999</v>
      </c>
      <c r="I104" s="596">
        <v>14123.289999999997</v>
      </c>
      <c r="J104" s="596">
        <v>14206.489999999998</v>
      </c>
      <c r="K104" s="596">
        <v>13883.929999999998</v>
      </c>
      <c r="L104" s="596">
        <v>13867.829999999998</v>
      </c>
      <c r="M104" s="596">
        <v>14577.439999999999</v>
      </c>
      <c r="N104" s="596">
        <v>15277.809999999998</v>
      </c>
      <c r="O104" s="596">
        <v>14673.199999999997</v>
      </c>
      <c r="P104" s="210">
        <f t="shared" si="6"/>
        <v>171002.78999999998</v>
      </c>
      <c r="Q104" s="148"/>
      <c r="R104" s="153"/>
      <c r="S104" s="148"/>
    </row>
    <row r="105" spans="1:19">
      <c r="A105" s="867">
        <f t="shared" si="8"/>
        <v>94</v>
      </c>
      <c r="B105" s="829">
        <v>9250</v>
      </c>
      <c r="C105" s="210" t="s">
        <v>948</v>
      </c>
      <c r="D105" s="596">
        <v>2590.35</v>
      </c>
      <c r="E105" s="596">
        <v>3244.3199999999997</v>
      </c>
      <c r="F105" s="596">
        <v>7378.8200000000006</v>
      </c>
      <c r="G105" s="596">
        <v>4033.83</v>
      </c>
      <c r="H105" s="596">
        <v>26251.22</v>
      </c>
      <c r="I105" s="596">
        <v>1996.4799999999998</v>
      </c>
      <c r="J105" s="596">
        <v>4215.9400000000005</v>
      </c>
      <c r="K105" s="596">
        <v>9277.380000000001</v>
      </c>
      <c r="L105" s="596">
        <v>952.09999999999991</v>
      </c>
      <c r="M105" s="596">
        <v>4136.29</v>
      </c>
      <c r="N105" s="596">
        <v>3064.44</v>
      </c>
      <c r="O105" s="596">
        <v>619.91000000000008</v>
      </c>
      <c r="P105" s="210">
        <f t="shared" si="6"/>
        <v>67761.080000000016</v>
      </c>
      <c r="Q105" s="148"/>
      <c r="R105" s="153"/>
      <c r="S105" s="148"/>
    </row>
    <row r="106" spans="1:19">
      <c r="A106" s="867">
        <f t="shared" si="8"/>
        <v>95</v>
      </c>
      <c r="B106" s="829">
        <v>9260</v>
      </c>
      <c r="C106" s="210" t="s">
        <v>949</v>
      </c>
      <c r="D106" s="596">
        <v>186990.49999999994</v>
      </c>
      <c r="E106" s="596">
        <v>142600.23000000004</v>
      </c>
      <c r="F106" s="596">
        <v>136940.19000000003</v>
      </c>
      <c r="G106" s="596">
        <v>137078.23000000004</v>
      </c>
      <c r="H106" s="596">
        <v>173568.5800000001</v>
      </c>
      <c r="I106" s="596">
        <v>139491.36999999994</v>
      </c>
      <c r="J106" s="596">
        <v>154423.14000000007</v>
      </c>
      <c r="K106" s="596">
        <v>156858.75999999992</v>
      </c>
      <c r="L106" s="596">
        <v>137338.30000000008</v>
      </c>
      <c r="M106" s="596">
        <v>164009.97000000009</v>
      </c>
      <c r="N106" s="596">
        <v>153428.99</v>
      </c>
      <c r="O106" s="596">
        <v>138962.34999999992</v>
      </c>
      <c r="P106" s="210">
        <f>SUM(D106:O106)</f>
        <v>1821690.6100000003</v>
      </c>
      <c r="Q106" s="148"/>
      <c r="R106" s="153"/>
      <c r="S106" s="148"/>
    </row>
    <row r="107" spans="1:19">
      <c r="A107" s="867">
        <f t="shared" si="8"/>
        <v>96</v>
      </c>
      <c r="B107" s="829">
        <v>9270</v>
      </c>
      <c r="C107" s="210" t="s">
        <v>950</v>
      </c>
      <c r="D107" s="596">
        <v>0</v>
      </c>
      <c r="E107" s="596">
        <v>408.39</v>
      </c>
      <c r="F107" s="596">
        <v>0</v>
      </c>
      <c r="G107" s="596">
        <v>0</v>
      </c>
      <c r="H107" s="596">
        <v>0</v>
      </c>
      <c r="I107" s="596">
        <v>0</v>
      </c>
      <c r="J107" s="596">
        <v>143.63</v>
      </c>
      <c r="K107" s="596">
        <v>0</v>
      </c>
      <c r="L107" s="596">
        <v>164.9</v>
      </c>
      <c r="M107" s="596">
        <v>9.89</v>
      </c>
      <c r="N107" s="596">
        <v>0</v>
      </c>
      <c r="O107" s="596">
        <v>0</v>
      </c>
      <c r="P107" s="210">
        <f t="shared" si="6"/>
        <v>726.81</v>
      </c>
      <c r="Q107" s="148"/>
      <c r="R107" s="153"/>
      <c r="S107" s="148"/>
    </row>
    <row r="108" spans="1:19">
      <c r="A108" s="867">
        <f t="shared" si="8"/>
        <v>97</v>
      </c>
      <c r="B108" s="829">
        <v>9280</v>
      </c>
      <c r="C108" s="210" t="s">
        <v>951</v>
      </c>
      <c r="D108" s="596">
        <v>-5239.2</v>
      </c>
      <c r="E108" s="596">
        <v>5750.21</v>
      </c>
      <c r="F108" s="596">
        <v>22134.719999999998</v>
      </c>
      <c r="G108" s="596">
        <v>21252.720000000001</v>
      </c>
      <c r="H108" s="596">
        <v>-139296.40000000002</v>
      </c>
      <c r="I108" s="596">
        <v>20951.13</v>
      </c>
      <c r="J108" s="596">
        <v>22778.05</v>
      </c>
      <c r="K108" s="596">
        <v>14487.1</v>
      </c>
      <c r="L108" s="596">
        <v>33076.6</v>
      </c>
      <c r="M108" s="596">
        <v>116399.93</v>
      </c>
      <c r="N108" s="596">
        <v>24903.010000000002</v>
      </c>
      <c r="O108" s="596">
        <v>9694</v>
      </c>
      <c r="P108" s="210">
        <f t="shared" si="6"/>
        <v>146891.86999999997</v>
      </c>
      <c r="Q108" s="148"/>
      <c r="R108" s="153"/>
      <c r="S108" s="148"/>
    </row>
    <row r="109" spans="1:19">
      <c r="A109" s="867">
        <f t="shared" si="8"/>
        <v>98</v>
      </c>
      <c r="B109" s="829">
        <v>9302</v>
      </c>
      <c r="C109" s="210" t="s">
        <v>857</v>
      </c>
      <c r="D109" s="596">
        <v>20219.580000000002</v>
      </c>
      <c r="E109" s="596">
        <v>4981.92</v>
      </c>
      <c r="F109" s="596">
        <v>4023.58</v>
      </c>
      <c r="G109" s="596">
        <v>13198.58</v>
      </c>
      <c r="H109" s="596">
        <v>3648.58</v>
      </c>
      <c r="I109" s="596">
        <v>5221.66</v>
      </c>
      <c r="J109" s="596">
        <v>5926.1399999999994</v>
      </c>
      <c r="K109" s="596">
        <v>5083.58</v>
      </c>
      <c r="L109" s="596">
        <v>18753.580000000002</v>
      </c>
      <c r="M109" s="596">
        <v>17466.16</v>
      </c>
      <c r="N109" s="596">
        <v>7130.26</v>
      </c>
      <c r="O109" s="596">
        <v>5779.76</v>
      </c>
      <c r="P109" s="210">
        <f t="shared" ref="P109:P111" si="10">SUM(D109:O109)</f>
        <v>111433.38</v>
      </c>
      <c r="Q109" s="148"/>
      <c r="R109" s="153"/>
      <c r="S109" s="148"/>
    </row>
    <row r="110" spans="1:19">
      <c r="A110" s="867">
        <f t="shared" si="8"/>
        <v>99</v>
      </c>
      <c r="B110" s="829">
        <v>9310</v>
      </c>
      <c r="C110" s="103" t="s">
        <v>184</v>
      </c>
      <c r="D110" s="596">
        <v>1304.52</v>
      </c>
      <c r="E110" s="596">
        <v>1304.52</v>
      </c>
      <c r="F110" s="596">
        <v>1304.52</v>
      </c>
      <c r="G110" s="596">
        <v>1304.52</v>
      </c>
      <c r="H110" s="596">
        <v>1299.57</v>
      </c>
      <c r="I110" s="596">
        <v>1299.57</v>
      </c>
      <c r="J110" s="596">
        <v>1299.57</v>
      </c>
      <c r="K110" s="596">
        <v>1299.57</v>
      </c>
      <c r="L110" s="596">
        <v>1299.57</v>
      </c>
      <c r="M110" s="596">
        <v>1299.57</v>
      </c>
      <c r="N110" s="596">
        <v>1299.57</v>
      </c>
      <c r="O110" s="596">
        <v>1299.57</v>
      </c>
      <c r="P110" s="210">
        <f t="shared" si="10"/>
        <v>15614.639999999998</v>
      </c>
      <c r="Q110" s="148"/>
      <c r="R110" s="153"/>
      <c r="S110" s="148"/>
    </row>
    <row r="111" spans="1:19">
      <c r="A111" s="867">
        <f t="shared" si="8"/>
        <v>100</v>
      </c>
      <c r="B111" s="829">
        <v>9320</v>
      </c>
      <c r="C111" s="80" t="s">
        <v>185</v>
      </c>
      <c r="D111" s="596">
        <v>0</v>
      </c>
      <c r="E111" s="596">
        <v>0</v>
      </c>
      <c r="F111" s="596">
        <v>0</v>
      </c>
      <c r="G111" s="596">
        <v>0</v>
      </c>
      <c r="H111" s="596">
        <v>0</v>
      </c>
      <c r="I111" s="596">
        <v>11000</v>
      </c>
      <c r="J111" s="596">
        <v>0</v>
      </c>
      <c r="K111" s="596">
        <v>0</v>
      </c>
      <c r="L111" s="596">
        <v>0</v>
      </c>
      <c r="M111" s="596">
        <v>0</v>
      </c>
      <c r="N111" s="596">
        <v>0</v>
      </c>
      <c r="O111" s="596">
        <v>0</v>
      </c>
      <c r="P111" s="210">
        <f t="shared" si="10"/>
        <v>11000</v>
      </c>
      <c r="Q111" s="148"/>
      <c r="R111" s="148"/>
      <c r="S111" s="148"/>
    </row>
    <row r="112" spans="1:19">
      <c r="A112" s="867">
        <f t="shared" si="8"/>
        <v>101</v>
      </c>
      <c r="B112" s="148"/>
      <c r="C112" s="148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8"/>
      <c r="P112" s="212"/>
      <c r="Q112" s="212"/>
      <c r="R112" s="212"/>
      <c r="S112" s="212"/>
    </row>
    <row r="113" spans="1:19" ht="15.75" thickBot="1">
      <c r="A113" s="247">
        <f t="shared" ref="A113" si="11">A112+1</f>
        <v>102</v>
      </c>
      <c r="B113" s="212"/>
      <c r="C113" s="212" t="s">
        <v>734</v>
      </c>
      <c r="D113" s="214">
        <f t="shared" ref="D113:O113" si="12">SUM(D14:D112)</f>
        <v>-6672482.2500000037</v>
      </c>
      <c r="E113" s="214">
        <f t="shared" si="12"/>
        <v>-6217457.6300000008</v>
      </c>
      <c r="F113" s="214">
        <f t="shared" si="12"/>
        <v>-4422971.9699999988</v>
      </c>
      <c r="G113" s="214">
        <f t="shared" si="12"/>
        <v>-3199298.8199999989</v>
      </c>
      <c r="H113" s="214">
        <f t="shared" si="12"/>
        <v>-902644.24999999965</v>
      </c>
      <c r="I113" s="214">
        <f t="shared" si="12"/>
        <v>-492418.05999999761</v>
      </c>
      <c r="J113" s="785">
        <f t="shared" si="12"/>
        <v>-650087.68000000052</v>
      </c>
      <c r="K113" s="214">
        <f t="shared" si="12"/>
        <v>-421343.37999999756</v>
      </c>
      <c r="L113" s="214">
        <f t="shared" si="12"/>
        <v>-731379.93999999948</v>
      </c>
      <c r="M113" s="214">
        <f t="shared" si="12"/>
        <v>-1791227.2299999986</v>
      </c>
      <c r="N113" s="214">
        <f t="shared" si="12"/>
        <v>-3638044.3800000031</v>
      </c>
      <c r="O113" s="214">
        <f t="shared" si="12"/>
        <v>-6073844.9399999948</v>
      </c>
      <c r="P113" s="214">
        <f>SUM(P12:P112)</f>
        <v>-23076213.000000022</v>
      </c>
      <c r="Q113" s="215"/>
      <c r="R113" s="210"/>
      <c r="S113" s="212"/>
    </row>
    <row r="114" spans="1:19" ht="15.75" thickTop="1">
      <c r="A114" s="212"/>
      <c r="B114" s="212"/>
      <c r="C114" s="212"/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</row>
    <row r="115" spans="1:19">
      <c r="A115" s="212"/>
      <c r="B115" s="212"/>
      <c r="C115" s="212" t="s">
        <v>197</v>
      </c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R115" s="212"/>
      <c r="S115" s="212"/>
    </row>
    <row r="116" spans="1:19">
      <c r="A116" s="212"/>
      <c r="B116" s="212"/>
      <c r="C116" s="213" t="s">
        <v>1215</v>
      </c>
      <c r="D116" s="212"/>
      <c r="E116" s="212"/>
      <c r="F116" s="212"/>
      <c r="G116" s="212"/>
      <c r="H116" s="212"/>
      <c r="I116" s="212"/>
      <c r="J116" s="212"/>
      <c r="K116" s="212"/>
      <c r="L116" s="212"/>
      <c r="M116" s="212"/>
      <c r="N116" s="212"/>
      <c r="O116" s="591"/>
      <c r="P116" s="212"/>
      <c r="Q116" s="212"/>
      <c r="R116" s="212"/>
      <c r="S116" s="212"/>
    </row>
    <row r="117" spans="1:19">
      <c r="A117" s="212"/>
      <c r="B117" s="212"/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212"/>
      <c r="P117" s="212"/>
      <c r="Q117" s="216"/>
      <c r="R117" s="212"/>
      <c r="S117" s="212"/>
    </row>
    <row r="118" spans="1:19">
      <c r="A118" s="212"/>
      <c r="B118" s="212"/>
      <c r="C118" s="212"/>
      <c r="D118" s="212"/>
      <c r="E118" s="212"/>
      <c r="F118" s="212"/>
      <c r="G118" s="212"/>
      <c r="H118" s="212"/>
      <c r="I118" s="212"/>
      <c r="J118" s="216"/>
      <c r="K118" s="216"/>
      <c r="L118" s="212"/>
      <c r="M118" s="212"/>
      <c r="N118" s="212"/>
      <c r="P118" s="80"/>
      <c r="Q118" s="80"/>
      <c r="R118" s="212"/>
      <c r="S118" s="212"/>
    </row>
    <row r="119" spans="1:19">
      <c r="A119" s="212"/>
      <c r="B119" s="212" t="s">
        <v>953</v>
      </c>
      <c r="C119" s="213"/>
      <c r="D119" s="212"/>
      <c r="E119" s="212"/>
      <c r="F119" s="216"/>
      <c r="G119" s="212"/>
      <c r="H119" s="212"/>
      <c r="I119" s="212"/>
      <c r="J119" s="216"/>
      <c r="K119" s="216"/>
      <c r="L119" s="212"/>
      <c r="M119" s="212"/>
      <c r="N119" s="212"/>
      <c r="P119" s="606">
        <f>SUM(P30:P111)</f>
        <v>118344159.68999992</v>
      </c>
      <c r="R119" s="212"/>
      <c r="S119" s="212"/>
    </row>
    <row r="120" spans="1:19">
      <c r="A120" s="212"/>
      <c r="B120" s="212" t="s">
        <v>1653</v>
      </c>
      <c r="C120" s="212"/>
      <c r="D120" s="217"/>
      <c r="E120" s="217"/>
      <c r="F120" s="217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6"/>
      <c r="R120" s="212"/>
      <c r="S120" s="212"/>
    </row>
    <row r="121" spans="1:19">
      <c r="A121" s="212"/>
      <c r="B121" s="1" t="s">
        <v>1620</v>
      </c>
      <c r="C121" s="212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6"/>
      <c r="P121" s="212"/>
      <c r="Q121" s="216"/>
      <c r="R121" s="212"/>
      <c r="S121" s="212"/>
    </row>
    <row r="122" spans="1:19">
      <c r="A122" s="212"/>
      <c r="B122" s="212"/>
      <c r="C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t="s">
        <v>1644</v>
      </c>
      <c r="P122" s="212">
        <f>SUM(P47:P111)+P30+P31-P102</f>
        <v>17403321.43</v>
      </c>
      <c r="Q122" s="212"/>
      <c r="R122" s="212"/>
      <c r="S122" s="212"/>
    </row>
    <row r="123" spans="1:19">
      <c r="A123" s="212"/>
      <c r="B123" s="212"/>
      <c r="C123" s="212"/>
      <c r="D123" s="212">
        <f>SUM(D47:D111)+D30+D31-D102</f>
        <v>1422291.2999999998</v>
      </c>
      <c r="E123" s="212">
        <f t="shared" ref="E123:O123" si="13">SUM(E47:E111)+E30+E31-E102</f>
        <v>1161373.8199999998</v>
      </c>
      <c r="F123" s="212">
        <f t="shared" si="13"/>
        <v>1308387.2100000002</v>
      </c>
      <c r="G123" s="212">
        <f t="shared" si="13"/>
        <v>1295849.9900000002</v>
      </c>
      <c r="H123" s="212">
        <f t="shared" si="13"/>
        <v>1361516.6900000004</v>
      </c>
      <c r="I123" s="212">
        <f t="shared" si="13"/>
        <v>1943285.7999999998</v>
      </c>
      <c r="J123" s="212">
        <f t="shared" si="13"/>
        <v>1359181.71</v>
      </c>
      <c r="K123" s="212">
        <f t="shared" si="13"/>
        <v>1745684.3400000008</v>
      </c>
      <c r="L123" s="212">
        <f t="shared" si="13"/>
        <v>1860188.3400000003</v>
      </c>
      <c r="M123" s="212">
        <f t="shared" si="13"/>
        <v>1297490.8700000008</v>
      </c>
      <c r="N123" s="212">
        <f t="shared" si="13"/>
        <v>1396546.3899999992</v>
      </c>
      <c r="O123" s="212">
        <f t="shared" si="13"/>
        <v>1251524.9700000002</v>
      </c>
      <c r="P123" s="216"/>
      <c r="Q123" s="212"/>
      <c r="R123" s="212"/>
      <c r="S123" s="212"/>
    </row>
    <row r="124" spans="1:19">
      <c r="A124" s="212"/>
      <c r="B124" s="212"/>
      <c r="C124" s="212"/>
      <c r="D124" s="212">
        <v>1422291.3</v>
      </c>
      <c r="E124" s="212">
        <v>1161373.82</v>
      </c>
      <c r="F124" s="212">
        <v>1308387.2099999997</v>
      </c>
      <c r="G124" s="212">
        <v>1295849.9899999998</v>
      </c>
      <c r="H124" s="212">
        <v>1361516.6900000002</v>
      </c>
      <c r="I124" s="212">
        <v>1943285.7999999996</v>
      </c>
      <c r="J124" s="212">
        <v>1313767.3699999999</v>
      </c>
      <c r="K124" s="212">
        <v>1146960.99</v>
      </c>
      <c r="L124" s="212">
        <v>1074936.31</v>
      </c>
      <c r="M124" s="212">
        <v>1174001.7989999999</v>
      </c>
      <c r="N124" s="212">
        <v>1196940.9963</v>
      </c>
      <c r="O124" s="212">
        <v>1101078.9165000001</v>
      </c>
      <c r="P124" s="216"/>
      <c r="Q124" s="212"/>
      <c r="R124" s="212"/>
      <c r="S124" s="212"/>
    </row>
    <row r="125" spans="1:19">
      <c r="A125" s="212"/>
      <c r="B125" s="212"/>
      <c r="C125" s="591"/>
      <c r="D125" s="718">
        <f>D123-D124</f>
        <v>0</v>
      </c>
      <c r="E125" s="718">
        <f t="shared" ref="E125:O125" si="14">E123-E124</f>
        <v>0</v>
      </c>
      <c r="F125" s="718">
        <f t="shared" si="14"/>
        <v>0</v>
      </c>
      <c r="G125" s="718">
        <f t="shared" si="14"/>
        <v>0</v>
      </c>
      <c r="H125" s="718">
        <f t="shared" si="14"/>
        <v>0</v>
      </c>
      <c r="I125" s="718">
        <f t="shared" si="14"/>
        <v>0</v>
      </c>
      <c r="J125" s="718">
        <f t="shared" si="14"/>
        <v>45414.340000000084</v>
      </c>
      <c r="K125" s="718">
        <f t="shared" si="14"/>
        <v>598723.35000000079</v>
      </c>
      <c r="L125" s="718">
        <f t="shared" si="14"/>
        <v>785252.03000000026</v>
      </c>
      <c r="M125" s="718">
        <f t="shared" si="14"/>
        <v>123489.07100000093</v>
      </c>
      <c r="N125" s="718">
        <f t="shared" si="14"/>
        <v>199605.3936999992</v>
      </c>
      <c r="O125" s="718">
        <f t="shared" si="14"/>
        <v>150446.05350000015</v>
      </c>
      <c r="P125" s="216"/>
      <c r="Q125" s="212"/>
      <c r="R125" s="212"/>
      <c r="S125" s="212"/>
    </row>
    <row r="126" spans="1:19">
      <c r="A126" s="212"/>
      <c r="B126" s="212"/>
      <c r="C126" s="212"/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  <c r="N126" s="213"/>
      <c r="O126" s="170"/>
      <c r="P126" s="216"/>
      <c r="Q126" s="212"/>
      <c r="R126" s="212"/>
      <c r="S126" s="212"/>
    </row>
    <row r="127" spans="1:19">
      <c r="A127" s="212"/>
      <c r="B127" s="212"/>
      <c r="C127" s="591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462"/>
      <c r="P127" s="212"/>
      <c r="Q127" s="212"/>
      <c r="R127" s="212"/>
      <c r="S127" s="212"/>
    </row>
    <row r="128" spans="1:19">
      <c r="A128" s="212"/>
      <c r="B128" s="212"/>
      <c r="C128" s="92"/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  <c r="O128" s="170"/>
      <c r="P128" s="212"/>
      <c r="Q128" s="212"/>
      <c r="R128" s="212"/>
      <c r="S128" s="212"/>
    </row>
    <row r="129" spans="1:19">
      <c r="A129" s="212"/>
      <c r="B129" s="212"/>
      <c r="C129" s="92"/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2"/>
      <c r="O129" s="170"/>
      <c r="P129" s="216"/>
      <c r="Q129" s="212"/>
      <c r="R129" s="212"/>
      <c r="S129" s="212"/>
    </row>
    <row r="130" spans="1:19">
      <c r="A130" s="212"/>
      <c r="B130" s="212"/>
      <c r="C130" s="9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6"/>
      <c r="P130" s="212"/>
      <c r="Q130" s="212"/>
      <c r="R130" s="212"/>
      <c r="S130" s="212"/>
    </row>
    <row r="131" spans="1:19">
      <c r="A131" s="212"/>
      <c r="B131" s="212"/>
      <c r="C131" s="92"/>
      <c r="D131" s="212"/>
      <c r="E131" s="212"/>
      <c r="F131" s="212"/>
      <c r="G131" s="212"/>
      <c r="H131" s="212"/>
      <c r="I131" s="212"/>
      <c r="J131" s="212"/>
      <c r="K131" s="212"/>
      <c r="L131" s="212"/>
      <c r="M131" s="212"/>
      <c r="N131" s="212"/>
      <c r="O131" s="216"/>
      <c r="P131" s="212"/>
      <c r="Q131" s="212"/>
      <c r="R131" s="212"/>
      <c r="S131" s="212"/>
    </row>
    <row r="132" spans="1:19">
      <c r="P132" s="212"/>
    </row>
    <row r="133" spans="1:19">
      <c r="P133" s="212"/>
    </row>
    <row r="134" spans="1:19">
      <c r="P134" s="212"/>
    </row>
    <row r="135" spans="1:19">
      <c r="P135" s="212"/>
    </row>
    <row r="136" spans="1:19">
      <c r="E136" s="792"/>
      <c r="F136" s="792"/>
      <c r="G136" s="792"/>
      <c r="H136" s="792"/>
      <c r="I136" s="792"/>
      <c r="J136" s="792"/>
      <c r="K136" s="792"/>
      <c r="L136" s="792"/>
      <c r="M136" s="792"/>
      <c r="N136" s="792"/>
      <c r="O136" s="792"/>
    </row>
    <row r="137" spans="1:19">
      <c r="D137" s="719"/>
      <c r="E137" s="719"/>
      <c r="F137" s="719"/>
      <c r="G137" s="719"/>
      <c r="H137" s="719"/>
      <c r="I137" s="719"/>
      <c r="J137" s="719"/>
      <c r="K137" s="719"/>
      <c r="L137" s="719"/>
      <c r="M137" s="719"/>
      <c r="N137" s="719"/>
      <c r="O137" s="719"/>
      <c r="P137" s="719"/>
    </row>
    <row r="138" spans="1:19">
      <c r="J138" s="80"/>
      <c r="K138" s="80"/>
      <c r="L138" s="80"/>
      <c r="M138" s="80"/>
      <c r="N138" s="80"/>
      <c r="O138" s="80"/>
    </row>
    <row r="139" spans="1:19">
      <c r="D139" s="720"/>
    </row>
    <row r="141" spans="1:19">
      <c r="J141" s="79"/>
    </row>
    <row r="142" spans="1:19">
      <c r="E142" s="792"/>
      <c r="F142" s="792"/>
      <c r="G142" s="792"/>
      <c r="H142" s="792"/>
      <c r="I142" s="792"/>
      <c r="J142" s="792"/>
    </row>
    <row r="143" spans="1:19">
      <c r="C143" s="591"/>
    </row>
  </sheetData>
  <mergeCells count="4">
    <mergeCell ref="A1:P1"/>
    <mergeCell ref="A2:P2"/>
    <mergeCell ref="A3:P3"/>
    <mergeCell ref="A4:P4"/>
  </mergeCells>
  <phoneticPr fontId="23" type="noConversion"/>
  <printOptions horizontalCentered="1"/>
  <pageMargins left="0.5" right="0.5" top="0.75" bottom="0.75" header="0.5" footer="0.25"/>
  <pageSetup scale="48" fitToHeight="2" orientation="landscape" verticalDpi="300" r:id="rId1"/>
  <headerFooter alignWithMargins="0">
    <oddFooter>&amp;RSchedule &amp;A
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8"/>
  <dimension ref="A1:R67"/>
  <sheetViews>
    <sheetView view="pageBreakPreview" zoomScale="80" zoomScaleNormal="70" zoomScaleSheetLayoutView="80" workbookViewId="0">
      <pane xSplit="3" ySplit="11" topLeftCell="D12" activePane="bottomRight" state="frozen"/>
      <selection activeCell="J34" sqref="J34"/>
      <selection pane="topRight" activeCell="J34" sqref="J34"/>
      <selection pane="bottomLeft" activeCell="J34" sqref="J34"/>
      <selection pane="bottomRight" activeCell="J34" sqref="J34"/>
    </sheetView>
  </sheetViews>
  <sheetFormatPr defaultColWidth="7.109375" defaultRowHeight="15"/>
  <cols>
    <col min="1" max="1" width="4.6640625" style="80" customWidth="1"/>
    <col min="2" max="2" width="6.6640625" style="80" customWidth="1"/>
    <col min="3" max="3" width="38.88671875" style="80" customWidth="1"/>
    <col min="4" max="5" width="13.109375" style="80" bestFit="1" customWidth="1"/>
    <col min="6" max="6" width="11.44140625" style="80" customWidth="1"/>
    <col min="7" max="8" width="13.109375" style="80" bestFit="1" customWidth="1"/>
    <col min="9" max="9" width="11.109375" style="80" customWidth="1"/>
    <col min="10" max="10" width="11.6640625" style="80" customWidth="1"/>
    <col min="11" max="14" width="13.109375" style="80" bestFit="1" customWidth="1"/>
    <col min="15" max="15" width="12.44140625" style="80" customWidth="1"/>
    <col min="16" max="16" width="14.109375" style="80" bestFit="1" customWidth="1"/>
    <col min="17" max="17" width="9.109375" style="80" customWidth="1"/>
    <col min="18" max="18" width="12.5546875" style="80" customWidth="1"/>
    <col min="19" max="22" width="7.109375" style="80"/>
    <col min="23" max="23" width="11.33203125" style="80" customWidth="1"/>
    <col min="24" max="24" width="12.5546875" style="80" customWidth="1"/>
    <col min="25" max="16384" width="7.109375" style="80"/>
  </cols>
  <sheetData>
    <row r="1" spans="1:18">
      <c r="A1" s="1203" t="str">
        <f>'Table of Contents'!A1:C1</f>
        <v>Atmos Energy Corporation, Kentucky/Mid-States Division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1203"/>
      <c r="O1" s="1203"/>
      <c r="P1" s="1203"/>
      <c r="Q1" s="81"/>
    </row>
    <row r="2" spans="1:18">
      <c r="A2" s="1203" t="str">
        <f>'Table of Contents'!A2:C2</f>
        <v>Kentucky Jurisdiction Case No. 2018-00281</v>
      </c>
      <c r="B2" s="1203"/>
      <c r="C2" s="1203"/>
      <c r="D2" s="1203"/>
      <c r="E2" s="1203"/>
      <c r="F2" s="1203"/>
      <c r="G2" s="1203"/>
      <c r="H2" s="1203"/>
      <c r="I2" s="1203"/>
      <c r="J2" s="1203"/>
      <c r="K2" s="1203"/>
      <c r="L2" s="1203"/>
      <c r="M2" s="1203"/>
      <c r="N2" s="1203"/>
      <c r="O2" s="1203"/>
      <c r="P2" s="1203"/>
      <c r="Q2" s="81"/>
    </row>
    <row r="3" spans="1:18" ht="15.75">
      <c r="A3" s="1203" t="s">
        <v>186</v>
      </c>
      <c r="B3" s="1203"/>
      <c r="C3" s="1203"/>
      <c r="D3" s="1203"/>
      <c r="E3" s="1203"/>
      <c r="F3" s="1203"/>
      <c r="G3" s="1203"/>
      <c r="H3" s="1203"/>
      <c r="I3" s="1203"/>
      <c r="J3" s="1203"/>
      <c r="K3" s="1203"/>
      <c r="L3" s="1203"/>
      <c r="M3" s="1203"/>
      <c r="N3" s="1203"/>
      <c r="O3" s="1203"/>
      <c r="P3" s="1203"/>
      <c r="Q3" s="81"/>
    </row>
    <row r="4" spans="1:18">
      <c r="A4" s="1203" t="str">
        <f>'Table of Contents'!A3:C3</f>
        <v>Base Period: Twelve Months Ended December 31, 2018</v>
      </c>
      <c r="B4" s="1203"/>
      <c r="C4" s="1203"/>
      <c r="D4" s="1203"/>
      <c r="E4" s="1203"/>
      <c r="F4" s="1203"/>
      <c r="G4" s="1203"/>
      <c r="H4" s="1203"/>
      <c r="I4" s="1203"/>
      <c r="J4" s="1203"/>
      <c r="K4" s="1203"/>
      <c r="L4" s="1203"/>
      <c r="M4" s="1203"/>
      <c r="N4" s="1203"/>
      <c r="O4" s="1203"/>
      <c r="P4" s="1203"/>
      <c r="Q4" s="195"/>
    </row>
    <row r="5" spans="1:18">
      <c r="A5" s="81"/>
      <c r="B5" s="150"/>
      <c r="C5" s="150"/>
      <c r="D5" s="150"/>
      <c r="E5" s="150"/>
      <c r="F5" s="150"/>
      <c r="G5" s="869"/>
      <c r="H5" s="670"/>
      <c r="I5" s="201"/>
      <c r="J5" s="201"/>
      <c r="K5" s="201"/>
      <c r="L5" s="201"/>
      <c r="M5" s="201"/>
      <c r="N5" s="201"/>
      <c r="O5" s="201"/>
      <c r="P5" s="195"/>
      <c r="Q5" s="195"/>
    </row>
    <row r="6" spans="1:18" ht="15.75">
      <c r="A6" s="233" t="str">
        <f>'C.2.2 B 09'!A6</f>
        <v>Data:___X____Base Period________Forecasted Period</v>
      </c>
      <c r="B6" s="195"/>
      <c r="C6" s="233"/>
      <c r="D6" s="195"/>
      <c r="E6" s="195"/>
      <c r="F6" s="195"/>
      <c r="G6" s="195"/>
      <c r="H6" s="870"/>
      <c r="I6" s="195"/>
      <c r="K6" s="871"/>
      <c r="L6" s="195"/>
      <c r="M6" s="195"/>
      <c r="N6" s="201"/>
      <c r="O6" s="201"/>
      <c r="P6" s="505" t="s">
        <v>1427</v>
      </c>
      <c r="Q6" s="195"/>
    </row>
    <row r="7" spans="1:18">
      <c r="A7" s="233" t="str">
        <f>'C.2.2 B 09'!A7</f>
        <v>Type of Filing:___X____Original________Updated ________Revised</v>
      </c>
      <c r="B7" s="195"/>
      <c r="C7" s="233"/>
      <c r="D7" s="195"/>
      <c r="E7" s="670"/>
      <c r="F7" s="195"/>
      <c r="G7" s="195"/>
      <c r="H7" s="195"/>
      <c r="I7" s="195"/>
      <c r="J7" s="195"/>
      <c r="K7" s="195"/>
      <c r="L7" s="195"/>
      <c r="M7" s="195"/>
      <c r="N7" s="201"/>
      <c r="O7" s="201"/>
      <c r="P7" s="506" t="s">
        <v>37</v>
      </c>
      <c r="Q7" s="195"/>
    </row>
    <row r="8" spans="1:18">
      <c r="A8" s="233" t="str">
        <f>'C.2.2 B 09'!A8</f>
        <v>Workpaper Reference No(s).____________________</v>
      </c>
      <c r="B8" s="237"/>
      <c r="C8" s="872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7"/>
      <c r="P8" s="507" t="str">
        <f>'C.1'!J9</f>
        <v>Witness: Waller, Densman</v>
      </c>
      <c r="Q8" s="195"/>
    </row>
    <row r="9" spans="1:18">
      <c r="A9" s="860" t="s">
        <v>93</v>
      </c>
      <c r="B9" s="861" t="s">
        <v>100</v>
      </c>
      <c r="C9" s="862"/>
      <c r="D9" s="295" t="str">
        <f>'C.2.2 B 09'!D9</f>
        <v>actual</v>
      </c>
      <c r="E9" s="295" t="str">
        <f>'C.2.2 B 09'!F9</f>
        <v>actual</v>
      </c>
      <c r="F9" s="295" t="str">
        <f>'C.2.2 B 09'!F9</f>
        <v>actual</v>
      </c>
      <c r="G9" s="295" t="str">
        <f>'C.2.2 B 09'!G9</f>
        <v>actual</v>
      </c>
      <c r="H9" s="295" t="str">
        <f>'C.2.2 B 09'!H9</f>
        <v>actual</v>
      </c>
      <c r="I9" s="1156" t="str">
        <f>'C.2.2 B 09'!I9</f>
        <v>actual</v>
      </c>
      <c r="J9" s="295" t="str">
        <f>'C.2.2 B 09'!J9</f>
        <v>actual</v>
      </c>
      <c r="K9" s="295" t="str">
        <f>'C.2.2 B 09'!K9</f>
        <v>actual</v>
      </c>
      <c r="L9" s="295" t="str">
        <f>'C.2.2 B 09'!L9</f>
        <v>actual</v>
      </c>
      <c r="M9" s="295" t="str">
        <f>'C.2.2 B 09'!M9</f>
        <v>actual</v>
      </c>
      <c r="N9" s="295" t="str">
        <f>'C.2.2 B 09'!N9</f>
        <v>actual</v>
      </c>
      <c r="O9" s="295" t="str">
        <f>'C.2.2 B 09'!O9</f>
        <v>actual</v>
      </c>
      <c r="P9" s="873"/>
      <c r="Q9" s="210"/>
    </row>
    <row r="10" spans="1:18">
      <c r="A10" s="863" t="s">
        <v>99</v>
      </c>
      <c r="B10" s="864" t="s">
        <v>99</v>
      </c>
      <c r="C10" s="865" t="s">
        <v>952</v>
      </c>
      <c r="D10" s="207">
        <f>'C.2.2 B 09'!D10</f>
        <v>43101</v>
      </c>
      <c r="E10" s="207">
        <f>'C.2.2 B 09'!F10</f>
        <v>43160</v>
      </c>
      <c r="F10" s="207">
        <f>'C.2.2 B 09'!F10</f>
        <v>43160</v>
      </c>
      <c r="G10" s="207">
        <f>'C.2.2 B 09'!G10</f>
        <v>43191</v>
      </c>
      <c r="H10" s="207">
        <f>'C.2.2 B 09'!H10</f>
        <v>43221</v>
      </c>
      <c r="I10" s="1157">
        <f>'C.2.2 B 09'!I10</f>
        <v>43252</v>
      </c>
      <c r="J10" s="207">
        <f>'C.2.2 B 09'!J10</f>
        <v>43282</v>
      </c>
      <c r="K10" s="207">
        <f>'C.2.2 B 09'!K10</f>
        <v>43313</v>
      </c>
      <c r="L10" s="207">
        <f>'C.2.2 B 09'!L10</f>
        <v>43344</v>
      </c>
      <c r="M10" s="207">
        <f>'C.2.2 B 09'!M10</f>
        <v>43374</v>
      </c>
      <c r="N10" s="207">
        <f>'C.2.2 B 09'!N10</f>
        <v>43405</v>
      </c>
      <c r="O10" s="207">
        <f>'C.2.2 B 09'!O10</f>
        <v>43435</v>
      </c>
      <c r="P10" s="207" t="str">
        <f>'C.2.2 B 09'!P10</f>
        <v>Total</v>
      </c>
      <c r="Q10" s="210"/>
    </row>
    <row r="11" spans="1:18">
      <c r="A11" s="195"/>
      <c r="B11" s="195"/>
      <c r="C11" s="195"/>
      <c r="D11" s="209" t="s">
        <v>146</v>
      </c>
      <c r="E11" s="209" t="s">
        <v>146</v>
      </c>
      <c r="F11" s="209" t="s">
        <v>146</v>
      </c>
      <c r="G11" s="209" t="s">
        <v>146</v>
      </c>
      <c r="H11" s="209" t="s">
        <v>146</v>
      </c>
      <c r="I11" s="1158" t="s">
        <v>146</v>
      </c>
      <c r="J11" s="209" t="s">
        <v>146</v>
      </c>
      <c r="K11" s="209" t="s">
        <v>146</v>
      </c>
      <c r="L11" s="209" t="s">
        <v>146</v>
      </c>
      <c r="M11" s="209" t="s">
        <v>146</v>
      </c>
      <c r="N11" s="209" t="s">
        <v>146</v>
      </c>
      <c r="O11" s="209" t="s">
        <v>146</v>
      </c>
      <c r="P11" s="209" t="s">
        <v>146</v>
      </c>
      <c r="Q11" s="210"/>
    </row>
    <row r="12" spans="1:18">
      <c r="A12" s="195"/>
      <c r="B12" s="829" t="s">
        <v>733</v>
      </c>
      <c r="C12" s="103" t="s">
        <v>724</v>
      </c>
      <c r="D12" s="596">
        <v>-377820.12</v>
      </c>
      <c r="E12" s="596">
        <v>-245393.37</v>
      </c>
      <c r="F12" s="596">
        <v>-4062670</v>
      </c>
      <c r="G12" s="596">
        <v>-447509.79000000004</v>
      </c>
      <c r="H12" s="596">
        <v>5945.6299999999756</v>
      </c>
      <c r="I12" s="1159">
        <v>1958359</v>
      </c>
      <c r="J12" s="1185">
        <v>-464722.77999999997</v>
      </c>
      <c r="K12" s="1185">
        <v>85589.51999999999</v>
      </c>
      <c r="L12" s="1185">
        <v>-13057022.090000004</v>
      </c>
      <c r="M12" s="1185">
        <v>63543</v>
      </c>
      <c r="N12" s="1185">
        <v>128053.51</v>
      </c>
      <c r="O12" s="1185">
        <v>468573</v>
      </c>
      <c r="P12" s="210">
        <f t="shared" ref="P12:P13" si="0">SUM(D12:O12)</f>
        <v>-15945074.490000004</v>
      </c>
      <c r="Q12" s="210"/>
      <c r="R12" s="690"/>
    </row>
    <row r="13" spans="1:18">
      <c r="A13" s="195"/>
      <c r="B13" s="195"/>
      <c r="C13" s="195"/>
      <c r="D13" s="209"/>
      <c r="E13" s="209"/>
      <c r="F13" s="209"/>
      <c r="G13" s="209"/>
      <c r="H13" s="209"/>
      <c r="I13" s="1158"/>
      <c r="J13" s="1186"/>
      <c r="K13" s="1186"/>
      <c r="L13" s="1186"/>
      <c r="M13" s="1186"/>
      <c r="N13" s="1186"/>
      <c r="O13" s="1186"/>
      <c r="P13" s="210">
        <f t="shared" si="0"/>
        <v>0</v>
      </c>
      <c r="Q13" s="210"/>
    </row>
    <row r="14" spans="1:18">
      <c r="A14" s="460">
        <v>1</v>
      </c>
      <c r="B14" s="829">
        <v>4030</v>
      </c>
      <c r="C14" s="195" t="s">
        <v>91</v>
      </c>
      <c r="D14" s="596">
        <v>-8.7311491370201111E-11</v>
      </c>
      <c r="E14" s="596">
        <v>-2.9103830456733704E-11</v>
      </c>
      <c r="F14" s="596">
        <v>1.8630430531629827E-11</v>
      </c>
      <c r="G14" s="596">
        <v>-7.2759576141834259E-12</v>
      </c>
      <c r="H14" s="596">
        <v>4.3655745685100555E-11</v>
      </c>
      <c r="I14" s="596">
        <v>-1.4551915228366852E-11</v>
      </c>
      <c r="J14" s="96">
        <v>-1.2805756455236406E-10</v>
      </c>
      <c r="K14" s="96">
        <v>0</v>
      </c>
      <c r="L14" s="96">
        <v>3.4560798667371273E-11</v>
      </c>
      <c r="M14" s="96">
        <v>-1.0186340659856796E-10</v>
      </c>
      <c r="N14" s="96">
        <v>-9.7202246251981705E-11</v>
      </c>
      <c r="O14" s="96">
        <v>-1.7735146684572101E-10</v>
      </c>
      <c r="P14" s="210">
        <f>SUM(D14:O14)</f>
        <v>-5.4587090403401817E-10</v>
      </c>
      <c r="Q14" s="670"/>
      <c r="R14" s="690"/>
    </row>
    <row r="15" spans="1:18">
      <c r="A15" s="460">
        <f>A14+1</f>
        <v>2</v>
      </c>
      <c r="B15" s="365">
        <v>4081</v>
      </c>
      <c r="C15" s="210" t="s">
        <v>862</v>
      </c>
      <c r="D15" s="596">
        <v>9.9999997930808604E-3</v>
      </c>
      <c r="E15" s="596">
        <v>-9.9999999270181661E-3</v>
      </c>
      <c r="F15" s="596">
        <v>-9.9999998905957455E-3</v>
      </c>
      <c r="G15" s="596">
        <v>-7.3349326612515142E-11</v>
      </c>
      <c r="H15" s="596">
        <v>-1.936228954946273E-13</v>
      </c>
      <c r="I15" s="596">
        <v>-1095600.9999999995</v>
      </c>
      <c r="J15" s="596">
        <v>-9.9999999091960334E-3</v>
      </c>
      <c r="K15" s="596">
        <v>1.0000000038417056E-2</v>
      </c>
      <c r="L15" s="596">
        <v>1.0000000146273891E-2</v>
      </c>
      <c r="M15" s="596">
        <v>-9.9999999865758582E-3</v>
      </c>
      <c r="N15" s="596">
        <v>1.0000000009313226E-2</v>
      </c>
      <c r="O15" s="596">
        <v>2.3840485141590761E-11</v>
      </c>
      <c r="P15" s="210">
        <f>SUM(D15:O15)</f>
        <v>-1095600.9999999993</v>
      </c>
      <c r="Q15" s="670"/>
    </row>
    <row r="16" spans="1:18">
      <c r="A16" s="460">
        <f t="shared" ref="A16:A46" si="1">A15+1</f>
        <v>3</v>
      </c>
      <c r="B16" s="365">
        <v>8210</v>
      </c>
      <c r="C16" s="103" t="s">
        <v>891</v>
      </c>
      <c r="D16" s="596">
        <f>0</f>
        <v>0</v>
      </c>
      <c r="E16" s="596">
        <f>0</f>
        <v>0</v>
      </c>
      <c r="F16" s="596">
        <f>0</f>
        <v>0</v>
      </c>
      <c r="G16" s="596">
        <f>0</f>
        <v>0</v>
      </c>
      <c r="H16" s="596">
        <f>0</f>
        <v>0</v>
      </c>
      <c r="I16" s="596">
        <f>0</f>
        <v>0</v>
      </c>
      <c r="J16" s="596">
        <v>78.03</v>
      </c>
      <c r="K16" s="596">
        <v>0</v>
      </c>
      <c r="L16" s="596">
        <v>0</v>
      </c>
      <c r="M16" s="596">
        <v>0</v>
      </c>
      <c r="N16" s="596">
        <v>0</v>
      </c>
      <c r="O16" s="596">
        <v>0</v>
      </c>
      <c r="P16" s="210">
        <f>SUM(D16:O16)</f>
        <v>78.03</v>
      </c>
      <c r="Q16" s="670"/>
    </row>
    <row r="17" spans="1:17">
      <c r="A17" s="460"/>
      <c r="B17" s="365">
        <v>8260</v>
      </c>
      <c r="C17" s="103" t="s">
        <v>1704</v>
      </c>
      <c r="D17" s="596"/>
      <c r="E17" s="596"/>
      <c r="F17" s="596"/>
      <c r="G17" s="596"/>
      <c r="H17" s="596"/>
      <c r="I17" s="596"/>
      <c r="J17" s="596">
        <v>-217126</v>
      </c>
      <c r="K17" s="596">
        <v>0</v>
      </c>
      <c r="L17" s="596">
        <v>217126</v>
      </c>
      <c r="M17" s="596">
        <v>0</v>
      </c>
      <c r="N17" s="596">
        <v>0</v>
      </c>
      <c r="O17" s="596">
        <v>0</v>
      </c>
      <c r="P17" s="210"/>
      <c r="Q17" s="670"/>
    </row>
    <row r="18" spans="1:17">
      <c r="A18" s="460">
        <f>A16+1</f>
        <v>4</v>
      </c>
      <c r="B18" s="365">
        <v>8700</v>
      </c>
      <c r="C18" s="210" t="s">
        <v>913</v>
      </c>
      <c r="D18" s="596">
        <v>105093.06</v>
      </c>
      <c r="E18" s="596">
        <v>437.56999999999994</v>
      </c>
      <c r="F18" s="596">
        <v>61169.62</v>
      </c>
      <c r="G18" s="596">
        <v>1554.5600000000004</v>
      </c>
      <c r="H18" s="596">
        <v>605.97</v>
      </c>
      <c r="I18" s="596">
        <v>425.95000000000005</v>
      </c>
      <c r="J18" s="596">
        <v>52.91</v>
      </c>
      <c r="K18" s="596">
        <v>0</v>
      </c>
      <c r="L18" s="596">
        <v>206.06</v>
      </c>
      <c r="M18" s="596">
        <v>488.39</v>
      </c>
      <c r="N18" s="596">
        <v>1311.23</v>
      </c>
      <c r="O18" s="596">
        <v>108.13</v>
      </c>
      <c r="P18" s="210">
        <f t="shared" ref="P18:P41" si="2">SUM(D18:O18)</f>
        <v>171453.45000000004</v>
      </c>
      <c r="Q18" s="210"/>
    </row>
    <row r="19" spans="1:17">
      <c r="A19" s="460">
        <f t="shared" si="1"/>
        <v>5</v>
      </c>
      <c r="B19" s="365">
        <v>8560</v>
      </c>
      <c r="C19" s="103" t="s">
        <v>1649</v>
      </c>
      <c r="D19" s="596">
        <v>0</v>
      </c>
      <c r="E19" s="596">
        <v>0</v>
      </c>
      <c r="F19" s="596">
        <v>11697.349999999999</v>
      </c>
      <c r="G19" s="596">
        <v>-5627.96</v>
      </c>
      <c r="H19" s="596">
        <v>913.13</v>
      </c>
      <c r="I19" s="596">
        <v>0</v>
      </c>
      <c r="J19" s="596">
        <v>0</v>
      </c>
      <c r="K19" s="596">
        <v>0</v>
      </c>
      <c r="L19" s="596">
        <v>0</v>
      </c>
      <c r="M19" s="596">
        <v>0</v>
      </c>
      <c r="N19" s="596">
        <v>22.84</v>
      </c>
      <c r="O19" s="596">
        <v>0</v>
      </c>
      <c r="P19" s="210">
        <f t="shared" si="2"/>
        <v>7005.3599999999988</v>
      </c>
      <c r="Q19" s="210"/>
    </row>
    <row r="20" spans="1:17">
      <c r="A20" s="460">
        <f t="shared" si="1"/>
        <v>6</v>
      </c>
      <c r="B20" s="365">
        <v>8740</v>
      </c>
      <c r="C20" s="210" t="s">
        <v>915</v>
      </c>
      <c r="D20" s="596">
        <v>6615.1800000000012</v>
      </c>
      <c r="E20" s="596">
        <v>3692.97</v>
      </c>
      <c r="F20" s="596">
        <v>4171.82</v>
      </c>
      <c r="G20" s="596">
        <v>-6957.86</v>
      </c>
      <c r="H20" s="596">
        <v>5773.13</v>
      </c>
      <c r="I20" s="596">
        <v>3329.45</v>
      </c>
      <c r="J20" s="596">
        <v>1845.1299999999997</v>
      </c>
      <c r="K20" s="596">
        <v>6006.7900000000009</v>
      </c>
      <c r="L20" s="596">
        <v>5451.52</v>
      </c>
      <c r="M20" s="596">
        <v>602.00999999999988</v>
      </c>
      <c r="N20" s="596">
        <v>-691.2600000000001</v>
      </c>
      <c r="O20" s="596">
        <v>8951.2500000000018</v>
      </c>
      <c r="P20" s="210">
        <f t="shared" si="2"/>
        <v>38790.130000000005</v>
      </c>
      <c r="Q20" s="210"/>
    </row>
    <row r="21" spans="1:17">
      <c r="A21" s="460">
        <f t="shared" si="1"/>
        <v>7</v>
      </c>
      <c r="B21" s="365">
        <v>8780</v>
      </c>
      <c r="C21" s="210" t="s">
        <v>919</v>
      </c>
      <c r="D21" s="596">
        <f>0</f>
        <v>0</v>
      </c>
      <c r="E21" s="596">
        <f>0</f>
        <v>0</v>
      </c>
      <c r="F21" s="596">
        <f>0</f>
        <v>0</v>
      </c>
      <c r="G21" s="596">
        <f>0</f>
        <v>0</v>
      </c>
      <c r="H21" s="596">
        <f>0</f>
        <v>0</v>
      </c>
      <c r="I21" s="596">
        <f>0</f>
        <v>0</v>
      </c>
      <c r="J21" s="596">
        <f>0</f>
        <v>0</v>
      </c>
      <c r="K21" s="596">
        <f>0</f>
        <v>0</v>
      </c>
      <c r="L21" s="596">
        <f>0</f>
        <v>0</v>
      </c>
      <c r="M21" s="596">
        <f>0</f>
        <v>0</v>
      </c>
      <c r="N21" s="596">
        <f>0</f>
        <v>0</v>
      </c>
      <c r="O21" s="596">
        <f>0</f>
        <v>0</v>
      </c>
      <c r="P21" s="210">
        <f t="shared" si="2"/>
        <v>0</v>
      </c>
      <c r="Q21" s="210"/>
    </row>
    <row r="22" spans="1:17">
      <c r="A22" s="460"/>
      <c r="B22" s="365">
        <v>8790</v>
      </c>
      <c r="C22" s="103" t="s">
        <v>1705</v>
      </c>
      <c r="D22" s="596"/>
      <c r="E22" s="596"/>
      <c r="F22" s="596"/>
      <c r="G22" s="596"/>
      <c r="H22" s="596"/>
      <c r="I22" s="596"/>
      <c r="J22" s="596">
        <v>0</v>
      </c>
      <c r="K22" s="596">
        <v>0</v>
      </c>
      <c r="L22" s="596">
        <v>0</v>
      </c>
      <c r="M22" s="596">
        <v>0</v>
      </c>
      <c r="N22" s="596">
        <v>0</v>
      </c>
      <c r="O22" s="596">
        <v>1257.1600000000001</v>
      </c>
      <c r="P22" s="210">
        <f t="shared" si="2"/>
        <v>1257.1600000000001</v>
      </c>
      <c r="Q22" s="210"/>
    </row>
    <row r="23" spans="1:17">
      <c r="A23" s="460">
        <f>A21+1</f>
        <v>8</v>
      </c>
      <c r="B23" s="365">
        <v>8800</v>
      </c>
      <c r="C23" s="210" t="s">
        <v>921</v>
      </c>
      <c r="D23" s="596">
        <f>0</f>
        <v>0</v>
      </c>
      <c r="E23" s="596">
        <f>0</f>
        <v>0</v>
      </c>
      <c r="F23" s="596">
        <f>0</f>
        <v>0</v>
      </c>
      <c r="G23" s="596">
        <f>0</f>
        <v>0</v>
      </c>
      <c r="H23" s="596">
        <f>0</f>
        <v>0</v>
      </c>
      <c r="I23" s="596">
        <f>0</f>
        <v>0</v>
      </c>
      <c r="J23" s="596">
        <v>0</v>
      </c>
      <c r="K23" s="596">
        <v>502.5</v>
      </c>
      <c r="L23" s="596">
        <v>0</v>
      </c>
      <c r="M23" s="596">
        <v>0</v>
      </c>
      <c r="N23" s="596">
        <v>0</v>
      </c>
      <c r="O23" s="596">
        <v>0</v>
      </c>
      <c r="P23" s="210">
        <f t="shared" si="2"/>
        <v>502.5</v>
      </c>
      <c r="Q23" s="210"/>
    </row>
    <row r="24" spans="1:17">
      <c r="A24" s="460">
        <f t="shared" si="1"/>
        <v>9</v>
      </c>
      <c r="B24" s="365">
        <v>8850</v>
      </c>
      <c r="C24" s="210" t="s">
        <v>923</v>
      </c>
      <c r="D24" s="596">
        <v>0</v>
      </c>
      <c r="E24" s="596">
        <v>0</v>
      </c>
      <c r="F24" s="596">
        <v>22774820.939999998</v>
      </c>
      <c r="G24" s="596">
        <v>2090628.03</v>
      </c>
      <c r="H24" s="596">
        <v>51305.329999999994</v>
      </c>
      <c r="I24" s="596">
        <v>-237350.62</v>
      </c>
      <c r="J24" s="596">
        <v>1731</v>
      </c>
      <c r="K24" s="596">
        <v>0</v>
      </c>
      <c r="L24" s="596">
        <v>0</v>
      </c>
      <c r="M24" s="596">
        <v>0</v>
      </c>
      <c r="N24" s="596">
        <v>0</v>
      </c>
      <c r="O24" s="596">
        <v>0</v>
      </c>
      <c r="P24" s="210">
        <f t="shared" si="2"/>
        <v>24681134.679999996</v>
      </c>
      <c r="Q24" s="210"/>
    </row>
    <row r="25" spans="1:17">
      <c r="A25" s="460">
        <f t="shared" si="1"/>
        <v>10</v>
      </c>
      <c r="B25" s="365">
        <v>8900</v>
      </c>
      <c r="C25" s="80" t="s">
        <v>927</v>
      </c>
      <c r="D25" s="596">
        <f>0</f>
        <v>0</v>
      </c>
      <c r="E25" s="596">
        <f>0</f>
        <v>0</v>
      </c>
      <c r="F25" s="596">
        <f>0</f>
        <v>0</v>
      </c>
      <c r="G25" s="596">
        <f>0</f>
        <v>0</v>
      </c>
      <c r="H25" s="596">
        <f>0</f>
        <v>0</v>
      </c>
      <c r="I25" s="596">
        <f>0</f>
        <v>0</v>
      </c>
      <c r="J25" s="596">
        <f>0</f>
        <v>0</v>
      </c>
      <c r="K25" s="596">
        <f>0</f>
        <v>0</v>
      </c>
      <c r="L25" s="596">
        <f>0</f>
        <v>0</v>
      </c>
      <c r="M25" s="596">
        <f>0</f>
        <v>0</v>
      </c>
      <c r="N25" s="596">
        <f>0</f>
        <v>0</v>
      </c>
      <c r="O25" s="596">
        <f>0</f>
        <v>0</v>
      </c>
      <c r="P25" s="210">
        <f t="shared" si="2"/>
        <v>0</v>
      </c>
      <c r="Q25" s="210"/>
    </row>
    <row r="26" spans="1:17">
      <c r="A26" s="460">
        <f t="shared" si="1"/>
        <v>11</v>
      </c>
      <c r="B26" s="365">
        <v>9010</v>
      </c>
      <c r="C26" s="210" t="s">
        <v>181</v>
      </c>
      <c r="D26" s="596">
        <f>0</f>
        <v>0</v>
      </c>
      <c r="E26" s="596">
        <f>0</f>
        <v>0</v>
      </c>
      <c r="F26" s="596">
        <f>0</f>
        <v>0</v>
      </c>
      <c r="G26" s="596">
        <f>0</f>
        <v>0</v>
      </c>
      <c r="H26" s="596">
        <f>0</f>
        <v>0</v>
      </c>
      <c r="I26" s="596">
        <f>0</f>
        <v>0</v>
      </c>
      <c r="J26" s="596">
        <v>49.07</v>
      </c>
      <c r="K26" s="596">
        <v>0</v>
      </c>
      <c r="L26" s="596">
        <v>2065.19</v>
      </c>
      <c r="M26" s="596">
        <v>1139.47</v>
      </c>
      <c r="N26" s="596">
        <v>622.88</v>
      </c>
      <c r="O26" s="596">
        <v>2602.2200000000003</v>
      </c>
      <c r="P26" s="210">
        <f t="shared" si="2"/>
        <v>6478.8300000000008</v>
      </c>
      <c r="Q26" s="210"/>
    </row>
    <row r="27" spans="1:17">
      <c r="A27" s="460">
        <f t="shared" si="1"/>
        <v>12</v>
      </c>
      <c r="B27" s="365">
        <v>9030</v>
      </c>
      <c r="C27" s="210" t="s">
        <v>937</v>
      </c>
      <c r="D27" s="596">
        <v>5314.14</v>
      </c>
      <c r="E27" s="596">
        <v>4451.7900000000009</v>
      </c>
      <c r="F27" s="596">
        <v>11757.28</v>
      </c>
      <c r="G27" s="596">
        <v>9548.5999999999985</v>
      </c>
      <c r="H27" s="596">
        <v>10028.459999999999</v>
      </c>
      <c r="I27" s="596">
        <v>9467.9599999999991</v>
      </c>
      <c r="J27" s="596">
        <v>9972</v>
      </c>
      <c r="K27" s="596">
        <v>11405.59</v>
      </c>
      <c r="L27" s="596">
        <v>9276.52</v>
      </c>
      <c r="M27" s="596">
        <v>10002.369999999999</v>
      </c>
      <c r="N27" s="596">
        <v>11418.98</v>
      </c>
      <c r="O27" s="596">
        <v>9455.14</v>
      </c>
      <c r="P27" s="210">
        <f t="shared" si="2"/>
        <v>112098.82999999999</v>
      </c>
      <c r="Q27" s="210"/>
    </row>
    <row r="28" spans="1:17">
      <c r="A28" s="460">
        <f t="shared" si="1"/>
        <v>13</v>
      </c>
      <c r="B28" s="365">
        <v>9100</v>
      </c>
      <c r="C28" s="210" t="s">
        <v>940</v>
      </c>
      <c r="D28" s="596">
        <f>0</f>
        <v>0</v>
      </c>
      <c r="E28" s="596">
        <f>0</f>
        <v>0</v>
      </c>
      <c r="F28" s="596">
        <f>0</f>
        <v>0</v>
      </c>
      <c r="G28" s="596">
        <f>0</f>
        <v>0</v>
      </c>
      <c r="H28" s="596">
        <f>0</f>
        <v>0</v>
      </c>
      <c r="I28" s="596">
        <f>0</f>
        <v>0</v>
      </c>
      <c r="J28" s="596">
        <f>0</f>
        <v>0</v>
      </c>
      <c r="K28" s="596">
        <f>0</f>
        <v>0</v>
      </c>
      <c r="L28" s="596">
        <v>5125.6099999999997</v>
      </c>
      <c r="M28" s="596">
        <f>0</f>
        <v>0</v>
      </c>
      <c r="N28" s="596">
        <f>0</f>
        <v>0</v>
      </c>
      <c r="O28" s="596">
        <f>0</f>
        <v>0</v>
      </c>
      <c r="P28" s="210">
        <f t="shared" si="2"/>
        <v>5125.6099999999997</v>
      </c>
      <c r="Q28" s="210"/>
    </row>
    <row r="29" spans="1:17">
      <c r="A29" s="460">
        <f>A28+1</f>
        <v>14</v>
      </c>
      <c r="B29" s="365">
        <v>9120</v>
      </c>
      <c r="C29" s="103" t="s">
        <v>942</v>
      </c>
      <c r="D29" s="596">
        <v>8288.11</v>
      </c>
      <c r="E29" s="596">
        <v>0</v>
      </c>
      <c r="F29" s="596">
        <v>346.65999999999997</v>
      </c>
      <c r="G29" s="596">
        <v>0</v>
      </c>
      <c r="H29" s="596">
        <v>0</v>
      </c>
      <c r="I29" s="596">
        <v>19.329999999999998</v>
      </c>
      <c r="J29" s="596">
        <v>17.760000000000002</v>
      </c>
      <c r="K29" s="596">
        <v>410.5</v>
      </c>
      <c r="L29" s="596">
        <v>38.659999999999997</v>
      </c>
      <c r="M29" s="596">
        <v>256.27999999999997</v>
      </c>
      <c r="N29" s="596">
        <v>0</v>
      </c>
      <c r="O29" s="596">
        <v>0</v>
      </c>
      <c r="P29" s="210">
        <f t="shared" si="2"/>
        <v>9377.3000000000011</v>
      </c>
      <c r="Q29" s="210"/>
    </row>
    <row r="30" spans="1:17">
      <c r="A30" s="460">
        <f t="shared" si="1"/>
        <v>15</v>
      </c>
      <c r="B30" s="365">
        <v>9160</v>
      </c>
      <c r="C30" s="80" t="s">
        <v>1621</v>
      </c>
      <c r="D30" s="596">
        <v>0</v>
      </c>
      <c r="E30" s="596">
        <v>0</v>
      </c>
      <c r="F30" s="596">
        <v>0</v>
      </c>
      <c r="G30" s="596">
        <v>0</v>
      </c>
      <c r="H30" s="596">
        <v>1009.4100000000001</v>
      </c>
      <c r="I30" s="596">
        <v>590.86</v>
      </c>
      <c r="J30" s="596">
        <v>0</v>
      </c>
      <c r="K30" s="596">
        <v>0</v>
      </c>
      <c r="L30" s="596">
        <v>0</v>
      </c>
      <c r="M30" s="596">
        <v>0</v>
      </c>
      <c r="N30" s="596">
        <v>796.18</v>
      </c>
      <c r="O30" s="596">
        <v>0</v>
      </c>
      <c r="P30" s="210">
        <f t="shared" si="2"/>
        <v>2396.4499999999998</v>
      </c>
      <c r="Q30" s="210"/>
    </row>
    <row r="31" spans="1:17">
      <c r="A31" s="460">
        <f t="shared" si="1"/>
        <v>16</v>
      </c>
      <c r="B31" s="365">
        <v>9200</v>
      </c>
      <c r="C31" s="210" t="s">
        <v>182</v>
      </c>
      <c r="D31" s="596">
        <v>205452.03000000044</v>
      </c>
      <c r="E31" s="596">
        <v>-627908.35999999952</v>
      </c>
      <c r="F31" s="596">
        <v>-2192440.3900000015</v>
      </c>
      <c r="G31" s="596">
        <v>-401667.04</v>
      </c>
      <c r="H31" s="596">
        <v>-899220.40000000037</v>
      </c>
      <c r="I31" s="596">
        <v>-5306855.2700000005</v>
      </c>
      <c r="J31" s="596">
        <v>-1209061.05</v>
      </c>
      <c r="K31" s="596">
        <v>-2495242.4900000026</v>
      </c>
      <c r="L31" s="596">
        <v>-2004789.2699999998</v>
      </c>
      <c r="M31" s="596">
        <v>-560277.18000000028</v>
      </c>
      <c r="N31" s="596">
        <v>-2595611.879999999</v>
      </c>
      <c r="O31" s="596">
        <v>1204687.8299999998</v>
      </c>
      <c r="P31" s="210">
        <f t="shared" si="2"/>
        <v>-16882933.470000006</v>
      </c>
      <c r="Q31" s="210"/>
    </row>
    <row r="32" spans="1:17">
      <c r="A32" s="460">
        <f t="shared" si="1"/>
        <v>17</v>
      </c>
      <c r="B32" s="365">
        <v>9210</v>
      </c>
      <c r="C32" s="210" t="s">
        <v>944</v>
      </c>
      <c r="D32" s="596">
        <v>2142789.89</v>
      </c>
      <c r="E32" s="596">
        <v>1771426.0000000002</v>
      </c>
      <c r="F32" s="596">
        <v>1682549.0900000017</v>
      </c>
      <c r="G32" s="596">
        <v>2041980.0199999998</v>
      </c>
      <c r="H32" s="596">
        <v>1933264.6700000002</v>
      </c>
      <c r="I32" s="596">
        <v>2210856.0799999987</v>
      </c>
      <c r="J32" s="596">
        <v>2366814.1200000015</v>
      </c>
      <c r="K32" s="596">
        <v>2317247.35</v>
      </c>
      <c r="L32" s="596">
        <v>3569082.9599999962</v>
      </c>
      <c r="M32" s="596">
        <v>2330459.1300000013</v>
      </c>
      <c r="N32" s="596">
        <v>2641701.1600000011</v>
      </c>
      <c r="O32" s="596">
        <v>2258359.6199999996</v>
      </c>
      <c r="P32" s="210">
        <f t="shared" si="2"/>
        <v>27266530.09</v>
      </c>
      <c r="Q32" s="210"/>
    </row>
    <row r="33" spans="1:18">
      <c r="A33" s="460">
        <f t="shared" si="1"/>
        <v>18</v>
      </c>
      <c r="B33" s="365">
        <v>9220</v>
      </c>
      <c r="C33" s="210" t="s">
        <v>945</v>
      </c>
      <c r="D33" s="596">
        <v>-8771029.8199999966</v>
      </c>
      <c r="E33" s="596">
        <v>-7951782.2399999928</v>
      </c>
      <c r="F33" s="596">
        <v>-10587389.510000018</v>
      </c>
      <c r="G33" s="596">
        <v>-8252355.5500000073</v>
      </c>
      <c r="H33" s="596">
        <v>-13352610.350000011</v>
      </c>
      <c r="I33" s="596">
        <v>-5009611.8700000076</v>
      </c>
      <c r="J33" s="596">
        <v>-11709289.610000005</v>
      </c>
      <c r="K33" s="596">
        <v>-6530449.560000007</v>
      </c>
      <c r="L33" s="596">
        <v>-7222120.4200000158</v>
      </c>
      <c r="M33" s="596">
        <v>-10613656.680000003</v>
      </c>
      <c r="N33" s="596">
        <v>-5278922.8899999997</v>
      </c>
      <c r="O33" s="596">
        <v>-7489119.1900000144</v>
      </c>
      <c r="P33" s="210">
        <f t="shared" si="2"/>
        <v>-102768337.69000007</v>
      </c>
      <c r="Q33" s="670"/>
    </row>
    <row r="34" spans="1:18">
      <c r="A34" s="460">
        <f t="shared" si="1"/>
        <v>19</v>
      </c>
      <c r="B34" s="365">
        <v>9230</v>
      </c>
      <c r="C34" s="210" t="s">
        <v>946</v>
      </c>
      <c r="D34" s="596">
        <v>689944.08</v>
      </c>
      <c r="E34" s="596">
        <v>802488.29</v>
      </c>
      <c r="F34" s="596">
        <v>1004663.3899999999</v>
      </c>
      <c r="G34" s="596">
        <v>1133846.07</v>
      </c>
      <c r="H34" s="596">
        <v>1038731.66</v>
      </c>
      <c r="I34" s="596">
        <v>1348513.2000000002</v>
      </c>
      <c r="J34" s="596">
        <v>1220414.1500000001</v>
      </c>
      <c r="K34" s="596">
        <v>1262717.95</v>
      </c>
      <c r="L34" s="596">
        <v>1820078.4799999997</v>
      </c>
      <c r="M34" s="596">
        <v>830765.13000000012</v>
      </c>
      <c r="N34" s="596">
        <v>1083662.8999999999</v>
      </c>
      <c r="O34" s="596">
        <v>1206574.6899999997</v>
      </c>
      <c r="P34" s="210">
        <f t="shared" si="2"/>
        <v>13442399.990000002</v>
      </c>
      <c r="Q34" s="210"/>
    </row>
    <row r="35" spans="1:18">
      <c r="A35" s="460">
        <f t="shared" si="1"/>
        <v>20</v>
      </c>
      <c r="B35" s="365">
        <v>9240</v>
      </c>
      <c r="C35" s="210" t="s">
        <v>947</v>
      </c>
      <c r="D35" s="596">
        <v>11426.37</v>
      </c>
      <c r="E35" s="596">
        <v>11426.37</v>
      </c>
      <c r="F35" s="596">
        <v>10818.54</v>
      </c>
      <c r="G35" s="596">
        <v>10818.54</v>
      </c>
      <c r="H35" s="596">
        <v>10818.54</v>
      </c>
      <c r="I35" s="596">
        <v>10818.54</v>
      </c>
      <c r="J35" s="596">
        <v>10818.54</v>
      </c>
      <c r="K35" s="596">
        <v>10818.54</v>
      </c>
      <c r="L35" s="596">
        <v>10818.54</v>
      </c>
      <c r="M35" s="596">
        <v>10818.54</v>
      </c>
      <c r="N35" s="596">
        <v>10818.54</v>
      </c>
      <c r="O35" s="596">
        <v>10818.54</v>
      </c>
      <c r="P35" s="210">
        <f t="shared" si="2"/>
        <v>131038.14000000004</v>
      </c>
      <c r="Q35" s="210"/>
    </row>
    <row r="36" spans="1:18">
      <c r="A36" s="460">
        <f t="shared" si="1"/>
        <v>21</v>
      </c>
      <c r="B36" s="365">
        <v>9250</v>
      </c>
      <c r="C36" s="210" t="s">
        <v>948</v>
      </c>
      <c r="D36" s="596">
        <v>1587462.79</v>
      </c>
      <c r="E36" s="596">
        <v>1587212.5</v>
      </c>
      <c r="F36" s="596">
        <v>1877081.03</v>
      </c>
      <c r="G36" s="596">
        <v>1587312.98</v>
      </c>
      <c r="H36" s="596">
        <v>1587108.86</v>
      </c>
      <c r="I36" s="596">
        <v>1084488.76</v>
      </c>
      <c r="J36" s="596">
        <v>3583137.38</v>
      </c>
      <c r="K36" s="596">
        <v>1589740.41</v>
      </c>
      <c r="L36" s="596">
        <v>2001337.73</v>
      </c>
      <c r="M36" s="596">
        <v>1627741.78</v>
      </c>
      <c r="N36" s="596">
        <v>1502552.5599999998</v>
      </c>
      <c r="O36" s="596">
        <v>1609344.2400000002</v>
      </c>
      <c r="P36" s="210">
        <f t="shared" si="2"/>
        <v>21224521.020000003</v>
      </c>
      <c r="Q36" s="210"/>
    </row>
    <row r="37" spans="1:18">
      <c r="A37" s="460">
        <f t="shared" si="1"/>
        <v>22</v>
      </c>
      <c r="B37" s="365">
        <v>9260</v>
      </c>
      <c r="C37" s="210" t="s">
        <v>949</v>
      </c>
      <c r="D37" s="596">
        <v>2898621.8099999959</v>
      </c>
      <c r="E37" s="596">
        <v>3461897.68</v>
      </c>
      <c r="F37" s="596">
        <v>5497584.4900000039</v>
      </c>
      <c r="G37" s="596">
        <v>3538375.3599999989</v>
      </c>
      <c r="H37" s="596">
        <v>9024586.9699999951</v>
      </c>
      <c r="I37" s="596">
        <v>4392184.0100000063</v>
      </c>
      <c r="J37" s="596">
        <v>7335156.0599999912</v>
      </c>
      <c r="K37" s="596">
        <v>3357085.6300000027</v>
      </c>
      <c r="L37" s="596">
        <v>1612929.9099999992</v>
      </c>
      <c r="M37" s="596">
        <v>5503145.1800000025</v>
      </c>
      <c r="N37" s="596">
        <v>1842523.4599999988</v>
      </c>
      <c r="O37" s="596">
        <v>82939.219999996567</v>
      </c>
      <c r="P37" s="210">
        <f t="shared" si="2"/>
        <v>48547029.779999994</v>
      </c>
      <c r="Q37" s="210"/>
    </row>
    <row r="38" spans="1:18">
      <c r="A38" s="460">
        <f t="shared" si="1"/>
        <v>23</v>
      </c>
      <c r="B38" s="365">
        <v>9301</v>
      </c>
      <c r="C38" s="210" t="s">
        <v>183</v>
      </c>
      <c r="D38" s="596">
        <f>0</f>
        <v>0</v>
      </c>
      <c r="E38" s="596">
        <f>0</f>
        <v>0</v>
      </c>
      <c r="F38" s="596">
        <f>0</f>
        <v>0</v>
      </c>
      <c r="G38" s="596">
        <f>0</f>
        <v>0</v>
      </c>
      <c r="H38" s="596">
        <f>0</f>
        <v>0</v>
      </c>
      <c r="I38" s="596">
        <f>0</f>
        <v>0</v>
      </c>
      <c r="J38" s="596"/>
      <c r="K38" s="596"/>
      <c r="L38" s="596"/>
      <c r="M38" s="596"/>
      <c r="N38" s="596"/>
      <c r="O38" s="596"/>
      <c r="P38" s="210">
        <f t="shared" si="2"/>
        <v>0</v>
      </c>
      <c r="Q38" s="210"/>
    </row>
    <row r="39" spans="1:18">
      <c r="A39" s="460">
        <f t="shared" si="1"/>
        <v>24</v>
      </c>
      <c r="B39" s="365">
        <v>9302</v>
      </c>
      <c r="C39" s="210" t="s">
        <v>857</v>
      </c>
      <c r="D39" s="596">
        <v>579195.31999999995</v>
      </c>
      <c r="E39" s="596">
        <v>377496.01000000007</v>
      </c>
      <c r="F39" s="596">
        <v>2956335.5599999996</v>
      </c>
      <c r="G39" s="596">
        <v>386905.63</v>
      </c>
      <c r="H39" s="596">
        <v>186525.19</v>
      </c>
      <c r="I39" s="596">
        <v>263397.25999999995</v>
      </c>
      <c r="J39" s="596">
        <v>290524.93</v>
      </c>
      <c r="K39" s="596">
        <v>196693.25000000006</v>
      </c>
      <c r="L39" s="596">
        <v>293569.43</v>
      </c>
      <c r="M39" s="596">
        <v>342612.15000000008</v>
      </c>
      <c r="N39" s="596">
        <v>252252.28</v>
      </c>
      <c r="O39" s="596">
        <v>522569.13</v>
      </c>
      <c r="P39" s="210">
        <f t="shared" si="2"/>
        <v>6648076.1399999997</v>
      </c>
      <c r="Q39" s="210"/>
    </row>
    <row r="40" spans="1:18">
      <c r="A40" s="460">
        <f t="shared" si="1"/>
        <v>25</v>
      </c>
      <c r="B40" s="365">
        <v>9310</v>
      </c>
      <c r="C40" s="210" t="s">
        <v>184</v>
      </c>
      <c r="D40" s="596">
        <v>506336.29999999993</v>
      </c>
      <c r="E40" s="596">
        <v>515892.06000000011</v>
      </c>
      <c r="F40" s="596">
        <v>421345.29999999987</v>
      </c>
      <c r="G40" s="596">
        <v>109296.61</v>
      </c>
      <c r="H40" s="596">
        <v>405037.73</v>
      </c>
      <c r="I40" s="596">
        <v>456119.71999999986</v>
      </c>
      <c r="J40" s="596">
        <v>459223.24</v>
      </c>
      <c r="K40" s="596">
        <v>460489.2699999999</v>
      </c>
      <c r="L40" s="596">
        <v>479966.0399999998</v>
      </c>
      <c r="M40" s="596">
        <v>464493.66999999987</v>
      </c>
      <c r="N40" s="596">
        <v>487434.43999999977</v>
      </c>
      <c r="O40" s="596">
        <v>464129.77999999997</v>
      </c>
      <c r="P40" s="210">
        <f t="shared" si="2"/>
        <v>5229764.1599999992</v>
      </c>
      <c r="Q40" s="210"/>
    </row>
    <row r="41" spans="1:18">
      <c r="A41" s="460">
        <f t="shared" si="1"/>
        <v>26</v>
      </c>
      <c r="B41" s="365">
        <v>9320</v>
      </c>
      <c r="C41" s="210" t="s">
        <v>185</v>
      </c>
      <c r="D41" s="596">
        <v>24040.230000000003</v>
      </c>
      <c r="E41" s="596">
        <v>45827.970000000008</v>
      </c>
      <c r="F41" s="596">
        <v>4366.8500000000004</v>
      </c>
      <c r="G41" s="596">
        <v>30115.31</v>
      </c>
      <c r="H41" s="596">
        <v>47042.729999999996</v>
      </c>
      <c r="I41" s="596">
        <v>34153.919999999998</v>
      </c>
      <c r="J41" s="596">
        <v>52307.439999999995</v>
      </c>
      <c r="K41" s="596">
        <v>54232.13</v>
      </c>
      <c r="L41" s="596">
        <v>42808.869999999995</v>
      </c>
      <c r="M41" s="596">
        <v>40622.399999999994</v>
      </c>
      <c r="N41" s="596">
        <v>69662.070000000007</v>
      </c>
      <c r="O41" s="596">
        <v>19867.690000000002</v>
      </c>
      <c r="P41" s="210">
        <f t="shared" si="2"/>
        <v>465047.61</v>
      </c>
      <c r="Q41" s="210"/>
    </row>
    <row r="42" spans="1:18" ht="15.75" thickBot="1">
      <c r="A42" s="460">
        <f t="shared" si="1"/>
        <v>27</v>
      </c>
      <c r="B42" s="216" t="s">
        <v>734</v>
      </c>
      <c r="C42" s="874"/>
      <c r="D42" s="650">
        <f>SUM(D14:D41)</f>
        <v>-450.50000000067666</v>
      </c>
      <c r="E42" s="650">
        <f t="shared" ref="E42:P42" si="3">SUM(E14:E41)</f>
        <v>2558.6000000085696</v>
      </c>
      <c r="F42" s="650">
        <f t="shared" si="3"/>
        <v>23538878.009999983</v>
      </c>
      <c r="G42" s="650">
        <f t="shared" si="3"/>
        <v>2273773.2999999914</v>
      </c>
      <c r="H42" s="650">
        <f t="shared" si="3"/>
        <v>50921.029999982173</v>
      </c>
      <c r="I42" s="650">
        <f t="shared" si="3"/>
        <v>-1835053.7200000044</v>
      </c>
      <c r="J42" s="650">
        <f t="shared" si="3"/>
        <v>2196665.0899999863</v>
      </c>
      <c r="K42" s="650">
        <f t="shared" si="3"/>
        <v>241657.86999999319</v>
      </c>
      <c r="L42" s="650">
        <f t="shared" si="3"/>
        <v>842971.83999997971</v>
      </c>
      <c r="M42" s="650">
        <f t="shared" si="3"/>
        <v>-10787.369999999908</v>
      </c>
      <c r="N42" s="650">
        <f t="shared" si="3"/>
        <v>29553.500000000466</v>
      </c>
      <c r="O42" s="650">
        <f t="shared" si="3"/>
        <v>-87454.550000018557</v>
      </c>
      <c r="P42" s="650">
        <f t="shared" si="3"/>
        <v>27243233.099999916</v>
      </c>
      <c r="Q42" s="216"/>
    </row>
    <row r="43" spans="1:18" ht="15.75" thickTop="1">
      <c r="A43" s="460">
        <f t="shared" si="1"/>
        <v>28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</row>
    <row r="44" spans="1:18">
      <c r="A44" s="460">
        <f t="shared" si="1"/>
        <v>29</v>
      </c>
      <c r="B44" s="365">
        <f>B33</f>
        <v>9220</v>
      </c>
      <c r="C44" s="365" t="str">
        <f>C33</f>
        <v>A&amp;G-Administrative expense transferred-Credit</v>
      </c>
      <c r="D44" s="366">
        <f>D33</f>
        <v>-8771029.8199999966</v>
      </c>
      <c r="E44" s="366">
        <f t="shared" ref="E44:I44" si="4">E33</f>
        <v>-7951782.2399999928</v>
      </c>
      <c r="F44" s="366">
        <f t="shared" si="4"/>
        <v>-10587389.510000018</v>
      </c>
      <c r="G44" s="366">
        <f t="shared" si="4"/>
        <v>-8252355.5500000073</v>
      </c>
      <c r="H44" s="366">
        <f t="shared" si="4"/>
        <v>-13352610.350000011</v>
      </c>
      <c r="I44" s="366">
        <f t="shared" si="4"/>
        <v>-5009611.8700000076</v>
      </c>
      <c r="J44" s="366">
        <f t="shared" ref="J44:O44" si="5">J33</f>
        <v>-11709289.610000005</v>
      </c>
      <c r="K44" s="366">
        <f t="shared" si="5"/>
        <v>-6530449.560000007</v>
      </c>
      <c r="L44" s="366">
        <f t="shared" si="5"/>
        <v>-7222120.4200000158</v>
      </c>
      <c r="M44" s="366">
        <f t="shared" si="5"/>
        <v>-10613656.680000003</v>
      </c>
      <c r="N44" s="366">
        <f t="shared" si="5"/>
        <v>-5278922.8899999997</v>
      </c>
      <c r="O44" s="366">
        <f t="shared" si="5"/>
        <v>-7489119.1900000144</v>
      </c>
      <c r="P44" s="210">
        <f t="shared" ref="P44" si="6">SUM(D44:O44)</f>
        <v>-102768337.69000007</v>
      </c>
      <c r="Q44" s="216"/>
    </row>
    <row r="45" spans="1:18">
      <c r="A45" s="460">
        <f t="shared" si="1"/>
        <v>30</v>
      </c>
      <c r="B45" s="216"/>
      <c r="C45" s="367" t="s">
        <v>195</v>
      </c>
      <c r="D45" s="385">
        <f>D46/D44</f>
        <v>5.8598595666386664E-2</v>
      </c>
      <c r="E45" s="385">
        <f t="shared" ref="E45:I45" si="7">E46/E44</f>
        <v>5.8022162337282565E-2</v>
      </c>
      <c r="F45" s="385">
        <f t="shared" si="7"/>
        <v>5.697553485023326E-2</v>
      </c>
      <c r="G45" s="385">
        <f t="shared" si="7"/>
        <v>5.9478907207288177E-2</v>
      </c>
      <c r="H45" s="385">
        <f t="shared" si="7"/>
        <v>5.6001290414349536E-2</v>
      </c>
      <c r="I45" s="385">
        <f t="shared" si="7"/>
        <v>6.2800763445172755E-2</v>
      </c>
      <c r="J45" s="385">
        <f t="shared" ref="J45:O45" si="8">J46/J44</f>
        <v>5.6990879227215532E-2</v>
      </c>
      <c r="K45" s="385">
        <f t="shared" si="8"/>
        <v>6.0276305081820365E-2</v>
      </c>
      <c r="L45" s="385">
        <f t="shared" si="8"/>
        <v>6.206582747619141E-2</v>
      </c>
      <c r="M45" s="385">
        <f t="shared" si="8"/>
        <v>5.1975941622411689E-2</v>
      </c>
      <c r="N45" s="385">
        <f t="shared" si="8"/>
        <v>5.0567385726674262E-2</v>
      </c>
      <c r="O45" s="385">
        <f t="shared" si="8"/>
        <v>6.2004234172162921E-2</v>
      </c>
      <c r="P45" s="385">
        <f t="shared" ref="P45" si="9">P46/P44</f>
        <v>5.7643609726076482E-2</v>
      </c>
      <c r="Q45" s="216"/>
      <c r="R45" s="690"/>
    </row>
    <row r="46" spans="1:18">
      <c r="A46" s="460">
        <f t="shared" si="1"/>
        <v>31</v>
      </c>
      <c r="B46" s="216"/>
      <c r="C46" s="216" t="s">
        <v>210</v>
      </c>
      <c r="D46" s="216">
        <v>-513970.03</v>
      </c>
      <c r="E46" s="216">
        <v>-461379.6</v>
      </c>
      <c r="F46" s="216">
        <v>-603222.18000000005</v>
      </c>
      <c r="G46" s="216">
        <v>-490841.09</v>
      </c>
      <c r="H46" s="216">
        <v>-747763.41</v>
      </c>
      <c r="I46" s="216">
        <v>-314607.45</v>
      </c>
      <c r="J46" s="216">
        <v>-667322.71</v>
      </c>
      <c r="K46" s="216">
        <v>-393631.37</v>
      </c>
      <c r="L46" s="216">
        <v>-448246.88</v>
      </c>
      <c r="M46" s="216">
        <v>-551654.80000000005</v>
      </c>
      <c r="N46" s="216">
        <v>-266941.33</v>
      </c>
      <c r="O46" s="216">
        <v>-464357.1</v>
      </c>
      <c r="P46" s="210">
        <f>SUM(D46:O46)</f>
        <v>-5923937.9500000002</v>
      </c>
      <c r="Q46" s="216"/>
      <c r="R46" s="690"/>
    </row>
    <row r="47" spans="1:18">
      <c r="A47" s="216"/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9"/>
      <c r="P47" s="219"/>
      <c r="Q47" s="216"/>
    </row>
    <row r="48" spans="1:18">
      <c r="A48" s="216"/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9"/>
      <c r="P48" s="219"/>
      <c r="Q48" s="216"/>
    </row>
    <row r="49" spans="1:17">
      <c r="A49" s="216"/>
      <c r="B49" s="216" t="s">
        <v>562</v>
      </c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9"/>
      <c r="P49" s="219"/>
      <c r="Q49" s="216"/>
    </row>
    <row r="50" spans="1:17">
      <c r="A50" s="216"/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670"/>
      <c r="Q50" s="216"/>
    </row>
    <row r="51" spans="1:17">
      <c r="A51" s="216"/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9"/>
      <c r="Q51" s="216"/>
    </row>
    <row r="52" spans="1:17">
      <c r="A52" s="216"/>
      <c r="B52" s="216" t="s">
        <v>953</v>
      </c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9"/>
      <c r="Q52" s="216"/>
    </row>
    <row r="53" spans="1:17">
      <c r="A53" s="216"/>
      <c r="B53" s="212" t="s">
        <v>1653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9"/>
      <c r="Q53" s="760"/>
    </row>
    <row r="54" spans="1:17">
      <c r="A54" s="216"/>
      <c r="B54" s="1" t="s">
        <v>1620</v>
      </c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630"/>
      <c r="P54" s="219"/>
      <c r="Q54" s="875"/>
    </row>
    <row r="55" spans="1:17">
      <c r="A55" s="216"/>
      <c r="B55" s="216"/>
      <c r="C55" s="386" t="s">
        <v>1338</v>
      </c>
      <c r="D55" s="876">
        <v>3</v>
      </c>
      <c r="E55" s="764">
        <v>4</v>
      </c>
      <c r="F55" s="764">
        <v>5</v>
      </c>
      <c r="G55" s="876">
        <v>6</v>
      </c>
      <c r="H55" s="876">
        <v>7</v>
      </c>
      <c r="I55" s="876">
        <v>8</v>
      </c>
      <c r="J55" s="764">
        <v>9</v>
      </c>
      <c r="K55" s="764">
        <v>10</v>
      </c>
      <c r="L55" s="876">
        <v>11</v>
      </c>
      <c r="M55" s="876">
        <v>12</v>
      </c>
      <c r="N55" s="876">
        <v>13</v>
      </c>
      <c r="O55" s="876">
        <v>14</v>
      </c>
      <c r="P55" s="219"/>
      <c r="Q55" s="875"/>
    </row>
    <row r="56" spans="1:17">
      <c r="A56" s="216"/>
      <c r="B56" s="216"/>
      <c r="C56" s="216"/>
      <c r="D56" s="877"/>
      <c r="E56" s="877"/>
      <c r="F56" s="877"/>
      <c r="G56" s="877"/>
      <c r="H56" s="877"/>
      <c r="I56" s="877"/>
      <c r="J56" s="877"/>
      <c r="K56" s="878"/>
      <c r="L56" s="878"/>
      <c r="M56" s="878"/>
      <c r="N56" s="878"/>
      <c r="O56" s="170"/>
      <c r="P56" s="219"/>
      <c r="Q56" s="875"/>
    </row>
    <row r="57" spans="1:17">
      <c r="A57" s="216"/>
      <c r="B57" s="670"/>
      <c r="C57" s="670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9"/>
      <c r="P57" s="219"/>
      <c r="Q57" s="875"/>
    </row>
    <row r="58" spans="1:17">
      <c r="A58" s="216"/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875"/>
    </row>
    <row r="59" spans="1:17">
      <c r="A59" s="216"/>
      <c r="B59" s="216"/>
      <c r="C59" s="216"/>
      <c r="D59" s="216">
        <v>8770578.3100000042</v>
      </c>
      <c r="E59" s="216">
        <v>7954340.8500000015</v>
      </c>
      <c r="F59" s="216">
        <v>34126267.530000001</v>
      </c>
      <c r="G59" s="216">
        <v>10526128.850000001</v>
      </c>
      <c r="H59" s="216">
        <v>13403531.380000001</v>
      </c>
      <c r="I59" s="216">
        <v>4270159.1500000004</v>
      </c>
      <c r="J59" s="216">
        <v>9656779.6600000001</v>
      </c>
      <c r="K59" s="216">
        <v>8022888.8999999994</v>
      </c>
      <c r="L59" s="216">
        <v>7941749.2700000005</v>
      </c>
      <c r="M59" s="216">
        <v>8813418.5976</v>
      </c>
      <c r="N59" s="216">
        <v>8811470.5757999998</v>
      </c>
      <c r="O59" s="216">
        <v>8957491.959499998</v>
      </c>
      <c r="P59" s="216"/>
      <c r="Q59" s="216"/>
    </row>
    <row r="60" spans="1:17">
      <c r="A60" s="216"/>
      <c r="B60" s="216"/>
      <c r="C60" s="216"/>
      <c r="D60" s="216">
        <f>-D44</f>
        <v>8771029.8199999966</v>
      </c>
      <c r="E60" s="216">
        <f t="shared" ref="E60:O60" si="10">-E44</f>
        <v>7951782.2399999928</v>
      </c>
      <c r="F60" s="216">
        <f t="shared" si="10"/>
        <v>10587389.510000018</v>
      </c>
      <c r="G60" s="216">
        <f t="shared" si="10"/>
        <v>8252355.5500000073</v>
      </c>
      <c r="H60" s="216">
        <f t="shared" si="10"/>
        <v>13352610.350000011</v>
      </c>
      <c r="I60" s="216">
        <f t="shared" si="10"/>
        <v>5009611.8700000076</v>
      </c>
      <c r="J60" s="216">
        <f t="shared" si="10"/>
        <v>11709289.610000005</v>
      </c>
      <c r="K60" s="216">
        <f t="shared" si="10"/>
        <v>6530449.560000007</v>
      </c>
      <c r="L60" s="216">
        <f t="shared" si="10"/>
        <v>7222120.4200000158</v>
      </c>
      <c r="M60" s="216">
        <f t="shared" si="10"/>
        <v>10613656.680000003</v>
      </c>
      <c r="N60" s="216">
        <f t="shared" si="10"/>
        <v>5278922.8899999997</v>
      </c>
      <c r="O60" s="216">
        <f t="shared" si="10"/>
        <v>7489119.1900000144</v>
      </c>
      <c r="P60" s="216"/>
      <c r="Q60" s="216"/>
    </row>
    <row r="61" spans="1:17">
      <c r="A61" s="216"/>
      <c r="B61" s="216"/>
      <c r="C61" s="670"/>
      <c r="D61" s="216">
        <f>D59-D60</f>
        <v>-451.5099999923259</v>
      </c>
      <c r="E61" s="216">
        <f t="shared" ref="E61:O61" si="11">E59-E60</f>
        <v>2558.6100000087172</v>
      </c>
      <c r="F61" s="216">
        <f t="shared" si="11"/>
        <v>23538878.019999981</v>
      </c>
      <c r="G61" s="216">
        <f t="shared" si="11"/>
        <v>2273773.2999999942</v>
      </c>
      <c r="H61" s="216">
        <f t="shared" si="11"/>
        <v>50921.029999990016</v>
      </c>
      <c r="I61" s="216">
        <f t="shared" si="11"/>
        <v>-739452.72000000719</v>
      </c>
      <c r="J61" s="216">
        <f t="shared" si="11"/>
        <v>-2052509.9500000048</v>
      </c>
      <c r="K61" s="216">
        <f t="shared" si="11"/>
        <v>1492439.3399999924</v>
      </c>
      <c r="L61" s="216">
        <f t="shared" si="11"/>
        <v>719628.84999998473</v>
      </c>
      <c r="M61" s="216">
        <f t="shared" si="11"/>
        <v>-1800238.0824000034</v>
      </c>
      <c r="N61" s="216">
        <f t="shared" si="11"/>
        <v>3532547.6858000001</v>
      </c>
      <c r="O61" s="216">
        <f t="shared" si="11"/>
        <v>1468372.7694999836</v>
      </c>
      <c r="P61" s="216"/>
      <c r="Q61" s="216"/>
    </row>
    <row r="62" spans="1:17">
      <c r="A62" s="216"/>
      <c r="B62" s="216"/>
      <c r="C62" s="670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</row>
    <row r="63" spans="1:17">
      <c r="O63" s="386"/>
    </row>
    <row r="64" spans="1:17">
      <c r="O64" s="170" t="s">
        <v>1646</v>
      </c>
      <c r="P64" s="80">
        <f>SUM(P18:P41)-P33+SUM('C.2.2 B 12'!P14:P29)-'C.2.2 B 12'!P22</f>
        <v>178158366.06999999</v>
      </c>
    </row>
    <row r="65" spans="3:15">
      <c r="O65" s="170" t="s">
        <v>1647</v>
      </c>
    </row>
    <row r="67" spans="3:15">
      <c r="C67" s="670"/>
    </row>
  </sheetData>
  <mergeCells count="4">
    <mergeCell ref="A1:P1"/>
    <mergeCell ref="A2:P2"/>
    <mergeCell ref="A3:P3"/>
    <mergeCell ref="A4:P4"/>
  </mergeCells>
  <phoneticPr fontId="23" type="noConversion"/>
  <printOptions horizontalCentered="1"/>
  <pageMargins left="0.5" right="0.5" top="0.75" bottom="0.6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"/>
  <dimension ref="A1:Q53"/>
  <sheetViews>
    <sheetView view="pageBreakPreview" zoomScale="70" zoomScaleNormal="70" zoomScaleSheetLayoutView="70" workbookViewId="0">
      <selection activeCell="J34" sqref="J34"/>
    </sheetView>
  </sheetViews>
  <sheetFormatPr defaultColWidth="7.109375" defaultRowHeight="15"/>
  <cols>
    <col min="1" max="1" width="4.6640625" style="80" customWidth="1"/>
    <col min="2" max="2" width="7.21875" style="80" customWidth="1"/>
    <col min="3" max="3" width="54.21875" style="80" customWidth="1"/>
    <col min="4" max="4" width="13.109375" style="80" bestFit="1" customWidth="1"/>
    <col min="5" max="6" width="11.109375" style="80" customWidth="1"/>
    <col min="7" max="8" width="13.109375" style="80" bestFit="1" customWidth="1"/>
    <col min="9" max="9" width="11.109375" style="80" customWidth="1"/>
    <col min="10" max="10" width="10.88671875" style="80" customWidth="1"/>
    <col min="11" max="14" width="13.109375" style="80" bestFit="1" customWidth="1"/>
    <col min="15" max="15" width="12.44140625" style="80" customWidth="1"/>
    <col min="16" max="16" width="12.44140625" style="80" bestFit="1" customWidth="1"/>
    <col min="17" max="17" width="12.44140625" style="80" customWidth="1"/>
    <col min="18" max="18" width="12.5546875" style="80" customWidth="1"/>
    <col min="19" max="19" width="11.33203125" style="80" bestFit="1" customWidth="1"/>
    <col min="20" max="16384" width="7.109375" style="80"/>
  </cols>
  <sheetData>
    <row r="1" spans="1:17">
      <c r="A1" s="1203" t="str">
        <f>'Table of Contents'!A1:C1</f>
        <v>Atmos Energy Corporation, Kentucky/Mid-States Division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1203"/>
      <c r="O1" s="1203"/>
      <c r="P1" s="1203"/>
      <c r="Q1" s="81"/>
    </row>
    <row r="2" spans="1:17">
      <c r="A2" s="1203" t="str">
        <f>'Table of Contents'!A2:C2</f>
        <v>Kentucky Jurisdiction Case No. 2018-00281</v>
      </c>
      <c r="B2" s="1203"/>
      <c r="C2" s="1203"/>
      <c r="D2" s="1203"/>
      <c r="E2" s="1203"/>
      <c r="F2" s="1203"/>
      <c r="G2" s="1203"/>
      <c r="H2" s="1203"/>
      <c r="I2" s="1203"/>
      <c r="J2" s="1203"/>
      <c r="K2" s="1203"/>
      <c r="L2" s="1203"/>
      <c r="M2" s="1203"/>
      <c r="N2" s="1203"/>
      <c r="O2" s="1203"/>
      <c r="P2" s="1203"/>
      <c r="Q2" s="81"/>
    </row>
    <row r="3" spans="1:17" ht="15.75">
      <c r="A3" s="1203" t="s">
        <v>187</v>
      </c>
      <c r="B3" s="1203"/>
      <c r="C3" s="1203"/>
      <c r="D3" s="1203"/>
      <c r="E3" s="1203"/>
      <c r="F3" s="1203"/>
      <c r="G3" s="1203"/>
      <c r="H3" s="1203"/>
      <c r="I3" s="1203"/>
      <c r="J3" s="1203"/>
      <c r="K3" s="1203"/>
      <c r="L3" s="1203"/>
      <c r="M3" s="1203"/>
      <c r="N3" s="1203"/>
      <c r="O3" s="1203"/>
      <c r="P3" s="1203"/>
      <c r="Q3" s="81"/>
    </row>
    <row r="4" spans="1:17">
      <c r="A4" s="1203" t="str">
        <f>'Table of Contents'!A3:C3</f>
        <v>Base Period: Twelve Months Ended December 31, 2018</v>
      </c>
      <c r="B4" s="1203"/>
      <c r="C4" s="1203"/>
      <c r="D4" s="1203"/>
      <c r="E4" s="1203"/>
      <c r="F4" s="1203"/>
      <c r="G4" s="1203"/>
      <c r="H4" s="1203"/>
      <c r="I4" s="1203"/>
      <c r="J4" s="1203"/>
      <c r="K4" s="1203"/>
      <c r="L4" s="1203"/>
      <c r="M4" s="1203"/>
      <c r="N4" s="1203"/>
      <c r="O4" s="1203"/>
      <c r="P4" s="1203"/>
      <c r="Q4" s="195"/>
    </row>
    <row r="5" spans="1:17">
      <c r="A5" s="81"/>
      <c r="B5" s="150"/>
      <c r="C5" s="150"/>
      <c r="D5" s="150"/>
      <c r="E5" s="150"/>
      <c r="F5" s="150"/>
      <c r="G5" s="869"/>
      <c r="H5" s="201"/>
      <c r="I5" s="201"/>
      <c r="J5" s="201"/>
      <c r="K5" s="201"/>
      <c r="L5" s="201"/>
      <c r="M5" s="201"/>
      <c r="N5" s="201"/>
      <c r="O5" s="201"/>
      <c r="P5" s="195"/>
      <c r="Q5" s="195"/>
    </row>
    <row r="6" spans="1:17" ht="15.75">
      <c r="A6" s="233" t="str">
        <f>'C.2.2 B 09'!A6</f>
        <v>Data:___X____Base Period________Forecasted Period</v>
      </c>
      <c r="B6" s="195"/>
      <c r="C6" s="233"/>
      <c r="D6" s="870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505" t="s">
        <v>1427</v>
      </c>
      <c r="Q6" s="195"/>
    </row>
    <row r="7" spans="1:17">
      <c r="A7" s="233" t="str">
        <f>'C.2.2 B 09'!A7</f>
        <v>Type of Filing:___X____Original________Updated ________Revised</v>
      </c>
      <c r="B7" s="195"/>
      <c r="C7" s="233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506" t="s">
        <v>37</v>
      </c>
      <c r="Q7" s="195"/>
    </row>
    <row r="8" spans="1:17">
      <c r="A8" s="313" t="str">
        <f>'C.2.2 B 09'!A8</f>
        <v>Workpaper Reference No(s).____________________</v>
      </c>
      <c r="B8" s="237"/>
      <c r="C8" s="872"/>
      <c r="D8" s="236"/>
      <c r="E8" s="236"/>
      <c r="F8" s="236"/>
      <c r="G8" s="236"/>
      <c r="H8" s="236"/>
      <c r="I8" s="236"/>
      <c r="J8" s="236"/>
      <c r="K8" s="236"/>
      <c r="L8" s="236"/>
      <c r="M8" s="237"/>
      <c r="N8" s="237"/>
      <c r="O8" s="237"/>
      <c r="P8" s="507" t="str">
        <f>'C.1'!J9</f>
        <v>Witness: Waller, Densman</v>
      </c>
      <c r="Q8" s="195"/>
    </row>
    <row r="9" spans="1:17">
      <c r="A9" s="860" t="s">
        <v>93</v>
      </c>
      <c r="B9" s="861" t="s">
        <v>100</v>
      </c>
      <c r="C9" s="862"/>
      <c r="D9" s="295" t="str">
        <f>'C.2.2 B 09'!D9</f>
        <v>actual</v>
      </c>
      <c r="E9" s="295" t="str">
        <f>'C.2.2 B 09'!F9</f>
        <v>actual</v>
      </c>
      <c r="F9" s="295" t="str">
        <f>'C.2.2 B 09'!F9</f>
        <v>actual</v>
      </c>
      <c r="G9" s="295" t="str">
        <f>'C.2.2 B 09'!G9</f>
        <v>actual</v>
      </c>
      <c r="H9" s="295" t="str">
        <f>'C.2.2 B 09'!H9</f>
        <v>actual</v>
      </c>
      <c r="I9" s="295" t="str">
        <f>'C.2.2 B 09'!I9</f>
        <v>actual</v>
      </c>
      <c r="J9" s="295" t="str">
        <f>'C.2.2 B 09'!J9</f>
        <v>actual</v>
      </c>
      <c r="K9" s="295" t="str">
        <f>'C.2.2 B 09'!K9</f>
        <v>actual</v>
      </c>
      <c r="L9" s="295" t="str">
        <f>'C.2.2 B 09'!L9</f>
        <v>actual</v>
      </c>
      <c r="M9" s="295" t="str">
        <f>'C.2.2 B 09'!M9</f>
        <v>actual</v>
      </c>
      <c r="N9" s="295" t="str">
        <f>'C.2.2 B 09'!N9</f>
        <v>actual</v>
      </c>
      <c r="O9" s="295" t="str">
        <f>'C.2.2 B 09'!O9</f>
        <v>actual</v>
      </c>
      <c r="P9" s="873"/>
      <c r="Q9" s="460"/>
    </row>
    <row r="10" spans="1:17">
      <c r="A10" s="863" t="s">
        <v>99</v>
      </c>
      <c r="B10" s="864" t="s">
        <v>99</v>
      </c>
      <c r="C10" s="865" t="s">
        <v>952</v>
      </c>
      <c r="D10" s="207">
        <f>'C.2.2 B 09'!D10</f>
        <v>43101</v>
      </c>
      <c r="E10" s="207">
        <f>'C.2.2 B 09'!F10</f>
        <v>43160</v>
      </c>
      <c r="F10" s="207">
        <f>'C.2.2 B 09'!F10</f>
        <v>43160</v>
      </c>
      <c r="G10" s="207">
        <f>'C.2.2 B 09'!G10</f>
        <v>43191</v>
      </c>
      <c r="H10" s="207">
        <f>'C.2.2 B 09'!H10</f>
        <v>43221</v>
      </c>
      <c r="I10" s="207">
        <f>'C.2.2 B 09'!I10</f>
        <v>43252</v>
      </c>
      <c r="J10" s="207">
        <f>'C.2.2 B 09'!J10</f>
        <v>43282</v>
      </c>
      <c r="K10" s="207">
        <f>'C.2.2 B 09'!K10</f>
        <v>43313</v>
      </c>
      <c r="L10" s="207">
        <f>'C.2.2 B 09'!L10</f>
        <v>43344</v>
      </c>
      <c r="M10" s="207">
        <f>'C.2.2 B 09'!M10</f>
        <v>43374</v>
      </c>
      <c r="N10" s="207">
        <f>'C.2.2 B 09'!N10</f>
        <v>43405</v>
      </c>
      <c r="O10" s="207">
        <f>'C.2.2 B 09'!O10</f>
        <v>43435</v>
      </c>
      <c r="P10" s="207" t="str">
        <f>'C.2.2 B 09'!P10</f>
        <v>Total</v>
      </c>
      <c r="Q10" s="879"/>
    </row>
    <row r="11" spans="1:17">
      <c r="A11" s="195"/>
      <c r="B11" s="195"/>
      <c r="C11" s="195"/>
      <c r="D11" s="209" t="s">
        <v>146</v>
      </c>
      <c r="E11" s="209" t="s">
        <v>146</v>
      </c>
      <c r="F11" s="209" t="s">
        <v>146</v>
      </c>
      <c r="G11" s="209" t="s">
        <v>146</v>
      </c>
      <c r="H11" s="209" t="s">
        <v>146</v>
      </c>
      <c r="I11" s="209" t="s">
        <v>146</v>
      </c>
      <c r="J11" s="209" t="s">
        <v>146</v>
      </c>
      <c r="K11" s="209" t="s">
        <v>146</v>
      </c>
      <c r="L11" s="209" t="s">
        <v>146</v>
      </c>
      <c r="M11" s="209" t="s">
        <v>146</v>
      </c>
      <c r="N11" s="209" t="s">
        <v>146</v>
      </c>
      <c r="O11" s="209" t="s">
        <v>146</v>
      </c>
      <c r="P11" s="209" t="s">
        <v>146</v>
      </c>
      <c r="Q11" s="209"/>
    </row>
    <row r="12" spans="1:17">
      <c r="A12" s="460">
        <v>1</v>
      </c>
      <c r="B12" s="829">
        <v>4030</v>
      </c>
      <c r="C12" s="195" t="s">
        <v>91</v>
      </c>
      <c r="D12" s="596">
        <v>5.7639226724859327E-11</v>
      </c>
      <c r="E12" s="596">
        <v>0</v>
      </c>
      <c r="F12" s="596">
        <v>0</v>
      </c>
      <c r="G12" s="596">
        <v>-1.1641532182693481E-10</v>
      </c>
      <c r="H12" s="596">
        <v>9.7315933089703321E-11</v>
      </c>
      <c r="I12" s="596">
        <v>-8.7311491370201111E-11</v>
      </c>
      <c r="J12" s="96">
        <v>1.1641532182693481E-10</v>
      </c>
      <c r="K12" s="96">
        <v>-1.7462298274040222E-10</v>
      </c>
      <c r="L12" s="96">
        <v>-4.3655745685100555E-11</v>
      </c>
      <c r="M12" s="96">
        <v>1.8332002582610585E-11</v>
      </c>
      <c r="N12" s="96">
        <v>3.2741809263825417E-11</v>
      </c>
      <c r="O12" s="96">
        <v>3.637978807091713E-11</v>
      </c>
      <c r="P12" s="210">
        <f t="shared" ref="P12:P25" si="0">SUM(D12:O12)</f>
        <v>-6.3181460063788109E-11</v>
      </c>
      <c r="Q12" s="670"/>
    </row>
    <row r="13" spans="1:17">
      <c r="A13" s="867">
        <f>A12+1</f>
        <v>2</v>
      </c>
      <c r="B13" s="365">
        <v>4081</v>
      </c>
      <c r="C13" s="210" t="s">
        <v>862</v>
      </c>
      <c r="D13" s="596">
        <v>1.3926637620897964E-11</v>
      </c>
      <c r="E13" s="596">
        <v>-1.6143530956469476E-11</v>
      </c>
      <c r="F13" s="596">
        <v>-6.986056177993305E-11</v>
      </c>
      <c r="G13" s="596">
        <v>1.0000000021543443E-2</v>
      </c>
      <c r="H13" s="596">
        <v>2.1827872842550278E-11</v>
      </c>
      <c r="I13" s="596">
        <v>-2.9103830456733704E-11</v>
      </c>
      <c r="J13" s="96">
        <v>-9.9999999555713259E-3</v>
      </c>
      <c r="K13" s="96">
        <v>1.6008527836675057E-11</v>
      </c>
      <c r="L13" s="96">
        <v>-1.4551915228366852E-11</v>
      </c>
      <c r="M13" s="96">
        <v>9.9999999794482264E-3</v>
      </c>
      <c r="N13" s="96">
        <v>2.0000000008174368E-2</v>
      </c>
      <c r="O13" s="96">
        <v>9.9999999845579168E-3</v>
      </c>
      <c r="P13" s="210">
        <f t="shared" si="0"/>
        <v>3.9999999960255828E-2</v>
      </c>
      <c r="Q13" s="210"/>
    </row>
    <row r="14" spans="1:17">
      <c r="A14" s="867">
        <f t="shared" ref="A14:A36" si="1">A13+1</f>
        <v>3</v>
      </c>
      <c r="B14" s="365">
        <v>8700</v>
      </c>
      <c r="C14" s="210" t="s">
        <v>913</v>
      </c>
      <c r="D14" s="596">
        <v>0</v>
      </c>
      <c r="E14" s="596">
        <v>395</v>
      </c>
      <c r="F14" s="596">
        <v>0</v>
      </c>
      <c r="G14" s="596">
        <v>0</v>
      </c>
      <c r="H14" s="596">
        <v>1136.92</v>
      </c>
      <c r="I14" s="596">
        <v>3315.76</v>
      </c>
      <c r="J14" s="96">
        <v>899.07</v>
      </c>
      <c r="K14" s="96">
        <v>1626.55</v>
      </c>
      <c r="L14" s="96">
        <v>0</v>
      </c>
      <c r="M14" s="96">
        <v>0</v>
      </c>
      <c r="N14" s="96">
        <v>0</v>
      </c>
      <c r="O14" s="96">
        <v>0</v>
      </c>
      <c r="P14" s="210">
        <f t="shared" si="0"/>
        <v>7373.3</v>
      </c>
      <c r="Q14" s="210"/>
    </row>
    <row r="15" spans="1:17">
      <c r="A15" s="867">
        <f t="shared" si="1"/>
        <v>4</v>
      </c>
      <c r="B15" s="365">
        <v>8740</v>
      </c>
      <c r="C15" s="210" t="s">
        <v>915</v>
      </c>
      <c r="D15" s="596">
        <v>1599.32</v>
      </c>
      <c r="E15" s="596">
        <v>1400.53</v>
      </c>
      <c r="F15" s="596">
        <v>1614.3</v>
      </c>
      <c r="G15" s="596">
        <v>1672.3899999999999</v>
      </c>
      <c r="H15" s="596">
        <v>1408.5</v>
      </c>
      <c r="I15" s="596">
        <v>1470.71</v>
      </c>
      <c r="J15" s="96">
        <v>2529.37</v>
      </c>
      <c r="K15" s="96">
        <v>2733.37</v>
      </c>
      <c r="L15" s="96">
        <v>2531.81</v>
      </c>
      <c r="M15" s="96">
        <v>2703.8900000000003</v>
      </c>
      <c r="N15" s="96">
        <v>9281.58</v>
      </c>
      <c r="O15" s="96">
        <v>14875.980000000003</v>
      </c>
      <c r="P15" s="210">
        <f t="shared" si="0"/>
        <v>43821.75</v>
      </c>
      <c r="Q15" s="210"/>
    </row>
    <row r="16" spans="1:17">
      <c r="A16" s="867">
        <f t="shared" si="1"/>
        <v>5</v>
      </c>
      <c r="B16" s="365">
        <v>8800</v>
      </c>
      <c r="C16" s="210" t="s">
        <v>921</v>
      </c>
      <c r="D16" s="596">
        <f>0</f>
        <v>0</v>
      </c>
      <c r="E16" s="596">
        <f>0</f>
        <v>0</v>
      </c>
      <c r="F16" s="596">
        <f>0</f>
        <v>0</v>
      </c>
      <c r="G16" s="596">
        <f>0</f>
        <v>0</v>
      </c>
      <c r="H16" s="596">
        <f>0</f>
        <v>0</v>
      </c>
      <c r="I16" s="596">
        <f>0</f>
        <v>0</v>
      </c>
      <c r="J16" s="596">
        <f>0</f>
        <v>0</v>
      </c>
      <c r="K16" s="596">
        <f>0</f>
        <v>0</v>
      </c>
      <c r="L16" s="596">
        <f>0</f>
        <v>0</v>
      </c>
      <c r="M16" s="596">
        <f>0</f>
        <v>0</v>
      </c>
      <c r="N16" s="596">
        <f>0</f>
        <v>0</v>
      </c>
      <c r="O16" s="596">
        <f>0</f>
        <v>0</v>
      </c>
      <c r="P16" s="210">
        <f t="shared" si="0"/>
        <v>0</v>
      </c>
      <c r="Q16" s="210"/>
    </row>
    <row r="17" spans="1:17">
      <c r="A17" s="867">
        <f>A16+1</f>
        <v>6</v>
      </c>
      <c r="B17" s="365">
        <v>9010</v>
      </c>
      <c r="C17" s="210" t="s">
        <v>181</v>
      </c>
      <c r="D17" s="596">
        <v>352196.32999999996</v>
      </c>
      <c r="E17" s="596">
        <v>307312.05</v>
      </c>
      <c r="F17" s="596">
        <v>349670.04999999993</v>
      </c>
      <c r="G17" s="596">
        <v>327959.96000000002</v>
      </c>
      <c r="H17" s="596">
        <v>361871.54000000004</v>
      </c>
      <c r="I17" s="596">
        <v>319906.17</v>
      </c>
      <c r="J17" s="96">
        <v>338689.35</v>
      </c>
      <c r="K17" s="96">
        <v>359484.08999999997</v>
      </c>
      <c r="L17" s="96">
        <v>346146.01</v>
      </c>
      <c r="M17" s="96">
        <v>354101.64</v>
      </c>
      <c r="N17" s="96">
        <v>346361.46</v>
      </c>
      <c r="O17" s="96">
        <v>332571.70999999996</v>
      </c>
      <c r="P17" s="210">
        <f t="shared" si="0"/>
        <v>4096270.36</v>
      </c>
      <c r="Q17" s="210"/>
    </row>
    <row r="18" spans="1:17">
      <c r="A18" s="867">
        <f t="shared" si="1"/>
        <v>7</v>
      </c>
      <c r="B18" s="365">
        <v>9020</v>
      </c>
      <c r="C18" s="210" t="s">
        <v>932</v>
      </c>
      <c r="D18" s="596">
        <f>0</f>
        <v>0</v>
      </c>
      <c r="E18" s="596">
        <f>0</f>
        <v>0</v>
      </c>
      <c r="F18" s="596">
        <f>0</f>
        <v>0</v>
      </c>
      <c r="G18" s="596">
        <f>0</f>
        <v>0</v>
      </c>
      <c r="H18" s="596">
        <f>0</f>
        <v>0</v>
      </c>
      <c r="I18" s="596">
        <f>0</f>
        <v>0</v>
      </c>
      <c r="J18" s="596">
        <v>213.1</v>
      </c>
      <c r="K18" s="596">
        <v>0</v>
      </c>
      <c r="L18" s="596">
        <v>0</v>
      </c>
      <c r="M18" s="596">
        <v>0</v>
      </c>
      <c r="N18" s="596">
        <v>0</v>
      </c>
      <c r="O18" s="596">
        <v>0</v>
      </c>
      <c r="P18" s="210">
        <f t="shared" si="0"/>
        <v>213.1</v>
      </c>
      <c r="Q18" s="210"/>
    </row>
    <row r="19" spans="1:17">
      <c r="A19" s="867">
        <f t="shared" si="1"/>
        <v>8</v>
      </c>
      <c r="B19" s="365">
        <v>9030</v>
      </c>
      <c r="C19" s="210" t="s">
        <v>937</v>
      </c>
      <c r="D19" s="596">
        <v>1741679.5099999995</v>
      </c>
      <c r="E19" s="596">
        <v>1492515.87</v>
      </c>
      <c r="F19" s="596">
        <v>1708357.45</v>
      </c>
      <c r="G19" s="596">
        <v>1522186.24</v>
      </c>
      <c r="H19" s="596">
        <v>1617145.7900000003</v>
      </c>
      <c r="I19" s="596">
        <v>1504396.51</v>
      </c>
      <c r="J19" s="96">
        <v>1539796.02</v>
      </c>
      <c r="K19" s="96">
        <v>1489810.85</v>
      </c>
      <c r="L19" s="96">
        <v>1411448.1300000004</v>
      </c>
      <c r="M19" s="96">
        <v>1612313.08</v>
      </c>
      <c r="N19" s="96">
        <v>1770860.84</v>
      </c>
      <c r="O19" s="96">
        <v>1653108.2000000002</v>
      </c>
      <c r="P19" s="210">
        <f t="shared" si="0"/>
        <v>19063618.490000002</v>
      </c>
      <c r="Q19" s="210"/>
    </row>
    <row r="20" spans="1:17">
      <c r="A20" s="867">
        <f t="shared" si="1"/>
        <v>9</v>
      </c>
      <c r="B20" s="365">
        <v>9200</v>
      </c>
      <c r="C20" s="210" t="s">
        <v>182</v>
      </c>
      <c r="D20" s="596">
        <v>372337.49999999988</v>
      </c>
      <c r="E20" s="596">
        <v>306657.81</v>
      </c>
      <c r="F20" s="596">
        <v>349705.97000000003</v>
      </c>
      <c r="G20" s="596">
        <v>390956.49000000005</v>
      </c>
      <c r="H20" s="596">
        <v>367637.88000000006</v>
      </c>
      <c r="I20" s="596">
        <v>344048.59999999992</v>
      </c>
      <c r="J20" s="96">
        <v>368535.08</v>
      </c>
      <c r="K20" s="96">
        <v>375909.25999999995</v>
      </c>
      <c r="L20" s="96">
        <v>255686.95</v>
      </c>
      <c r="M20" s="96">
        <v>370865.95000000007</v>
      </c>
      <c r="N20" s="96">
        <v>343223.36</v>
      </c>
      <c r="O20" s="96">
        <v>319114.09999999998</v>
      </c>
      <c r="P20" s="210">
        <f t="shared" si="0"/>
        <v>4164678.95</v>
      </c>
      <c r="Q20" s="210"/>
    </row>
    <row r="21" spans="1:17">
      <c r="A21" s="867">
        <f t="shared" si="1"/>
        <v>10</v>
      </c>
      <c r="B21" s="365">
        <v>9210</v>
      </c>
      <c r="C21" s="210" t="s">
        <v>944</v>
      </c>
      <c r="D21" s="596">
        <v>589411.78000000014</v>
      </c>
      <c r="E21" s="596">
        <v>605657.49</v>
      </c>
      <c r="F21" s="596">
        <v>714835.34000000008</v>
      </c>
      <c r="G21" s="596">
        <v>706341.24000000022</v>
      </c>
      <c r="H21" s="596">
        <v>644057.04999999993</v>
      </c>
      <c r="I21" s="596">
        <v>628961.27</v>
      </c>
      <c r="J21" s="96">
        <v>695623.87000000011</v>
      </c>
      <c r="K21" s="96">
        <v>658076.29</v>
      </c>
      <c r="L21" s="96">
        <v>812977.11999999988</v>
      </c>
      <c r="M21" s="96">
        <v>750175.30000000028</v>
      </c>
      <c r="N21" s="96">
        <v>628919.73999999976</v>
      </c>
      <c r="O21" s="96">
        <v>632971.47</v>
      </c>
      <c r="P21" s="210">
        <f t="shared" si="0"/>
        <v>8068007.9600000018</v>
      </c>
      <c r="Q21" s="210"/>
    </row>
    <row r="22" spans="1:17">
      <c r="A22" s="867">
        <f t="shared" si="1"/>
        <v>11</v>
      </c>
      <c r="B22" s="365">
        <v>9220</v>
      </c>
      <c r="C22" s="210" t="s">
        <v>945</v>
      </c>
      <c r="D22" s="596">
        <v>-4107535.8400000003</v>
      </c>
      <c r="E22" s="596">
        <v>-3616023.3699999996</v>
      </c>
      <c r="F22" s="596">
        <v>-3896278.8499999996</v>
      </c>
      <c r="G22" s="596">
        <v>-3884435.4500000007</v>
      </c>
      <c r="H22" s="596">
        <v>-4070220.4099999997</v>
      </c>
      <c r="I22" s="596">
        <v>-3717146.5799999996</v>
      </c>
      <c r="J22" s="96">
        <v>-3921979.8700000006</v>
      </c>
      <c r="K22" s="96">
        <v>-3819195.2899999996</v>
      </c>
      <c r="L22" s="96">
        <v>-3931348.3599999989</v>
      </c>
      <c r="M22" s="96">
        <v>-4066731.35</v>
      </c>
      <c r="N22" s="96">
        <v>-4144345.1200000006</v>
      </c>
      <c r="O22" s="96">
        <v>-3876031.7399999993</v>
      </c>
      <c r="P22" s="210">
        <f t="shared" si="0"/>
        <v>-47051272.229999997</v>
      </c>
      <c r="Q22" s="670"/>
    </row>
    <row r="23" spans="1:17">
      <c r="A23" s="867">
        <f t="shared" si="1"/>
        <v>12</v>
      </c>
      <c r="B23" s="365">
        <v>9230</v>
      </c>
      <c r="C23" s="210" t="s">
        <v>946</v>
      </c>
      <c r="D23" s="596">
        <v>85331.510000000009</v>
      </c>
      <c r="E23" s="596">
        <v>57129.81</v>
      </c>
      <c r="F23" s="596">
        <v>52402.36</v>
      </c>
      <c r="G23" s="596">
        <v>61633.69</v>
      </c>
      <c r="H23" s="596">
        <v>103506.25</v>
      </c>
      <c r="I23" s="596">
        <v>59967.729999999996</v>
      </c>
      <c r="J23" s="96">
        <v>55816.85</v>
      </c>
      <c r="K23" s="96">
        <v>63367.899999999994</v>
      </c>
      <c r="L23" s="96">
        <v>336281.58</v>
      </c>
      <c r="M23" s="96">
        <v>40038.06</v>
      </c>
      <c r="N23" s="96">
        <v>91667.58</v>
      </c>
      <c r="O23" s="96">
        <v>40414.22</v>
      </c>
      <c r="P23" s="210">
        <f t="shared" si="0"/>
        <v>1047557.5399999999</v>
      </c>
      <c r="Q23" s="210"/>
    </row>
    <row r="24" spans="1:17">
      <c r="A24" s="867">
        <f t="shared" si="1"/>
        <v>13</v>
      </c>
      <c r="B24" s="365">
        <v>9240</v>
      </c>
      <c r="C24" s="210" t="s">
        <v>947</v>
      </c>
      <c r="D24" s="596">
        <v>8105.89</v>
      </c>
      <c r="E24" s="596">
        <v>8105.89</v>
      </c>
      <c r="F24" s="596">
        <v>7660.39</v>
      </c>
      <c r="G24" s="596">
        <v>7660.39</v>
      </c>
      <c r="H24" s="596">
        <v>7660.39</v>
      </c>
      <c r="I24" s="596">
        <v>7660.39</v>
      </c>
      <c r="J24" s="96">
        <v>7660.39</v>
      </c>
      <c r="K24" s="96">
        <v>7660.39</v>
      </c>
      <c r="L24" s="96">
        <v>7660.39</v>
      </c>
      <c r="M24" s="96">
        <v>7660.39</v>
      </c>
      <c r="N24" s="96">
        <v>7660.39</v>
      </c>
      <c r="O24" s="96">
        <v>7660.39</v>
      </c>
      <c r="P24" s="210">
        <f t="shared" si="0"/>
        <v>92815.680000000008</v>
      </c>
      <c r="Q24" s="210"/>
    </row>
    <row r="25" spans="1:17">
      <c r="A25" s="867">
        <f t="shared" si="1"/>
        <v>14</v>
      </c>
      <c r="B25" s="365">
        <v>9250</v>
      </c>
      <c r="C25" s="80" t="s">
        <v>948</v>
      </c>
      <c r="D25" s="596">
        <v>17.28</v>
      </c>
      <c r="E25" s="596">
        <v>17.28</v>
      </c>
      <c r="F25" s="596">
        <v>17.28</v>
      </c>
      <c r="G25" s="596">
        <v>0</v>
      </c>
      <c r="H25" s="596">
        <v>0</v>
      </c>
      <c r="I25" s="5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210">
        <f t="shared" si="0"/>
        <v>51.84</v>
      </c>
      <c r="Q25" s="210"/>
    </row>
    <row r="26" spans="1:17">
      <c r="A26" s="867">
        <f t="shared" si="1"/>
        <v>15</v>
      </c>
      <c r="B26" s="365">
        <v>9260</v>
      </c>
      <c r="C26" s="210" t="s">
        <v>949</v>
      </c>
      <c r="D26" s="596">
        <v>823774.28000000014</v>
      </c>
      <c r="E26" s="596">
        <v>704864.38000000012</v>
      </c>
      <c r="F26" s="596">
        <v>579503.47000000009</v>
      </c>
      <c r="G26" s="596">
        <v>731729.77999999991</v>
      </c>
      <c r="H26" s="596">
        <v>834566.24999999965</v>
      </c>
      <c r="I26" s="596">
        <v>715361.59</v>
      </c>
      <c r="J26" s="96">
        <v>780545.61000000022</v>
      </c>
      <c r="K26" s="96">
        <v>729220.40999999968</v>
      </c>
      <c r="L26" s="96">
        <v>626442.8400000002</v>
      </c>
      <c r="M26" s="96">
        <v>797772.34</v>
      </c>
      <c r="N26" s="96">
        <v>801002.27999999991</v>
      </c>
      <c r="O26" s="96">
        <v>744012.00999999978</v>
      </c>
      <c r="P26" s="210">
        <f>SUM(D26:O26)</f>
        <v>8868795.2399999984</v>
      </c>
      <c r="Q26" s="210"/>
    </row>
    <row r="27" spans="1:17">
      <c r="A27" s="867"/>
      <c r="B27" s="365">
        <v>9302</v>
      </c>
      <c r="C27" s="103" t="s">
        <v>1706</v>
      </c>
      <c r="D27" s="596"/>
      <c r="E27" s="596"/>
      <c r="F27" s="596"/>
      <c r="G27" s="596"/>
      <c r="H27" s="596"/>
      <c r="I27" s="596"/>
      <c r="J27" s="96">
        <v>0</v>
      </c>
      <c r="K27" s="96">
        <v>0</v>
      </c>
      <c r="L27" s="96">
        <v>0</v>
      </c>
      <c r="M27" s="96">
        <v>0</v>
      </c>
      <c r="N27" s="96">
        <v>1279.3499999999999</v>
      </c>
      <c r="O27" s="96">
        <v>0</v>
      </c>
      <c r="P27" s="210">
        <f>SUM(D27:O27)</f>
        <v>1279.3499999999999</v>
      </c>
      <c r="Q27" s="210"/>
    </row>
    <row r="28" spans="1:17">
      <c r="A28" s="867">
        <f>A26+1</f>
        <v>16</v>
      </c>
      <c r="B28" s="365">
        <v>9310</v>
      </c>
      <c r="C28" s="210" t="s">
        <v>184</v>
      </c>
      <c r="D28" s="596">
        <v>131073.48000000001</v>
      </c>
      <c r="E28" s="596">
        <v>131911.15</v>
      </c>
      <c r="F28" s="596">
        <v>131577.41</v>
      </c>
      <c r="G28" s="596">
        <v>134295.28</v>
      </c>
      <c r="H28" s="596">
        <v>131229.85999999999</v>
      </c>
      <c r="I28" s="596">
        <v>131089.63999999998</v>
      </c>
      <c r="J28" s="96">
        <v>131083.84</v>
      </c>
      <c r="K28" s="96">
        <v>131086.69999999998</v>
      </c>
      <c r="L28" s="96">
        <v>131301.96</v>
      </c>
      <c r="M28" s="96">
        <v>131100.71</v>
      </c>
      <c r="N28" s="96">
        <v>142319.66999999998</v>
      </c>
      <c r="O28" s="96">
        <v>130977.27</v>
      </c>
      <c r="P28" s="210">
        <f>SUM(D28:O28)</f>
        <v>1589046.97</v>
      </c>
      <c r="Q28" s="210"/>
    </row>
    <row r="29" spans="1:17">
      <c r="A29" s="867">
        <f t="shared" si="1"/>
        <v>17</v>
      </c>
      <c r="B29" s="365">
        <v>9320</v>
      </c>
      <c r="C29" s="210" t="s">
        <v>185</v>
      </c>
      <c r="D29" s="596">
        <v>2008.94</v>
      </c>
      <c r="E29" s="596">
        <v>56.08</v>
      </c>
      <c r="F29" s="596">
        <v>934.84</v>
      </c>
      <c r="G29" s="596">
        <v>0</v>
      </c>
      <c r="H29" s="596">
        <v>0</v>
      </c>
      <c r="I29" s="596">
        <v>968.25</v>
      </c>
      <c r="J29" s="96">
        <v>587.33000000000004</v>
      </c>
      <c r="K29" s="96">
        <v>219.54</v>
      </c>
      <c r="L29" s="96">
        <v>871.57</v>
      </c>
      <c r="M29" s="96">
        <v>0</v>
      </c>
      <c r="N29" s="96">
        <v>1768.8400000000001</v>
      </c>
      <c r="O29" s="96">
        <v>326.39</v>
      </c>
      <c r="P29" s="210">
        <f>SUM(D29:O29)</f>
        <v>7741.7800000000007</v>
      </c>
      <c r="Q29" s="210"/>
    </row>
    <row r="30" spans="1:17">
      <c r="A30" s="867">
        <f t="shared" si="1"/>
        <v>18</v>
      </c>
      <c r="B30" s="210"/>
      <c r="C30" s="874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216"/>
      <c r="Q30" s="216"/>
    </row>
    <row r="31" spans="1:17" ht="15.75" thickBot="1">
      <c r="A31" s="867">
        <f t="shared" si="1"/>
        <v>19</v>
      </c>
      <c r="B31" s="216" t="s">
        <v>734</v>
      </c>
      <c r="C31" s="874"/>
      <c r="D31" s="650">
        <f>SUM(D12:D29)</f>
        <v>-2.0000000166419341E-2</v>
      </c>
      <c r="E31" s="650">
        <f t="shared" ref="E31:P31" si="2">SUM(E12:E30)</f>
        <v>-2.9999999433059088E-2</v>
      </c>
      <c r="F31" s="650">
        <f t="shared" si="2"/>
        <v>1.0000000827744771E-2</v>
      </c>
      <c r="G31" s="650">
        <f t="shared" si="2"/>
        <v>1.999999929103069E-2</v>
      </c>
      <c r="H31" s="650">
        <f t="shared" si="2"/>
        <v>2.0000000135041773E-2</v>
      </c>
      <c r="I31" s="650">
        <f t="shared" si="2"/>
        <v>4.0000000357395038E-2</v>
      </c>
      <c r="J31" s="650">
        <f t="shared" si="2"/>
        <v>-2.7819169190479442E-10</v>
      </c>
      <c r="K31" s="650">
        <f t="shared" si="2"/>
        <v>5.999999981489168E-2</v>
      </c>
      <c r="L31" s="650">
        <f t="shared" si="2"/>
        <v>1.3609451343654655E-9</v>
      </c>
      <c r="M31" s="650">
        <f t="shared" si="2"/>
        <v>2.0000000513391569E-2</v>
      </c>
      <c r="N31" s="650">
        <f t="shared" si="2"/>
        <v>-1.0000000704167178E-2</v>
      </c>
      <c r="O31" s="650">
        <f t="shared" si="2"/>
        <v>1.0000000213608473E-2</v>
      </c>
      <c r="P31" s="650">
        <f t="shared" si="2"/>
        <v>0.12000000334410288</v>
      </c>
      <c r="Q31" s="651"/>
    </row>
    <row r="32" spans="1:17" ht="15.75" thickTop="1">
      <c r="A32" s="867">
        <f t="shared" si="1"/>
        <v>20</v>
      </c>
      <c r="B32" s="216"/>
      <c r="C32" s="874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</row>
    <row r="33" spans="1:17">
      <c r="A33" s="867">
        <f t="shared" si="1"/>
        <v>21</v>
      </c>
      <c r="B33" s="365">
        <f>B22</f>
        <v>9220</v>
      </c>
      <c r="C33" s="368" t="str">
        <f>C22</f>
        <v>A&amp;G-Administrative expense transferred-Credit</v>
      </c>
      <c r="D33" s="366">
        <f>D22</f>
        <v>-4107535.8400000003</v>
      </c>
      <c r="E33" s="366">
        <f t="shared" ref="E33:I33" si="3">E22</f>
        <v>-3616023.3699999996</v>
      </c>
      <c r="F33" s="366">
        <f t="shared" si="3"/>
        <v>-3896278.8499999996</v>
      </c>
      <c r="G33" s="366">
        <f t="shared" si="3"/>
        <v>-3884435.4500000007</v>
      </c>
      <c r="H33" s="366">
        <f t="shared" si="3"/>
        <v>-4070220.4099999997</v>
      </c>
      <c r="I33" s="366">
        <f t="shared" si="3"/>
        <v>-3717146.5799999996</v>
      </c>
      <c r="J33" s="366">
        <f t="shared" ref="J33:O33" si="4">J22</f>
        <v>-3921979.8700000006</v>
      </c>
      <c r="K33" s="366">
        <f t="shared" si="4"/>
        <v>-3819195.2899999996</v>
      </c>
      <c r="L33" s="366">
        <f t="shared" si="4"/>
        <v>-3931348.3599999989</v>
      </c>
      <c r="M33" s="366">
        <f t="shared" si="4"/>
        <v>-4066731.35</v>
      </c>
      <c r="N33" s="366">
        <f t="shared" si="4"/>
        <v>-4144345.1200000006</v>
      </c>
      <c r="O33" s="366">
        <f t="shared" si="4"/>
        <v>-3876031.7399999993</v>
      </c>
      <c r="P33" s="210">
        <f t="shared" ref="P33" si="5">SUM(D33:O33)</f>
        <v>-47051272.229999997</v>
      </c>
      <c r="Q33" s="216"/>
    </row>
    <row r="34" spans="1:17">
      <c r="A34" s="867">
        <f t="shared" si="1"/>
        <v>22</v>
      </c>
      <c r="B34" s="216"/>
      <c r="C34" s="367" t="s">
        <v>195</v>
      </c>
      <c r="D34" s="385">
        <f>D35/D33</f>
        <v>4.5425395484802386E-2</v>
      </c>
      <c r="E34" s="385">
        <f t="shared" ref="E34:I34" si="6">E35/E33</f>
        <v>4.5008688646832502E-2</v>
      </c>
      <c r="F34" s="385">
        <f t="shared" si="6"/>
        <v>4.5234786006140199E-2</v>
      </c>
      <c r="G34" s="385">
        <f t="shared" si="6"/>
        <v>4.4863950564553716E-2</v>
      </c>
      <c r="H34" s="385">
        <f t="shared" si="6"/>
        <v>4.5404575522729494E-2</v>
      </c>
      <c r="I34" s="385">
        <f t="shared" si="6"/>
        <v>4.3839586761735945E-2</v>
      </c>
      <c r="J34" s="385">
        <f t="shared" ref="J34:O34" si="7">J35/J33</f>
        <v>4.4609068837469575E-2</v>
      </c>
      <c r="K34" s="385">
        <f t="shared" si="7"/>
        <v>4.4492658033205734E-2</v>
      </c>
      <c r="L34" s="385">
        <f t="shared" si="7"/>
        <v>4.0045805047914926E-2</v>
      </c>
      <c r="M34" s="385">
        <f t="shared" si="7"/>
        <v>5.3404449743157972E-2</v>
      </c>
      <c r="N34" s="385">
        <f t="shared" si="7"/>
        <v>5.3759046013040532E-2</v>
      </c>
      <c r="O34" s="385">
        <f t="shared" si="7"/>
        <v>5.3439288915626902E-2</v>
      </c>
      <c r="P34" s="385">
        <f t="shared" ref="P34" si="8">P35/P33</f>
        <v>4.6694766493458537E-2</v>
      </c>
      <c r="Q34" s="216"/>
    </row>
    <row r="35" spans="1:17">
      <c r="A35" s="867">
        <f t="shared" si="1"/>
        <v>23</v>
      </c>
      <c r="B35" s="216"/>
      <c r="C35" s="216" t="s">
        <v>210</v>
      </c>
      <c r="D35" s="216">
        <v>-186586.44</v>
      </c>
      <c r="E35" s="216">
        <v>-162752.47</v>
      </c>
      <c r="F35" s="216">
        <v>-176247.34</v>
      </c>
      <c r="G35" s="216">
        <v>-174271.12</v>
      </c>
      <c r="H35" s="216">
        <v>-184806.63</v>
      </c>
      <c r="I35" s="216">
        <v>-162958.17000000001</v>
      </c>
      <c r="J35" s="216">
        <v>-174955.87</v>
      </c>
      <c r="K35" s="216">
        <v>-169926.15</v>
      </c>
      <c r="L35" s="216">
        <v>-157434.01</v>
      </c>
      <c r="M35" s="216">
        <v>-217181.55</v>
      </c>
      <c r="N35" s="216">
        <v>-222796.04</v>
      </c>
      <c r="O35" s="216">
        <v>-207132.38</v>
      </c>
      <c r="P35" s="210">
        <f>SUM(D35:O35)</f>
        <v>-2197048.17</v>
      </c>
      <c r="Q35" s="216"/>
    </row>
    <row r="36" spans="1:17">
      <c r="A36" s="867">
        <f t="shared" si="1"/>
        <v>24</v>
      </c>
      <c r="B36" s="216"/>
      <c r="C36" s="874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9"/>
      <c r="P36" s="880"/>
      <c r="Q36" s="216"/>
    </row>
    <row r="37" spans="1:17">
      <c r="A37" s="216"/>
      <c r="B37" s="216"/>
      <c r="C37" s="874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9"/>
      <c r="P37" s="219"/>
      <c r="Q37" s="216"/>
    </row>
    <row r="38" spans="1:17">
      <c r="A38" s="216"/>
      <c r="B38" s="216" t="s">
        <v>562</v>
      </c>
      <c r="C38" s="874"/>
      <c r="D38" s="651"/>
      <c r="E38" s="651"/>
      <c r="F38" s="651"/>
      <c r="G38" s="651"/>
      <c r="H38" s="651"/>
      <c r="I38" s="651"/>
      <c r="J38" s="216"/>
      <c r="K38" s="216"/>
      <c r="L38" s="216"/>
      <c r="M38" s="216"/>
      <c r="N38" s="216"/>
      <c r="O38" s="216"/>
      <c r="P38" s="651"/>
      <c r="Q38" s="216"/>
    </row>
    <row r="39" spans="1:17">
      <c r="A39" s="216"/>
      <c r="B39" s="216"/>
      <c r="C39" s="216"/>
      <c r="D39" s="219"/>
      <c r="E39" s="219"/>
      <c r="F39" s="219"/>
      <c r="G39" s="219"/>
      <c r="H39" s="219"/>
      <c r="I39" s="219"/>
      <c r="J39" s="216"/>
      <c r="K39" s="219"/>
      <c r="L39" s="219"/>
      <c r="M39" s="219"/>
      <c r="N39" s="219"/>
      <c r="O39" s="219"/>
      <c r="P39" s="219"/>
      <c r="Q39" s="219"/>
    </row>
    <row r="40" spans="1:17">
      <c r="A40" s="216"/>
      <c r="B40" s="216"/>
      <c r="C40" s="216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670"/>
      <c r="Q40" s="219"/>
    </row>
    <row r="41" spans="1:17">
      <c r="A41" s="216"/>
      <c r="B41" s="216" t="s">
        <v>953</v>
      </c>
      <c r="C41" s="216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</row>
    <row r="42" spans="1:17">
      <c r="A42" s="216"/>
      <c r="B42" s="216" t="s">
        <v>1592</v>
      </c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760"/>
      <c r="Q42" s="216"/>
    </row>
    <row r="43" spans="1:17">
      <c r="A43" s="216"/>
      <c r="B43" s="81" t="s">
        <v>1620</v>
      </c>
      <c r="C43" s="216"/>
      <c r="D43" s="760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</row>
    <row r="44" spans="1:17">
      <c r="A44" s="216"/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9"/>
      <c r="P44" s="219"/>
      <c r="Q44" s="216"/>
    </row>
    <row r="45" spans="1:17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9"/>
      <c r="P45" s="219"/>
      <c r="Q45" s="216"/>
    </row>
    <row r="46" spans="1:17">
      <c r="A46" s="216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9"/>
      <c r="P46" s="219"/>
      <c r="Q46" s="216"/>
    </row>
    <row r="47" spans="1:17">
      <c r="A47" s="216"/>
      <c r="B47" s="216"/>
      <c r="C47" s="670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</row>
    <row r="48" spans="1:17">
      <c r="A48" s="216"/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</row>
    <row r="49" spans="1:17">
      <c r="A49" s="216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</row>
    <row r="50" spans="1:17">
      <c r="A50" s="216"/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</row>
    <row r="51" spans="1:17">
      <c r="A51" s="216"/>
    </row>
    <row r="53" spans="1:17">
      <c r="C53" s="670"/>
    </row>
  </sheetData>
  <mergeCells count="4">
    <mergeCell ref="A1:P1"/>
    <mergeCell ref="A2:P2"/>
    <mergeCell ref="A3:P3"/>
    <mergeCell ref="A4:P4"/>
  </mergeCells>
  <phoneticPr fontId="23" type="noConversion"/>
  <printOptions horizontalCentered="1"/>
  <pageMargins left="0.5" right="0.5" top="0.75" bottom="0.63" header="0.5" footer="0.25"/>
  <pageSetup scale="47" fitToHeight="2" orientation="landscape" verticalDpi="300" r:id="rId1"/>
  <headerFooter alignWithMargins="0">
    <oddFooter>&amp;RSchedule &amp;A
Page &amp;P of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"/>
  <dimension ref="A1:R76"/>
  <sheetViews>
    <sheetView view="pageBreakPreview" zoomScale="80" zoomScaleNormal="70" zoomScaleSheetLayoutView="80" workbookViewId="0">
      <pane xSplit="3" ySplit="11" topLeftCell="D12" activePane="bottomRight" state="frozen"/>
      <selection activeCell="J34" sqref="J34"/>
      <selection pane="topRight" activeCell="J34" sqref="J34"/>
      <selection pane="bottomLeft" activeCell="J34" sqref="J34"/>
      <selection pane="bottomRight" activeCell="J34" sqref="J34"/>
    </sheetView>
  </sheetViews>
  <sheetFormatPr defaultColWidth="7.109375" defaultRowHeight="15"/>
  <cols>
    <col min="1" max="1" width="6.21875" style="80" customWidth="1"/>
    <col min="2" max="2" width="7.21875" style="80" customWidth="1"/>
    <col min="3" max="3" width="38.88671875" style="80" customWidth="1"/>
    <col min="4" max="5" width="11.109375" style="80" customWidth="1"/>
    <col min="6" max="6" width="11.77734375" style="80" bestFit="1" customWidth="1"/>
    <col min="7" max="7" width="11.33203125" style="80" bestFit="1" customWidth="1"/>
    <col min="8" max="8" width="11.109375" style="80" customWidth="1"/>
    <col min="9" max="9" width="12" style="80" bestFit="1" customWidth="1"/>
    <col min="10" max="13" width="11.33203125" style="80" bestFit="1" customWidth="1"/>
    <col min="14" max="14" width="12.44140625" style="80" customWidth="1"/>
    <col min="15" max="15" width="10.5546875" style="80" bestFit="1" customWidth="1"/>
    <col min="16" max="16" width="12.44140625" style="80" customWidth="1"/>
    <col min="17" max="17" width="12.5546875" style="80" customWidth="1"/>
    <col min="18" max="16384" width="7.109375" style="80"/>
  </cols>
  <sheetData>
    <row r="1" spans="1:18">
      <c r="A1" s="1203" t="str">
        <f>'Table of Contents'!A1:C1</f>
        <v>Atmos Energy Corporation, Kentucky/Mid-States Division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1203"/>
      <c r="O1" s="1203"/>
      <c r="P1" s="1203"/>
      <c r="Q1" s="81"/>
      <c r="R1" s="81"/>
    </row>
    <row r="2" spans="1:18">
      <c r="A2" s="1203" t="str">
        <f>'Table of Contents'!A2:C2</f>
        <v>Kentucky Jurisdiction Case No. 2018-00281</v>
      </c>
      <c r="B2" s="1203"/>
      <c r="C2" s="1203"/>
      <c r="D2" s="1203"/>
      <c r="E2" s="1203"/>
      <c r="F2" s="1203"/>
      <c r="G2" s="1203"/>
      <c r="H2" s="1203"/>
      <c r="I2" s="1203"/>
      <c r="J2" s="1203"/>
      <c r="K2" s="1203"/>
      <c r="L2" s="1203"/>
      <c r="M2" s="1203"/>
      <c r="N2" s="1203"/>
      <c r="O2" s="1203"/>
      <c r="P2" s="1203"/>
      <c r="Q2" s="81"/>
      <c r="R2" s="81"/>
    </row>
    <row r="3" spans="1:18" ht="15.75">
      <c r="A3" s="1203" t="s">
        <v>190</v>
      </c>
      <c r="B3" s="1203"/>
      <c r="C3" s="1203"/>
      <c r="D3" s="1203"/>
      <c r="E3" s="1203"/>
      <c r="F3" s="1203"/>
      <c r="G3" s="1203"/>
      <c r="H3" s="1203"/>
      <c r="I3" s="1203"/>
      <c r="J3" s="1203"/>
      <c r="K3" s="1203"/>
      <c r="L3" s="1203"/>
      <c r="M3" s="1203"/>
      <c r="N3" s="1203"/>
      <c r="O3" s="1203"/>
      <c r="P3" s="1203"/>
      <c r="Q3" s="81"/>
      <c r="R3" s="81"/>
    </row>
    <row r="4" spans="1:18">
      <c r="A4" s="1203" t="str">
        <f>'Table of Contents'!A3:C3</f>
        <v>Base Period: Twelve Months Ended December 31, 2018</v>
      </c>
      <c r="B4" s="1203"/>
      <c r="C4" s="1203"/>
      <c r="D4" s="1203"/>
      <c r="E4" s="1203"/>
      <c r="F4" s="1203"/>
      <c r="G4" s="1203"/>
      <c r="H4" s="1203"/>
      <c r="I4" s="1203"/>
      <c r="J4" s="1203"/>
      <c r="K4" s="1203"/>
      <c r="L4" s="1203"/>
      <c r="M4" s="1203"/>
      <c r="N4" s="1203"/>
      <c r="O4" s="1203"/>
      <c r="P4" s="1203"/>
      <c r="Q4" s="195"/>
      <c r="R4" s="195"/>
    </row>
    <row r="5" spans="1:18">
      <c r="A5" s="81"/>
      <c r="B5" s="150"/>
      <c r="C5" s="150"/>
      <c r="D5" s="150"/>
      <c r="E5" s="150"/>
      <c r="F5" s="150"/>
      <c r="G5" s="869"/>
      <c r="H5" s="201"/>
      <c r="I5" s="201"/>
      <c r="J5" s="201"/>
      <c r="K5" s="201"/>
      <c r="L5" s="201"/>
      <c r="M5" s="201"/>
      <c r="N5" s="201"/>
      <c r="O5" s="201"/>
      <c r="P5" s="195"/>
      <c r="Q5" s="195"/>
      <c r="R5" s="195"/>
    </row>
    <row r="6" spans="1:18" ht="15.75">
      <c r="A6" s="233" t="str">
        <f>'C.2.2 B 09'!A6</f>
        <v>Data:___X____Base Period________Forecasted Period</v>
      </c>
      <c r="B6" s="195"/>
      <c r="C6" s="233"/>
      <c r="D6" s="195"/>
      <c r="E6" s="195"/>
      <c r="F6" s="870"/>
      <c r="G6" s="195"/>
      <c r="H6" s="195"/>
      <c r="I6" s="195"/>
      <c r="J6" s="195"/>
      <c r="K6" s="195"/>
      <c r="L6" s="195"/>
      <c r="M6" s="195"/>
      <c r="N6" s="195"/>
      <c r="O6" s="195"/>
      <c r="P6" s="505" t="s">
        <v>1427</v>
      </c>
      <c r="Q6" s="195"/>
      <c r="R6" s="195"/>
    </row>
    <row r="7" spans="1:18">
      <c r="A7" s="233" t="str">
        <f>'C.2.2 B 09'!A7</f>
        <v>Type of Filing:___X____Original________Updated ________Revised</v>
      </c>
      <c r="B7" s="195"/>
      <c r="C7" s="233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506" t="s">
        <v>37</v>
      </c>
      <c r="Q7" s="195"/>
      <c r="R7" s="195"/>
    </row>
    <row r="8" spans="1:18">
      <c r="A8" s="313" t="str">
        <f>'C.2.2 B 09'!A8</f>
        <v>Workpaper Reference No(s).____________________</v>
      </c>
      <c r="B8" s="237"/>
      <c r="C8" s="872"/>
      <c r="D8" s="236"/>
      <c r="E8" s="236"/>
      <c r="F8" s="236"/>
      <c r="G8" s="236"/>
      <c r="H8" s="236"/>
      <c r="I8" s="236"/>
      <c r="J8" s="236"/>
      <c r="K8" s="236"/>
      <c r="L8" s="236"/>
      <c r="M8" s="237"/>
      <c r="N8" s="237"/>
      <c r="O8" s="237"/>
      <c r="P8" s="507" t="str">
        <f>'C.1'!J9</f>
        <v>Witness: Waller, Densman</v>
      </c>
      <c r="Q8" s="195"/>
      <c r="R8" s="195"/>
    </row>
    <row r="9" spans="1:18">
      <c r="A9" s="860" t="s">
        <v>93</v>
      </c>
      <c r="B9" s="861" t="s">
        <v>100</v>
      </c>
      <c r="C9" s="862"/>
      <c r="D9" s="295" t="str">
        <f>'C.2.2 B 09'!D9</f>
        <v>actual</v>
      </c>
      <c r="E9" s="295" t="str">
        <f>'C.2.2 B 09'!F9</f>
        <v>actual</v>
      </c>
      <c r="F9" s="295" t="str">
        <f>'C.2.2 B 09'!F9</f>
        <v>actual</v>
      </c>
      <c r="G9" s="295" t="str">
        <f>'C.2.2 B 09'!G9</f>
        <v>actual</v>
      </c>
      <c r="H9" s="295" t="str">
        <f>'C.2.2 B 09'!H9</f>
        <v>actual</v>
      </c>
      <c r="I9" s="295" t="str">
        <f>'C.2.2 B 09'!I9</f>
        <v>actual</v>
      </c>
      <c r="J9" s="295" t="str">
        <f>'C.2.2 B 09'!J9</f>
        <v>actual</v>
      </c>
      <c r="K9" s="295" t="str">
        <f>'C.2.2 B 09'!K9</f>
        <v>actual</v>
      </c>
      <c r="L9" s="295" t="str">
        <f>'C.2.2 B 09'!L9</f>
        <v>actual</v>
      </c>
      <c r="M9" s="295" t="str">
        <f>'C.2.2 B 09'!M9</f>
        <v>actual</v>
      </c>
      <c r="N9" s="295" t="str">
        <f>'C.2.2 B 09'!N9</f>
        <v>actual</v>
      </c>
      <c r="O9" s="295" t="str">
        <f>'C.2.2 B 09'!O9</f>
        <v>actual</v>
      </c>
      <c r="P9" s="873"/>
      <c r="Q9" s="460"/>
      <c r="R9" s="460"/>
    </row>
    <row r="10" spans="1:18">
      <c r="A10" s="863" t="s">
        <v>99</v>
      </c>
      <c r="B10" s="864" t="s">
        <v>99</v>
      </c>
      <c r="C10" s="865" t="s">
        <v>952</v>
      </c>
      <c r="D10" s="207">
        <f>'C.2.2 B 09'!D10</f>
        <v>43101</v>
      </c>
      <c r="E10" s="207">
        <f>'C.2.2 B 09'!E10</f>
        <v>43132</v>
      </c>
      <c r="F10" s="207">
        <f>'C.2.2 B 09'!F10</f>
        <v>43160</v>
      </c>
      <c r="G10" s="207">
        <f>'C.2.2 B 09'!G10</f>
        <v>43191</v>
      </c>
      <c r="H10" s="207">
        <f>'C.2.2 B 09'!H10</f>
        <v>43221</v>
      </c>
      <c r="I10" s="207">
        <f>'C.2.2 B 09'!I10</f>
        <v>43252</v>
      </c>
      <c r="J10" s="207">
        <f>'C.2.2 B 09'!J10</f>
        <v>43282</v>
      </c>
      <c r="K10" s="207">
        <f>'C.2.2 B 09'!K10</f>
        <v>43313</v>
      </c>
      <c r="L10" s="207">
        <f>'C.2.2 B 09'!L10</f>
        <v>43344</v>
      </c>
      <c r="M10" s="207">
        <f>'C.2.2 B 09'!M10</f>
        <v>43374</v>
      </c>
      <c r="N10" s="207">
        <f>'C.2.2 B 09'!N10</f>
        <v>43405</v>
      </c>
      <c r="O10" s="207">
        <f>'C.2.2 B 09'!O10</f>
        <v>43435</v>
      </c>
      <c r="P10" s="207" t="str">
        <f>'C.2.2 B 09'!P10</f>
        <v>Total</v>
      </c>
      <c r="Q10" s="879"/>
      <c r="R10" s="460"/>
    </row>
    <row r="11" spans="1:18">
      <c r="A11" s="195"/>
      <c r="B11" s="195"/>
      <c r="C11" s="195"/>
      <c r="D11" s="209" t="s">
        <v>146</v>
      </c>
      <c r="E11" s="209" t="s">
        <v>146</v>
      </c>
      <c r="F11" s="209" t="s">
        <v>146</v>
      </c>
      <c r="G11" s="209" t="s">
        <v>146</v>
      </c>
      <c r="H11" s="209" t="s">
        <v>146</v>
      </c>
      <c r="I11" s="209" t="s">
        <v>146</v>
      </c>
      <c r="J11" s="209" t="s">
        <v>146</v>
      </c>
      <c r="K11" s="209" t="s">
        <v>146</v>
      </c>
      <c r="L11" s="209" t="s">
        <v>146</v>
      </c>
      <c r="M11" s="209" t="s">
        <v>146</v>
      </c>
      <c r="N11" s="209" t="s">
        <v>146</v>
      </c>
      <c r="O11" s="209" t="s">
        <v>146</v>
      </c>
      <c r="P11" s="209" t="s">
        <v>146</v>
      </c>
      <c r="Q11" s="209"/>
      <c r="R11" s="195"/>
    </row>
    <row r="12" spans="1:18">
      <c r="A12" s="195"/>
      <c r="B12" s="829" t="s">
        <v>733</v>
      </c>
      <c r="C12" s="103" t="s">
        <v>724</v>
      </c>
      <c r="D12" s="596">
        <v>3834544.8</v>
      </c>
      <c r="E12" s="596">
        <v>3389683.01</v>
      </c>
      <c r="F12" s="596">
        <v>-10554542</v>
      </c>
      <c r="G12" s="596">
        <v>1775436.38</v>
      </c>
      <c r="H12" s="596">
        <v>196481.18</v>
      </c>
      <c r="I12" s="596">
        <v>-1971503</v>
      </c>
      <c r="J12" s="1185">
        <v>202254.51</v>
      </c>
      <c r="K12" s="1185">
        <v>202254.51</v>
      </c>
      <c r="L12" s="1185">
        <v>202254.51</v>
      </c>
      <c r="M12" s="1185">
        <v>202254.51</v>
      </c>
      <c r="N12" s="1185">
        <v>202254.51</v>
      </c>
      <c r="O12" s="1185">
        <v>202254.51</v>
      </c>
      <c r="P12" s="210">
        <f t="shared" ref="P12:P15" si="0">SUM(D12:O12)</f>
        <v>-2116372.5700000022</v>
      </c>
      <c r="Q12" s="209"/>
      <c r="R12" s="195"/>
    </row>
    <row r="13" spans="1:18">
      <c r="A13" s="195"/>
      <c r="B13" s="195"/>
      <c r="C13" s="195"/>
      <c r="D13" s="209"/>
      <c r="E13" s="209"/>
      <c r="F13" s="209"/>
      <c r="G13" s="209"/>
      <c r="H13" s="209"/>
      <c r="I13" s="209"/>
      <c r="J13" s="1186"/>
      <c r="K13" s="1186"/>
      <c r="L13" s="1186"/>
      <c r="M13" s="1186"/>
      <c r="N13" s="1186"/>
      <c r="O13" s="1186"/>
      <c r="P13" s="210">
        <f t="shared" si="0"/>
        <v>0</v>
      </c>
      <c r="Q13" s="209"/>
      <c r="R13" s="195"/>
    </row>
    <row r="14" spans="1:18">
      <c r="A14" s="460">
        <v>1</v>
      </c>
      <c r="B14" s="829">
        <v>4030</v>
      </c>
      <c r="C14" s="195" t="s">
        <v>91</v>
      </c>
      <c r="D14" s="596">
        <v>-4.2632564145606011E-13</v>
      </c>
      <c r="E14" s="596">
        <v>-2.9842794901924208E-13</v>
      </c>
      <c r="F14" s="596">
        <v>-1.2789769243681803E-13</v>
      </c>
      <c r="G14" s="596">
        <v>-2.8421709430404007E-13</v>
      </c>
      <c r="H14" s="596">
        <v>-2.5579538487363607E-13</v>
      </c>
      <c r="I14" s="596">
        <v>1.0000000000118803E-2</v>
      </c>
      <c r="J14" s="96">
        <v>1.9895196601282805E-13</v>
      </c>
      <c r="K14" s="96">
        <v>-4.5474735088646412E-13</v>
      </c>
      <c r="L14" s="96">
        <v>-9.9999999994508926E-3</v>
      </c>
      <c r="M14" s="96">
        <v>-9.9475983006414026E-14</v>
      </c>
      <c r="N14" s="96">
        <v>-9.9999999999340616E-3</v>
      </c>
      <c r="O14" s="96">
        <v>-5.6843418860808015E-14</v>
      </c>
      <c r="P14" s="210">
        <f t="shared" si="0"/>
        <v>-1.000000000107093E-2</v>
      </c>
      <c r="Q14" s="670"/>
      <c r="R14" s="210"/>
    </row>
    <row r="15" spans="1:18">
      <c r="A15" s="460">
        <f>A14+1</f>
        <v>2</v>
      </c>
      <c r="B15" s="829" t="s">
        <v>1387</v>
      </c>
      <c r="C15" s="195" t="s">
        <v>861</v>
      </c>
      <c r="D15" s="596">
        <v>0</v>
      </c>
      <c r="E15" s="596">
        <v>0</v>
      </c>
      <c r="F15" s="596">
        <v>0</v>
      </c>
      <c r="G15" s="596">
        <v>0</v>
      </c>
      <c r="H15" s="596">
        <v>0</v>
      </c>
      <c r="I15" s="596">
        <v>0</v>
      </c>
      <c r="J15" s="96">
        <v>0</v>
      </c>
      <c r="K15" s="96">
        <v>0</v>
      </c>
      <c r="L15" s="96">
        <v>0</v>
      </c>
      <c r="M15" s="96">
        <v>1.0000000000218279E-2</v>
      </c>
      <c r="N15" s="96">
        <v>1.0000000000218279E-2</v>
      </c>
      <c r="O15" s="96">
        <v>1.0000000000218279E-2</v>
      </c>
      <c r="P15" s="210">
        <f t="shared" si="0"/>
        <v>3.0000000000654836E-2</v>
      </c>
      <c r="Q15" s="670"/>
      <c r="R15" s="210"/>
    </row>
    <row r="16" spans="1:18">
      <c r="A16" s="460">
        <f t="shared" ref="A16:A58" si="1">A15+1</f>
        <v>3</v>
      </c>
      <c r="B16" s="365">
        <v>4081</v>
      </c>
      <c r="C16" s="195" t="s">
        <v>862</v>
      </c>
      <c r="D16" s="596">
        <v>1.0000000009313226E-2</v>
      </c>
      <c r="E16" s="596">
        <v>-6.1186167243931777E-11</v>
      </c>
      <c r="F16" s="596">
        <v>-9.9999999931128514E-3</v>
      </c>
      <c r="G16" s="596">
        <v>8.8817841970012523E-13</v>
      </c>
      <c r="H16" s="596">
        <v>1.9999999981905603E-2</v>
      </c>
      <c r="I16" s="596">
        <v>113942.48999999989</v>
      </c>
      <c r="J16" s="96">
        <v>7.2759576141834259E-12</v>
      </c>
      <c r="K16" s="96">
        <v>-9.9999999926367877E-3</v>
      </c>
      <c r="L16" s="96">
        <v>-2.120259523508139E-11</v>
      </c>
      <c r="M16" s="96">
        <v>7.2759576141834259E-12</v>
      </c>
      <c r="N16" s="96">
        <v>1.3324097380973399E-10</v>
      </c>
      <c r="O16" s="96">
        <v>4.8885340220294893E-12</v>
      </c>
      <c r="P16" s="210">
        <f t="shared" ref="P16:P52" si="2">SUM(D16:O16)</f>
        <v>113942.49999999996</v>
      </c>
      <c r="Q16" s="210"/>
      <c r="R16" s="210"/>
    </row>
    <row r="17" spans="1:18">
      <c r="A17" s="460">
        <f t="shared" si="1"/>
        <v>4</v>
      </c>
      <c r="B17" s="365">
        <v>8170</v>
      </c>
      <c r="C17" s="195" t="s">
        <v>887</v>
      </c>
      <c r="D17" s="596">
        <v>47.02</v>
      </c>
      <c r="E17" s="596">
        <v>48.37</v>
      </c>
      <c r="F17" s="596">
        <v>44.57</v>
      </c>
      <c r="G17" s="596">
        <v>43.43</v>
      </c>
      <c r="H17" s="596">
        <v>39.32</v>
      </c>
      <c r="I17" s="596">
        <v>41.59</v>
      </c>
      <c r="J17" s="96">
        <v>42.26</v>
      </c>
      <c r="K17" s="96">
        <v>44.22</v>
      </c>
      <c r="L17" s="96">
        <v>43</v>
      </c>
      <c r="M17" s="96">
        <v>42.99</v>
      </c>
      <c r="N17" s="96">
        <v>41.29</v>
      </c>
      <c r="O17" s="96">
        <v>40.31</v>
      </c>
      <c r="P17" s="210">
        <f t="shared" si="2"/>
        <v>518.37</v>
      </c>
      <c r="Q17" s="210"/>
      <c r="R17" s="210"/>
    </row>
    <row r="18" spans="1:18">
      <c r="A18" s="460">
        <f t="shared" si="1"/>
        <v>5</v>
      </c>
      <c r="B18" s="365">
        <v>8180</v>
      </c>
      <c r="C18" s="195" t="s">
        <v>888</v>
      </c>
      <c r="D18" s="596">
        <v>48.879999999999995</v>
      </c>
      <c r="E18" s="596">
        <v>50.289999999999964</v>
      </c>
      <c r="F18" s="596">
        <v>46.340000000000032</v>
      </c>
      <c r="G18" s="596">
        <v>45.160000000000025</v>
      </c>
      <c r="H18" s="596">
        <v>40.880000000000024</v>
      </c>
      <c r="I18" s="596">
        <v>36.180000000000035</v>
      </c>
      <c r="J18" s="96">
        <v>45.25</v>
      </c>
      <c r="K18" s="96">
        <v>47.539999999999964</v>
      </c>
      <c r="L18" s="96">
        <v>46.210000000000008</v>
      </c>
      <c r="M18" s="96">
        <v>30.089999999999975</v>
      </c>
      <c r="N18" s="96">
        <v>28.899999999999977</v>
      </c>
      <c r="O18" s="96">
        <v>28.22</v>
      </c>
      <c r="P18" s="210">
        <f t="shared" si="2"/>
        <v>493.93999999999994</v>
      </c>
      <c r="Q18" s="210"/>
      <c r="R18" s="210"/>
    </row>
    <row r="19" spans="1:18">
      <c r="A19" s="460">
        <f t="shared" si="1"/>
        <v>6</v>
      </c>
      <c r="B19" s="365">
        <v>8190</v>
      </c>
      <c r="C19" s="195" t="s">
        <v>889</v>
      </c>
      <c r="D19" s="596">
        <v>383.55</v>
      </c>
      <c r="E19" s="596">
        <v>10.26</v>
      </c>
      <c r="F19" s="596">
        <v>502</v>
      </c>
      <c r="G19" s="596">
        <v>70.14</v>
      </c>
      <c r="H19" s="596">
        <v>9.85</v>
      </c>
      <c r="I19" s="596">
        <v>599.29</v>
      </c>
      <c r="J19" s="96">
        <v>1460.5</v>
      </c>
      <c r="K19" s="96">
        <v>1990.67</v>
      </c>
      <c r="L19" s="96">
        <v>1088.5899999999999</v>
      </c>
      <c r="M19" s="96">
        <v>2186.34</v>
      </c>
      <c r="N19" s="96">
        <v>55.27</v>
      </c>
      <c r="O19" s="96">
        <v>125.99</v>
      </c>
      <c r="P19" s="210">
        <f t="shared" si="2"/>
        <v>8482.4500000000007</v>
      </c>
      <c r="Q19" s="210"/>
      <c r="R19" s="210"/>
    </row>
    <row r="20" spans="1:18">
      <c r="A20" s="460">
        <f t="shared" si="1"/>
        <v>7</v>
      </c>
      <c r="B20" s="365">
        <v>8210</v>
      </c>
      <c r="C20" s="195" t="s">
        <v>891</v>
      </c>
      <c r="D20" s="596">
        <v>519.27</v>
      </c>
      <c r="E20" s="596">
        <v>411.45000000000005</v>
      </c>
      <c r="F20" s="596">
        <v>374.24</v>
      </c>
      <c r="G20" s="596">
        <v>192.34</v>
      </c>
      <c r="H20" s="596">
        <v>111.9</v>
      </c>
      <c r="I20" s="596">
        <v>107.28</v>
      </c>
      <c r="J20" s="96">
        <v>135.48999999999998</v>
      </c>
      <c r="K20" s="96">
        <v>93.36999999999999</v>
      </c>
      <c r="L20" s="96">
        <v>93.04</v>
      </c>
      <c r="M20" s="96">
        <v>135.32</v>
      </c>
      <c r="N20" s="96">
        <v>213.24</v>
      </c>
      <c r="O20" s="96">
        <v>387.01</v>
      </c>
      <c r="P20" s="210">
        <f t="shared" si="2"/>
        <v>2773.95</v>
      </c>
      <c r="Q20" s="210"/>
      <c r="R20" s="210"/>
    </row>
    <row r="21" spans="1:18">
      <c r="A21" s="460">
        <f t="shared" si="1"/>
        <v>8</v>
      </c>
      <c r="B21" s="365">
        <v>8240</v>
      </c>
      <c r="C21" s="195" t="s">
        <v>892</v>
      </c>
      <c r="D21" s="596">
        <f>0</f>
        <v>0</v>
      </c>
      <c r="E21" s="596">
        <f>0</f>
        <v>0</v>
      </c>
      <c r="F21" s="596">
        <f>0</f>
        <v>0</v>
      </c>
      <c r="G21" s="596">
        <f>0</f>
        <v>0</v>
      </c>
      <c r="H21" s="596">
        <f>0</f>
        <v>0</v>
      </c>
      <c r="I21" s="596">
        <f>0</f>
        <v>0</v>
      </c>
      <c r="J21" s="96"/>
      <c r="K21" s="96"/>
      <c r="L21" s="96"/>
      <c r="M21" s="96"/>
      <c r="N21" s="96"/>
      <c r="O21" s="96"/>
      <c r="P21" s="210">
        <f t="shared" si="2"/>
        <v>0</v>
      </c>
      <c r="Q21" s="210"/>
      <c r="R21" s="210"/>
    </row>
    <row r="22" spans="1:18">
      <c r="A22" s="460">
        <f t="shared" si="1"/>
        <v>9</v>
      </c>
      <c r="B22" s="365">
        <v>8250</v>
      </c>
      <c r="C22" s="195" t="s">
        <v>903</v>
      </c>
      <c r="D22" s="596">
        <v>3345.0399999999995</v>
      </c>
      <c r="E22" s="596">
        <v>956.67000000000007</v>
      </c>
      <c r="F22" s="596">
        <v>2383.56</v>
      </c>
      <c r="G22" s="596">
        <v>3108.65</v>
      </c>
      <c r="H22" s="596">
        <v>841.48</v>
      </c>
      <c r="I22" s="596">
        <v>571.55999999999995</v>
      </c>
      <c r="J22" s="96">
        <v>159.07</v>
      </c>
      <c r="K22" s="96">
        <v>515.24</v>
      </c>
      <c r="L22" s="96">
        <v>102.52999999999999</v>
      </c>
      <c r="M22" s="96">
        <v>1210.25</v>
      </c>
      <c r="N22" s="96">
        <v>793.64</v>
      </c>
      <c r="O22" s="96">
        <v>1643.7</v>
      </c>
      <c r="P22" s="210">
        <f t="shared" si="2"/>
        <v>15631.389999999998</v>
      </c>
      <c r="Q22" s="210"/>
      <c r="R22" s="210"/>
    </row>
    <row r="23" spans="1:18">
      <c r="A23" s="460"/>
      <c r="B23" s="365">
        <v>8500</v>
      </c>
      <c r="C23" s="195" t="s">
        <v>908</v>
      </c>
      <c r="D23" s="596">
        <f>0</f>
        <v>0</v>
      </c>
      <c r="E23" s="596">
        <f>0</f>
        <v>0</v>
      </c>
      <c r="F23" s="596">
        <f>0</f>
        <v>0</v>
      </c>
      <c r="G23" s="596">
        <f>0</f>
        <v>0</v>
      </c>
      <c r="H23" s="596">
        <f>0</f>
        <v>0</v>
      </c>
      <c r="I23" s="596">
        <f>0</f>
        <v>0</v>
      </c>
      <c r="J23" s="96">
        <f>0</f>
        <v>0</v>
      </c>
      <c r="K23" s="96">
        <f>0</f>
        <v>0</v>
      </c>
      <c r="L23" s="96">
        <f>0</f>
        <v>0</v>
      </c>
      <c r="M23" s="96">
        <f>0</f>
        <v>0</v>
      </c>
      <c r="N23" s="96">
        <f>0</f>
        <v>0</v>
      </c>
      <c r="O23" s="96">
        <f>0</f>
        <v>0</v>
      </c>
      <c r="P23" s="210">
        <f t="shared" si="2"/>
        <v>0</v>
      </c>
      <c r="Q23" s="210"/>
      <c r="R23" s="210"/>
    </row>
    <row r="24" spans="1:18">
      <c r="A24" s="460">
        <f>A22+1</f>
        <v>10</v>
      </c>
      <c r="B24" s="365">
        <v>8560</v>
      </c>
      <c r="C24" s="195" t="s">
        <v>909</v>
      </c>
      <c r="D24" s="596">
        <v>62.850000000000023</v>
      </c>
      <c r="E24" s="596">
        <v>64.649999999999977</v>
      </c>
      <c r="F24" s="596">
        <v>59.569999999999993</v>
      </c>
      <c r="G24" s="596">
        <v>58.06</v>
      </c>
      <c r="H24" s="596">
        <v>52.56</v>
      </c>
      <c r="I24" s="596">
        <v>46.520000000000039</v>
      </c>
      <c r="J24" s="96">
        <v>58.180000000000007</v>
      </c>
      <c r="K24" s="96">
        <v>61.120000000000005</v>
      </c>
      <c r="L24" s="96">
        <v>59.410000000000025</v>
      </c>
      <c r="M24" s="96">
        <v>38.69</v>
      </c>
      <c r="N24" s="96">
        <v>721.90999999999985</v>
      </c>
      <c r="O24" s="96">
        <v>36.28000000000003</v>
      </c>
      <c r="P24" s="210">
        <f t="shared" si="2"/>
        <v>1319.8</v>
      </c>
      <c r="Q24" s="210"/>
      <c r="R24" s="210"/>
    </row>
    <row r="25" spans="1:18">
      <c r="A25" s="460">
        <f t="shared" si="1"/>
        <v>11</v>
      </c>
      <c r="B25" s="365">
        <v>8570</v>
      </c>
      <c r="C25" s="195" t="s">
        <v>910</v>
      </c>
      <c r="D25" s="596">
        <v>94.04</v>
      </c>
      <c r="E25" s="596">
        <v>96.74</v>
      </c>
      <c r="F25" s="596">
        <v>89.14</v>
      </c>
      <c r="G25" s="596">
        <v>86.87</v>
      </c>
      <c r="H25" s="596">
        <v>78.63</v>
      </c>
      <c r="I25" s="596">
        <v>83.19</v>
      </c>
      <c r="J25" s="96">
        <v>84.52</v>
      </c>
      <c r="K25" s="96">
        <v>88.43</v>
      </c>
      <c r="L25" s="96">
        <v>85.99</v>
      </c>
      <c r="M25" s="96">
        <v>85.98</v>
      </c>
      <c r="N25" s="96">
        <v>82.58</v>
      </c>
      <c r="O25" s="96">
        <v>80.62</v>
      </c>
      <c r="P25" s="210">
        <f t="shared" si="2"/>
        <v>1036.73</v>
      </c>
      <c r="Q25" s="210"/>
      <c r="R25" s="881"/>
    </row>
    <row r="26" spans="1:18">
      <c r="A26" s="460">
        <f t="shared" si="1"/>
        <v>12</v>
      </c>
      <c r="B26" s="365">
        <v>8650</v>
      </c>
      <c r="C26" s="658" t="s">
        <v>1401</v>
      </c>
      <c r="D26" s="596">
        <v>0</v>
      </c>
      <c r="E26" s="596">
        <v>0</v>
      </c>
      <c r="F26" s="596">
        <v>0</v>
      </c>
      <c r="G26" s="596">
        <v>0</v>
      </c>
      <c r="H26" s="596">
        <v>0</v>
      </c>
      <c r="I26" s="596">
        <v>444.74</v>
      </c>
      <c r="J26" s="96">
        <v>240.34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210">
        <f t="shared" si="2"/>
        <v>685.08</v>
      </c>
      <c r="Q26" s="210"/>
      <c r="R26" s="881"/>
    </row>
    <row r="27" spans="1:18">
      <c r="A27" s="460">
        <f t="shared" si="1"/>
        <v>13</v>
      </c>
      <c r="B27" s="365">
        <v>8700</v>
      </c>
      <c r="C27" s="195" t="s">
        <v>913</v>
      </c>
      <c r="D27" s="596">
        <v>293118.21000000002</v>
      </c>
      <c r="E27" s="596">
        <v>240515.67999999993</v>
      </c>
      <c r="F27" s="596">
        <v>223258.58999999997</v>
      </c>
      <c r="G27" s="596">
        <v>246464.21000000008</v>
      </c>
      <c r="H27" s="596">
        <v>254197.18999999994</v>
      </c>
      <c r="I27" s="596">
        <v>238115.81999999992</v>
      </c>
      <c r="J27" s="96">
        <v>293222.84999999992</v>
      </c>
      <c r="K27" s="96">
        <v>261948.6500000002</v>
      </c>
      <c r="L27" s="96">
        <v>327178.95999999996</v>
      </c>
      <c r="M27" s="96">
        <v>197298.87</v>
      </c>
      <c r="N27" s="96">
        <v>232447.21000000005</v>
      </c>
      <c r="O27" s="96">
        <v>231223.08999999997</v>
      </c>
      <c r="P27" s="210">
        <f t="shared" si="2"/>
        <v>3038989.3299999996</v>
      </c>
      <c r="Q27" s="210"/>
      <c r="R27" s="881"/>
    </row>
    <row r="28" spans="1:18">
      <c r="A28" s="460">
        <f t="shared" si="1"/>
        <v>14</v>
      </c>
      <c r="B28" s="365">
        <v>8711</v>
      </c>
      <c r="C28" s="195" t="s">
        <v>189</v>
      </c>
      <c r="D28" s="596">
        <v>16631.21</v>
      </c>
      <c r="E28" s="596">
        <v>13456.7</v>
      </c>
      <c r="F28" s="596">
        <v>0</v>
      </c>
      <c r="G28" s="596">
        <v>2264.35</v>
      </c>
      <c r="H28" s="596">
        <v>0</v>
      </c>
      <c r="I28" s="596">
        <v>3084.98</v>
      </c>
      <c r="J28" s="96">
        <v>6054.12</v>
      </c>
      <c r="K28" s="96">
        <v>0</v>
      </c>
      <c r="L28" s="96">
        <v>0</v>
      </c>
      <c r="M28" s="96">
        <v>0</v>
      </c>
      <c r="N28" s="96">
        <v>0</v>
      </c>
      <c r="O28" s="96">
        <v>3037.72</v>
      </c>
      <c r="P28" s="210">
        <f t="shared" si="2"/>
        <v>44529.08</v>
      </c>
      <c r="Q28" s="210"/>
      <c r="R28" s="881"/>
    </row>
    <row r="29" spans="1:18">
      <c r="A29" s="460">
        <f t="shared" si="1"/>
        <v>15</v>
      </c>
      <c r="B29" s="365">
        <v>8740</v>
      </c>
      <c r="C29" s="195" t="s">
        <v>915</v>
      </c>
      <c r="D29" s="596">
        <v>14446.550000000003</v>
      </c>
      <c r="E29" s="596">
        <v>8226.41</v>
      </c>
      <c r="F29" s="596">
        <v>6437.23</v>
      </c>
      <c r="G29" s="596">
        <v>7402.23</v>
      </c>
      <c r="H29" s="596">
        <v>10511.759999999997</v>
      </c>
      <c r="I29" s="596">
        <v>-11155.189999999999</v>
      </c>
      <c r="J29" s="96">
        <v>6959.159999999998</v>
      </c>
      <c r="K29" s="96">
        <v>7216.6799999999994</v>
      </c>
      <c r="L29" s="96">
        <v>1930.1600000000049</v>
      </c>
      <c r="M29" s="96">
        <v>6406.46</v>
      </c>
      <c r="N29" s="96">
        <v>7300.61</v>
      </c>
      <c r="O29" s="96">
        <v>9736.630000000001</v>
      </c>
      <c r="P29" s="210">
        <f t="shared" si="2"/>
        <v>75418.689999999988</v>
      </c>
      <c r="Q29" s="210"/>
      <c r="R29" s="881"/>
    </row>
    <row r="30" spans="1:18">
      <c r="A30" s="460">
        <f t="shared" si="1"/>
        <v>16</v>
      </c>
      <c r="B30" s="365">
        <v>8750</v>
      </c>
      <c r="C30" s="195" t="s">
        <v>916</v>
      </c>
      <c r="D30" s="596">
        <v>12539.320000000002</v>
      </c>
      <c r="E30" s="596">
        <v>9849.65</v>
      </c>
      <c r="F30" s="596">
        <v>13718.970000000001</v>
      </c>
      <c r="G30" s="596">
        <v>18886.350000000002</v>
      </c>
      <c r="H30" s="596">
        <v>14789.86</v>
      </c>
      <c r="I30" s="596">
        <v>12619.23</v>
      </c>
      <c r="J30" s="96">
        <v>6629.41</v>
      </c>
      <c r="K30" s="96">
        <v>8372.33</v>
      </c>
      <c r="L30" s="96">
        <v>4799.91</v>
      </c>
      <c r="M30" s="96">
        <v>9200.11</v>
      </c>
      <c r="N30" s="96">
        <v>8217.61</v>
      </c>
      <c r="O30" s="96">
        <v>7276.36</v>
      </c>
      <c r="P30" s="210">
        <f t="shared" si="2"/>
        <v>126899.11000000002</v>
      </c>
      <c r="Q30" s="210"/>
      <c r="R30" s="881"/>
    </row>
    <row r="31" spans="1:18">
      <c r="A31" s="460">
        <f t="shared" si="1"/>
        <v>17</v>
      </c>
      <c r="B31" s="365">
        <v>8760</v>
      </c>
      <c r="C31" s="80" t="s">
        <v>917</v>
      </c>
      <c r="D31" s="596">
        <f>0</f>
        <v>0</v>
      </c>
      <c r="E31" s="596">
        <f>0</f>
        <v>0</v>
      </c>
      <c r="F31" s="596">
        <f>0</f>
        <v>0</v>
      </c>
      <c r="G31" s="596">
        <f>0</f>
        <v>0</v>
      </c>
      <c r="H31" s="596">
        <f>0</f>
        <v>0</v>
      </c>
      <c r="I31" s="596">
        <f>0</f>
        <v>0</v>
      </c>
      <c r="J31" s="96">
        <v>2195.5500000000002</v>
      </c>
      <c r="K31" s="96">
        <v>-333.63</v>
      </c>
      <c r="L31" s="96">
        <v>2916.65</v>
      </c>
      <c r="M31" s="96">
        <v>3742.01</v>
      </c>
      <c r="N31" s="96">
        <v>8725.26</v>
      </c>
      <c r="O31" s="96">
        <v>707.3599999999999</v>
      </c>
      <c r="P31" s="210">
        <f t="shared" si="2"/>
        <v>17953.2</v>
      </c>
      <c r="Q31" s="210"/>
      <c r="R31" s="881"/>
    </row>
    <row r="32" spans="1:18">
      <c r="A32" s="460">
        <f t="shared" si="1"/>
        <v>18</v>
      </c>
      <c r="B32" s="365">
        <v>8770</v>
      </c>
      <c r="C32" s="195" t="s">
        <v>918</v>
      </c>
      <c r="D32" s="596">
        <v>240</v>
      </c>
      <c r="E32" s="596">
        <v>3984.12</v>
      </c>
      <c r="F32" s="596">
        <v>4153.6000000000004</v>
      </c>
      <c r="G32" s="596">
        <v>0</v>
      </c>
      <c r="H32" s="596">
        <v>2043.1</v>
      </c>
      <c r="I32" s="596">
        <v>0</v>
      </c>
      <c r="J32" s="96">
        <v>2252.89</v>
      </c>
      <c r="K32" s="96">
        <v>2269.4499999999998</v>
      </c>
      <c r="L32" s="96">
        <v>0</v>
      </c>
      <c r="M32" s="96">
        <v>0</v>
      </c>
      <c r="N32" s="96">
        <v>0</v>
      </c>
      <c r="O32" s="96">
        <v>0</v>
      </c>
      <c r="P32" s="210">
        <f t="shared" si="2"/>
        <v>14943.16</v>
      </c>
      <c r="Q32" s="210"/>
      <c r="R32" s="881"/>
    </row>
    <row r="33" spans="1:18">
      <c r="A33" s="460">
        <f t="shared" si="1"/>
        <v>19</v>
      </c>
      <c r="B33" s="365">
        <v>8800</v>
      </c>
      <c r="C33" s="195" t="s">
        <v>921</v>
      </c>
      <c r="D33" s="596">
        <f>0</f>
        <v>0</v>
      </c>
      <c r="E33" s="596">
        <f>0</f>
        <v>0</v>
      </c>
      <c r="F33" s="596">
        <f>0</f>
        <v>0</v>
      </c>
      <c r="G33" s="596">
        <f>0</f>
        <v>0</v>
      </c>
      <c r="H33" s="596">
        <f>0</f>
        <v>0</v>
      </c>
      <c r="I33" s="596">
        <f>0</f>
        <v>0</v>
      </c>
      <c r="J33" s="96">
        <v>0</v>
      </c>
      <c r="K33" s="96">
        <v>0</v>
      </c>
      <c r="L33" s="96">
        <v>0</v>
      </c>
      <c r="M33" s="96">
        <v>38.76</v>
      </c>
      <c r="N33" s="96">
        <v>0</v>
      </c>
      <c r="O33" s="96">
        <v>0</v>
      </c>
      <c r="P33" s="210">
        <f t="shared" si="2"/>
        <v>38.76</v>
      </c>
      <c r="Q33" s="210"/>
      <c r="R33" s="881"/>
    </row>
    <row r="34" spans="1:18">
      <c r="A34" s="460">
        <f t="shared" si="1"/>
        <v>20</v>
      </c>
      <c r="B34" s="365">
        <v>8810</v>
      </c>
      <c r="C34" s="195" t="s">
        <v>922</v>
      </c>
      <c r="D34" s="596">
        <v>23863.19</v>
      </c>
      <c r="E34" s="596">
        <v>23776.409999999996</v>
      </c>
      <c r="F34" s="596">
        <v>23072.840000000004</v>
      </c>
      <c r="G34" s="596">
        <v>21788.320000000007</v>
      </c>
      <c r="H34" s="596">
        <v>23331.98</v>
      </c>
      <c r="I34" s="596">
        <v>23465.510000000002</v>
      </c>
      <c r="J34" s="96">
        <v>23562.359999999997</v>
      </c>
      <c r="K34" s="96">
        <v>26922.2</v>
      </c>
      <c r="L34" s="96">
        <v>26807.79</v>
      </c>
      <c r="M34" s="96">
        <v>26162.640000000003</v>
      </c>
      <c r="N34" s="96">
        <v>26359.490000000005</v>
      </c>
      <c r="O34" s="96">
        <v>26113.170000000002</v>
      </c>
      <c r="P34" s="210">
        <f t="shared" si="2"/>
        <v>295225.90000000002</v>
      </c>
      <c r="Q34" s="210"/>
      <c r="R34" s="881"/>
    </row>
    <row r="35" spans="1:18">
      <c r="A35" s="460">
        <f t="shared" si="1"/>
        <v>21</v>
      </c>
      <c r="B35" s="365">
        <v>9010</v>
      </c>
      <c r="C35" s="80" t="s">
        <v>181</v>
      </c>
      <c r="D35" s="596">
        <v>1990.21</v>
      </c>
      <c r="E35" s="596">
        <v>2055.58</v>
      </c>
      <c r="F35" s="596">
        <v>3097.59</v>
      </c>
      <c r="G35" s="596">
        <v>2446.7799999999997</v>
      </c>
      <c r="H35" s="596">
        <v>2901.1800000000003</v>
      </c>
      <c r="I35" s="596">
        <v>2562.1</v>
      </c>
      <c r="J35" s="96">
        <v>1444.04</v>
      </c>
      <c r="K35" s="96">
        <v>876.73</v>
      </c>
      <c r="L35" s="96">
        <v>2376.9799999999996</v>
      </c>
      <c r="M35" s="96">
        <v>2654.98</v>
      </c>
      <c r="N35" s="96">
        <v>2680.72</v>
      </c>
      <c r="O35" s="96">
        <v>2258.36</v>
      </c>
      <c r="P35" s="210">
        <f t="shared" si="2"/>
        <v>27345.25</v>
      </c>
      <c r="Q35" s="210"/>
      <c r="R35" s="881"/>
    </row>
    <row r="36" spans="1:18">
      <c r="A36" s="460">
        <f t="shared" si="1"/>
        <v>22</v>
      </c>
      <c r="B36" s="365">
        <v>9020</v>
      </c>
      <c r="C36" s="80" t="s">
        <v>932</v>
      </c>
      <c r="D36" s="596">
        <f>0</f>
        <v>0</v>
      </c>
      <c r="E36" s="596">
        <f>0</f>
        <v>0</v>
      </c>
      <c r="F36" s="596">
        <f>0</f>
        <v>0</v>
      </c>
      <c r="G36" s="596">
        <f>0</f>
        <v>0</v>
      </c>
      <c r="H36" s="596">
        <f>0</f>
        <v>0</v>
      </c>
      <c r="I36" s="596">
        <f>0</f>
        <v>0</v>
      </c>
      <c r="J36" s="96">
        <f>0</f>
        <v>0</v>
      </c>
      <c r="K36" s="96">
        <f>0</f>
        <v>0</v>
      </c>
      <c r="L36" s="96">
        <f>0</f>
        <v>0</v>
      </c>
      <c r="M36" s="96">
        <f>0</f>
        <v>0</v>
      </c>
      <c r="N36" s="96">
        <f>0</f>
        <v>0</v>
      </c>
      <c r="O36" s="96">
        <f>0</f>
        <v>0</v>
      </c>
      <c r="P36" s="210">
        <f t="shared" si="2"/>
        <v>0</v>
      </c>
      <c r="Q36" s="210"/>
      <c r="R36" s="881"/>
    </row>
    <row r="37" spans="1:18">
      <c r="A37" s="460">
        <f t="shared" si="1"/>
        <v>23</v>
      </c>
      <c r="B37" s="365">
        <v>9030</v>
      </c>
      <c r="C37" s="195" t="s">
        <v>937</v>
      </c>
      <c r="D37" s="596">
        <v>164974.76999999999</v>
      </c>
      <c r="E37" s="596">
        <v>161951</v>
      </c>
      <c r="F37" s="596">
        <v>176360.40000000002</v>
      </c>
      <c r="G37" s="596">
        <v>160299.22000000003</v>
      </c>
      <c r="H37" s="596">
        <v>168108.4</v>
      </c>
      <c r="I37" s="596">
        <v>148875.78999999998</v>
      </c>
      <c r="J37" s="96">
        <v>148098.79</v>
      </c>
      <c r="K37" s="96">
        <v>156044.68</v>
      </c>
      <c r="L37" s="96">
        <v>150073.71</v>
      </c>
      <c r="M37" s="96">
        <v>156436.59</v>
      </c>
      <c r="N37" s="96">
        <v>150444.5</v>
      </c>
      <c r="O37" s="96">
        <v>154076.17000000001</v>
      </c>
      <c r="P37" s="210">
        <f t="shared" si="2"/>
        <v>1895744.02</v>
      </c>
      <c r="Q37" s="210"/>
      <c r="R37" s="881"/>
    </row>
    <row r="38" spans="1:18">
      <c r="A38" s="460"/>
      <c r="B38" s="365">
        <v>9090</v>
      </c>
      <c r="C38" s="195" t="s">
        <v>939</v>
      </c>
      <c r="D38" s="596"/>
      <c r="E38" s="596"/>
      <c r="F38" s="596"/>
      <c r="G38" s="596"/>
      <c r="H38" s="596"/>
      <c r="I38" s="596"/>
      <c r="J38" s="96">
        <v>0</v>
      </c>
      <c r="K38" s="96">
        <v>0</v>
      </c>
      <c r="L38" s="96">
        <v>0</v>
      </c>
      <c r="M38" s="96">
        <v>8027.83</v>
      </c>
      <c r="N38" s="96">
        <v>11449.44</v>
      </c>
      <c r="O38" s="96">
        <v>14458.670000000002</v>
      </c>
      <c r="P38" s="210">
        <f t="shared" si="2"/>
        <v>33935.94</v>
      </c>
      <c r="Q38" s="210"/>
      <c r="R38" s="881"/>
    </row>
    <row r="39" spans="1:18">
      <c r="A39" s="460">
        <f>A37+1</f>
        <v>24</v>
      </c>
      <c r="B39" s="365">
        <v>9100</v>
      </c>
      <c r="C39" s="195" t="s">
        <v>940</v>
      </c>
      <c r="D39" s="596">
        <v>79.75</v>
      </c>
      <c r="E39" s="596">
        <v>0</v>
      </c>
      <c r="F39" s="596">
        <v>61.18</v>
      </c>
      <c r="G39" s="596">
        <v>0</v>
      </c>
      <c r="H39" s="596">
        <v>394.68</v>
      </c>
      <c r="I39" s="596">
        <v>61.46</v>
      </c>
      <c r="J39" s="96">
        <v>61.46</v>
      </c>
      <c r="K39" s="96">
        <v>115.24</v>
      </c>
      <c r="L39" s="96">
        <v>53.78</v>
      </c>
      <c r="M39" s="96">
        <v>52.52</v>
      </c>
      <c r="N39" s="96">
        <v>0</v>
      </c>
      <c r="O39" s="96">
        <v>90.19</v>
      </c>
      <c r="P39" s="210">
        <f t="shared" si="2"/>
        <v>970.26</v>
      </c>
      <c r="Q39" s="210"/>
      <c r="R39" s="881"/>
    </row>
    <row r="40" spans="1:18">
      <c r="A40" s="460">
        <f t="shared" si="1"/>
        <v>25</v>
      </c>
      <c r="B40" s="365">
        <v>9110</v>
      </c>
      <c r="C40" s="195" t="s">
        <v>941</v>
      </c>
      <c r="D40" s="596">
        <v>14900.009999999998</v>
      </c>
      <c r="E40" s="596">
        <v>10718.38</v>
      </c>
      <c r="F40" s="596">
        <v>14997.630000000001</v>
      </c>
      <c r="G40" s="596">
        <v>32050.83</v>
      </c>
      <c r="H40" s="596">
        <v>10611.88</v>
      </c>
      <c r="I40" s="596">
        <v>11034.450000000003</v>
      </c>
      <c r="J40" s="96">
        <v>11759.560000000001</v>
      </c>
      <c r="K40" s="96">
        <v>11643.31</v>
      </c>
      <c r="L40" s="96">
        <v>15218.329999999998</v>
      </c>
      <c r="M40" s="96">
        <v>11908.26</v>
      </c>
      <c r="N40" s="96">
        <v>10429.669999999998</v>
      </c>
      <c r="O40" s="96">
        <v>7571.4</v>
      </c>
      <c r="P40" s="210">
        <f t="shared" si="2"/>
        <v>162843.71</v>
      </c>
      <c r="Q40" s="210"/>
      <c r="R40" s="881"/>
    </row>
    <row r="41" spans="1:18">
      <c r="A41" s="460">
        <f t="shared" si="1"/>
        <v>26</v>
      </c>
      <c r="B41" s="365">
        <v>9120</v>
      </c>
      <c r="C41" s="195" t="s">
        <v>942</v>
      </c>
      <c r="D41" s="596">
        <f>0</f>
        <v>0</v>
      </c>
      <c r="E41" s="596">
        <f>0</f>
        <v>0</v>
      </c>
      <c r="F41" s="596">
        <f>0</f>
        <v>0</v>
      </c>
      <c r="G41" s="596">
        <f>0</f>
        <v>0</v>
      </c>
      <c r="H41" s="596">
        <f>0</f>
        <v>0</v>
      </c>
      <c r="I41" s="596">
        <f>0</f>
        <v>0</v>
      </c>
      <c r="J41" s="96">
        <v>0</v>
      </c>
      <c r="K41" s="96">
        <v>0</v>
      </c>
      <c r="L41" s="96">
        <v>2638.03</v>
      </c>
      <c r="M41" s="96">
        <v>0</v>
      </c>
      <c r="N41" s="96">
        <v>0</v>
      </c>
      <c r="O41" s="96">
        <v>0</v>
      </c>
      <c r="P41" s="210">
        <f t="shared" si="2"/>
        <v>2638.03</v>
      </c>
      <c r="Q41" s="210"/>
      <c r="R41" s="881"/>
    </row>
    <row r="42" spans="1:18">
      <c r="A42" s="460">
        <f t="shared" si="1"/>
        <v>27</v>
      </c>
      <c r="B42" s="365">
        <v>9130</v>
      </c>
      <c r="C42" s="195" t="s">
        <v>943</v>
      </c>
      <c r="D42" s="596">
        <v>0</v>
      </c>
      <c r="E42" s="596">
        <v>0</v>
      </c>
      <c r="F42" s="596">
        <v>0</v>
      </c>
      <c r="G42" s="596">
        <v>0</v>
      </c>
      <c r="H42" s="596">
        <v>411.8</v>
      </c>
      <c r="I42" s="596">
        <v>126.84</v>
      </c>
      <c r="J42" s="96">
        <v>0</v>
      </c>
      <c r="K42" s="96">
        <v>3244.9</v>
      </c>
      <c r="L42" s="96">
        <v>3491.13</v>
      </c>
      <c r="M42" s="96">
        <v>0</v>
      </c>
      <c r="N42" s="96">
        <v>0</v>
      </c>
      <c r="O42" s="96">
        <v>0</v>
      </c>
      <c r="P42" s="210">
        <f t="shared" si="2"/>
        <v>7274.67</v>
      </c>
      <c r="Q42" s="210"/>
      <c r="R42" s="881"/>
    </row>
    <row r="43" spans="1:18">
      <c r="A43" s="460">
        <f t="shared" si="1"/>
        <v>28</v>
      </c>
      <c r="B43" s="365">
        <v>9200</v>
      </c>
      <c r="C43" s="195" t="s">
        <v>182</v>
      </c>
      <c r="D43" s="596">
        <v>-9381.69</v>
      </c>
      <c r="E43" s="596">
        <v>-31796</v>
      </c>
      <c r="F43" s="596">
        <v>-6412.89</v>
      </c>
      <c r="G43" s="596">
        <v>-14768.94</v>
      </c>
      <c r="H43" s="596">
        <v>-29538.82</v>
      </c>
      <c r="I43" s="596">
        <v>-14680.71</v>
      </c>
      <c r="J43" s="96">
        <v>-6032.05</v>
      </c>
      <c r="K43" s="96">
        <v>-24001.51</v>
      </c>
      <c r="L43" s="96">
        <v>8019.85</v>
      </c>
      <c r="M43" s="96">
        <v>-30266.29</v>
      </c>
      <c r="N43" s="96">
        <v>-5542.77</v>
      </c>
      <c r="O43" s="96">
        <v>-5481.54</v>
      </c>
      <c r="P43" s="210">
        <f t="shared" si="2"/>
        <v>-169883.36</v>
      </c>
      <c r="Q43" s="210"/>
      <c r="R43" s="881"/>
    </row>
    <row r="44" spans="1:18">
      <c r="A44" s="460">
        <f t="shared" si="1"/>
        <v>29</v>
      </c>
      <c r="B44" s="365">
        <v>9210</v>
      </c>
      <c r="C44" s="195" t="s">
        <v>944</v>
      </c>
      <c r="D44" s="596">
        <v>25.27</v>
      </c>
      <c r="E44" s="596">
        <v>280.61</v>
      </c>
      <c r="F44" s="596">
        <v>1997.2000000000003</v>
      </c>
      <c r="G44" s="596">
        <v>0</v>
      </c>
      <c r="H44" s="596">
        <v>0</v>
      </c>
      <c r="I44" s="596">
        <v>49.97</v>
      </c>
      <c r="J44" s="96">
        <v>0</v>
      </c>
      <c r="K44" s="96">
        <v>78000</v>
      </c>
      <c r="L44" s="96">
        <v>89.85</v>
      </c>
      <c r="M44" s="96">
        <v>633.73</v>
      </c>
      <c r="N44" s="96">
        <v>1506.41</v>
      </c>
      <c r="O44" s="96">
        <v>-139635.26999999999</v>
      </c>
      <c r="P44" s="210">
        <f t="shared" si="2"/>
        <v>-57052.229999999981</v>
      </c>
      <c r="Q44" s="210"/>
      <c r="R44" s="210"/>
    </row>
    <row r="45" spans="1:18">
      <c r="A45" s="460">
        <f t="shared" si="1"/>
        <v>30</v>
      </c>
      <c r="B45" s="365">
        <v>9220</v>
      </c>
      <c r="C45" s="195" t="s">
        <v>945</v>
      </c>
      <c r="D45" s="596">
        <v>-756389.59999999963</v>
      </c>
      <c r="E45" s="596">
        <v>-597520.22000000067</v>
      </c>
      <c r="F45" s="596">
        <v>-734178.82000000007</v>
      </c>
      <c r="G45" s="596">
        <v>-668457.68999999994</v>
      </c>
      <c r="H45" s="596">
        <v>-750311.7899999998</v>
      </c>
      <c r="I45" s="596">
        <v>-600333.47999999975</v>
      </c>
      <c r="J45" s="96">
        <v>-818967.87000000011</v>
      </c>
      <c r="K45" s="96">
        <v>-760952.8600000001</v>
      </c>
      <c r="L45" s="96">
        <v>-580322.85999999975</v>
      </c>
      <c r="M45" s="96">
        <v>-465274</v>
      </c>
      <c r="N45" s="96">
        <v>-531071.42000000039</v>
      </c>
      <c r="O45" s="96">
        <v>-392947.34</v>
      </c>
      <c r="P45" s="210">
        <f t="shared" si="2"/>
        <v>-7656727.9499999993</v>
      </c>
      <c r="Q45" s="670"/>
      <c r="R45" s="210"/>
    </row>
    <row r="46" spans="1:18">
      <c r="A46" s="460">
        <f t="shared" si="1"/>
        <v>31</v>
      </c>
      <c r="B46" s="365">
        <v>9230</v>
      </c>
      <c r="C46" s="195" t="s">
        <v>946</v>
      </c>
      <c r="D46" s="596">
        <v>1630</v>
      </c>
      <c r="E46" s="596">
        <v>1731.1899999999998</v>
      </c>
      <c r="F46" s="596">
        <v>13786.73</v>
      </c>
      <c r="G46" s="596">
        <v>7154.8099999999995</v>
      </c>
      <c r="H46" s="596">
        <v>8172.24</v>
      </c>
      <c r="I46" s="596">
        <v>22890.76</v>
      </c>
      <c r="J46" s="96">
        <v>37696.22</v>
      </c>
      <c r="K46" s="96">
        <v>54459.930000000008</v>
      </c>
      <c r="L46" s="96">
        <v>-32292.51</v>
      </c>
      <c r="M46" s="96">
        <v>527.26</v>
      </c>
      <c r="N46" s="96">
        <v>5230.71</v>
      </c>
      <c r="O46" s="96">
        <v>20251.96</v>
      </c>
      <c r="P46" s="210">
        <f t="shared" si="2"/>
        <v>141239.30000000002</v>
      </c>
      <c r="Q46" s="210"/>
      <c r="R46" s="210"/>
    </row>
    <row r="47" spans="1:18">
      <c r="A47" s="460">
        <f t="shared" si="1"/>
        <v>32</v>
      </c>
      <c r="B47" s="365">
        <v>9240</v>
      </c>
      <c r="C47" s="195" t="s">
        <v>947</v>
      </c>
      <c r="D47" s="596">
        <v>-1027.6899999999998</v>
      </c>
      <c r="E47" s="596">
        <v>-1105.1799999999998</v>
      </c>
      <c r="F47" s="596">
        <v>-1217.1300000000001</v>
      </c>
      <c r="G47" s="596">
        <v>-1119.44</v>
      </c>
      <c r="H47" s="596">
        <v>-1065.8600000000001</v>
      </c>
      <c r="I47" s="596">
        <v>-1092.7600000000002</v>
      </c>
      <c r="J47" s="96">
        <v>-1086.1999999999998</v>
      </c>
      <c r="K47" s="96">
        <v>-1074.0300000000002</v>
      </c>
      <c r="L47" s="96">
        <v>-1112.92</v>
      </c>
      <c r="M47" s="96">
        <v>-1052.4000000000001</v>
      </c>
      <c r="N47" s="96">
        <v>-1001.66</v>
      </c>
      <c r="O47" s="96">
        <v>-1049.3699999999999</v>
      </c>
      <c r="P47" s="210">
        <f t="shared" si="2"/>
        <v>-13004.64</v>
      </c>
      <c r="Q47" s="210"/>
      <c r="R47" s="210"/>
    </row>
    <row r="48" spans="1:18">
      <c r="A48" s="460">
        <f t="shared" si="1"/>
        <v>33</v>
      </c>
      <c r="B48" s="365">
        <v>9250</v>
      </c>
      <c r="C48" s="195" t="s">
        <v>948</v>
      </c>
      <c r="D48" s="596">
        <v>19633.169999999998</v>
      </c>
      <c r="E48" s="596">
        <v>19705.46</v>
      </c>
      <c r="F48" s="596">
        <v>16366.97</v>
      </c>
      <c r="G48" s="596">
        <v>18873.91</v>
      </c>
      <c r="H48" s="596">
        <v>18864.690000000002</v>
      </c>
      <c r="I48" s="596">
        <v>18486.41</v>
      </c>
      <c r="J48" s="96">
        <v>-1021.2900000000009</v>
      </c>
      <c r="K48" s="96">
        <v>26371.09</v>
      </c>
      <c r="L48" s="96">
        <v>14473.919999999998</v>
      </c>
      <c r="M48" s="96">
        <v>29606.350000000002</v>
      </c>
      <c r="N48" s="96">
        <v>19910.48</v>
      </c>
      <c r="O48" s="96">
        <v>-27986.33</v>
      </c>
      <c r="P48" s="210">
        <f t="shared" si="2"/>
        <v>173284.83000000002</v>
      </c>
      <c r="Q48" s="210"/>
      <c r="R48" s="210"/>
    </row>
    <row r="49" spans="1:18">
      <c r="A49" s="460">
        <f t="shared" si="1"/>
        <v>34</v>
      </c>
      <c r="B49" s="882">
        <v>9260</v>
      </c>
      <c r="C49" s="195" t="s">
        <v>949</v>
      </c>
      <c r="D49" s="596">
        <v>197785.25999999998</v>
      </c>
      <c r="E49" s="596">
        <v>132531.79000000004</v>
      </c>
      <c r="F49" s="596">
        <v>241000.5</v>
      </c>
      <c r="G49" s="596">
        <v>163110.41</v>
      </c>
      <c r="H49" s="596">
        <v>257903.08999999997</v>
      </c>
      <c r="I49" s="596">
        <v>143957.49</v>
      </c>
      <c r="J49" s="96">
        <v>284945.39000000019</v>
      </c>
      <c r="K49" s="96">
        <v>142699.25999999989</v>
      </c>
      <c r="L49" s="96">
        <v>50809.34</v>
      </c>
      <c r="M49" s="96">
        <v>40166.669999999744</v>
      </c>
      <c r="N49" s="96">
        <v>45976.909999999989</v>
      </c>
      <c r="O49" s="96">
        <v>87956.650000000111</v>
      </c>
      <c r="P49" s="210">
        <f t="shared" si="2"/>
        <v>1788842.7599999998</v>
      </c>
      <c r="Q49" s="210"/>
      <c r="R49" s="210"/>
    </row>
    <row r="50" spans="1:18">
      <c r="A50" s="460">
        <f t="shared" si="1"/>
        <v>35</v>
      </c>
      <c r="B50" s="882">
        <v>9280</v>
      </c>
      <c r="C50" s="80" t="s">
        <v>951</v>
      </c>
      <c r="D50" s="596">
        <v>441.4</v>
      </c>
      <c r="E50" s="596">
        <v>0</v>
      </c>
      <c r="F50" s="596">
        <v>0</v>
      </c>
      <c r="G50" s="596">
        <v>0</v>
      </c>
      <c r="H50" s="596">
        <v>0</v>
      </c>
      <c r="I50" s="596">
        <v>0</v>
      </c>
      <c r="J50" s="96">
        <v>0</v>
      </c>
      <c r="K50" s="96">
        <v>0</v>
      </c>
      <c r="L50" s="96">
        <v>0</v>
      </c>
      <c r="M50" s="96">
        <v>0</v>
      </c>
      <c r="N50" s="96">
        <v>0</v>
      </c>
      <c r="O50" s="96">
        <v>0</v>
      </c>
      <c r="P50" s="210">
        <f t="shared" si="2"/>
        <v>441.4</v>
      </c>
      <c r="Q50" s="210"/>
      <c r="R50" s="210"/>
    </row>
    <row r="51" spans="1:18">
      <c r="A51" s="460">
        <f t="shared" si="1"/>
        <v>36</v>
      </c>
      <c r="B51" s="365">
        <v>9302</v>
      </c>
      <c r="C51" s="195" t="s">
        <v>857</v>
      </c>
      <c r="D51" s="596">
        <v>0</v>
      </c>
      <c r="E51" s="596">
        <v>0</v>
      </c>
      <c r="F51" s="596">
        <v>0</v>
      </c>
      <c r="G51" s="596">
        <v>0</v>
      </c>
      <c r="H51" s="596">
        <v>7500</v>
      </c>
      <c r="I51" s="596">
        <v>0</v>
      </c>
      <c r="J51" s="96">
        <v>0</v>
      </c>
      <c r="K51" s="96">
        <v>3337</v>
      </c>
      <c r="L51" s="96">
        <v>1331.1299999999999</v>
      </c>
      <c r="M51" s="96">
        <v>0</v>
      </c>
      <c r="N51" s="96">
        <v>5000</v>
      </c>
      <c r="O51" s="96">
        <v>0</v>
      </c>
      <c r="P51" s="210">
        <f t="shared" si="2"/>
        <v>17168.129999999997</v>
      </c>
      <c r="Q51" s="210"/>
      <c r="R51" s="210"/>
    </row>
    <row r="52" spans="1:18">
      <c r="A52" s="460">
        <f t="shared" si="1"/>
        <v>37</v>
      </c>
      <c r="B52" s="365">
        <v>9310</v>
      </c>
      <c r="C52" s="195" t="s">
        <v>184</v>
      </c>
      <c r="D52" s="596">
        <f>0</f>
        <v>0</v>
      </c>
      <c r="E52" s="596">
        <f>0</f>
        <v>0</v>
      </c>
      <c r="F52" s="596">
        <f>0</f>
        <v>0</v>
      </c>
      <c r="G52" s="596">
        <f>0</f>
        <v>0</v>
      </c>
      <c r="H52" s="596">
        <f>0</f>
        <v>0</v>
      </c>
      <c r="I52" s="596">
        <f>0</f>
        <v>0</v>
      </c>
      <c r="J52" s="96"/>
      <c r="K52" s="96"/>
      <c r="L52" s="96"/>
      <c r="M52" s="96"/>
      <c r="N52" s="96"/>
      <c r="O52" s="96"/>
      <c r="P52" s="210">
        <f t="shared" si="2"/>
        <v>0</v>
      </c>
      <c r="Q52" s="210"/>
      <c r="R52" s="210"/>
    </row>
    <row r="53" spans="1:18">
      <c r="A53" s="460">
        <f t="shared" si="1"/>
        <v>38</v>
      </c>
      <c r="B53" s="210"/>
      <c r="C53" s="874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216"/>
      <c r="P53" s="216"/>
      <c r="Q53" s="216"/>
      <c r="R53" s="216"/>
    </row>
    <row r="54" spans="1:18" ht="15.75" thickBot="1">
      <c r="A54" s="460">
        <f t="shared" si="1"/>
        <v>39</v>
      </c>
      <c r="B54" s="216" t="s">
        <v>734</v>
      </c>
      <c r="C54" s="874"/>
      <c r="D54" s="650">
        <f t="shared" ref="D54:O54" si="3">SUM(D14:D53)</f>
        <v>5.2966697694500908E-10</v>
      </c>
      <c r="E54" s="650">
        <f t="shared" si="3"/>
        <v>9.9999992235098034E-3</v>
      </c>
      <c r="F54" s="650">
        <f t="shared" si="3"/>
        <v>0</v>
      </c>
      <c r="G54" s="650">
        <f t="shared" si="3"/>
        <v>2.3283064365386963E-10</v>
      </c>
      <c r="H54" s="650">
        <f t="shared" si="3"/>
        <v>2.0000000018626451E-2</v>
      </c>
      <c r="I54" s="650">
        <f t="shared" si="3"/>
        <v>113941.51999999986</v>
      </c>
      <c r="J54" s="650">
        <f t="shared" si="3"/>
        <v>-5.8207660913467407E-11</v>
      </c>
      <c r="K54" s="650">
        <f t="shared" si="3"/>
        <v>0</v>
      </c>
      <c r="L54" s="650">
        <f t="shared" si="3"/>
        <v>-9.9999998540170054E-3</v>
      </c>
      <c r="M54" s="650">
        <f t="shared" si="3"/>
        <v>1.9999999822175596E-2</v>
      </c>
      <c r="N54" s="650">
        <f t="shared" si="3"/>
        <v>-3.0559021979570389E-10</v>
      </c>
      <c r="O54" s="650">
        <f t="shared" si="3"/>
        <v>2.0000000149593689E-2</v>
      </c>
      <c r="P54" s="650">
        <f>SUM(P12:P53)</f>
        <v>-2002430.990000003</v>
      </c>
      <c r="Q54" s="216"/>
      <c r="R54" s="216"/>
    </row>
    <row r="55" spans="1:18" ht="15.75" thickTop="1">
      <c r="A55" s="460">
        <f t="shared" si="1"/>
        <v>40</v>
      </c>
      <c r="B55" s="216"/>
      <c r="C55" s="874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</row>
    <row r="56" spans="1:18">
      <c r="A56" s="460">
        <f t="shared" si="1"/>
        <v>41</v>
      </c>
      <c r="B56" s="365">
        <f>B45</f>
        <v>9220</v>
      </c>
      <c r="C56" s="877" t="str">
        <f>C45</f>
        <v>A&amp;G-Administrative expense transferred-Credit</v>
      </c>
      <c r="D56" s="366">
        <f>D45</f>
        <v>-756389.59999999963</v>
      </c>
      <c r="E56" s="366">
        <f t="shared" ref="E56:H56" si="4">-(E54-E45)</f>
        <v>-597520.22999999986</v>
      </c>
      <c r="F56" s="366">
        <f t="shared" si="4"/>
        <v>-734178.82000000007</v>
      </c>
      <c r="G56" s="366">
        <f t="shared" si="4"/>
        <v>-668457.69000000018</v>
      </c>
      <c r="H56" s="366">
        <f t="shared" si="4"/>
        <v>-750311.80999999982</v>
      </c>
      <c r="I56" s="366">
        <f>I45</f>
        <v>-600333.47999999975</v>
      </c>
      <c r="J56" s="366">
        <f t="shared" ref="J56:O56" si="5">J45</f>
        <v>-818967.87000000011</v>
      </c>
      <c r="K56" s="366">
        <f t="shared" si="5"/>
        <v>-760952.8600000001</v>
      </c>
      <c r="L56" s="366">
        <f t="shared" si="5"/>
        <v>-580322.85999999975</v>
      </c>
      <c r="M56" s="366">
        <f t="shared" si="5"/>
        <v>-465274</v>
      </c>
      <c r="N56" s="366">
        <f t="shared" si="5"/>
        <v>-531071.42000000039</v>
      </c>
      <c r="O56" s="366">
        <f t="shared" si="5"/>
        <v>-392947.34</v>
      </c>
      <c r="P56" s="210">
        <f t="shared" ref="P56" si="6">SUM(D56:O56)</f>
        <v>-7656727.9799999986</v>
      </c>
      <c r="Q56" s="711"/>
      <c r="R56" s="216"/>
    </row>
    <row r="57" spans="1:18">
      <c r="A57" s="460">
        <f t="shared" si="1"/>
        <v>42</v>
      </c>
      <c r="B57" s="216"/>
      <c r="C57" s="367" t="s">
        <v>195</v>
      </c>
      <c r="D57" s="385">
        <f>D58/D56</f>
        <v>0.49779999619243864</v>
      </c>
      <c r="E57" s="385">
        <f t="shared" ref="E57:I57" si="7">E58/E56</f>
        <v>0.49779999917324985</v>
      </c>
      <c r="F57" s="385">
        <f t="shared" si="7"/>
        <v>0.49780000463647256</v>
      </c>
      <c r="G57" s="385">
        <f t="shared" si="7"/>
        <v>0.49780000286929138</v>
      </c>
      <c r="H57" s="385">
        <f t="shared" si="7"/>
        <v>0.49779998798099701</v>
      </c>
      <c r="I57" s="385">
        <f t="shared" si="7"/>
        <v>0.49780002274735724</v>
      </c>
      <c r="J57" s="385">
        <f t="shared" ref="J57:O57" si="8">J58/J56</f>
        <v>0.49780000526760587</v>
      </c>
      <c r="K57" s="385">
        <f t="shared" si="8"/>
        <v>0.49780000826858051</v>
      </c>
      <c r="L57" s="385">
        <f t="shared" si="8"/>
        <v>0.49780000050316836</v>
      </c>
      <c r="M57" s="385">
        <f t="shared" si="8"/>
        <v>0.50494717091434294</v>
      </c>
      <c r="N57" s="385">
        <f t="shared" si="8"/>
        <v>0.50548344326267791</v>
      </c>
      <c r="O57" s="385">
        <f t="shared" si="8"/>
        <v>0.50391899840828547</v>
      </c>
      <c r="P57" s="385">
        <f t="shared" ref="P57" si="9">P58/P56</f>
        <v>0.49908126682593734</v>
      </c>
      <c r="Q57" s="216"/>
      <c r="R57" s="216"/>
    </row>
    <row r="58" spans="1:18">
      <c r="A58" s="460">
        <f t="shared" si="1"/>
        <v>43</v>
      </c>
      <c r="B58" s="216"/>
      <c r="C58" s="216" t="s">
        <v>210</v>
      </c>
      <c r="D58" s="216">
        <v>-376530.74</v>
      </c>
      <c r="E58" s="216">
        <v>-297445.57</v>
      </c>
      <c r="F58" s="216">
        <v>-365474.22</v>
      </c>
      <c r="G58" s="216">
        <v>-332758.24</v>
      </c>
      <c r="H58" s="216">
        <v>-373505.21</v>
      </c>
      <c r="I58" s="216">
        <v>-298846.02</v>
      </c>
      <c r="J58" s="216">
        <v>-407682.21</v>
      </c>
      <c r="K58" s="216">
        <v>-378802.34</v>
      </c>
      <c r="L58" s="216">
        <v>-288884.71999999997</v>
      </c>
      <c r="M58" s="216">
        <v>-234938.78999999998</v>
      </c>
      <c r="N58" s="216">
        <v>-268447.81</v>
      </c>
      <c r="O58" s="216">
        <v>-198013.63</v>
      </c>
      <c r="P58" s="210">
        <f>SUM(D58:O58)</f>
        <v>-3821329.4999999995</v>
      </c>
      <c r="Q58" s="216"/>
      <c r="R58" s="216"/>
    </row>
    <row r="59" spans="1:18">
      <c r="A59" s="216"/>
      <c r="B59" s="216"/>
      <c r="C59" s="874"/>
      <c r="D59" s="649"/>
      <c r="E59" s="649"/>
      <c r="F59" s="649"/>
      <c r="G59" s="649"/>
      <c r="H59" s="649"/>
      <c r="I59" s="649"/>
      <c r="J59" s="219"/>
      <c r="K59" s="219"/>
      <c r="L59" s="219"/>
      <c r="M59" s="219"/>
      <c r="N59" s="219"/>
      <c r="O59" s="219"/>
      <c r="P59" s="219"/>
      <c r="Q59" s="216"/>
      <c r="R59" s="216"/>
    </row>
    <row r="60" spans="1:18">
      <c r="A60" s="216"/>
      <c r="B60" s="216"/>
      <c r="C60" s="874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9"/>
      <c r="O60" s="219"/>
      <c r="P60" s="216"/>
      <c r="Q60" s="216"/>
      <c r="R60" s="216"/>
    </row>
    <row r="61" spans="1:18">
      <c r="A61" s="216"/>
      <c r="B61" s="216" t="s">
        <v>562</v>
      </c>
      <c r="C61" s="874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9"/>
      <c r="O61" s="219"/>
      <c r="P61" s="216"/>
      <c r="Q61" s="216"/>
      <c r="R61" s="216"/>
    </row>
    <row r="62" spans="1:18">
      <c r="A62" s="216"/>
      <c r="B62" s="216"/>
      <c r="C62" s="874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9"/>
      <c r="O62" s="219"/>
      <c r="P62" s="216"/>
      <c r="Q62" s="216"/>
      <c r="R62" s="216"/>
    </row>
    <row r="63" spans="1:18">
      <c r="A63" s="216"/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Q63" s="216"/>
      <c r="R63" s="216"/>
    </row>
    <row r="64" spans="1:18">
      <c r="A64" s="216"/>
      <c r="B64" s="216" t="s">
        <v>953</v>
      </c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</row>
    <row r="65" spans="1:18">
      <c r="A65" s="216"/>
      <c r="B65" s="216" t="s">
        <v>1589</v>
      </c>
      <c r="C65" s="216"/>
      <c r="D65" s="216">
        <f>D45</f>
        <v>-756389.59999999963</v>
      </c>
      <c r="E65" s="216">
        <f t="shared" ref="E65:O65" si="10">E45</f>
        <v>-597520.22000000067</v>
      </c>
      <c r="F65" s="216">
        <f t="shared" si="10"/>
        <v>-734178.82000000007</v>
      </c>
      <c r="G65" s="216">
        <f t="shared" si="10"/>
        <v>-668457.68999999994</v>
      </c>
      <c r="H65" s="216">
        <f t="shared" si="10"/>
        <v>-750311.7899999998</v>
      </c>
      <c r="I65" s="216">
        <f t="shared" si="10"/>
        <v>-600333.47999999975</v>
      </c>
      <c r="J65" s="216">
        <f t="shared" si="10"/>
        <v>-818967.87000000011</v>
      </c>
      <c r="K65" s="216">
        <f t="shared" si="10"/>
        <v>-760952.8600000001</v>
      </c>
      <c r="L65" s="216">
        <f t="shared" si="10"/>
        <v>-580322.85999999975</v>
      </c>
      <c r="M65" s="216">
        <f t="shared" si="10"/>
        <v>-465274</v>
      </c>
      <c r="N65" s="216">
        <f t="shared" si="10"/>
        <v>-531071.42000000039</v>
      </c>
      <c r="O65" s="216">
        <f t="shared" si="10"/>
        <v>-392947.34</v>
      </c>
      <c r="P65" s="103"/>
      <c r="Q65" s="760"/>
      <c r="R65" s="216"/>
    </row>
    <row r="66" spans="1:18">
      <c r="A66" s="216"/>
      <c r="B66" s="81" t="s">
        <v>1620</v>
      </c>
      <c r="C66" s="216"/>
      <c r="D66" s="216">
        <v>756389.5900000002</v>
      </c>
      <c r="E66" s="216">
        <v>597520.23</v>
      </c>
      <c r="F66" s="216">
        <v>734178.83000000007</v>
      </c>
      <c r="G66" s="216">
        <v>668457.69000000006</v>
      </c>
      <c r="H66" s="216">
        <v>750311.78999999992</v>
      </c>
      <c r="I66" s="216">
        <v>600333.5</v>
      </c>
      <c r="J66" s="216">
        <v>1001650.9100000001</v>
      </c>
      <c r="K66" s="216">
        <v>857469.37999999989</v>
      </c>
      <c r="L66" s="216">
        <v>934151.82999999984</v>
      </c>
      <c r="M66" s="216">
        <v>895867.54649999994</v>
      </c>
      <c r="N66" s="216">
        <v>971965.96309999982</v>
      </c>
      <c r="O66" s="216">
        <v>944579.75680000009</v>
      </c>
      <c r="P66" s="216"/>
      <c r="Q66" s="216"/>
      <c r="R66" s="216"/>
    </row>
    <row r="67" spans="1:18">
      <c r="A67" s="216"/>
      <c r="B67" s="216"/>
      <c r="C67" s="216"/>
      <c r="D67" s="216">
        <f>D65+D66</f>
        <v>-9.9999994272366166E-3</v>
      </c>
      <c r="E67" s="216">
        <f t="shared" ref="E67:O67" si="11">E65+E66</f>
        <v>9.9999993108212948E-3</v>
      </c>
      <c r="F67" s="216">
        <f t="shared" si="11"/>
        <v>1.0000000009313226E-2</v>
      </c>
      <c r="G67" s="216">
        <f t="shared" si="11"/>
        <v>0</v>
      </c>
      <c r="H67" s="216">
        <f t="shared" si="11"/>
        <v>0</v>
      </c>
      <c r="I67" s="216">
        <f t="shared" si="11"/>
        <v>2.0000000251457095E-2</v>
      </c>
      <c r="J67" s="216">
        <f t="shared" si="11"/>
        <v>182683.04000000004</v>
      </c>
      <c r="K67" s="216">
        <f t="shared" si="11"/>
        <v>96516.519999999786</v>
      </c>
      <c r="L67" s="216">
        <f t="shared" si="11"/>
        <v>353828.97000000009</v>
      </c>
      <c r="M67" s="216">
        <f t="shared" si="11"/>
        <v>430593.54649999994</v>
      </c>
      <c r="N67" s="216">
        <f t="shared" si="11"/>
        <v>440894.54309999943</v>
      </c>
      <c r="O67" s="216">
        <f t="shared" si="11"/>
        <v>551632.41680000001</v>
      </c>
      <c r="P67" s="216"/>
      <c r="Q67" s="216"/>
      <c r="R67" s="216"/>
    </row>
    <row r="68" spans="1:18">
      <c r="A68" s="216"/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170"/>
      <c r="P68" s="216"/>
      <c r="Q68" s="216"/>
      <c r="R68" s="216"/>
    </row>
    <row r="69" spans="1:18">
      <c r="A69" s="216"/>
      <c r="B69" s="216"/>
      <c r="C69" s="670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170"/>
      <c r="P69" s="216"/>
      <c r="Q69" s="670"/>
      <c r="R69" s="216"/>
    </row>
    <row r="70" spans="1:18">
      <c r="A70" s="216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386"/>
      <c r="P70" s="216"/>
      <c r="Q70" s="216"/>
      <c r="R70" s="216"/>
    </row>
    <row r="71" spans="1:18">
      <c r="A71" s="216"/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170"/>
      <c r="P71" s="216"/>
      <c r="Q71" s="216"/>
      <c r="R71" s="216"/>
    </row>
    <row r="72" spans="1:18">
      <c r="A72" s="216"/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170"/>
      <c r="P72" s="216"/>
      <c r="Q72" s="216"/>
      <c r="R72" s="216"/>
    </row>
    <row r="73" spans="1:18">
      <c r="A73" s="216"/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</row>
    <row r="74" spans="1:18">
      <c r="A74" s="216"/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</row>
    <row r="76" spans="1:18">
      <c r="C76" s="670"/>
    </row>
  </sheetData>
  <mergeCells count="4">
    <mergeCell ref="A1:P1"/>
    <mergeCell ref="A2:P2"/>
    <mergeCell ref="A3:P3"/>
    <mergeCell ref="A4:P4"/>
  </mergeCells>
  <phoneticPr fontId="23" type="noConversion"/>
  <printOptions horizontalCentered="1"/>
  <pageMargins left="0.5" right="0.5" top="0.75" bottom="0.59" header="0.5" footer="0.25"/>
  <pageSetup scale="50" fitToHeight="2" orientation="landscape" verticalDpi="300" r:id="rId1"/>
  <headerFooter alignWithMargins="0">
    <oddFooter>&amp;RSchedule &amp;A
Page &amp;P of &amp;N</oddFooter>
  </headerFooter>
  <rowBreaks count="1" manualBreakCount="1">
    <brk id="62" max="1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Y130"/>
  <sheetViews>
    <sheetView view="pageBreakPreview" zoomScale="70" zoomScaleNormal="75" zoomScaleSheetLayoutView="70" workbookViewId="0">
      <pane xSplit="3" ySplit="10" topLeftCell="D22" activePane="bottomRight" state="frozen"/>
      <selection activeCell="H20" sqref="H20"/>
      <selection pane="topRight" activeCell="H20" sqref="H20"/>
      <selection pane="bottomLeft" activeCell="H20" sqref="H20"/>
      <selection pane="bottomRight" activeCell="E50" sqref="E50"/>
    </sheetView>
  </sheetViews>
  <sheetFormatPr defaultColWidth="7.109375" defaultRowHeight="15"/>
  <cols>
    <col min="1" max="1" width="4.6640625" style="80" customWidth="1"/>
    <col min="2" max="2" width="9.109375" style="80" customWidth="1"/>
    <col min="3" max="3" width="42" style="80" customWidth="1"/>
    <col min="4" max="4" width="12.44140625" style="80" bestFit="1" customWidth="1"/>
    <col min="5" max="6" width="11.109375" style="80" customWidth="1"/>
    <col min="7" max="7" width="11.77734375" style="80" bestFit="1" customWidth="1"/>
    <col min="8" max="8" width="11.33203125" style="80" bestFit="1" customWidth="1"/>
    <col min="9" max="9" width="15.21875" style="80" customWidth="1"/>
    <col min="10" max="10" width="12.5546875" style="80" customWidth="1"/>
    <col min="11" max="11" width="11.33203125" style="80" bestFit="1" customWidth="1"/>
    <col min="12" max="13" width="12.44140625" style="80" bestFit="1" customWidth="1"/>
    <col min="14" max="14" width="11.33203125" style="80" bestFit="1" customWidth="1"/>
    <col min="15" max="15" width="12.44140625" style="80" customWidth="1"/>
    <col min="16" max="16" width="13.44140625" style="80" bestFit="1" customWidth="1"/>
    <col min="17" max="17" width="12.44140625" style="80" customWidth="1"/>
    <col min="18" max="18" width="10" style="80" customWidth="1"/>
    <col min="19" max="19" width="13.109375" style="80" customWidth="1"/>
    <col min="20" max="20" width="11.21875" style="80" customWidth="1"/>
    <col min="21" max="16384" width="7.109375" style="80"/>
  </cols>
  <sheetData>
    <row r="1" spans="1:19">
      <c r="A1" s="1203" t="str">
        <f>'Table of Contents'!A1:C1</f>
        <v>Atmos Energy Corporation, Kentucky/Mid-States Division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1203"/>
      <c r="O1" s="1203"/>
      <c r="P1" s="1203"/>
      <c r="Q1" s="81"/>
      <c r="R1" s="81"/>
      <c r="S1" s="81"/>
    </row>
    <row r="2" spans="1:19">
      <c r="A2" s="1203" t="str">
        <f>'Table of Contents'!A2:C2</f>
        <v>Kentucky Jurisdiction Case No. 2018-00281</v>
      </c>
      <c r="B2" s="1203"/>
      <c r="C2" s="1203"/>
      <c r="D2" s="1203"/>
      <c r="E2" s="1203"/>
      <c r="F2" s="1203"/>
      <c r="G2" s="1203"/>
      <c r="H2" s="1203"/>
      <c r="I2" s="1203"/>
      <c r="J2" s="1203"/>
      <c r="K2" s="1203"/>
      <c r="L2" s="1203"/>
      <c r="M2" s="1203"/>
      <c r="N2" s="1203"/>
      <c r="O2" s="1203"/>
      <c r="P2" s="1203"/>
      <c r="R2" s="81"/>
      <c r="S2" s="81"/>
    </row>
    <row r="3" spans="1:19">
      <c r="A3" s="1203" t="s">
        <v>418</v>
      </c>
      <c r="B3" s="1203"/>
      <c r="C3" s="1203"/>
      <c r="D3" s="1203"/>
      <c r="E3" s="1203"/>
      <c r="F3" s="1203"/>
      <c r="G3" s="1203"/>
      <c r="H3" s="1203"/>
      <c r="I3" s="1203"/>
      <c r="J3" s="1203"/>
      <c r="K3" s="1203"/>
      <c r="L3" s="1203"/>
      <c r="M3" s="1203"/>
      <c r="N3" s="1203"/>
      <c r="O3" s="1203"/>
      <c r="P3" s="1203"/>
      <c r="Q3" s="81"/>
      <c r="R3" s="81"/>
      <c r="S3" s="81"/>
    </row>
    <row r="4" spans="1:19">
      <c r="A4" s="1203" t="str">
        <f>'Table of Contents'!A4:C4</f>
        <v>Forecasted Test Period: Twelve Months Ended March 31, 2020</v>
      </c>
      <c r="B4" s="1203"/>
      <c r="C4" s="1203"/>
      <c r="D4" s="1203"/>
      <c r="E4" s="1203"/>
      <c r="F4" s="1203"/>
      <c r="G4" s="1203"/>
      <c r="H4" s="1203"/>
      <c r="I4" s="1203"/>
      <c r="J4" s="1203"/>
      <c r="K4" s="1203"/>
      <c r="L4" s="1203"/>
      <c r="M4" s="1203"/>
      <c r="N4" s="1203"/>
      <c r="O4" s="1203"/>
      <c r="P4" s="1203"/>
      <c r="Q4" s="81"/>
      <c r="R4" s="81"/>
      <c r="S4" s="81"/>
    </row>
    <row r="5" spans="1:19">
      <c r="A5" s="850"/>
      <c r="B5" s="850"/>
      <c r="C5" s="850"/>
      <c r="D5" s="883"/>
      <c r="E5" s="884"/>
      <c r="F5" s="883"/>
      <c r="G5" s="885"/>
      <c r="H5" s="885"/>
      <c r="I5" s="885"/>
      <c r="J5" s="885"/>
      <c r="K5" s="885"/>
      <c r="L5" s="883"/>
      <c r="M5" s="886"/>
      <c r="N5" s="883"/>
      <c r="O5" s="884"/>
      <c r="P5" s="850"/>
      <c r="Q5" s="81"/>
      <c r="R5" s="81"/>
      <c r="S5" s="81"/>
    </row>
    <row r="6" spans="1:19">
      <c r="A6" s="88" t="str">
        <f>'C.2.1 F'!A6</f>
        <v>Data:________Base Period___X____Forecasted Period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170" t="s">
        <v>1427</v>
      </c>
      <c r="Q6" s="81"/>
      <c r="R6" s="81"/>
      <c r="S6" s="81"/>
    </row>
    <row r="7" spans="1:19">
      <c r="A7" s="88" t="str">
        <f>'C.2.1 F'!A7</f>
        <v>Type of Filing:___X____Original________Updated ________Revised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508" t="s">
        <v>37</v>
      </c>
      <c r="Q7" s="81"/>
      <c r="R7" s="81"/>
      <c r="S7" s="81"/>
    </row>
    <row r="8" spans="1:19">
      <c r="A8" s="390" t="str">
        <f>'C.2.1 F'!A8</f>
        <v>Workpaper Reference No(s).____________________</v>
      </c>
      <c r="B8" s="81"/>
      <c r="C8" s="81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509" t="str">
        <f>'C.2.2 B 09'!P8</f>
        <v>Witness: Waller, Densman</v>
      </c>
      <c r="Q8" s="81"/>
      <c r="R8" s="81"/>
      <c r="S8" s="81"/>
    </row>
    <row r="9" spans="1:19">
      <c r="A9" s="887" t="s">
        <v>93</v>
      </c>
      <c r="B9" s="888" t="s">
        <v>100</v>
      </c>
      <c r="C9" s="889"/>
      <c r="D9" s="890" t="s">
        <v>43</v>
      </c>
      <c r="E9" s="847" t="s">
        <v>43</v>
      </c>
      <c r="F9" s="847" t="s">
        <v>43</v>
      </c>
      <c r="G9" s="847" t="s">
        <v>43</v>
      </c>
      <c r="H9" s="847" t="s">
        <v>43</v>
      </c>
      <c r="I9" s="847" t="s">
        <v>43</v>
      </c>
      <c r="J9" s="847" t="s">
        <v>43</v>
      </c>
      <c r="K9" s="847" t="s">
        <v>43</v>
      </c>
      <c r="L9" s="847" t="s">
        <v>43</v>
      </c>
      <c r="M9" s="847" t="s">
        <v>43</v>
      </c>
      <c r="N9" s="847" t="s">
        <v>43</v>
      </c>
      <c r="O9" s="847" t="s">
        <v>43</v>
      </c>
      <c r="P9" s="891"/>
      <c r="Q9" s="850"/>
      <c r="R9" s="850"/>
      <c r="S9" s="850"/>
    </row>
    <row r="10" spans="1:19">
      <c r="A10" s="892" t="s">
        <v>99</v>
      </c>
      <c r="B10" s="520" t="s">
        <v>99</v>
      </c>
      <c r="C10" s="893" t="s">
        <v>952</v>
      </c>
      <c r="D10" s="612">
        <v>43556</v>
      </c>
      <c r="E10" s="612">
        <v>43586</v>
      </c>
      <c r="F10" s="612">
        <v>43617</v>
      </c>
      <c r="G10" s="612">
        <v>43647</v>
      </c>
      <c r="H10" s="612">
        <v>43678</v>
      </c>
      <c r="I10" s="612">
        <v>43709</v>
      </c>
      <c r="J10" s="612">
        <v>43739</v>
      </c>
      <c r="K10" s="612">
        <v>43770</v>
      </c>
      <c r="L10" s="612">
        <v>43800</v>
      </c>
      <c r="M10" s="612">
        <v>43831</v>
      </c>
      <c r="N10" s="612">
        <v>43862</v>
      </c>
      <c r="O10" s="612">
        <v>43891</v>
      </c>
      <c r="P10" s="894" t="s">
        <v>96</v>
      </c>
      <c r="Q10" s="76"/>
      <c r="R10" s="850"/>
      <c r="S10" s="850"/>
    </row>
    <row r="11" spans="1:19">
      <c r="A11" s="81"/>
      <c r="B11" s="81"/>
      <c r="C11" s="81"/>
      <c r="D11" s="848" t="s">
        <v>146</v>
      </c>
      <c r="E11" s="848" t="s">
        <v>146</v>
      </c>
      <c r="F11" s="848" t="s">
        <v>146</v>
      </c>
      <c r="G11" s="848" t="s">
        <v>146</v>
      </c>
      <c r="H11" s="848" t="s">
        <v>146</v>
      </c>
      <c r="I11" s="848" t="s">
        <v>146</v>
      </c>
      <c r="J11" s="848" t="s">
        <v>146</v>
      </c>
      <c r="K11" s="848" t="s">
        <v>146</v>
      </c>
      <c r="L11" s="848" t="s">
        <v>146</v>
      </c>
      <c r="M11" s="848" t="s">
        <v>146</v>
      </c>
      <c r="N11" s="848" t="s">
        <v>146</v>
      </c>
      <c r="O11" s="848" t="s">
        <v>146</v>
      </c>
      <c r="P11" s="848" t="s">
        <v>146</v>
      </c>
      <c r="Q11" s="848"/>
      <c r="R11" s="81"/>
      <c r="S11" s="81"/>
    </row>
    <row r="12" spans="1:19">
      <c r="A12" s="850">
        <v>1</v>
      </c>
      <c r="B12" s="706">
        <v>4091</v>
      </c>
      <c r="C12" s="833" t="s">
        <v>668</v>
      </c>
      <c r="D12" s="397">
        <v>503108.46365625499</v>
      </c>
      <c r="E12" s="397">
        <v>503108.46365625499</v>
      </c>
      <c r="F12" s="397">
        <v>503108.46365625499</v>
      </c>
      <c r="G12" s="397">
        <v>503108.46365625499</v>
      </c>
      <c r="H12" s="397">
        <v>503108.46365625499</v>
      </c>
      <c r="I12" s="397">
        <v>503108.46365625499</v>
      </c>
      <c r="J12" s="397">
        <v>503108.46365625499</v>
      </c>
      <c r="K12" s="397">
        <v>503108.46365625499</v>
      </c>
      <c r="L12" s="397">
        <v>503108.46365625499</v>
      </c>
      <c r="M12" s="397">
        <v>503108.46365625499</v>
      </c>
      <c r="N12" s="397">
        <v>503108.46365625499</v>
      </c>
      <c r="O12" s="397">
        <v>503108.46365625499</v>
      </c>
      <c r="P12" s="81">
        <v>6037301.5638750596</v>
      </c>
      <c r="Q12" s="670"/>
      <c r="S12" s="670"/>
    </row>
    <row r="13" spans="1:19">
      <c r="A13" s="850">
        <f>A12+1</f>
        <v>2</v>
      </c>
      <c r="B13" s="706"/>
      <c r="C13" s="833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81"/>
      <c r="Q13" s="81"/>
      <c r="S13" s="81"/>
    </row>
    <row r="14" spans="1:19">
      <c r="A14" s="850">
        <f t="shared" ref="A14:A79" si="0">A13+1</f>
        <v>3</v>
      </c>
      <c r="B14" s="706">
        <v>4030</v>
      </c>
      <c r="C14" s="81" t="s">
        <v>91</v>
      </c>
      <c r="D14" s="96">
        <v>1925174.665043765</v>
      </c>
      <c r="E14" s="96">
        <v>1925174.665043765</v>
      </c>
      <c r="F14" s="96">
        <v>1925174.665043765</v>
      </c>
      <c r="G14" s="96">
        <v>1925174.665043765</v>
      </c>
      <c r="H14" s="96">
        <v>1925174.665043765</v>
      </c>
      <c r="I14" s="96">
        <v>1925174.665043765</v>
      </c>
      <c r="J14" s="96">
        <v>1925174.665043765</v>
      </c>
      <c r="K14" s="96">
        <v>1925174.665043765</v>
      </c>
      <c r="L14" s="96">
        <v>1925174.665043765</v>
      </c>
      <c r="M14" s="96">
        <v>1925174.665043765</v>
      </c>
      <c r="N14" s="96">
        <v>1925174.665043765</v>
      </c>
      <c r="O14" s="96">
        <v>1925174.665043765</v>
      </c>
      <c r="P14" s="81">
        <v>23102095.980525177</v>
      </c>
      <c r="Q14" s="670"/>
      <c r="S14" s="670"/>
    </row>
    <row r="15" spans="1:19">
      <c r="A15" s="850">
        <f t="shared" si="0"/>
        <v>4</v>
      </c>
      <c r="B15" s="706">
        <v>4060</v>
      </c>
      <c r="C15" s="81" t="s">
        <v>861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81">
        <v>0</v>
      </c>
      <c r="Q15" s="81"/>
      <c r="S15" s="81"/>
    </row>
    <row r="16" spans="1:19">
      <c r="A16" s="850">
        <f t="shared" si="0"/>
        <v>5</v>
      </c>
      <c r="B16" s="706">
        <v>4081</v>
      </c>
      <c r="C16" s="210" t="s">
        <v>862</v>
      </c>
      <c r="D16" s="96">
        <v>640835.38605233084</v>
      </c>
      <c r="E16" s="96">
        <v>738128.50412233081</v>
      </c>
      <c r="F16" s="96">
        <v>594668.64069033077</v>
      </c>
      <c r="G16" s="96">
        <v>612103.78543033078</v>
      </c>
      <c r="H16" s="96">
        <v>591162.8897163308</v>
      </c>
      <c r="I16" s="96">
        <v>611801.23268033087</v>
      </c>
      <c r="J16" s="96">
        <v>608408.7329385198</v>
      </c>
      <c r="K16" s="96">
        <v>662709.7299310799</v>
      </c>
      <c r="L16" s="96">
        <v>585360.26270943985</v>
      </c>
      <c r="M16" s="96">
        <v>647320.34905809979</v>
      </c>
      <c r="N16" s="96">
        <v>601851.91068975662</v>
      </c>
      <c r="O16" s="96">
        <v>617485.50862529362</v>
      </c>
      <c r="P16" s="81">
        <v>7511836.9326441754</v>
      </c>
      <c r="Q16" s="670"/>
      <c r="S16" s="670"/>
    </row>
    <row r="17" spans="1:19">
      <c r="A17" s="850">
        <f t="shared" si="0"/>
        <v>6</v>
      </c>
      <c r="B17" s="706">
        <v>4800</v>
      </c>
      <c r="C17" s="362" t="s">
        <v>863</v>
      </c>
      <c r="D17" s="96">
        <v>-8610670.0650308877</v>
      </c>
      <c r="E17" s="96">
        <v>-5415766.9850420076</v>
      </c>
      <c r="F17" s="96">
        <v>-4024680.0385014741</v>
      </c>
      <c r="G17" s="96">
        <v>-3684913.3482450601</v>
      </c>
      <c r="H17" s="96">
        <v>-3686809.6237465949</v>
      </c>
      <c r="I17" s="96">
        <v>-3665403.7162836287</v>
      </c>
      <c r="J17" s="96">
        <v>-4813510.0265167719</v>
      </c>
      <c r="K17" s="96">
        <v>-8164046.5562757477</v>
      </c>
      <c r="L17" s="96">
        <v>-12309251.032231433</v>
      </c>
      <c r="M17" s="96">
        <v>-15261501.254130863</v>
      </c>
      <c r="N17" s="96">
        <v>-15293971.735410729</v>
      </c>
      <c r="O17" s="96">
        <v>-11588965.754455715</v>
      </c>
      <c r="P17" s="96">
        <v>-96519490.135870919</v>
      </c>
    </row>
    <row r="18" spans="1:19">
      <c r="A18" s="850">
        <f t="shared" si="0"/>
        <v>7</v>
      </c>
      <c r="B18" s="706">
        <v>4805</v>
      </c>
      <c r="C18" s="362" t="s">
        <v>1311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1:19">
      <c r="A19" s="850">
        <f t="shared" si="0"/>
        <v>8</v>
      </c>
      <c r="B19" s="706">
        <v>4811</v>
      </c>
      <c r="C19" s="362" t="s">
        <v>1384</v>
      </c>
      <c r="D19" s="96">
        <v>-3740234.3039921885</v>
      </c>
      <c r="E19" s="96">
        <v>-2430597.393395402</v>
      </c>
      <c r="F19" s="96">
        <v>-1825190.9458076423</v>
      </c>
      <c r="G19" s="96">
        <v>-1683031.0804569395</v>
      </c>
      <c r="H19" s="96">
        <v>-1674192.6098799084</v>
      </c>
      <c r="I19" s="96">
        <v>-1655980.8256730861</v>
      </c>
      <c r="J19" s="96">
        <v>-2100481.2074903068</v>
      </c>
      <c r="K19" s="96">
        <v>-3492015.8223401732</v>
      </c>
      <c r="L19" s="96">
        <v>-5194864.1480078101</v>
      </c>
      <c r="M19" s="96">
        <v>-6452613.6240774728</v>
      </c>
      <c r="N19" s="96">
        <v>-6412212.9025667459</v>
      </c>
      <c r="O19" s="96">
        <v>-4946605.2380727371</v>
      </c>
      <c r="P19" s="96">
        <v>-41608020.101760417</v>
      </c>
    </row>
    <row r="20" spans="1:19">
      <c r="A20" s="850">
        <f t="shared" si="0"/>
        <v>9</v>
      </c>
      <c r="B20" s="706">
        <v>4812</v>
      </c>
      <c r="C20" s="81" t="s">
        <v>1385</v>
      </c>
      <c r="D20" s="96">
        <v>-476019.20573126379</v>
      </c>
      <c r="E20" s="96">
        <v>-245337.58100376112</v>
      </c>
      <c r="F20" s="96">
        <v>-137169.04477656857</v>
      </c>
      <c r="G20" s="96">
        <v>-160281.23725643521</v>
      </c>
      <c r="H20" s="96">
        <v>-201966.61113093808</v>
      </c>
      <c r="I20" s="96">
        <v>-189233.69800180831</v>
      </c>
      <c r="J20" s="96">
        <v>-256406.04684326812</v>
      </c>
      <c r="K20" s="96">
        <v>-353760.7012860981</v>
      </c>
      <c r="L20" s="96">
        <v>-529688.5965677551</v>
      </c>
      <c r="M20" s="96">
        <v>-1366720.8167494037</v>
      </c>
      <c r="N20" s="96">
        <v>-935261.01264412527</v>
      </c>
      <c r="O20" s="96">
        <v>-518540.2843305968</v>
      </c>
      <c r="P20" s="96">
        <v>-5370384.8363220226</v>
      </c>
      <c r="Q20" s="81"/>
      <c r="R20" s="670"/>
    </row>
    <row r="21" spans="1:19">
      <c r="A21" s="850">
        <f t="shared" si="0"/>
        <v>10</v>
      </c>
      <c r="B21" s="829">
        <v>4815</v>
      </c>
      <c r="C21" s="210" t="s">
        <v>1312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81"/>
      <c r="R21" s="670"/>
    </row>
    <row r="22" spans="1:19">
      <c r="A22" s="850">
        <f t="shared" si="0"/>
        <v>11</v>
      </c>
      <c r="B22" s="829">
        <v>4816</v>
      </c>
      <c r="C22" s="210" t="s">
        <v>1343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81"/>
      <c r="R22" s="670"/>
    </row>
    <row r="23" spans="1:19" ht="15.75">
      <c r="A23" s="850">
        <f t="shared" si="0"/>
        <v>12</v>
      </c>
      <c r="B23" s="706">
        <v>4820</v>
      </c>
      <c r="C23" s="81" t="s">
        <v>864</v>
      </c>
      <c r="D23" s="96">
        <v>-608128.8740703048</v>
      </c>
      <c r="E23" s="96">
        <v>-347106.69036616589</v>
      </c>
      <c r="F23" s="96">
        <v>-235663.47845840739</v>
      </c>
      <c r="G23" s="96">
        <v>-213588.23422003508</v>
      </c>
      <c r="H23" s="96">
        <v>-213628.61926361959</v>
      </c>
      <c r="I23" s="96">
        <v>-204561.97739721125</v>
      </c>
      <c r="J23" s="96">
        <v>-309464.74932909186</v>
      </c>
      <c r="K23" s="96">
        <v>-584748.47667175182</v>
      </c>
      <c r="L23" s="96">
        <v>-914866.79837369605</v>
      </c>
      <c r="M23" s="96">
        <v>-1137916.6570746452</v>
      </c>
      <c r="N23" s="96">
        <v>-1135614.1948950947</v>
      </c>
      <c r="O23" s="96">
        <v>-844518.05872786895</v>
      </c>
      <c r="P23" s="96">
        <v>-6749806.8088478921</v>
      </c>
      <c r="Q23" s="81"/>
      <c r="R23" s="895"/>
    </row>
    <row r="24" spans="1:19" ht="15.75">
      <c r="A24" s="850">
        <f t="shared" si="0"/>
        <v>13</v>
      </c>
      <c r="B24" s="829">
        <v>4825</v>
      </c>
      <c r="C24" s="210" t="s">
        <v>1313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81"/>
      <c r="R24" s="895"/>
    </row>
    <row r="25" spans="1:19">
      <c r="A25" s="850">
        <f t="shared" si="0"/>
        <v>14</v>
      </c>
      <c r="B25" s="706">
        <v>4870</v>
      </c>
      <c r="C25" s="81" t="s">
        <v>230</v>
      </c>
      <c r="D25" s="96">
        <v>-158007.4133962857</v>
      </c>
      <c r="E25" s="96">
        <v>-116546.78412815434</v>
      </c>
      <c r="F25" s="96">
        <v>-73687.232671443053</v>
      </c>
      <c r="G25" s="96">
        <v>-54761.23350727481</v>
      </c>
      <c r="H25" s="96">
        <v>-50223.256406440094</v>
      </c>
      <c r="I25" s="96">
        <v>-50163.68436664695</v>
      </c>
      <c r="J25" s="96">
        <v>-49723.008346390074</v>
      </c>
      <c r="K25" s="96">
        <v>-64995.591176114212</v>
      </c>
      <c r="L25" s="96">
        <v>-110127.75108290582</v>
      </c>
      <c r="M25" s="96">
        <v>-165693.8886350524</v>
      </c>
      <c r="N25" s="96">
        <v>-205564.27717404097</v>
      </c>
      <c r="O25" s="96">
        <v>-205470.44288243348</v>
      </c>
      <c r="P25" s="96">
        <v>-1304964.5637731818</v>
      </c>
      <c r="Q25" s="81"/>
      <c r="R25" s="81"/>
    </row>
    <row r="26" spans="1:19">
      <c r="A26" s="850">
        <f t="shared" si="0"/>
        <v>15</v>
      </c>
      <c r="B26" s="706">
        <v>4880</v>
      </c>
      <c r="C26" s="81" t="s">
        <v>865</v>
      </c>
      <c r="D26" s="96">
        <v>-49919</v>
      </c>
      <c r="E26" s="96">
        <v>-53628</v>
      </c>
      <c r="F26" s="96">
        <v>-55397</v>
      </c>
      <c r="G26" s="96">
        <v>-45327</v>
      </c>
      <c r="H26" s="96">
        <v>-57173</v>
      </c>
      <c r="I26" s="96">
        <v>-55395</v>
      </c>
      <c r="J26" s="96">
        <v>-88176</v>
      </c>
      <c r="K26" s="96">
        <v>-126545</v>
      </c>
      <c r="L26" s="96">
        <v>-87101</v>
      </c>
      <c r="M26" s="96">
        <v>-58133</v>
      </c>
      <c r="N26" s="96">
        <v>-54439</v>
      </c>
      <c r="O26" s="96">
        <v>-74821</v>
      </c>
      <c r="P26" s="96">
        <v>-806054</v>
      </c>
      <c r="Q26" s="81"/>
      <c r="R26" s="81"/>
    </row>
    <row r="27" spans="1:19">
      <c r="A27" s="850">
        <f t="shared" si="0"/>
        <v>16</v>
      </c>
      <c r="B27" s="706">
        <v>4893</v>
      </c>
      <c r="C27" s="81" t="s">
        <v>866</v>
      </c>
      <c r="D27" s="96">
        <v>-1283037.0911864408</v>
      </c>
      <c r="E27" s="96">
        <v>-1128526.9024999999</v>
      </c>
      <c r="F27" s="96">
        <v>-1043107.5225</v>
      </c>
      <c r="G27" s="96">
        <v>-994105.16500000004</v>
      </c>
      <c r="H27" s="96">
        <v>-1088323.54</v>
      </c>
      <c r="I27" s="96">
        <v>-1079966.1724999999</v>
      </c>
      <c r="J27" s="96">
        <v>-1210609.0350000001</v>
      </c>
      <c r="K27" s="96">
        <v>-1304753.0449999999</v>
      </c>
      <c r="L27" s="96">
        <v>-1422619.82</v>
      </c>
      <c r="M27" s="96">
        <v>-1613292.1125</v>
      </c>
      <c r="N27" s="96">
        <v>-1319597.0900000001</v>
      </c>
      <c r="O27" s="96">
        <v>-1393444.4936864409</v>
      </c>
      <c r="P27" s="96">
        <v>-14881381.989872882</v>
      </c>
      <c r="Q27" s="832"/>
    </row>
    <row r="28" spans="1:19">
      <c r="A28" s="850">
        <f t="shared" si="0"/>
        <v>17</v>
      </c>
      <c r="B28" s="706">
        <v>4950</v>
      </c>
      <c r="C28" s="81" t="s">
        <v>662</v>
      </c>
      <c r="D28" s="96">
        <v>-209397.11525423729</v>
      </c>
      <c r="E28" s="96">
        <v>-195682.13000000003</v>
      </c>
      <c r="F28" s="96">
        <v>-179745.91</v>
      </c>
      <c r="G28" s="96">
        <v>-157141.32000000004</v>
      </c>
      <c r="H28" s="96">
        <v>-159211.59</v>
      </c>
      <c r="I28" s="96">
        <v>-171560.08999999997</v>
      </c>
      <c r="J28" s="96">
        <v>-201623.49000000002</v>
      </c>
      <c r="K28" s="96">
        <v>-213081.41000000003</v>
      </c>
      <c r="L28" s="96">
        <v>-245950.37</v>
      </c>
      <c r="M28" s="96">
        <v>-268662.74</v>
      </c>
      <c r="N28" s="96">
        <v>-230460.39</v>
      </c>
      <c r="O28" s="96">
        <v>-245246.8452542373</v>
      </c>
      <c r="P28" s="96">
        <v>-2477763.4005084746</v>
      </c>
      <c r="Q28" s="670"/>
      <c r="R28" s="670"/>
    </row>
    <row r="29" spans="1:19">
      <c r="A29" s="1177">
        <f t="shared" si="0"/>
        <v>18</v>
      </c>
      <c r="B29" s="706">
        <v>4960</v>
      </c>
      <c r="C29" s="103" t="s">
        <v>1622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>
        <v>0</v>
      </c>
      <c r="Q29" s="670"/>
      <c r="R29" s="670"/>
    </row>
    <row r="30" spans="1:19">
      <c r="A30" s="1177">
        <f t="shared" si="0"/>
        <v>19</v>
      </c>
      <c r="B30" s="829">
        <v>7560</v>
      </c>
      <c r="C30" s="80" t="s">
        <v>1388</v>
      </c>
      <c r="D30" s="397">
        <v>0</v>
      </c>
      <c r="E30" s="397">
        <v>0</v>
      </c>
      <c r="F30" s="397">
        <v>0</v>
      </c>
      <c r="G30" s="397">
        <v>0</v>
      </c>
      <c r="H30" s="397">
        <v>0</v>
      </c>
      <c r="I30" s="397">
        <v>0</v>
      </c>
      <c r="J30" s="397">
        <v>0</v>
      </c>
      <c r="K30" s="397">
        <v>0</v>
      </c>
      <c r="L30" s="397">
        <v>0</v>
      </c>
      <c r="M30" s="397">
        <v>0</v>
      </c>
      <c r="N30" s="397">
        <v>0</v>
      </c>
      <c r="O30" s="397">
        <v>0</v>
      </c>
      <c r="P30" s="96">
        <v>0</v>
      </c>
      <c r="Q30" s="690"/>
      <c r="R30" s="670"/>
    </row>
    <row r="31" spans="1:19">
      <c r="A31" s="1177">
        <f t="shared" si="0"/>
        <v>20</v>
      </c>
      <c r="B31" s="829">
        <v>7590</v>
      </c>
      <c r="C31" s="103" t="s">
        <v>1346</v>
      </c>
      <c r="D31" s="397">
        <v>0</v>
      </c>
      <c r="E31" s="397">
        <v>0</v>
      </c>
      <c r="F31" s="397">
        <v>0</v>
      </c>
      <c r="G31" s="397">
        <v>0</v>
      </c>
      <c r="H31" s="397">
        <v>0</v>
      </c>
      <c r="I31" s="397">
        <v>0</v>
      </c>
      <c r="J31" s="397">
        <v>0</v>
      </c>
      <c r="K31" s="397">
        <v>0</v>
      </c>
      <c r="L31" s="397">
        <v>0</v>
      </c>
      <c r="M31" s="397">
        <v>0</v>
      </c>
      <c r="N31" s="397">
        <v>0</v>
      </c>
      <c r="O31" s="397">
        <v>0</v>
      </c>
      <c r="P31" s="96">
        <v>0</v>
      </c>
      <c r="Q31" s="690"/>
      <c r="R31" s="670"/>
    </row>
    <row r="32" spans="1:19">
      <c r="A32" s="1177">
        <f t="shared" si="0"/>
        <v>21</v>
      </c>
      <c r="B32" s="706">
        <v>8001</v>
      </c>
      <c r="C32" s="81" t="s">
        <v>867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81"/>
      <c r="R32" s="670"/>
      <c r="S32" s="81"/>
    </row>
    <row r="33" spans="1:25">
      <c r="A33" s="1177">
        <f t="shared" si="0"/>
        <v>22</v>
      </c>
      <c r="B33" s="706">
        <v>8010</v>
      </c>
      <c r="C33" s="81" t="s">
        <v>1208</v>
      </c>
      <c r="D33" s="96">
        <v>3586.6638410069272</v>
      </c>
      <c r="E33" s="96">
        <v>6498.2402368425446</v>
      </c>
      <c r="F33" s="96">
        <v>6066.7425515505611</v>
      </c>
      <c r="G33" s="96">
        <v>6533.1244579465729</v>
      </c>
      <c r="H33" s="96">
        <v>5608.7518491276314</v>
      </c>
      <c r="I33" s="96">
        <v>5836.4110435169632</v>
      </c>
      <c r="J33" s="96">
        <v>6646.5570595755271</v>
      </c>
      <c r="K33" s="96">
        <v>4207.5874879541889</v>
      </c>
      <c r="L33" s="96">
        <v>3910.9402805402028</v>
      </c>
      <c r="M33" s="96">
        <v>3185.8556916948978</v>
      </c>
      <c r="N33" s="96">
        <v>4967.839963210834</v>
      </c>
      <c r="O33" s="96">
        <v>4191.1586332012757</v>
      </c>
      <c r="P33" s="96">
        <v>61239.873096168121</v>
      </c>
      <c r="Q33" s="81"/>
      <c r="R33" s="670"/>
      <c r="S33" s="81"/>
    </row>
    <row r="34" spans="1:25">
      <c r="A34" s="1177">
        <f t="shared" si="0"/>
        <v>23</v>
      </c>
      <c r="B34" s="706">
        <v>8040</v>
      </c>
      <c r="C34" s="81" t="s">
        <v>868</v>
      </c>
      <c r="D34" s="96">
        <v>790374.1919631788</v>
      </c>
      <c r="E34" s="96">
        <v>8617999.1670782939</v>
      </c>
      <c r="F34" s="96">
        <v>5454285.6793332733</v>
      </c>
      <c r="G34" s="96">
        <v>5157503.8539492507</v>
      </c>
      <c r="H34" s="96">
        <v>3479427.5561281783</v>
      </c>
      <c r="I34" s="96">
        <v>3137524.7729721894</v>
      </c>
      <c r="J34" s="96">
        <v>3473123.0985495574</v>
      </c>
      <c r="K34" s="96">
        <v>4704008.5210814839</v>
      </c>
      <c r="L34" s="96">
        <v>2170948.5015756832</v>
      </c>
      <c r="M34" s="96">
        <v>4770002.9786155894</v>
      </c>
      <c r="N34" s="96">
        <v>7781592.0058075618</v>
      </c>
      <c r="O34" s="96">
        <v>1864527.7360798607</v>
      </c>
      <c r="P34" s="96">
        <v>51401318.063134104</v>
      </c>
      <c r="Q34" s="81"/>
      <c r="R34" s="81"/>
      <c r="S34" s="81"/>
    </row>
    <row r="35" spans="1:25">
      <c r="A35" s="1177">
        <f t="shared" si="0"/>
        <v>24</v>
      </c>
      <c r="B35" s="706">
        <v>8050</v>
      </c>
      <c r="C35" s="81" t="s">
        <v>869</v>
      </c>
      <c r="D35" s="96">
        <v>-1129.2762361200871</v>
      </c>
      <c r="E35" s="96">
        <v>-90.882472707643046</v>
      </c>
      <c r="F35" s="96">
        <v>0</v>
      </c>
      <c r="G35" s="96">
        <v>-261.82419172375967</v>
      </c>
      <c r="H35" s="96">
        <v>-708.35374724377027</v>
      </c>
      <c r="I35" s="96">
        <v>-1712.6047988433716</v>
      </c>
      <c r="J35" s="96">
        <v>-1036.9694880154173</v>
      </c>
      <c r="K35" s="96">
        <v>-70.263698062185341</v>
      </c>
      <c r="L35" s="96">
        <v>-1234.3996073436806</v>
      </c>
      <c r="M35" s="96">
        <v>-798.5500495604382</v>
      </c>
      <c r="N35" s="96">
        <v>-301.43366523988402</v>
      </c>
      <c r="O35" s="96">
        <v>-257.14120645865165</v>
      </c>
      <c r="P35" s="96">
        <v>-7601.6991613188902</v>
      </c>
      <c r="Q35" s="81"/>
      <c r="R35" s="81"/>
      <c r="S35" s="81"/>
    </row>
    <row r="36" spans="1:25">
      <c r="A36" s="1177">
        <f t="shared" si="0"/>
        <v>25</v>
      </c>
      <c r="B36" s="706">
        <v>8051</v>
      </c>
      <c r="C36" s="81" t="s">
        <v>870</v>
      </c>
      <c r="D36" s="96">
        <v>5479164.7008747552</v>
      </c>
      <c r="E36" s="96">
        <v>3599785.2337756976</v>
      </c>
      <c r="F36" s="96">
        <v>927598.55447845976</v>
      </c>
      <c r="G36" s="96">
        <v>751202.12975436042</v>
      </c>
      <c r="H36" s="96">
        <v>639510.05602427979</v>
      </c>
      <c r="I36" s="96">
        <v>662747.06347282918</v>
      </c>
      <c r="J36" s="96">
        <v>692874.9939017311</v>
      </c>
      <c r="K36" s="96">
        <v>2727290.4658605163</v>
      </c>
      <c r="L36" s="96">
        <v>5076965.6577672474</v>
      </c>
      <c r="M36" s="96">
        <v>9419573.9626285583</v>
      </c>
      <c r="N36" s="96">
        <v>12045677.216553343</v>
      </c>
      <c r="O36" s="96">
        <v>5495036.9617113387</v>
      </c>
      <c r="P36" s="96">
        <v>47517426.99680312</v>
      </c>
      <c r="Q36" s="81"/>
      <c r="R36" s="81"/>
      <c r="S36" s="81"/>
    </row>
    <row r="37" spans="1:25">
      <c r="A37" s="1177">
        <f t="shared" si="0"/>
        <v>26</v>
      </c>
      <c r="B37" s="706">
        <v>8052</v>
      </c>
      <c r="C37" s="81" t="s">
        <v>871</v>
      </c>
      <c r="D37" s="96">
        <v>2504115.0790251358</v>
      </c>
      <c r="E37" s="96">
        <v>1997380.1153309604</v>
      </c>
      <c r="F37" s="96">
        <v>820665.54214418773</v>
      </c>
      <c r="G37" s="96">
        <v>675565.57455111505</v>
      </c>
      <c r="H37" s="96">
        <v>667067.27890687203</v>
      </c>
      <c r="I37" s="96">
        <v>760553.82843210001</v>
      </c>
      <c r="J37" s="96">
        <v>774004.94065317232</v>
      </c>
      <c r="K37" s="96">
        <v>1431038.0250275584</v>
      </c>
      <c r="L37" s="96">
        <v>2370832.5349362548</v>
      </c>
      <c r="M37" s="96">
        <v>4356114.6386678871</v>
      </c>
      <c r="N37" s="96">
        <v>5641449.6746461364</v>
      </c>
      <c r="O37" s="96">
        <v>2565523.6379590835</v>
      </c>
      <c r="P37" s="96">
        <v>24564310.870280467</v>
      </c>
      <c r="Q37" s="81"/>
      <c r="R37" s="670"/>
      <c r="S37" s="81"/>
    </row>
    <row r="38" spans="1:25" ht="15.75">
      <c r="A38" s="1177">
        <f t="shared" si="0"/>
        <v>27</v>
      </c>
      <c r="B38" s="706">
        <v>8053</v>
      </c>
      <c r="C38" s="81" t="s">
        <v>872</v>
      </c>
      <c r="D38" s="96">
        <v>452926.51032822736</v>
      </c>
      <c r="E38" s="96">
        <v>468623.60817401164</v>
      </c>
      <c r="F38" s="96">
        <v>176125.23973326126</v>
      </c>
      <c r="G38" s="96">
        <v>157955.35637285246</v>
      </c>
      <c r="H38" s="96">
        <v>151778.03390108765</v>
      </c>
      <c r="I38" s="96">
        <v>131464.42471390989</v>
      </c>
      <c r="J38" s="96">
        <v>180268.80985305211</v>
      </c>
      <c r="K38" s="96">
        <v>222787.90100582832</v>
      </c>
      <c r="L38" s="96">
        <v>310262.07309569005</v>
      </c>
      <c r="M38" s="96">
        <v>645928.38648293167</v>
      </c>
      <c r="N38" s="96">
        <v>1306608.5850706864</v>
      </c>
      <c r="O38" s="96">
        <v>649412.81680689938</v>
      </c>
      <c r="P38" s="96">
        <v>4854141.7455384377</v>
      </c>
      <c r="Q38" s="81"/>
      <c r="R38" s="895"/>
      <c r="S38" s="81"/>
    </row>
    <row r="39" spans="1:25">
      <c r="A39" s="1177">
        <f t="shared" si="0"/>
        <v>28</v>
      </c>
      <c r="B39" s="706">
        <v>8054</v>
      </c>
      <c r="C39" s="81" t="s">
        <v>873</v>
      </c>
      <c r="D39" s="96">
        <v>486524.52888002997</v>
      </c>
      <c r="E39" s="96">
        <v>416844.83979424043</v>
      </c>
      <c r="F39" s="96">
        <v>160924.20691505069</v>
      </c>
      <c r="G39" s="96">
        <v>106501.92322064079</v>
      </c>
      <c r="H39" s="96">
        <v>104667.51142431969</v>
      </c>
      <c r="I39" s="96">
        <v>91426.22122178461</v>
      </c>
      <c r="J39" s="96">
        <v>122222.24600110199</v>
      </c>
      <c r="K39" s="96">
        <v>267896.06263740378</v>
      </c>
      <c r="L39" s="96">
        <v>448227.49684380466</v>
      </c>
      <c r="M39" s="96">
        <v>786578.38213279576</v>
      </c>
      <c r="N39" s="96">
        <v>1107854.0403507324</v>
      </c>
      <c r="O39" s="96">
        <v>485814.36560709961</v>
      </c>
      <c r="P39" s="96">
        <v>4585481.8250290044</v>
      </c>
      <c r="Q39" s="81"/>
      <c r="R39" s="690"/>
      <c r="S39" s="81"/>
    </row>
    <row r="40" spans="1:25">
      <c r="A40" s="1177">
        <f t="shared" si="0"/>
        <v>29</v>
      </c>
      <c r="B40" s="706">
        <v>8058</v>
      </c>
      <c r="C40" s="81" t="s">
        <v>874</v>
      </c>
      <c r="D40" s="96">
        <v>-1786375.0331037717</v>
      </c>
      <c r="E40" s="96">
        <v>-2960757.3048389964</v>
      </c>
      <c r="F40" s="96">
        <v>-151496.61589355147</v>
      </c>
      <c r="G40" s="96">
        <v>-69224.739213529698</v>
      </c>
      <c r="H40" s="96">
        <v>86075.555697978052</v>
      </c>
      <c r="I40" s="96">
        <v>-4087.2859276673025</v>
      </c>
      <c r="J40" s="96">
        <v>1169933.6710906345</v>
      </c>
      <c r="K40" s="96">
        <v>1933647.6745339877</v>
      </c>
      <c r="L40" s="96">
        <v>3006709.1760343346</v>
      </c>
      <c r="M40" s="96">
        <v>-96325.545794015619</v>
      </c>
      <c r="N40" s="96">
        <v>-5403032.3904989883</v>
      </c>
      <c r="O40" s="96">
        <v>1150254.5191644239</v>
      </c>
      <c r="P40" s="96">
        <v>-3124678.318749161</v>
      </c>
      <c r="Q40" s="81"/>
      <c r="R40" s="81"/>
      <c r="S40" s="81"/>
    </row>
    <row r="41" spans="1:25">
      <c r="A41" s="1177">
        <f t="shared" si="0"/>
        <v>30</v>
      </c>
      <c r="B41" s="706">
        <v>8059</v>
      </c>
      <c r="C41" s="81" t="s">
        <v>875</v>
      </c>
      <c r="D41" s="96">
        <v>-7613424.9356455095</v>
      </c>
      <c r="E41" s="96">
        <v>-8532907.5832408406</v>
      </c>
      <c r="F41" s="96">
        <v>-3481430.1741535147</v>
      </c>
      <c r="G41" s="96">
        <v>-2620777.1094363146</v>
      </c>
      <c r="H41" s="96">
        <v>-2114863.1431293404</v>
      </c>
      <c r="I41" s="96">
        <v>-2028833.6229180992</v>
      </c>
      <c r="J41" s="96">
        <v>-2370174.9264919674</v>
      </c>
      <c r="K41" s="96">
        <v>-3438993.2488311892</v>
      </c>
      <c r="L41" s="96">
        <v>-5516846.8464698642</v>
      </c>
      <c r="M41" s="96">
        <v>-9464121.4530690759</v>
      </c>
      <c r="N41" s="96">
        <v>-16862795.9459095</v>
      </c>
      <c r="O41" s="96">
        <v>-7781002.1561101377</v>
      </c>
      <c r="P41" s="96">
        <v>-71826171.145405352</v>
      </c>
      <c r="Q41" s="81"/>
      <c r="R41" s="81"/>
      <c r="S41" s="81"/>
    </row>
    <row r="42" spans="1:25">
      <c r="A42" s="1177">
        <f t="shared" si="0"/>
        <v>31</v>
      </c>
      <c r="B42" s="706">
        <v>8060</v>
      </c>
      <c r="C42" s="81" t="s">
        <v>876</v>
      </c>
      <c r="D42" s="96">
        <v>1231297.4311803493</v>
      </c>
      <c r="E42" s="96">
        <v>-1368385.6917066008</v>
      </c>
      <c r="F42" s="96">
        <v>-1501512.8033388688</v>
      </c>
      <c r="G42" s="96">
        <v>-2492091.8090983201</v>
      </c>
      <c r="H42" s="96">
        <v>-1552661.6508126098</v>
      </c>
      <c r="I42" s="96">
        <v>-923458.07700084464</v>
      </c>
      <c r="J42" s="96">
        <v>-1057482.7946123648</v>
      </c>
      <c r="K42" s="96">
        <v>-1198976.4719961267</v>
      </c>
      <c r="L42" s="96">
        <v>417908.22647569003</v>
      </c>
      <c r="M42" s="96">
        <v>1698159.8411006324</v>
      </c>
      <c r="N42" s="96">
        <v>3040343.6163263246</v>
      </c>
      <c r="O42" s="96">
        <v>1559521.7938194678</v>
      </c>
      <c r="P42" s="96">
        <v>-2147338.3896632735</v>
      </c>
      <c r="Q42" s="81"/>
      <c r="R42" s="81"/>
      <c r="S42" s="81"/>
    </row>
    <row r="43" spans="1:25">
      <c r="A43" s="1177">
        <f t="shared" si="0"/>
        <v>32</v>
      </c>
      <c r="B43" s="706">
        <v>8081</v>
      </c>
      <c r="C43" s="81" t="s">
        <v>877</v>
      </c>
      <c r="D43" s="96">
        <v>3565807.2322655031</v>
      </c>
      <c r="E43" s="96">
        <v>134253.3070739182</v>
      </c>
      <c r="F43" s="96">
        <v>0</v>
      </c>
      <c r="G43" s="96">
        <v>0</v>
      </c>
      <c r="H43" s="96">
        <v>209.44631179911119</v>
      </c>
      <c r="I43" s="96">
        <v>0</v>
      </c>
      <c r="J43" s="96">
        <v>0</v>
      </c>
      <c r="K43" s="96">
        <v>18127.467837870045</v>
      </c>
      <c r="L43" s="96">
        <v>1378297.2905853572</v>
      </c>
      <c r="M43" s="96">
        <v>1623795.1522945259</v>
      </c>
      <c r="N43" s="96">
        <v>3203605.6198149449</v>
      </c>
      <c r="O43" s="96">
        <v>2511941.7675222508</v>
      </c>
      <c r="P43" s="96">
        <v>12436037.28370617</v>
      </c>
      <c r="Q43" s="832"/>
      <c r="R43" s="81"/>
      <c r="S43" s="81"/>
    </row>
    <row r="44" spans="1:25">
      <c r="A44" s="1177">
        <f t="shared" si="0"/>
        <v>33</v>
      </c>
      <c r="B44" s="706">
        <v>8082</v>
      </c>
      <c r="C44" s="81" t="s">
        <v>878</v>
      </c>
      <c r="D44" s="96">
        <v>-58250.151066670471</v>
      </c>
      <c r="E44" s="96">
        <v>-1853715.2798672935</v>
      </c>
      <c r="F44" s="96">
        <v>-2372685.9709928157</v>
      </c>
      <c r="G44" s="96">
        <v>-1613550.5807731457</v>
      </c>
      <c r="H44" s="96">
        <v>-1202402.0383949135</v>
      </c>
      <c r="I44" s="96">
        <v>-1406159.6141357089</v>
      </c>
      <c r="J44" s="96">
        <v>-1329055.6435543455</v>
      </c>
      <c r="K44" s="96">
        <v>-1723603.4172366175</v>
      </c>
      <c r="L44" s="96">
        <v>-305775.82677894877</v>
      </c>
      <c r="M44" s="96">
        <v>-590083.28785560082</v>
      </c>
      <c r="N44" s="96">
        <v>-93553.946638216512</v>
      </c>
      <c r="O44" s="96">
        <v>-77898.56494751203</v>
      </c>
      <c r="P44" s="96">
        <v>-12626734.322241789</v>
      </c>
      <c r="R44" s="81"/>
      <c r="S44" s="81"/>
    </row>
    <row r="45" spans="1:25" ht="15.75">
      <c r="A45" s="1177">
        <f t="shared" si="0"/>
        <v>34</v>
      </c>
      <c r="B45" s="706">
        <v>8120</v>
      </c>
      <c r="C45" s="81" t="s">
        <v>879</v>
      </c>
      <c r="D45" s="96">
        <v>-3252.498169802845</v>
      </c>
      <c r="E45" s="96">
        <v>-1498.9296713934184</v>
      </c>
      <c r="F45" s="96">
        <v>7995.668310147611</v>
      </c>
      <c r="G45" s="96">
        <v>677.9976141513755</v>
      </c>
      <c r="H45" s="96">
        <v>177.94401814999156</v>
      </c>
      <c r="I45" s="96">
        <v>1093.3988552084024</v>
      </c>
      <c r="J45" s="96">
        <v>-8976.9325519343365</v>
      </c>
      <c r="K45" s="96">
        <v>7397.4996078590602</v>
      </c>
      <c r="L45" s="96">
        <v>-2857.7260972015174</v>
      </c>
      <c r="M45" s="96">
        <v>-2871.0639889581848</v>
      </c>
      <c r="N45" s="96">
        <v>-5483.0899112261595</v>
      </c>
      <c r="O45" s="96">
        <v>-6731.2336609825015</v>
      </c>
      <c r="P45" s="96">
        <v>-14328.965645982522</v>
      </c>
      <c r="Q45" s="81"/>
      <c r="R45" s="870"/>
    </row>
    <row r="46" spans="1:25">
      <c r="A46" s="1177">
        <f t="shared" si="0"/>
        <v>35</v>
      </c>
      <c r="B46" s="706">
        <v>8580</v>
      </c>
      <c r="C46" s="81" t="s">
        <v>1209</v>
      </c>
      <c r="D46" s="96">
        <v>2081738.8436982622</v>
      </c>
      <c r="E46" s="96">
        <v>2996348.7228983887</v>
      </c>
      <c r="F46" s="96">
        <v>1895276.5266003753</v>
      </c>
      <c r="G46" s="96">
        <v>1562644.3450923078</v>
      </c>
      <c r="H46" s="96">
        <v>1385389.4317950029</v>
      </c>
      <c r="I46" s="96">
        <v>1216802.7348377891</v>
      </c>
      <c r="J46" s="96">
        <v>1277980.6785375604</v>
      </c>
      <c r="K46" s="96">
        <v>1635299.8253546865</v>
      </c>
      <c r="L46" s="96">
        <v>1852792.1139388857</v>
      </c>
      <c r="M46" s="96">
        <v>1959859.4632717941</v>
      </c>
      <c r="N46" s="96">
        <v>2926142.2443009159</v>
      </c>
      <c r="O46" s="96">
        <v>1918975.4062093284</v>
      </c>
      <c r="P46" s="96">
        <v>22709250.336535297</v>
      </c>
      <c r="Q46" s="670"/>
      <c r="R46" s="670"/>
      <c r="S46" s="670"/>
      <c r="T46" s="670"/>
    </row>
    <row r="47" spans="1:25">
      <c r="A47" s="1177">
        <f t="shared" si="0"/>
        <v>36</v>
      </c>
      <c r="B47" s="706">
        <v>8140</v>
      </c>
      <c r="C47" s="81" t="s">
        <v>880</v>
      </c>
      <c r="D47" s="397">
        <v>0</v>
      </c>
      <c r="E47" s="397">
        <v>0</v>
      </c>
      <c r="F47" s="397">
        <v>0</v>
      </c>
      <c r="G47" s="397">
        <v>0</v>
      </c>
      <c r="H47" s="397">
        <v>0</v>
      </c>
      <c r="I47" s="397">
        <v>0</v>
      </c>
      <c r="J47" s="397">
        <v>0</v>
      </c>
      <c r="K47" s="397">
        <v>0</v>
      </c>
      <c r="L47" s="397">
        <v>0</v>
      </c>
      <c r="M47" s="397">
        <v>0</v>
      </c>
      <c r="N47" s="397">
        <v>0</v>
      </c>
      <c r="O47" s="397">
        <v>0</v>
      </c>
      <c r="P47" s="81">
        <v>0</v>
      </c>
      <c r="Q47" s="670"/>
      <c r="R47" s="670"/>
      <c r="S47" s="81"/>
      <c r="Y47" s="896"/>
    </row>
    <row r="48" spans="1:25">
      <c r="A48" s="1177">
        <f t="shared" si="0"/>
        <v>37</v>
      </c>
      <c r="B48" s="706">
        <v>8160</v>
      </c>
      <c r="C48" s="81" t="s">
        <v>881</v>
      </c>
      <c r="D48" s="397">
        <v>31297.547294120872</v>
      </c>
      <c r="E48" s="397">
        <v>24252.737651501931</v>
      </c>
      <c r="F48" s="397">
        <v>30922.964905097553</v>
      </c>
      <c r="G48" s="397">
        <v>28122.398457562198</v>
      </c>
      <c r="H48" s="397">
        <v>31187.404883221829</v>
      </c>
      <c r="I48" s="397">
        <v>25334.956942296856</v>
      </c>
      <c r="J48" s="397">
        <v>20820.802731083695</v>
      </c>
      <c r="K48" s="397">
        <v>20501.256791369837</v>
      </c>
      <c r="L48" s="397">
        <v>16407.779944146234</v>
      </c>
      <c r="M48" s="397">
        <v>19192.102221425623</v>
      </c>
      <c r="N48" s="397">
        <v>16766.92071177359</v>
      </c>
      <c r="O48" s="397">
        <v>27110.379093562908</v>
      </c>
      <c r="P48" s="81">
        <v>291917.25162716309</v>
      </c>
      <c r="Q48" s="81"/>
      <c r="R48" s="81"/>
      <c r="S48" s="81"/>
      <c r="Y48" s="896"/>
    </row>
    <row r="49" spans="1:25">
      <c r="A49" s="1177">
        <f t="shared" si="0"/>
        <v>38</v>
      </c>
      <c r="B49" s="706">
        <v>8170</v>
      </c>
      <c r="C49" s="81" t="s">
        <v>887</v>
      </c>
      <c r="D49" s="397">
        <v>1775.2521701084211</v>
      </c>
      <c r="E49" s="397">
        <v>1785.1952874942942</v>
      </c>
      <c r="F49" s="397">
        <v>1617.3640578396405</v>
      </c>
      <c r="G49" s="397">
        <v>1787.3804533793009</v>
      </c>
      <c r="H49" s="397">
        <v>1729.7950320060654</v>
      </c>
      <c r="I49" s="397">
        <v>1637.7666815612899</v>
      </c>
      <c r="J49" s="397">
        <v>1865.0915604048048</v>
      </c>
      <c r="K49" s="397">
        <v>1850.8398795785372</v>
      </c>
      <c r="L49" s="397">
        <v>1763.6443293129723</v>
      </c>
      <c r="M49" s="397">
        <v>1970.4695692894707</v>
      </c>
      <c r="N49" s="397">
        <v>1715.1431926212838</v>
      </c>
      <c r="O49" s="397">
        <v>1753.4610776985166</v>
      </c>
      <c r="P49" s="81">
        <v>21251.403291294595</v>
      </c>
      <c r="Q49" s="81"/>
      <c r="R49" s="81"/>
      <c r="S49" s="81"/>
      <c r="Y49" s="896"/>
    </row>
    <row r="50" spans="1:25">
      <c r="A50" s="1177">
        <f t="shared" si="0"/>
        <v>39</v>
      </c>
      <c r="B50" s="706">
        <v>8180</v>
      </c>
      <c r="C50" s="81" t="s">
        <v>888</v>
      </c>
      <c r="D50" s="397">
        <v>2305.1657477309709</v>
      </c>
      <c r="E50" s="397">
        <v>2038.1371877678653</v>
      </c>
      <c r="F50" s="397">
        <v>1907.4263092835197</v>
      </c>
      <c r="G50" s="397">
        <v>2266.2926104410435</v>
      </c>
      <c r="H50" s="397">
        <v>2137.4053906102877</v>
      </c>
      <c r="I50" s="397">
        <v>1851.0299761221429</v>
      </c>
      <c r="J50" s="397">
        <v>2105.270591050054</v>
      </c>
      <c r="K50" s="397">
        <v>2111.0886620276701</v>
      </c>
      <c r="L50" s="397">
        <v>1863.0266306643243</v>
      </c>
      <c r="M50" s="397">
        <v>2304.913967873918</v>
      </c>
      <c r="N50" s="397">
        <v>2027.0202692638443</v>
      </c>
      <c r="O50" s="397">
        <v>2143.6003916971636</v>
      </c>
      <c r="P50" s="81">
        <v>25060.377734532805</v>
      </c>
      <c r="Q50" s="81"/>
      <c r="R50" s="81"/>
      <c r="S50" s="81"/>
      <c r="Y50" s="896"/>
    </row>
    <row r="51" spans="1:25">
      <c r="A51" s="1177">
        <f t="shared" si="0"/>
        <v>40</v>
      </c>
      <c r="B51" s="706">
        <v>8190</v>
      </c>
      <c r="C51" s="81" t="s">
        <v>889</v>
      </c>
      <c r="D51" s="397">
        <v>62.684227392890179</v>
      </c>
      <c r="E51" s="397">
        <v>60.880337070946368</v>
      </c>
      <c r="F51" s="397">
        <v>59.868609273761024</v>
      </c>
      <c r="G51" s="397">
        <v>54.071096923420527</v>
      </c>
      <c r="H51" s="397">
        <v>60.274930414010413</v>
      </c>
      <c r="I51" s="397">
        <v>56.704626329946926</v>
      </c>
      <c r="J51" s="397">
        <v>57.920176458071708</v>
      </c>
      <c r="K51" s="397">
        <v>63.95139486456457</v>
      </c>
      <c r="L51" s="397">
        <v>63.998205734828169</v>
      </c>
      <c r="M51" s="397">
        <v>69.428406003472276</v>
      </c>
      <c r="N51" s="397">
        <v>60.911404999722514</v>
      </c>
      <c r="O51" s="397">
        <v>64.622072035543667</v>
      </c>
      <c r="P51" s="81">
        <v>735.31548750117838</v>
      </c>
      <c r="Q51" s="81"/>
      <c r="R51" s="81"/>
      <c r="S51" s="81"/>
      <c r="Y51" s="896"/>
    </row>
    <row r="52" spans="1:25">
      <c r="A52" s="1177">
        <f t="shared" si="0"/>
        <v>41</v>
      </c>
      <c r="B52" s="706">
        <v>8200</v>
      </c>
      <c r="C52" s="81" t="s">
        <v>890</v>
      </c>
      <c r="D52" s="397">
        <v>589.20787852063961</v>
      </c>
      <c r="E52" s="397">
        <v>509.00016667418674</v>
      </c>
      <c r="F52" s="397">
        <v>554.58413469028392</v>
      </c>
      <c r="G52" s="397">
        <v>551.14823133689197</v>
      </c>
      <c r="H52" s="397">
        <v>575.16247045229989</v>
      </c>
      <c r="I52" s="397">
        <v>495.53817158695074</v>
      </c>
      <c r="J52" s="397">
        <v>485.23339252117705</v>
      </c>
      <c r="K52" s="397">
        <v>490.45564445783862</v>
      </c>
      <c r="L52" s="397">
        <v>435.73493388469899</v>
      </c>
      <c r="M52" s="397">
        <v>501.36092726794493</v>
      </c>
      <c r="N52" s="397">
        <v>446.17930974446699</v>
      </c>
      <c r="O52" s="397">
        <v>547.26424014886595</v>
      </c>
      <c r="P52" s="81">
        <v>6180.8695012862445</v>
      </c>
      <c r="Q52" s="81"/>
      <c r="R52" s="81"/>
      <c r="S52" s="81"/>
      <c r="Y52" s="896"/>
    </row>
    <row r="53" spans="1:25">
      <c r="A53" s="1177">
        <f t="shared" si="0"/>
        <v>42</v>
      </c>
      <c r="B53" s="706">
        <v>8210</v>
      </c>
      <c r="C53" s="81" t="s">
        <v>891</v>
      </c>
      <c r="D53" s="397">
        <v>4312.6945463064803</v>
      </c>
      <c r="E53" s="397">
        <v>4143.5531053900004</v>
      </c>
      <c r="F53" s="397">
        <v>3798.444532852277</v>
      </c>
      <c r="G53" s="397">
        <v>4311.5186491823624</v>
      </c>
      <c r="H53" s="397">
        <v>4130.2255067270862</v>
      </c>
      <c r="I53" s="397">
        <v>3791.0505359564859</v>
      </c>
      <c r="J53" s="397">
        <v>4313.4757643561616</v>
      </c>
      <c r="K53" s="397">
        <v>4288.898722618118</v>
      </c>
      <c r="L53" s="397">
        <v>3981.3149704954017</v>
      </c>
      <c r="M53" s="397">
        <v>4600.9524431162399</v>
      </c>
      <c r="N53" s="397">
        <v>4019.5129902235399</v>
      </c>
      <c r="O53" s="397">
        <v>4163.9876363506091</v>
      </c>
      <c r="P53" s="81">
        <v>49855.629403574771</v>
      </c>
      <c r="Q53" s="81"/>
      <c r="R53" s="81"/>
      <c r="S53" s="81"/>
      <c r="Y53" s="896"/>
    </row>
    <row r="54" spans="1:25">
      <c r="A54" s="1177">
        <f t="shared" si="0"/>
        <v>43</v>
      </c>
      <c r="B54" s="706">
        <v>8240</v>
      </c>
      <c r="C54" s="81" t="s">
        <v>892</v>
      </c>
      <c r="D54" s="397">
        <v>0</v>
      </c>
      <c r="E54" s="397">
        <v>0</v>
      </c>
      <c r="F54" s="397">
        <v>0</v>
      </c>
      <c r="G54" s="397">
        <v>0</v>
      </c>
      <c r="H54" s="397">
        <v>0</v>
      </c>
      <c r="I54" s="397">
        <v>0</v>
      </c>
      <c r="J54" s="397">
        <v>0</v>
      </c>
      <c r="K54" s="397">
        <v>0</v>
      </c>
      <c r="L54" s="397">
        <v>0</v>
      </c>
      <c r="M54" s="397">
        <v>0</v>
      </c>
      <c r="N54" s="397">
        <v>0</v>
      </c>
      <c r="O54" s="397">
        <v>0</v>
      </c>
      <c r="P54" s="81">
        <v>0</v>
      </c>
      <c r="Q54" s="81"/>
      <c r="R54" s="81"/>
      <c r="S54" s="81"/>
      <c r="Y54" s="896"/>
    </row>
    <row r="55" spans="1:25">
      <c r="A55" s="1177">
        <f t="shared" si="0"/>
        <v>44</v>
      </c>
      <c r="B55" s="706">
        <v>8250</v>
      </c>
      <c r="C55" s="81" t="s">
        <v>903</v>
      </c>
      <c r="D55" s="397">
        <v>747.01999776886976</v>
      </c>
      <c r="E55" s="397">
        <v>725.4983793409383</v>
      </c>
      <c r="F55" s="397">
        <v>713.51522838947562</v>
      </c>
      <c r="G55" s="397">
        <v>644.58681007864152</v>
      </c>
      <c r="H55" s="397">
        <v>718.30051226006958</v>
      </c>
      <c r="I55" s="397">
        <v>675.85355437648593</v>
      </c>
      <c r="J55" s="397">
        <v>690.30411382471289</v>
      </c>
      <c r="K55" s="397">
        <v>762.04843985293314</v>
      </c>
      <c r="L55" s="397">
        <v>762.56768467664222</v>
      </c>
      <c r="M55" s="397">
        <v>827.15803028585174</v>
      </c>
      <c r="N55" s="397">
        <v>726.36514353277437</v>
      </c>
      <c r="O55" s="397">
        <v>769.98502417454347</v>
      </c>
      <c r="P55" s="81">
        <v>8763.2029185619394</v>
      </c>
      <c r="Q55" s="81"/>
      <c r="R55" s="81"/>
      <c r="Y55" s="896"/>
    </row>
    <row r="56" spans="1:25">
      <c r="A56" s="1177">
        <f t="shared" si="0"/>
        <v>45</v>
      </c>
      <c r="B56" s="706">
        <v>8310</v>
      </c>
      <c r="C56" s="81" t="s">
        <v>904</v>
      </c>
      <c r="D56" s="397">
        <v>1372.8844425593968</v>
      </c>
      <c r="E56" s="397">
        <v>1044.1045176853925</v>
      </c>
      <c r="F56" s="397">
        <v>1387.7816464009354</v>
      </c>
      <c r="G56" s="397">
        <v>1244.0114736780761</v>
      </c>
      <c r="H56" s="397">
        <v>1384.8969210643688</v>
      </c>
      <c r="I56" s="397">
        <v>1109.6548808868595</v>
      </c>
      <c r="J56" s="397">
        <v>893.69028205847394</v>
      </c>
      <c r="K56" s="397">
        <v>878.68104816800246</v>
      </c>
      <c r="L56" s="397">
        <v>694.81336498519988</v>
      </c>
      <c r="M56" s="397">
        <v>795.99054663488948</v>
      </c>
      <c r="N56" s="397">
        <v>734.50340055636138</v>
      </c>
      <c r="O56" s="397">
        <v>1194.7072612572363</v>
      </c>
      <c r="P56" s="81">
        <v>12735.719785935193</v>
      </c>
      <c r="Q56" s="81"/>
      <c r="R56" s="897"/>
      <c r="S56" s="81"/>
      <c r="Y56" s="896"/>
    </row>
    <row r="57" spans="1:25">
      <c r="A57" s="1177">
        <f t="shared" si="0"/>
        <v>46</v>
      </c>
      <c r="B57" s="706">
        <v>8340</v>
      </c>
      <c r="C57" s="81" t="s">
        <v>905</v>
      </c>
      <c r="D57" s="397">
        <v>273.43022000038781</v>
      </c>
      <c r="E57" s="397">
        <v>281.61318501878492</v>
      </c>
      <c r="F57" s="397">
        <v>252.36542047898953</v>
      </c>
      <c r="G57" s="397">
        <v>279.98407651264608</v>
      </c>
      <c r="H57" s="397">
        <v>269.18185204460241</v>
      </c>
      <c r="I57" s="397">
        <v>258.58168623669627</v>
      </c>
      <c r="J57" s="397">
        <v>296.82505314643225</v>
      </c>
      <c r="K57" s="397">
        <v>291.46855200432367</v>
      </c>
      <c r="L57" s="397">
        <v>279.61677478144304</v>
      </c>
      <c r="M57" s="397">
        <v>308.3681461054104</v>
      </c>
      <c r="N57" s="397">
        <v>267.80629133901772</v>
      </c>
      <c r="O57" s="397">
        <v>271.73982505927472</v>
      </c>
      <c r="P57" s="81">
        <v>3330.9810827280085</v>
      </c>
      <c r="Q57" s="81"/>
      <c r="R57" s="897"/>
      <c r="S57" s="81"/>
      <c r="Y57" s="896"/>
    </row>
    <row r="58" spans="1:25">
      <c r="A58" s="1177">
        <f t="shared" si="0"/>
        <v>47</v>
      </c>
      <c r="B58" s="706">
        <v>8350</v>
      </c>
      <c r="C58" s="81" t="s">
        <v>906</v>
      </c>
      <c r="D58" s="397">
        <v>0</v>
      </c>
      <c r="E58" s="397">
        <v>0</v>
      </c>
      <c r="F58" s="397">
        <v>0</v>
      </c>
      <c r="G58" s="397">
        <v>0</v>
      </c>
      <c r="H58" s="397">
        <v>0</v>
      </c>
      <c r="I58" s="397">
        <v>0</v>
      </c>
      <c r="J58" s="397">
        <v>0</v>
      </c>
      <c r="K58" s="397">
        <v>0</v>
      </c>
      <c r="L58" s="397">
        <v>0</v>
      </c>
      <c r="M58" s="397">
        <v>0</v>
      </c>
      <c r="N58" s="397">
        <v>0</v>
      </c>
      <c r="O58" s="397">
        <v>0</v>
      </c>
      <c r="P58" s="81">
        <v>0</v>
      </c>
      <c r="Q58" s="81"/>
      <c r="R58" s="897"/>
      <c r="S58" s="81"/>
      <c r="Y58" s="896"/>
    </row>
    <row r="59" spans="1:25">
      <c r="A59" s="1177">
        <f t="shared" si="0"/>
        <v>48</v>
      </c>
      <c r="B59" s="706">
        <v>8360</v>
      </c>
      <c r="C59" s="81" t="s">
        <v>907</v>
      </c>
      <c r="D59" s="397">
        <v>0</v>
      </c>
      <c r="E59" s="397">
        <v>0</v>
      </c>
      <c r="F59" s="397">
        <v>0</v>
      </c>
      <c r="G59" s="397">
        <v>0</v>
      </c>
      <c r="H59" s="397">
        <v>0</v>
      </c>
      <c r="I59" s="397">
        <v>0</v>
      </c>
      <c r="J59" s="397">
        <v>0</v>
      </c>
      <c r="K59" s="397">
        <v>0</v>
      </c>
      <c r="L59" s="397">
        <v>0</v>
      </c>
      <c r="M59" s="397">
        <v>0</v>
      </c>
      <c r="N59" s="397">
        <v>0</v>
      </c>
      <c r="O59" s="397">
        <v>0</v>
      </c>
      <c r="P59" s="81">
        <v>0</v>
      </c>
      <c r="Q59" s="81"/>
      <c r="R59" s="897"/>
      <c r="S59" s="81"/>
      <c r="Y59" s="896"/>
    </row>
    <row r="60" spans="1:25">
      <c r="A60" s="1177">
        <f t="shared" si="0"/>
        <v>49</v>
      </c>
      <c r="B60" s="706">
        <v>8370</v>
      </c>
      <c r="C60" s="81" t="s">
        <v>1339</v>
      </c>
      <c r="D60" s="397">
        <v>0</v>
      </c>
      <c r="E60" s="397">
        <v>0</v>
      </c>
      <c r="F60" s="397">
        <v>0</v>
      </c>
      <c r="G60" s="397">
        <v>0</v>
      </c>
      <c r="H60" s="397">
        <v>0</v>
      </c>
      <c r="I60" s="397">
        <v>0</v>
      </c>
      <c r="J60" s="397">
        <v>0</v>
      </c>
      <c r="K60" s="397">
        <v>0</v>
      </c>
      <c r="L60" s="397">
        <v>0</v>
      </c>
      <c r="M60" s="397">
        <v>0</v>
      </c>
      <c r="N60" s="397">
        <v>0</v>
      </c>
      <c r="O60" s="397">
        <v>0</v>
      </c>
      <c r="P60" s="81">
        <v>0</v>
      </c>
      <c r="Q60" s="81"/>
      <c r="R60" s="897"/>
      <c r="S60" s="81"/>
      <c r="Y60" s="896"/>
    </row>
    <row r="61" spans="1:25">
      <c r="A61" s="1177">
        <f t="shared" si="0"/>
        <v>50</v>
      </c>
      <c r="B61" s="706">
        <v>8410</v>
      </c>
      <c r="C61" s="81" t="s">
        <v>188</v>
      </c>
      <c r="D61" s="397">
        <v>5750.8488178447487</v>
      </c>
      <c r="E61" s="397">
        <v>5789.1773190005815</v>
      </c>
      <c r="F61" s="397">
        <v>5224.2323857120127</v>
      </c>
      <c r="G61" s="397">
        <v>5756.1535565053455</v>
      </c>
      <c r="H61" s="397">
        <v>5600.6104900821319</v>
      </c>
      <c r="I61" s="397">
        <v>5421.4638794390394</v>
      </c>
      <c r="J61" s="397">
        <v>6093.8434180661325</v>
      </c>
      <c r="K61" s="397">
        <v>6097.3909916260263</v>
      </c>
      <c r="L61" s="397">
        <v>5749.7404118356671</v>
      </c>
      <c r="M61" s="397">
        <v>6353.6175697483659</v>
      </c>
      <c r="N61" s="397">
        <v>5560.4446172337239</v>
      </c>
      <c r="O61" s="397">
        <v>5685.8354194212889</v>
      </c>
      <c r="P61" s="81">
        <v>69083.358876515063</v>
      </c>
      <c r="Q61" s="81"/>
      <c r="R61" s="897"/>
      <c r="S61" s="81"/>
      <c r="Y61" s="896"/>
    </row>
    <row r="62" spans="1:25">
      <c r="A62" s="1177">
        <f t="shared" si="0"/>
        <v>51</v>
      </c>
      <c r="B62" s="829">
        <v>8500</v>
      </c>
      <c r="C62" s="80" t="s">
        <v>908</v>
      </c>
      <c r="D62" s="397">
        <v>3.7634340569533005</v>
      </c>
      <c r="E62" s="397">
        <v>2.6702028095203554</v>
      </c>
      <c r="F62" s="397">
        <v>2.6163697410762339</v>
      </c>
      <c r="G62" s="397">
        <v>3.531408817080254</v>
      </c>
      <c r="H62" s="397">
        <v>3.1996977900734938</v>
      </c>
      <c r="I62" s="397">
        <v>2.3471214712292632</v>
      </c>
      <c r="J62" s="397">
        <v>2.6919449727918452</v>
      </c>
      <c r="K62" s="397">
        <v>2.8051729977777491</v>
      </c>
      <c r="L62" s="397">
        <v>2.100998534874619</v>
      </c>
      <c r="M62" s="397">
        <v>3.2613020637553438</v>
      </c>
      <c r="N62" s="397">
        <v>2.9201425029172619</v>
      </c>
      <c r="O62" s="397">
        <v>3.2105779989637124</v>
      </c>
      <c r="P62" s="81">
        <v>35.118373757013437</v>
      </c>
      <c r="Q62" s="81"/>
      <c r="R62" s="897"/>
      <c r="S62" s="81"/>
      <c r="Y62" s="896"/>
    </row>
    <row r="63" spans="1:25">
      <c r="A63" s="1177">
        <f t="shared" si="0"/>
        <v>52</v>
      </c>
      <c r="B63" s="706">
        <v>8520</v>
      </c>
      <c r="C63" s="81" t="s">
        <v>1340</v>
      </c>
      <c r="D63" s="397">
        <v>0</v>
      </c>
      <c r="E63" s="397">
        <v>0</v>
      </c>
      <c r="F63" s="397">
        <v>0</v>
      </c>
      <c r="G63" s="397">
        <v>0</v>
      </c>
      <c r="H63" s="397">
        <v>0</v>
      </c>
      <c r="I63" s="397">
        <v>0</v>
      </c>
      <c r="J63" s="397">
        <v>0</v>
      </c>
      <c r="K63" s="397">
        <v>0</v>
      </c>
      <c r="L63" s="397">
        <v>0</v>
      </c>
      <c r="M63" s="397">
        <v>0</v>
      </c>
      <c r="N63" s="397">
        <v>0</v>
      </c>
      <c r="O63" s="397">
        <v>0</v>
      </c>
      <c r="P63" s="81">
        <v>0</v>
      </c>
      <c r="Q63" s="81"/>
      <c r="R63" s="897"/>
      <c r="S63" s="81"/>
      <c r="Y63" s="896"/>
    </row>
    <row r="64" spans="1:25">
      <c r="A64" s="1177">
        <f t="shared" si="0"/>
        <v>53</v>
      </c>
      <c r="B64" s="706">
        <v>8550</v>
      </c>
      <c r="C64" s="103" t="s">
        <v>1393</v>
      </c>
      <c r="D64" s="397">
        <v>26.264090872538592</v>
      </c>
      <c r="E64" s="397">
        <v>25.508278105753195</v>
      </c>
      <c r="F64" s="397">
        <v>25.084373849312392</v>
      </c>
      <c r="G64" s="397">
        <v>22.655271704531426</v>
      </c>
      <c r="H64" s="397">
        <v>25.254618515232195</v>
      </c>
      <c r="I64" s="397">
        <v>23.758695301267931</v>
      </c>
      <c r="J64" s="397">
        <v>24.267999162111501</v>
      </c>
      <c r="K64" s="397">
        <v>26.795021905925722</v>
      </c>
      <c r="L64" s="397">
        <v>26.814635212200042</v>
      </c>
      <c r="M64" s="397">
        <v>29.089837112956474</v>
      </c>
      <c r="N64" s="397">
        <v>25.521295270334072</v>
      </c>
      <c r="O64" s="397">
        <v>27.076029216653623</v>
      </c>
      <c r="P64" s="81">
        <v>308.09014622881716</v>
      </c>
      <c r="Q64" s="81"/>
      <c r="R64" s="897"/>
      <c r="S64" s="81"/>
      <c r="Y64" s="896"/>
    </row>
    <row r="65" spans="1:25">
      <c r="A65" s="1177">
        <f t="shared" si="0"/>
        <v>54</v>
      </c>
      <c r="B65" s="706">
        <v>8560</v>
      </c>
      <c r="C65" s="81" t="s">
        <v>909</v>
      </c>
      <c r="D65" s="397">
        <v>33952.2955422741</v>
      </c>
      <c r="E65" s="397">
        <v>30334.011443202497</v>
      </c>
      <c r="F65" s="397">
        <v>31661.230152313019</v>
      </c>
      <c r="G65" s="397">
        <v>32799.914761639971</v>
      </c>
      <c r="H65" s="397">
        <v>33170.566655818075</v>
      </c>
      <c r="I65" s="397">
        <v>29203.042299788776</v>
      </c>
      <c r="J65" s="397">
        <v>29823.50451901865</v>
      </c>
      <c r="K65" s="397">
        <v>29565.80128620793</v>
      </c>
      <c r="L65" s="397">
        <v>26616.8317769471</v>
      </c>
      <c r="M65" s="397">
        <v>30409.816457821402</v>
      </c>
      <c r="N65" s="397">
        <v>26935.339972358157</v>
      </c>
      <c r="O65" s="397">
        <v>31729.702697659337</v>
      </c>
      <c r="P65" s="81">
        <v>366202.05756504892</v>
      </c>
      <c r="Q65" s="81"/>
      <c r="R65" s="897"/>
      <c r="S65" s="81"/>
      <c r="Y65" s="896"/>
    </row>
    <row r="66" spans="1:25">
      <c r="A66" s="1177">
        <f t="shared" si="0"/>
        <v>55</v>
      </c>
      <c r="B66" s="706">
        <v>8570</v>
      </c>
      <c r="C66" s="81" t="s">
        <v>910</v>
      </c>
      <c r="D66" s="397">
        <v>2270.8356110448176</v>
      </c>
      <c r="E66" s="397">
        <v>2291.4675833733036</v>
      </c>
      <c r="F66" s="397">
        <v>2099.1986172453135</v>
      </c>
      <c r="G66" s="397">
        <v>2239.7312703239354</v>
      </c>
      <c r="H66" s="397">
        <v>2216.5726486881167</v>
      </c>
      <c r="I66" s="397">
        <v>2108.9142632441631</v>
      </c>
      <c r="J66" s="397">
        <v>2363.5485889174083</v>
      </c>
      <c r="K66" s="397">
        <v>2379.7846539511388</v>
      </c>
      <c r="L66" s="397">
        <v>2295.3574461862245</v>
      </c>
      <c r="M66" s="397">
        <v>2536.2564320239817</v>
      </c>
      <c r="N66" s="397">
        <v>2208.8642041956705</v>
      </c>
      <c r="O66" s="397">
        <v>2267.4696522408963</v>
      </c>
      <c r="P66" s="81">
        <v>27278.000971434969</v>
      </c>
      <c r="Q66" s="81"/>
      <c r="R66" s="897"/>
      <c r="S66" s="81"/>
      <c r="Y66" s="896"/>
    </row>
    <row r="67" spans="1:25">
      <c r="A67" s="1177">
        <f t="shared" si="0"/>
        <v>56</v>
      </c>
      <c r="B67" s="706">
        <v>8630</v>
      </c>
      <c r="C67" s="81" t="s">
        <v>911</v>
      </c>
      <c r="D67" s="397">
        <v>1304.355772927421</v>
      </c>
      <c r="E67" s="397">
        <v>1312.5124897884295</v>
      </c>
      <c r="F67" s="397">
        <v>1294.7238948778149</v>
      </c>
      <c r="G67" s="397">
        <v>1372.1630114097254</v>
      </c>
      <c r="H67" s="397">
        <v>1282.2506787225957</v>
      </c>
      <c r="I67" s="397">
        <v>1265.3649600635961</v>
      </c>
      <c r="J67" s="397">
        <v>1429.5582939729145</v>
      </c>
      <c r="K67" s="397">
        <v>1369.8705955580767</v>
      </c>
      <c r="L67" s="397">
        <v>1471.2123543384673</v>
      </c>
      <c r="M67" s="397">
        <v>1469.3846809084662</v>
      </c>
      <c r="N67" s="397">
        <v>1333.9347188542824</v>
      </c>
      <c r="O67" s="397">
        <v>1374.4510765780219</v>
      </c>
      <c r="P67" s="81">
        <v>16279.782527999811</v>
      </c>
      <c r="Q67" s="81"/>
      <c r="R67" s="897"/>
      <c r="S67" s="81"/>
      <c r="Y67" s="896"/>
    </row>
    <row r="68" spans="1:25">
      <c r="A68" s="1177">
        <f t="shared" si="0"/>
        <v>57</v>
      </c>
      <c r="B68" s="706">
        <v>8640</v>
      </c>
      <c r="C68" s="81" t="s">
        <v>1341</v>
      </c>
      <c r="D68" s="397">
        <v>0</v>
      </c>
      <c r="E68" s="397">
        <v>0</v>
      </c>
      <c r="F68" s="397">
        <v>0</v>
      </c>
      <c r="G68" s="397">
        <v>0</v>
      </c>
      <c r="H68" s="397">
        <v>0</v>
      </c>
      <c r="I68" s="397">
        <v>0</v>
      </c>
      <c r="J68" s="397">
        <v>0</v>
      </c>
      <c r="K68" s="397">
        <v>0</v>
      </c>
      <c r="L68" s="397">
        <v>0</v>
      </c>
      <c r="M68" s="397">
        <v>0</v>
      </c>
      <c r="N68" s="397">
        <v>0</v>
      </c>
      <c r="O68" s="397">
        <v>0</v>
      </c>
      <c r="P68" s="81">
        <v>0</v>
      </c>
      <c r="Q68" s="81"/>
      <c r="R68" s="897"/>
      <c r="S68" s="81"/>
      <c r="Y68" s="896"/>
    </row>
    <row r="69" spans="1:25">
      <c r="A69" s="1177">
        <f t="shared" si="0"/>
        <v>58</v>
      </c>
      <c r="B69" s="706">
        <v>8650</v>
      </c>
      <c r="C69" s="81" t="s">
        <v>912</v>
      </c>
      <c r="D69" s="397">
        <v>0</v>
      </c>
      <c r="E69" s="397">
        <v>0</v>
      </c>
      <c r="F69" s="397">
        <v>0</v>
      </c>
      <c r="G69" s="397">
        <v>0</v>
      </c>
      <c r="H69" s="397">
        <v>0</v>
      </c>
      <c r="I69" s="397">
        <v>0</v>
      </c>
      <c r="J69" s="397">
        <v>0</v>
      </c>
      <c r="K69" s="397">
        <v>0</v>
      </c>
      <c r="L69" s="397">
        <v>0</v>
      </c>
      <c r="M69" s="397">
        <v>0</v>
      </c>
      <c r="N69" s="397">
        <v>0</v>
      </c>
      <c r="O69" s="397">
        <v>0</v>
      </c>
      <c r="P69" s="81">
        <v>0</v>
      </c>
      <c r="Q69" s="81"/>
      <c r="R69" s="897"/>
      <c r="S69" s="81"/>
      <c r="Y69" s="896"/>
    </row>
    <row r="70" spans="1:25">
      <c r="A70" s="1177">
        <f t="shared" si="0"/>
        <v>59</v>
      </c>
      <c r="B70" s="706">
        <v>8700</v>
      </c>
      <c r="C70" s="81" t="s">
        <v>913</v>
      </c>
      <c r="D70" s="397">
        <v>95362.664831322705</v>
      </c>
      <c r="E70" s="397">
        <v>82927.419859492045</v>
      </c>
      <c r="F70" s="397">
        <v>81808.727122496901</v>
      </c>
      <c r="G70" s="397">
        <v>87702.01702641265</v>
      </c>
      <c r="H70" s="397">
        <v>87419.454205177288</v>
      </c>
      <c r="I70" s="397">
        <v>86666.676812004764</v>
      </c>
      <c r="J70" s="397">
        <v>72470.83610548533</v>
      </c>
      <c r="K70" s="397">
        <v>75616.907289316514</v>
      </c>
      <c r="L70" s="397">
        <v>68885.833588217647</v>
      </c>
      <c r="M70" s="397">
        <v>81362.444686435338</v>
      </c>
      <c r="N70" s="397">
        <v>57660.624687492906</v>
      </c>
      <c r="O70" s="397">
        <v>85526.990095071276</v>
      </c>
      <c r="P70" s="81">
        <v>963410.59630892519</v>
      </c>
      <c r="Q70" s="81"/>
      <c r="R70" s="897"/>
      <c r="S70" s="81"/>
      <c r="Y70" s="896"/>
    </row>
    <row r="71" spans="1:25">
      <c r="A71" s="1177">
        <f t="shared" si="0"/>
        <v>60</v>
      </c>
      <c r="B71" s="706">
        <v>8710</v>
      </c>
      <c r="C71" s="81" t="s">
        <v>914</v>
      </c>
      <c r="D71" s="397">
        <v>56.498602451254364</v>
      </c>
      <c r="E71" s="397">
        <v>54.872718454529398</v>
      </c>
      <c r="F71" s="397">
        <v>53.960827074840132</v>
      </c>
      <c r="G71" s="397">
        <v>48.735408191791471</v>
      </c>
      <c r="H71" s="397">
        <v>54.32705279900204</v>
      </c>
      <c r="I71" s="397">
        <v>51.109063211106566</v>
      </c>
      <c r="J71" s="397">
        <v>52.204663911710924</v>
      </c>
      <c r="K71" s="397">
        <v>57.640726940921645</v>
      </c>
      <c r="L71" s="397">
        <v>57.682918555294485</v>
      </c>
      <c r="M71" s="397">
        <v>62.577271392825281</v>
      </c>
      <c r="N71" s="397">
        <v>54.900720627163764</v>
      </c>
      <c r="O71" s="397">
        <v>58.245222273037328</v>
      </c>
      <c r="P71" s="81">
        <v>662.75519588347731</v>
      </c>
      <c r="Q71" s="81"/>
      <c r="R71" s="897"/>
      <c r="S71" s="81"/>
      <c r="Y71" s="896"/>
    </row>
    <row r="72" spans="1:25">
      <c r="A72" s="1177">
        <f t="shared" si="0"/>
        <v>61</v>
      </c>
      <c r="B72" s="706">
        <v>8711</v>
      </c>
      <c r="C72" s="103" t="s">
        <v>189</v>
      </c>
      <c r="D72" s="397">
        <v>2138.5315555132674</v>
      </c>
      <c r="E72" s="397">
        <v>1517.3144743240869</v>
      </c>
      <c r="F72" s="397">
        <v>1486.7244031668261</v>
      </c>
      <c r="G72" s="397">
        <v>2006.6856696454702</v>
      </c>
      <c r="H72" s="397">
        <v>1818.1943907149855</v>
      </c>
      <c r="I72" s="397">
        <v>1333.7269246348826</v>
      </c>
      <c r="J72" s="397">
        <v>1529.6692283964467</v>
      </c>
      <c r="K72" s="397">
        <v>1594.009854733029</v>
      </c>
      <c r="L72" s="397">
        <v>1193.8701720082422</v>
      </c>
      <c r="M72" s="397">
        <v>1853.2003669668359</v>
      </c>
      <c r="N72" s="397">
        <v>1659.3400587280564</v>
      </c>
      <c r="O72" s="397">
        <v>1824.3769542168804</v>
      </c>
      <c r="P72" s="81">
        <v>19955.644053049011</v>
      </c>
      <c r="Q72" s="81"/>
      <c r="R72" s="897"/>
      <c r="S72" s="81"/>
      <c r="Y72" s="896"/>
    </row>
    <row r="73" spans="1:25">
      <c r="A73" s="1177">
        <f t="shared" si="0"/>
        <v>62</v>
      </c>
      <c r="B73" s="706">
        <v>8720</v>
      </c>
      <c r="C73" s="103" t="s">
        <v>1342</v>
      </c>
      <c r="D73" s="397">
        <v>0</v>
      </c>
      <c r="E73" s="397">
        <v>0</v>
      </c>
      <c r="F73" s="397">
        <v>0</v>
      </c>
      <c r="G73" s="397">
        <v>0</v>
      </c>
      <c r="H73" s="397">
        <v>0</v>
      </c>
      <c r="I73" s="397">
        <v>0</v>
      </c>
      <c r="J73" s="397">
        <v>0</v>
      </c>
      <c r="K73" s="397">
        <v>0</v>
      </c>
      <c r="L73" s="397">
        <v>0</v>
      </c>
      <c r="M73" s="397">
        <v>0</v>
      </c>
      <c r="N73" s="397">
        <v>0</v>
      </c>
      <c r="O73" s="397">
        <v>0</v>
      </c>
      <c r="P73" s="81">
        <v>0</v>
      </c>
      <c r="Q73" s="81"/>
      <c r="R73" s="897"/>
      <c r="S73" s="81"/>
      <c r="Y73" s="896"/>
    </row>
    <row r="74" spans="1:25">
      <c r="A74" s="1177">
        <f t="shared" si="0"/>
        <v>63</v>
      </c>
      <c r="B74" s="706">
        <v>8740</v>
      </c>
      <c r="C74" s="81" t="s">
        <v>915</v>
      </c>
      <c r="D74" s="397">
        <v>405493.91350684268</v>
      </c>
      <c r="E74" s="397">
        <v>363133.29580174095</v>
      </c>
      <c r="F74" s="397">
        <v>367662.84730316885</v>
      </c>
      <c r="G74" s="397">
        <v>384796.02005415817</v>
      </c>
      <c r="H74" s="397">
        <v>387858.9641813768</v>
      </c>
      <c r="I74" s="397">
        <v>354742.99998523906</v>
      </c>
      <c r="J74" s="397">
        <v>339766.00333990849</v>
      </c>
      <c r="K74" s="397">
        <v>343529.31180929585</v>
      </c>
      <c r="L74" s="397">
        <v>318226.62367830612</v>
      </c>
      <c r="M74" s="397">
        <v>355552.44993660448</v>
      </c>
      <c r="N74" s="397">
        <v>320082.34320901847</v>
      </c>
      <c r="O74" s="397">
        <v>379873.95676280337</v>
      </c>
      <c r="P74" s="81">
        <v>4320718.7295684638</v>
      </c>
      <c r="Q74" s="81"/>
      <c r="R74" s="897"/>
      <c r="S74" s="81"/>
      <c r="Y74" s="896"/>
    </row>
    <row r="75" spans="1:25">
      <c r="A75" s="1177">
        <f t="shared" si="0"/>
        <v>64</v>
      </c>
      <c r="B75" s="706">
        <v>8750</v>
      </c>
      <c r="C75" s="81" t="s">
        <v>916</v>
      </c>
      <c r="D75" s="397">
        <v>50709.104435721973</v>
      </c>
      <c r="E75" s="397">
        <v>47612.493497728501</v>
      </c>
      <c r="F75" s="397">
        <v>45168.462771338702</v>
      </c>
      <c r="G75" s="397">
        <v>49809.093716609459</v>
      </c>
      <c r="H75" s="397">
        <v>48525.304598772804</v>
      </c>
      <c r="I75" s="397">
        <v>44745.213021639443</v>
      </c>
      <c r="J75" s="397">
        <v>49053.669028923854</v>
      </c>
      <c r="K75" s="397">
        <v>48932.714265957518</v>
      </c>
      <c r="L75" s="397">
        <v>44962.288053381446</v>
      </c>
      <c r="M75" s="397">
        <v>51454.721812408323</v>
      </c>
      <c r="N75" s="397">
        <v>45285.861604719605</v>
      </c>
      <c r="O75" s="397">
        <v>48454.619259690429</v>
      </c>
      <c r="P75" s="81">
        <v>574713.5460668921</v>
      </c>
      <c r="Q75" s="81"/>
      <c r="R75" s="897"/>
      <c r="S75" s="81"/>
      <c r="Y75" s="896"/>
    </row>
    <row r="76" spans="1:25">
      <c r="A76" s="1177">
        <f t="shared" si="0"/>
        <v>65</v>
      </c>
      <c r="B76" s="706">
        <v>8760</v>
      </c>
      <c r="C76" s="81" t="s">
        <v>917</v>
      </c>
      <c r="D76" s="397">
        <v>9932.5598861333401</v>
      </c>
      <c r="E76" s="397">
        <v>10174.028530177808</v>
      </c>
      <c r="F76" s="397">
        <v>9199.6938109190232</v>
      </c>
      <c r="G76" s="397">
        <v>10184.310669729171</v>
      </c>
      <c r="H76" s="397">
        <v>9761.9435905906648</v>
      </c>
      <c r="I76" s="397">
        <v>9377.2321888095375</v>
      </c>
      <c r="J76" s="397">
        <v>10749.380004939472</v>
      </c>
      <c r="K76" s="397">
        <v>10538.612893297701</v>
      </c>
      <c r="L76" s="397">
        <v>10192.642688358166</v>
      </c>
      <c r="M76" s="397">
        <v>11171.249865042249</v>
      </c>
      <c r="N76" s="397">
        <v>9741.3443045012409</v>
      </c>
      <c r="O76" s="397">
        <v>9905.1830190837427</v>
      </c>
      <c r="P76" s="81">
        <v>120928.18145158212</v>
      </c>
      <c r="Q76" s="81"/>
      <c r="R76" s="897"/>
      <c r="S76" s="81"/>
      <c r="Y76" s="896"/>
    </row>
    <row r="77" spans="1:25">
      <c r="A77" s="1177">
        <f t="shared" si="0"/>
        <v>66</v>
      </c>
      <c r="B77" s="706">
        <v>8770</v>
      </c>
      <c r="C77" s="81" t="s">
        <v>918</v>
      </c>
      <c r="D77" s="397">
        <v>4039.58618615351</v>
      </c>
      <c r="E77" s="397">
        <v>3055.9259714424929</v>
      </c>
      <c r="F77" s="397">
        <v>3579.7737661378314</v>
      </c>
      <c r="G77" s="397">
        <v>3697.2038369797224</v>
      </c>
      <c r="H77" s="397">
        <v>3816.2739854644437</v>
      </c>
      <c r="I77" s="397">
        <v>3008.7329579261705</v>
      </c>
      <c r="J77" s="397">
        <v>2809.8196104786566</v>
      </c>
      <c r="K77" s="397">
        <v>2860.7212723795883</v>
      </c>
      <c r="L77" s="397">
        <v>2277.5577819320715</v>
      </c>
      <c r="M77" s="397">
        <v>2941.1608014947833</v>
      </c>
      <c r="N77" s="397">
        <v>2662.4599611011358</v>
      </c>
      <c r="O77" s="397">
        <v>3536.5339552211976</v>
      </c>
      <c r="P77" s="81">
        <v>38285.750086711603</v>
      </c>
      <c r="Q77" s="81"/>
      <c r="R77" s="897"/>
      <c r="S77" s="81"/>
      <c r="Y77" s="896"/>
    </row>
    <row r="78" spans="1:25">
      <c r="A78" s="1177">
        <f t="shared" si="0"/>
        <v>67</v>
      </c>
      <c r="B78" s="706">
        <v>8780</v>
      </c>
      <c r="C78" s="81" t="s">
        <v>919</v>
      </c>
      <c r="D78" s="397">
        <v>68453.698252631511</v>
      </c>
      <c r="E78" s="397">
        <v>68891.662741107066</v>
      </c>
      <c r="F78" s="397">
        <v>62686.628535286276</v>
      </c>
      <c r="G78" s="397">
        <v>68134.866551562576</v>
      </c>
      <c r="H78" s="397">
        <v>66435.569454820215</v>
      </c>
      <c r="I78" s="397">
        <v>64783.294933577141</v>
      </c>
      <c r="J78" s="397">
        <v>72240.76468660211</v>
      </c>
      <c r="K78" s="397">
        <v>71914.499521044549</v>
      </c>
      <c r="L78" s="397">
        <v>68585.223797505867</v>
      </c>
      <c r="M78" s="397">
        <v>75106.929945442374</v>
      </c>
      <c r="N78" s="397">
        <v>65783.995596914232</v>
      </c>
      <c r="O78" s="397">
        <v>67603.565167871173</v>
      </c>
      <c r="P78" s="81">
        <v>820620.69918436499</v>
      </c>
      <c r="Q78" s="81"/>
      <c r="R78" s="897"/>
      <c r="S78" s="81"/>
      <c r="Y78" s="896"/>
    </row>
    <row r="79" spans="1:25">
      <c r="A79" s="1177">
        <f t="shared" si="0"/>
        <v>68</v>
      </c>
      <c r="B79" s="706">
        <v>8790</v>
      </c>
      <c r="C79" s="81" t="s">
        <v>920</v>
      </c>
      <c r="D79" s="397">
        <v>240.72278379554564</v>
      </c>
      <c r="E79" s="397">
        <v>170.79577956702408</v>
      </c>
      <c r="F79" s="397">
        <v>167.35242280827273</v>
      </c>
      <c r="G79" s="397">
        <v>225.8816145847091</v>
      </c>
      <c r="H79" s="397">
        <v>204.66418374140375</v>
      </c>
      <c r="I79" s="397">
        <v>150.13033466514543</v>
      </c>
      <c r="J79" s="397">
        <v>172.18648656208362</v>
      </c>
      <c r="K79" s="397">
        <v>179.42895845498668</v>
      </c>
      <c r="L79" s="397">
        <v>134.38742606129762</v>
      </c>
      <c r="M79" s="397">
        <v>208.60461474935477</v>
      </c>
      <c r="N79" s="397">
        <v>186.78282168467345</v>
      </c>
      <c r="O79" s="397">
        <v>205.36012105097114</v>
      </c>
      <c r="P79" s="81">
        <v>2246.2975477254686</v>
      </c>
      <c r="Q79" s="81"/>
      <c r="R79" s="897"/>
      <c r="S79" s="81"/>
      <c r="Y79" s="896"/>
    </row>
    <row r="80" spans="1:25">
      <c r="A80" s="1177">
        <f t="shared" ref="A80:A111" si="1">A79+1</f>
        <v>69</v>
      </c>
      <c r="B80" s="706">
        <v>8800</v>
      </c>
      <c r="C80" s="81" t="s">
        <v>921</v>
      </c>
      <c r="D80" s="397">
        <v>325.48982378775128</v>
      </c>
      <c r="E80" s="397">
        <v>160.9145123217545</v>
      </c>
      <c r="F80" s="397">
        <v>322.94909119891361</v>
      </c>
      <c r="G80" s="397">
        <v>287.19076668936953</v>
      </c>
      <c r="H80" s="397">
        <v>227.89088152966008</v>
      </c>
      <c r="I80" s="397">
        <v>254.49499711105227</v>
      </c>
      <c r="J80" s="397">
        <v>203.4600573209118</v>
      </c>
      <c r="K80" s="397">
        <v>172.4930567824851</v>
      </c>
      <c r="L80" s="397">
        <v>379.66884247692934</v>
      </c>
      <c r="M80" s="397">
        <v>258.64088517215794</v>
      </c>
      <c r="N80" s="397">
        <v>236.71303491108273</v>
      </c>
      <c r="O80" s="397">
        <v>373.62434983512793</v>
      </c>
      <c r="P80" s="81">
        <v>3203.5302991371959</v>
      </c>
      <c r="Q80" s="81"/>
      <c r="R80" s="81"/>
      <c r="S80" s="81"/>
      <c r="Y80" s="896"/>
    </row>
    <row r="81" spans="1:25">
      <c r="A81" s="1177">
        <f t="shared" si="1"/>
        <v>70</v>
      </c>
      <c r="B81" s="706">
        <v>8810</v>
      </c>
      <c r="C81" s="81" t="s">
        <v>922</v>
      </c>
      <c r="D81" s="397">
        <v>31417.247383143338</v>
      </c>
      <c r="E81" s="397">
        <v>30348.488952938951</v>
      </c>
      <c r="F81" s="397">
        <v>30403.186567200759</v>
      </c>
      <c r="G81" s="397">
        <v>27253.044448482113</v>
      </c>
      <c r="H81" s="397">
        <v>30119.732721703032</v>
      </c>
      <c r="I81" s="397">
        <v>28504.335685575323</v>
      </c>
      <c r="J81" s="397">
        <v>29057.488305308038</v>
      </c>
      <c r="K81" s="397">
        <v>31809.136003741121</v>
      </c>
      <c r="L81" s="397">
        <v>32705.070598880568</v>
      </c>
      <c r="M81" s="397">
        <v>34779.000929762115</v>
      </c>
      <c r="N81" s="397">
        <v>30653.625959270012</v>
      </c>
      <c r="O81" s="397">
        <v>32717.625066194447</v>
      </c>
      <c r="P81" s="81">
        <v>369767.98262219987</v>
      </c>
      <c r="Q81" s="81"/>
      <c r="R81" s="81"/>
      <c r="S81" s="81"/>
      <c r="Y81" s="896"/>
    </row>
    <row r="82" spans="1:25">
      <c r="A82" s="1177">
        <f t="shared" si="1"/>
        <v>71</v>
      </c>
      <c r="B82" s="706">
        <v>8850</v>
      </c>
      <c r="C82" s="81" t="s">
        <v>923</v>
      </c>
      <c r="D82" s="397">
        <v>91.809005761366336</v>
      </c>
      <c r="E82" s="397">
        <v>38.313796409868353</v>
      </c>
      <c r="F82" s="397">
        <v>209.39576248637513</v>
      </c>
      <c r="G82" s="397">
        <v>144.35837900447743</v>
      </c>
      <c r="H82" s="397">
        <v>83.016275409155355</v>
      </c>
      <c r="I82" s="397">
        <v>122.06546797101014</v>
      </c>
      <c r="J82" s="397">
        <v>106.60156226182119</v>
      </c>
      <c r="K82" s="397">
        <v>56.714711945342145</v>
      </c>
      <c r="L82" s="397">
        <v>278.14672498149207</v>
      </c>
      <c r="M82" s="397">
        <v>92.041175930655982</v>
      </c>
      <c r="N82" s="397">
        <v>165.14961795776091</v>
      </c>
      <c r="O82" s="397">
        <v>200.40746021816156</v>
      </c>
      <c r="P82" s="81">
        <v>1588.0199403374866</v>
      </c>
      <c r="Q82" s="81"/>
      <c r="R82" s="81"/>
      <c r="S82" s="81"/>
      <c r="Y82" s="896"/>
    </row>
    <row r="83" spans="1:25">
      <c r="A83" s="1177">
        <f t="shared" si="1"/>
        <v>72</v>
      </c>
      <c r="B83" s="706">
        <v>8860</v>
      </c>
      <c r="C83" s="81" t="s">
        <v>924</v>
      </c>
      <c r="D83" s="397">
        <v>10.51970051761605</v>
      </c>
      <c r="E83" s="397">
        <v>7.4638570657436327</v>
      </c>
      <c r="F83" s="397">
        <v>7.3133807323187963</v>
      </c>
      <c r="G83" s="397">
        <v>9.8711343413380845</v>
      </c>
      <c r="H83" s="397">
        <v>8.9439224891588793</v>
      </c>
      <c r="I83" s="397">
        <v>6.5607672625960438</v>
      </c>
      <c r="J83" s="397">
        <v>7.5246316250317378</v>
      </c>
      <c r="K83" s="397">
        <v>7.8411311026437183</v>
      </c>
      <c r="L83" s="397">
        <v>5.8727946445602743</v>
      </c>
      <c r="M83" s="397">
        <v>9.1161212044627842</v>
      </c>
      <c r="N83" s="397">
        <v>8.1624984348257801</v>
      </c>
      <c r="O83" s="397">
        <v>8.974335281667555</v>
      </c>
      <c r="P83" s="81">
        <v>98.164274701963336</v>
      </c>
      <c r="Q83" s="81"/>
      <c r="R83" s="81"/>
      <c r="S83" s="81"/>
      <c r="Y83" s="896"/>
    </row>
    <row r="84" spans="1:25">
      <c r="A84" s="1177">
        <f t="shared" si="1"/>
        <v>73</v>
      </c>
      <c r="B84" s="706">
        <v>8870</v>
      </c>
      <c r="C84" s="81" t="s">
        <v>925</v>
      </c>
      <c r="D84" s="397">
        <v>2528.8387630086031</v>
      </c>
      <c r="E84" s="397">
        <v>2424.7777058425445</v>
      </c>
      <c r="F84" s="397">
        <v>2401.8107847534752</v>
      </c>
      <c r="G84" s="397">
        <v>2509.0202698271655</v>
      </c>
      <c r="H84" s="397">
        <v>2510.1647240013936</v>
      </c>
      <c r="I84" s="397">
        <v>2304.1495914262241</v>
      </c>
      <c r="J84" s="397">
        <v>2451.07150229329</v>
      </c>
      <c r="K84" s="397">
        <v>2406.4915830647096</v>
      </c>
      <c r="L84" s="397">
        <v>2237.582890117068</v>
      </c>
      <c r="M84" s="397">
        <v>2475.8745311587495</v>
      </c>
      <c r="N84" s="397">
        <v>2171.6002295944277</v>
      </c>
      <c r="O84" s="397">
        <v>2430.7185175268528</v>
      </c>
      <c r="P84" s="81">
        <v>28852.101092614503</v>
      </c>
      <c r="Q84" s="81"/>
      <c r="R84" s="153"/>
      <c r="S84" s="81"/>
      <c r="Y84" s="896"/>
    </row>
    <row r="85" spans="1:25">
      <c r="A85" s="1177">
        <f t="shared" si="1"/>
        <v>74</v>
      </c>
      <c r="B85" s="706">
        <v>8890</v>
      </c>
      <c r="C85" s="702" t="s">
        <v>926</v>
      </c>
      <c r="D85" s="397">
        <v>5625.9179879620015</v>
      </c>
      <c r="E85" s="397">
        <v>5457.6689069839194</v>
      </c>
      <c r="F85" s="397">
        <v>4991.5630905332828</v>
      </c>
      <c r="G85" s="397">
        <v>5593.6644483674327</v>
      </c>
      <c r="H85" s="397">
        <v>5397.8511047554057</v>
      </c>
      <c r="I85" s="397">
        <v>4992.0436985241413</v>
      </c>
      <c r="J85" s="397">
        <v>5666.9948840909965</v>
      </c>
      <c r="K85" s="397">
        <v>5665.6621402138844</v>
      </c>
      <c r="L85" s="397">
        <v>5308.9422485996483</v>
      </c>
      <c r="M85" s="397">
        <v>6083.610924889661</v>
      </c>
      <c r="N85" s="397">
        <v>5311.4378469290477</v>
      </c>
      <c r="O85" s="397">
        <v>5476.5097025062505</v>
      </c>
      <c r="P85" s="81">
        <v>65571.866984355671</v>
      </c>
      <c r="Q85" s="81"/>
      <c r="R85" s="81"/>
      <c r="S85" s="81"/>
      <c r="Y85" s="896"/>
    </row>
    <row r="86" spans="1:25">
      <c r="A86" s="1177">
        <f t="shared" si="1"/>
        <v>75</v>
      </c>
      <c r="B86" s="706">
        <v>8900</v>
      </c>
      <c r="C86" s="81" t="s">
        <v>927</v>
      </c>
      <c r="D86" s="397">
        <v>168.43859336191375</v>
      </c>
      <c r="E86" s="397">
        <v>136.51089824231244</v>
      </c>
      <c r="F86" s="397">
        <v>129.1847478630124</v>
      </c>
      <c r="G86" s="397">
        <v>162.59712378352361</v>
      </c>
      <c r="H86" s="397">
        <v>150.3314549857817</v>
      </c>
      <c r="I86" s="397">
        <v>122.13660342697477</v>
      </c>
      <c r="J86" s="397">
        <v>140.12944392798698</v>
      </c>
      <c r="K86" s="397">
        <v>142.5612521467956</v>
      </c>
      <c r="L86" s="397">
        <v>118.6731354829858</v>
      </c>
      <c r="M86" s="397">
        <v>159.82450306749433</v>
      </c>
      <c r="N86" s="397">
        <v>141.49406816701401</v>
      </c>
      <c r="O86" s="397">
        <v>151.16140975095274</v>
      </c>
      <c r="P86" s="81">
        <v>1723.0432342067479</v>
      </c>
      <c r="Q86" s="81"/>
      <c r="R86" s="81"/>
      <c r="S86" s="81"/>
      <c r="Y86" s="896"/>
    </row>
    <row r="87" spans="1:25">
      <c r="A87" s="1177">
        <f t="shared" si="1"/>
        <v>76</v>
      </c>
      <c r="B87" s="706">
        <v>8910</v>
      </c>
      <c r="C87" s="81" t="s">
        <v>928</v>
      </c>
      <c r="D87" s="397">
        <v>67.787670593269155</v>
      </c>
      <c r="E87" s="397">
        <v>65.83691634429546</v>
      </c>
      <c r="F87" s="397">
        <v>64.742818618311006</v>
      </c>
      <c r="G87" s="397">
        <v>58.473301168537567</v>
      </c>
      <c r="H87" s="397">
        <v>65.182220438447843</v>
      </c>
      <c r="I87" s="397">
        <v>61.321239658524398</v>
      </c>
      <c r="J87" s="397">
        <v>62.635753932720831</v>
      </c>
      <c r="K87" s="397">
        <v>69.158004642662135</v>
      </c>
      <c r="L87" s="397">
        <v>69.208626625026596</v>
      </c>
      <c r="M87" s="397">
        <v>75.080927239966911</v>
      </c>
      <c r="N87" s="397">
        <v>65.870513671876651</v>
      </c>
      <c r="O87" s="397">
        <v>69.883285068562586</v>
      </c>
      <c r="P87" s="81">
        <v>795.18127800220111</v>
      </c>
      <c r="Q87" s="81"/>
      <c r="R87" s="81"/>
      <c r="S87" s="81"/>
      <c r="Y87" s="896"/>
    </row>
    <row r="88" spans="1:25">
      <c r="A88" s="1177">
        <f t="shared" si="1"/>
        <v>77</v>
      </c>
      <c r="B88" s="706">
        <v>8920</v>
      </c>
      <c r="C88" s="81" t="s">
        <v>929</v>
      </c>
      <c r="D88" s="397">
        <v>536.5064941738882</v>
      </c>
      <c r="E88" s="397">
        <v>552.19025274869819</v>
      </c>
      <c r="F88" s="397">
        <v>494.90991399459926</v>
      </c>
      <c r="G88" s="397">
        <v>549.26654460093937</v>
      </c>
      <c r="H88" s="397">
        <v>528.01463122189625</v>
      </c>
      <c r="I88" s="397">
        <v>506.99750844813644</v>
      </c>
      <c r="J88" s="397">
        <v>581.98003239705145</v>
      </c>
      <c r="K88" s="397">
        <v>571.52758584275932</v>
      </c>
      <c r="L88" s="397">
        <v>548.10577258553008</v>
      </c>
      <c r="M88" s="397">
        <v>604.75585305191919</v>
      </c>
      <c r="N88" s="397">
        <v>525.23513104503434</v>
      </c>
      <c r="O88" s="397">
        <v>533.02620383166732</v>
      </c>
      <c r="P88" s="81">
        <v>6532.5159239421191</v>
      </c>
      <c r="Q88" s="81"/>
      <c r="R88" s="81"/>
      <c r="S88" s="81"/>
      <c r="Y88" s="896"/>
    </row>
    <row r="89" spans="1:25">
      <c r="A89" s="1177">
        <f t="shared" si="1"/>
        <v>78</v>
      </c>
      <c r="B89" s="706">
        <v>8930</v>
      </c>
      <c r="C89" s="81" t="s">
        <v>930</v>
      </c>
      <c r="D89" s="397">
        <v>0</v>
      </c>
      <c r="E89" s="397">
        <v>0</v>
      </c>
      <c r="F89" s="397">
        <v>0</v>
      </c>
      <c r="G89" s="397">
        <v>0</v>
      </c>
      <c r="H89" s="397">
        <v>0</v>
      </c>
      <c r="I89" s="397">
        <v>0</v>
      </c>
      <c r="J89" s="397">
        <v>0</v>
      </c>
      <c r="K89" s="397">
        <v>0</v>
      </c>
      <c r="L89" s="397">
        <v>0</v>
      </c>
      <c r="M89" s="397">
        <v>0</v>
      </c>
      <c r="N89" s="397">
        <v>0</v>
      </c>
      <c r="O89" s="397">
        <v>0</v>
      </c>
      <c r="P89" s="81">
        <v>0</v>
      </c>
      <c r="Q89" s="81"/>
      <c r="R89" s="81"/>
      <c r="S89" s="81"/>
      <c r="Y89" s="896"/>
    </row>
    <row r="90" spans="1:25">
      <c r="A90" s="1177">
        <f t="shared" si="1"/>
        <v>79</v>
      </c>
      <c r="B90" s="706">
        <v>8940</v>
      </c>
      <c r="C90" s="81" t="s">
        <v>931</v>
      </c>
      <c r="D90" s="397">
        <v>627.93268145907905</v>
      </c>
      <c r="E90" s="397">
        <v>446.53426664328902</v>
      </c>
      <c r="F90" s="397">
        <v>437.24166655118466</v>
      </c>
      <c r="G90" s="397">
        <v>590.0485575262901</v>
      </c>
      <c r="H90" s="397">
        <v>534.31122055344485</v>
      </c>
      <c r="I90" s="397">
        <v>392.88386392035517</v>
      </c>
      <c r="J90" s="397">
        <v>449.47611862145368</v>
      </c>
      <c r="K90" s="397">
        <v>468.26758060475908</v>
      </c>
      <c r="L90" s="397">
        <v>351.43612554071899</v>
      </c>
      <c r="M90" s="397">
        <v>544.54803945907895</v>
      </c>
      <c r="N90" s="397">
        <v>487.59362115175389</v>
      </c>
      <c r="O90" s="397">
        <v>535.92201480345989</v>
      </c>
      <c r="P90" s="81">
        <v>5866.1957568348671</v>
      </c>
      <c r="Q90" s="81"/>
      <c r="R90" s="81"/>
      <c r="S90" s="81"/>
      <c r="Y90" s="896"/>
    </row>
    <row r="91" spans="1:25">
      <c r="A91" s="1177">
        <f t="shared" si="1"/>
        <v>80</v>
      </c>
      <c r="B91" s="829">
        <v>9010</v>
      </c>
      <c r="C91" s="80" t="s">
        <v>181</v>
      </c>
      <c r="D91" s="397">
        <v>0</v>
      </c>
      <c r="E91" s="397">
        <v>0</v>
      </c>
      <c r="F91" s="397">
        <v>0</v>
      </c>
      <c r="G91" s="397">
        <v>0</v>
      </c>
      <c r="H91" s="397">
        <v>0</v>
      </c>
      <c r="I91" s="397">
        <v>0</v>
      </c>
      <c r="J91" s="397">
        <v>0</v>
      </c>
      <c r="K91" s="397">
        <v>0</v>
      </c>
      <c r="L91" s="397">
        <v>0</v>
      </c>
      <c r="M91" s="397">
        <v>0</v>
      </c>
      <c r="N91" s="397">
        <v>0</v>
      </c>
      <c r="O91" s="397">
        <v>0</v>
      </c>
      <c r="P91" s="81">
        <v>0</v>
      </c>
      <c r="Q91" s="81"/>
      <c r="R91" s="81"/>
      <c r="S91" s="81"/>
      <c r="Y91" s="896"/>
    </row>
    <row r="92" spans="1:25">
      <c r="A92" s="1177">
        <f t="shared" si="1"/>
        <v>81</v>
      </c>
      <c r="B92" s="706">
        <v>9020</v>
      </c>
      <c r="C92" s="81" t="s">
        <v>932</v>
      </c>
      <c r="D92" s="397">
        <v>101859.78509519991</v>
      </c>
      <c r="E92" s="397">
        <v>91690.377144539612</v>
      </c>
      <c r="F92" s="397">
        <v>100423.06798900189</v>
      </c>
      <c r="G92" s="397">
        <v>100349.535599981</v>
      </c>
      <c r="H92" s="397">
        <v>102527.29425071836</v>
      </c>
      <c r="I92" s="397">
        <v>91806.436020106325</v>
      </c>
      <c r="J92" s="397">
        <v>84755.203338700405</v>
      </c>
      <c r="K92" s="397">
        <v>83287.36758478827</v>
      </c>
      <c r="L92" s="397">
        <v>75580.466890275464</v>
      </c>
      <c r="M92" s="397">
        <v>83720.806079031201</v>
      </c>
      <c r="N92" s="397">
        <v>74772.96958736307</v>
      </c>
      <c r="O92" s="397">
        <v>94273.742139012145</v>
      </c>
      <c r="P92" s="81">
        <v>1085047.0517187177</v>
      </c>
      <c r="Q92" s="81"/>
      <c r="R92" s="81"/>
      <c r="S92" s="81"/>
      <c r="Y92" s="896"/>
    </row>
    <row r="93" spans="1:25">
      <c r="A93" s="1177">
        <f t="shared" si="1"/>
        <v>82</v>
      </c>
      <c r="B93" s="706">
        <v>9030</v>
      </c>
      <c r="C93" s="81" t="s">
        <v>937</v>
      </c>
      <c r="D93" s="397">
        <v>120600.1394719446</v>
      </c>
      <c r="E93" s="397">
        <v>101158.86803638944</v>
      </c>
      <c r="F93" s="397">
        <v>119240.77716597277</v>
      </c>
      <c r="G93" s="397">
        <v>113238.38009706803</v>
      </c>
      <c r="H93" s="397">
        <v>120905.0446199939</v>
      </c>
      <c r="I93" s="397">
        <v>102644.3210688199</v>
      </c>
      <c r="J93" s="397">
        <v>93659.604197432709</v>
      </c>
      <c r="K93" s="397">
        <v>92058.885239787283</v>
      </c>
      <c r="L93" s="397">
        <v>79267.756718906196</v>
      </c>
      <c r="M93" s="397">
        <v>88775.480957141117</v>
      </c>
      <c r="N93" s="397">
        <v>79887.838424148766</v>
      </c>
      <c r="O93" s="397">
        <v>109365.28232193019</v>
      </c>
      <c r="P93" s="81">
        <v>1220802.3783195349</v>
      </c>
      <c r="Q93" s="81"/>
      <c r="R93" s="81"/>
      <c r="S93" s="81"/>
      <c r="Y93" s="896"/>
    </row>
    <row r="94" spans="1:25">
      <c r="A94" s="1177">
        <f t="shared" si="1"/>
        <v>83</v>
      </c>
      <c r="B94" s="706">
        <v>9040</v>
      </c>
      <c r="C94" s="81" t="s">
        <v>938</v>
      </c>
      <c r="D94" s="96">
        <v>22446.144671567305</v>
      </c>
      <c r="E94" s="96">
        <v>10897.304399513381</v>
      </c>
      <c r="F94" s="96">
        <v>20881.730796149128</v>
      </c>
      <c r="G94" s="96">
        <v>20241.315176979591</v>
      </c>
      <c r="H94" s="96">
        <v>20816.930032673255</v>
      </c>
      <c r="I94" s="96">
        <v>20056.097031136065</v>
      </c>
      <c r="J94" s="96">
        <v>28171.769013900826</v>
      </c>
      <c r="K94" s="96">
        <v>39072.93150881098</v>
      </c>
      <c r="L94" s="96">
        <v>52614.781445328168</v>
      </c>
      <c r="M94" s="96">
        <v>41448.822759268696</v>
      </c>
      <c r="N94" s="96">
        <v>20234.089506611788</v>
      </c>
      <c r="O94" s="96">
        <v>44168.570429893996</v>
      </c>
      <c r="P94" s="81">
        <v>341050.48677183327</v>
      </c>
      <c r="Q94" s="81"/>
      <c r="R94" s="81"/>
      <c r="S94" s="81"/>
      <c r="Y94" s="896"/>
    </row>
    <row r="95" spans="1:25">
      <c r="A95" s="1177">
        <f t="shared" si="1"/>
        <v>84</v>
      </c>
      <c r="B95" s="706">
        <v>9090</v>
      </c>
      <c r="C95" s="81" t="s">
        <v>939</v>
      </c>
      <c r="D95" s="397">
        <v>11052.016017664386</v>
      </c>
      <c r="E95" s="397">
        <v>10664.148717079641</v>
      </c>
      <c r="F95" s="397">
        <v>9743.7281625809137</v>
      </c>
      <c r="G95" s="397">
        <v>10252.038011112754</v>
      </c>
      <c r="H95" s="397">
        <v>10267.8330438024</v>
      </c>
      <c r="I95" s="397">
        <v>10558.422302570356</v>
      </c>
      <c r="J95" s="397">
        <v>11078.006373192482</v>
      </c>
      <c r="K95" s="397">
        <v>11384.008483182321</v>
      </c>
      <c r="L95" s="397">
        <v>10700.555109925566</v>
      </c>
      <c r="M95" s="397">
        <v>11583.989546511093</v>
      </c>
      <c r="N95" s="397">
        <v>10284.814593716295</v>
      </c>
      <c r="O95" s="397">
        <v>10702.086818566921</v>
      </c>
      <c r="P95" s="81">
        <v>128271.64717990512</v>
      </c>
      <c r="Q95" s="81"/>
      <c r="R95" s="153"/>
      <c r="S95" s="81"/>
      <c r="Y95" s="896"/>
    </row>
    <row r="96" spans="1:25">
      <c r="A96" s="1177">
        <f t="shared" si="1"/>
        <v>85</v>
      </c>
      <c r="B96" s="706">
        <v>9100</v>
      </c>
      <c r="C96" s="210" t="s">
        <v>940</v>
      </c>
      <c r="D96" s="397">
        <v>0</v>
      </c>
      <c r="E96" s="397">
        <v>0</v>
      </c>
      <c r="F96" s="397">
        <v>0</v>
      </c>
      <c r="G96" s="397">
        <v>0</v>
      </c>
      <c r="H96" s="397">
        <v>0</v>
      </c>
      <c r="I96" s="397">
        <v>0</v>
      </c>
      <c r="J96" s="397">
        <v>0</v>
      </c>
      <c r="K96" s="397">
        <v>0</v>
      </c>
      <c r="L96" s="397">
        <v>0</v>
      </c>
      <c r="M96" s="397">
        <v>0</v>
      </c>
      <c r="N96" s="397">
        <v>0</v>
      </c>
      <c r="O96" s="397">
        <v>0</v>
      </c>
      <c r="P96" s="81">
        <v>0</v>
      </c>
      <c r="Q96" s="81"/>
      <c r="R96" s="153"/>
      <c r="S96" s="81"/>
      <c r="Y96" s="896"/>
    </row>
    <row r="97" spans="1:25">
      <c r="A97" s="1177">
        <f t="shared" si="1"/>
        <v>86</v>
      </c>
      <c r="B97" s="706">
        <v>9110</v>
      </c>
      <c r="C97" s="81" t="s">
        <v>941</v>
      </c>
      <c r="D97" s="397">
        <v>22226.641995740141</v>
      </c>
      <c r="E97" s="397">
        <v>20874.140705008635</v>
      </c>
      <c r="F97" s="397">
        <v>19322.081171672951</v>
      </c>
      <c r="G97" s="397">
        <v>19908.703436700289</v>
      </c>
      <c r="H97" s="397">
        <v>20207.949243528958</v>
      </c>
      <c r="I97" s="397">
        <v>21279.059187564515</v>
      </c>
      <c r="J97" s="397">
        <v>21599.418925239894</v>
      </c>
      <c r="K97" s="397">
        <v>22552.214663542552</v>
      </c>
      <c r="L97" s="397">
        <v>21145.598173492974</v>
      </c>
      <c r="M97" s="397">
        <v>22648.7971082527</v>
      </c>
      <c r="N97" s="397">
        <v>20329.000470720599</v>
      </c>
      <c r="O97" s="397">
        <v>21373.9190132119</v>
      </c>
      <c r="P97" s="81">
        <v>253467.52409467613</v>
      </c>
      <c r="Q97" s="81"/>
      <c r="R97" s="153"/>
      <c r="S97" s="81"/>
      <c r="Y97" s="896"/>
    </row>
    <row r="98" spans="1:25">
      <c r="A98" s="1177">
        <f t="shared" si="1"/>
        <v>87</v>
      </c>
      <c r="B98" s="706">
        <v>9120</v>
      </c>
      <c r="C98" s="81" t="s">
        <v>942</v>
      </c>
      <c r="D98" s="397">
        <v>7941.2110120172902</v>
      </c>
      <c r="E98" s="397">
        <v>6528.9205242625667</v>
      </c>
      <c r="F98" s="397">
        <v>6575.1248555887514</v>
      </c>
      <c r="G98" s="397">
        <v>8469.7385143690008</v>
      </c>
      <c r="H98" s="397">
        <v>12396.292655319152</v>
      </c>
      <c r="I98" s="397">
        <v>8211.1315166293243</v>
      </c>
      <c r="J98" s="397">
        <v>9828.3327678697533</v>
      </c>
      <c r="K98" s="397">
        <v>17667.391076124215</v>
      </c>
      <c r="L98" s="397">
        <v>6972.8745914273049</v>
      </c>
      <c r="M98" s="397">
        <v>10652.900814263137</v>
      </c>
      <c r="N98" s="397">
        <v>10029.964663511593</v>
      </c>
      <c r="O98" s="397">
        <v>10663.375484900555</v>
      </c>
      <c r="P98" s="81">
        <v>115937.25847628263</v>
      </c>
      <c r="Q98" s="81"/>
      <c r="R98" s="153"/>
      <c r="S98" s="81"/>
      <c r="Y98" s="896"/>
    </row>
    <row r="99" spans="1:25">
      <c r="A99" s="1177">
        <f t="shared" si="1"/>
        <v>88</v>
      </c>
      <c r="B99" s="706">
        <v>9130</v>
      </c>
      <c r="C99" s="81" t="s">
        <v>943</v>
      </c>
      <c r="D99" s="397">
        <v>2260.9419507947459</v>
      </c>
      <c r="E99" s="397">
        <v>2033.97895389003</v>
      </c>
      <c r="F99" s="397">
        <v>1925.9205788816989</v>
      </c>
      <c r="G99" s="397">
        <v>2650.323132471035</v>
      </c>
      <c r="H99" s="397">
        <v>3937.7845772201345</v>
      </c>
      <c r="I99" s="397">
        <v>2582.7292483930714</v>
      </c>
      <c r="J99" s="397">
        <v>2786.2639846615257</v>
      </c>
      <c r="K99" s="397">
        <v>5444.1087735265628</v>
      </c>
      <c r="L99" s="397">
        <v>2060.0705605021894</v>
      </c>
      <c r="M99" s="397">
        <v>3034.1388394528612</v>
      </c>
      <c r="N99" s="397">
        <v>3127.1998214313944</v>
      </c>
      <c r="O99" s="397">
        <v>3326.8864819622586</v>
      </c>
      <c r="P99" s="81">
        <v>35170.346903187507</v>
      </c>
      <c r="Q99" s="81"/>
      <c r="R99" s="153"/>
      <c r="S99" s="81"/>
      <c r="Y99" s="896"/>
    </row>
    <row r="100" spans="1:25">
      <c r="A100" s="1177">
        <f t="shared" si="1"/>
        <v>89</v>
      </c>
      <c r="B100" s="706">
        <v>9200</v>
      </c>
      <c r="C100" s="103" t="s">
        <v>1306</v>
      </c>
      <c r="D100" s="397">
        <v>10495.99645685502</v>
      </c>
      <c r="E100" s="397">
        <v>10874.844475303278</v>
      </c>
      <c r="F100" s="397">
        <v>9733.40811945102</v>
      </c>
      <c r="G100" s="397">
        <v>10764.873468270023</v>
      </c>
      <c r="H100" s="397">
        <v>10360.04076789287</v>
      </c>
      <c r="I100" s="397">
        <v>9991.0750330254195</v>
      </c>
      <c r="J100" s="397">
        <v>11468.845523308475</v>
      </c>
      <c r="K100" s="397">
        <v>11253.192681862054</v>
      </c>
      <c r="L100" s="397">
        <v>10827.290743269277</v>
      </c>
      <c r="M100" s="397">
        <v>11889.907449489072</v>
      </c>
      <c r="N100" s="397">
        <v>10321.228840533104</v>
      </c>
      <c r="O100" s="397">
        <v>10459.538037677838</v>
      </c>
      <c r="P100" s="81">
        <v>128440.24159693743</v>
      </c>
      <c r="Q100" s="81"/>
      <c r="R100" s="153"/>
      <c r="S100" s="81"/>
      <c r="Y100" s="896"/>
    </row>
    <row r="101" spans="1:25">
      <c r="A101" s="1177">
        <f t="shared" si="1"/>
        <v>90</v>
      </c>
      <c r="B101" s="706">
        <v>9210</v>
      </c>
      <c r="C101" s="81" t="s">
        <v>944</v>
      </c>
      <c r="D101" s="397">
        <v>1622.1108938094217</v>
      </c>
      <c r="E101" s="397">
        <v>1262.2694986401309</v>
      </c>
      <c r="F101" s="397">
        <v>1289.8107532380222</v>
      </c>
      <c r="G101" s="397">
        <v>1210.663115080057</v>
      </c>
      <c r="H101" s="397">
        <v>1509.0468052231272</v>
      </c>
      <c r="I101" s="397">
        <v>1612.2599910633589</v>
      </c>
      <c r="J101" s="397">
        <v>1353.0439578959063</v>
      </c>
      <c r="K101" s="397">
        <v>1810.3147078657089</v>
      </c>
      <c r="L101" s="397">
        <v>1455.547228047757</v>
      </c>
      <c r="M101" s="397">
        <v>1416.7375389740018</v>
      </c>
      <c r="N101" s="397">
        <v>1479.5838119037444</v>
      </c>
      <c r="O101" s="397">
        <v>1594.114425751643</v>
      </c>
      <c r="P101" s="81">
        <v>17615.50272749288</v>
      </c>
      <c r="Q101" s="81"/>
      <c r="R101" s="153"/>
      <c r="S101" s="81"/>
      <c r="Y101" s="896"/>
    </row>
    <row r="102" spans="1:25">
      <c r="A102" s="1177">
        <f t="shared" si="1"/>
        <v>91</v>
      </c>
      <c r="B102" s="706">
        <v>9220</v>
      </c>
      <c r="C102" s="81" t="s">
        <v>945</v>
      </c>
      <c r="D102" s="96">
        <v>1200011.5301120463</v>
      </c>
      <c r="E102" s="96">
        <v>1410253.2645451846</v>
      </c>
      <c r="F102" s="96">
        <v>1126526.7414845759</v>
      </c>
      <c r="G102" s="96">
        <v>1355807.8697768361</v>
      </c>
      <c r="H102" s="96">
        <v>1074750.5181910533</v>
      </c>
      <c r="I102" s="96">
        <v>1114811.8593864108</v>
      </c>
      <c r="J102" s="96">
        <v>1150349.2560369882</v>
      </c>
      <c r="K102" s="96">
        <v>1177100.9850388966</v>
      </c>
      <c r="L102" s="96">
        <v>1160595.8205116659</v>
      </c>
      <c r="M102" s="96">
        <v>1258872.5589267863</v>
      </c>
      <c r="N102" s="96">
        <v>1168001.163356307</v>
      </c>
      <c r="O102" s="96">
        <v>1301682.621618873</v>
      </c>
      <c r="P102" s="81">
        <v>14498764.188985625</v>
      </c>
      <c r="Q102" s="670"/>
      <c r="R102" s="153"/>
      <c r="S102" s="81"/>
      <c r="Y102" s="896"/>
    </row>
    <row r="103" spans="1:25">
      <c r="A103" s="1177">
        <f t="shared" si="1"/>
        <v>92</v>
      </c>
      <c r="B103" s="706">
        <v>9230</v>
      </c>
      <c r="C103" s="81" t="s">
        <v>946</v>
      </c>
      <c r="D103" s="397">
        <v>36621.493900856345</v>
      </c>
      <c r="E103" s="397">
        <v>27876.109478638467</v>
      </c>
      <c r="F103" s="397">
        <v>37172.17396502231</v>
      </c>
      <c r="G103" s="397">
        <v>33168.178831622856</v>
      </c>
      <c r="H103" s="397">
        <v>37018.925037827052</v>
      </c>
      <c r="I103" s="397">
        <v>29689.538922027255</v>
      </c>
      <c r="J103" s="397">
        <v>23807.814955074704</v>
      </c>
      <c r="K103" s="397">
        <v>23387.523992428542</v>
      </c>
      <c r="L103" s="397">
        <v>18508.708988949806</v>
      </c>
      <c r="M103" s="397">
        <v>21093.650444435956</v>
      </c>
      <c r="N103" s="397">
        <v>19475.764776741209</v>
      </c>
      <c r="O103" s="397">
        <v>31876.957570230814</v>
      </c>
      <c r="P103" s="81">
        <v>339696.84086385532</v>
      </c>
      <c r="Q103" s="81"/>
      <c r="R103" s="153"/>
      <c r="S103" s="81"/>
      <c r="Y103" s="896"/>
    </row>
    <row r="104" spans="1:25">
      <c r="A104" s="1177">
        <f t="shared" si="1"/>
        <v>93</v>
      </c>
      <c r="B104" s="706">
        <v>9240</v>
      </c>
      <c r="C104" s="81" t="s">
        <v>947</v>
      </c>
      <c r="D104" s="397">
        <v>147.03313745777109</v>
      </c>
      <c r="E104" s="397">
        <v>0</v>
      </c>
      <c r="F104" s="397">
        <v>0</v>
      </c>
      <c r="G104" s="397">
        <v>0</v>
      </c>
      <c r="H104" s="397">
        <v>968.19933910871873</v>
      </c>
      <c r="I104" s="397">
        <v>0</v>
      </c>
      <c r="J104" s="397">
        <v>126.68892975921156</v>
      </c>
      <c r="K104" s="397">
        <v>0</v>
      </c>
      <c r="L104" s="397">
        <v>2476.444918942836</v>
      </c>
      <c r="M104" s="397">
        <v>0</v>
      </c>
      <c r="N104" s="397">
        <v>0</v>
      </c>
      <c r="O104" s="397">
        <v>0</v>
      </c>
      <c r="P104" s="81">
        <v>3718.3663252685374</v>
      </c>
      <c r="Q104" s="81"/>
      <c r="R104" s="153"/>
      <c r="S104" s="81"/>
      <c r="Y104" s="896"/>
    </row>
    <row r="105" spans="1:25">
      <c r="A105" s="1177">
        <f t="shared" si="1"/>
        <v>94</v>
      </c>
      <c r="B105" s="706">
        <v>9250</v>
      </c>
      <c r="C105" s="81" t="s">
        <v>948</v>
      </c>
      <c r="D105" s="397">
        <v>7588.9297907719947</v>
      </c>
      <c r="E105" s="397">
        <v>5960.6171929656284</v>
      </c>
      <c r="F105" s="397">
        <v>7748.6647722328926</v>
      </c>
      <c r="G105" s="397">
        <v>6930.1521337933791</v>
      </c>
      <c r="H105" s="397">
        <v>7850.2891542125553</v>
      </c>
      <c r="I105" s="397">
        <v>6361.8282209824947</v>
      </c>
      <c r="J105" s="397">
        <v>5379.7349987209454</v>
      </c>
      <c r="K105" s="397">
        <v>5618.4472624900245</v>
      </c>
      <c r="L105" s="397">
        <v>4333.3296955949236</v>
      </c>
      <c r="M105" s="397">
        <v>4930.0294875630989</v>
      </c>
      <c r="N105" s="397">
        <v>4514.7158433292407</v>
      </c>
      <c r="O105" s="397">
        <v>6793.7186889724762</v>
      </c>
      <c r="P105" s="81">
        <v>74010.457241629658</v>
      </c>
      <c r="Q105" s="81"/>
      <c r="R105" s="153"/>
      <c r="S105" s="81"/>
      <c r="Y105" s="896"/>
    </row>
    <row r="106" spans="1:25">
      <c r="A106" s="1177">
        <f t="shared" si="1"/>
        <v>95</v>
      </c>
      <c r="B106" s="706">
        <v>9260</v>
      </c>
      <c r="C106" s="81" t="s">
        <v>949</v>
      </c>
      <c r="D106" s="397">
        <v>153584.72863040134</v>
      </c>
      <c r="E106" s="397">
        <v>160208.48834016835</v>
      </c>
      <c r="F106" s="397">
        <v>144233.03359378109</v>
      </c>
      <c r="G106" s="397">
        <v>156545.95432717403</v>
      </c>
      <c r="H106" s="397">
        <v>151617.92255381163</v>
      </c>
      <c r="I106" s="397">
        <v>147825.0214022877</v>
      </c>
      <c r="J106" s="397">
        <v>151847.84280729818</v>
      </c>
      <c r="K106" s="397">
        <v>150003.77802668931</v>
      </c>
      <c r="L106" s="397">
        <v>144873.6122520956</v>
      </c>
      <c r="M106" s="397">
        <v>157963.572382774</v>
      </c>
      <c r="N106" s="397">
        <v>136688.40963723435</v>
      </c>
      <c r="O106" s="397">
        <v>135888.81683686195</v>
      </c>
      <c r="P106" s="81">
        <v>1791281.1807905775</v>
      </c>
      <c r="Q106" s="81"/>
      <c r="R106" s="153"/>
      <c r="S106" s="81"/>
      <c r="Y106" s="896"/>
    </row>
    <row r="107" spans="1:25">
      <c r="A107" s="1177">
        <f t="shared" si="1"/>
        <v>96</v>
      </c>
      <c r="B107" s="706">
        <v>9270</v>
      </c>
      <c r="C107" s="81" t="s">
        <v>950</v>
      </c>
      <c r="D107" s="397">
        <v>41.555271571279107</v>
      </c>
      <c r="E107" s="397">
        <v>37.383776159956597</v>
      </c>
      <c r="F107" s="397">
        <v>35.397703444801799</v>
      </c>
      <c r="G107" s="397">
        <v>48.711952769403652</v>
      </c>
      <c r="H107" s="397">
        <v>72.375014952532254</v>
      </c>
      <c r="I107" s="397">
        <v>47.469602337350324</v>
      </c>
      <c r="J107" s="397">
        <v>51.210495037780447</v>
      </c>
      <c r="K107" s="397">
        <v>100.06069305227264</v>
      </c>
      <c r="L107" s="397">
        <v>37.863330178633703</v>
      </c>
      <c r="M107" s="397">
        <v>55.766342614019443</v>
      </c>
      <c r="N107" s="397">
        <v>57.476768827062422</v>
      </c>
      <c r="O107" s="397">
        <v>61.146935327624284</v>
      </c>
      <c r="P107" s="81">
        <v>646.41788627271671</v>
      </c>
      <c r="Q107" s="81"/>
      <c r="R107" s="153"/>
      <c r="S107" s="81"/>
      <c r="Y107" s="896"/>
    </row>
    <row r="108" spans="1:25">
      <c r="A108" s="1177">
        <f t="shared" si="1"/>
        <v>97</v>
      </c>
      <c r="B108" s="706">
        <v>9280</v>
      </c>
      <c r="C108" s="81" t="s">
        <v>951</v>
      </c>
      <c r="D108" s="397">
        <v>57069.915861025533</v>
      </c>
      <c r="E108" s="397">
        <v>55063.874278121664</v>
      </c>
      <c r="F108" s="397">
        <v>54778.87593226727</v>
      </c>
      <c r="G108" s="397">
        <v>55372.095229208346</v>
      </c>
      <c r="H108" s="397">
        <v>54701.37542373906</v>
      </c>
      <c r="I108" s="397">
        <v>54257.696484614949</v>
      </c>
      <c r="J108" s="397">
        <v>54210.260063492547</v>
      </c>
      <c r="K108" s="397">
        <v>56040.102290235074</v>
      </c>
      <c r="L108" s="397">
        <v>52179.31832828898</v>
      </c>
      <c r="M108" s="397">
        <v>55262.022310455795</v>
      </c>
      <c r="N108" s="397">
        <v>69770.378177371196</v>
      </c>
      <c r="O108" s="397">
        <v>53288.026979286478</v>
      </c>
      <c r="P108" s="81">
        <v>671993.94135810703</v>
      </c>
      <c r="Q108" s="81"/>
      <c r="R108" s="153"/>
      <c r="S108" s="81"/>
      <c r="Y108" s="896"/>
    </row>
    <row r="109" spans="1:25">
      <c r="A109" s="1177">
        <f t="shared" si="1"/>
        <v>98</v>
      </c>
      <c r="B109" s="706">
        <v>9302</v>
      </c>
      <c r="C109" s="81" t="s">
        <v>857</v>
      </c>
      <c r="D109" s="397">
        <v>8306.6053891686279</v>
      </c>
      <c r="E109" s="397">
        <v>1083.3367879544439</v>
      </c>
      <c r="F109" s="397">
        <v>2344.0681136748958</v>
      </c>
      <c r="G109" s="397">
        <v>-494.00988001737431</v>
      </c>
      <c r="H109" s="397">
        <v>-4.5491377878158801</v>
      </c>
      <c r="I109" s="397">
        <v>-633.06967350841796</v>
      </c>
      <c r="J109" s="397">
        <v>11122.560093088243</v>
      </c>
      <c r="K109" s="397">
        <v>7550.7980645098341</v>
      </c>
      <c r="L109" s="397">
        <v>913.21355825836713</v>
      </c>
      <c r="M109" s="397">
        <v>12042.876288747966</v>
      </c>
      <c r="N109" s="397">
        <v>-146.15228579140671</v>
      </c>
      <c r="O109" s="397">
        <v>-328.25965705839042</v>
      </c>
      <c r="P109" s="81">
        <v>41757.417661238971</v>
      </c>
      <c r="Q109" s="81"/>
      <c r="R109" s="74"/>
      <c r="S109" s="81"/>
      <c r="Y109" s="896"/>
    </row>
    <row r="110" spans="1:25">
      <c r="A110" s="1177">
        <f t="shared" si="1"/>
        <v>99</v>
      </c>
      <c r="B110" s="706">
        <v>9310</v>
      </c>
      <c r="C110" s="103" t="s">
        <v>184</v>
      </c>
      <c r="D110" s="397">
        <v>946.2698827055633</v>
      </c>
      <c r="E110" s="397">
        <v>919.03867711598809</v>
      </c>
      <c r="F110" s="397">
        <v>903.76581528470194</v>
      </c>
      <c r="G110" s="397">
        <v>816.24760600127718</v>
      </c>
      <c r="H110" s="397">
        <v>909.89956652829142</v>
      </c>
      <c r="I110" s="397">
        <v>856.00289479180367</v>
      </c>
      <c r="J110" s="397">
        <v>874.3526220677569</v>
      </c>
      <c r="K110" s="397">
        <v>965.39881616555567</v>
      </c>
      <c r="L110" s="397">
        <v>966.10546468873281</v>
      </c>
      <c r="M110" s="397">
        <v>1048.0787964978824</v>
      </c>
      <c r="N110" s="397">
        <v>919.50767301083488</v>
      </c>
      <c r="O110" s="397">
        <v>975.52323875655145</v>
      </c>
      <c r="P110" s="81">
        <v>11100.191053614941</v>
      </c>
      <c r="Q110" s="81"/>
      <c r="R110" s="74"/>
      <c r="S110" s="81"/>
      <c r="Y110" s="896"/>
    </row>
    <row r="111" spans="1:25">
      <c r="A111" s="1177">
        <f t="shared" si="1"/>
        <v>100</v>
      </c>
      <c r="B111" s="829">
        <v>9320</v>
      </c>
      <c r="C111" s="80" t="s">
        <v>185</v>
      </c>
      <c r="D111" s="397">
        <v>2048.6740041517201</v>
      </c>
      <c r="E111" s="397">
        <v>448.38463996173198</v>
      </c>
      <c r="F111" s="397">
        <v>731.73928352919199</v>
      </c>
      <c r="G111" s="397">
        <v>107.27946323576926</v>
      </c>
      <c r="H111" s="397">
        <v>209.14429494733034</v>
      </c>
      <c r="I111" s="397">
        <v>70.655958601170838</v>
      </c>
      <c r="J111" s="397">
        <v>2658.4844225913034</v>
      </c>
      <c r="K111" s="397">
        <v>1876.5518370186846</v>
      </c>
      <c r="L111" s="397">
        <v>410.21647050581043</v>
      </c>
      <c r="M111" s="397">
        <v>2864.6058250926035</v>
      </c>
      <c r="N111" s="397">
        <v>240.20368436533442</v>
      </c>
      <c r="O111" s="397">
        <v>137.85718297830701</v>
      </c>
      <c r="P111" s="81">
        <v>11803.797066978957</v>
      </c>
      <c r="Q111" s="81"/>
      <c r="R111" s="81"/>
      <c r="S111" s="81"/>
      <c r="Y111" s="896"/>
    </row>
    <row r="112" spans="1:25" ht="15.75" thickBot="1">
      <c r="A112" s="850">
        <f t="shared" ref="A112" si="2">A111+1</f>
        <v>101</v>
      </c>
      <c r="B112" s="81"/>
      <c r="C112" s="81" t="s">
        <v>734</v>
      </c>
      <c r="D112" s="898">
        <v>-2905555.9882473256</v>
      </c>
      <c r="E112" s="898">
        <v>-1139903.8079601752</v>
      </c>
      <c r="F112" s="898">
        <v>-756577.29161315935</v>
      </c>
      <c r="G112" s="898">
        <v>-212585.98525824214</v>
      </c>
      <c r="H112" s="898">
        <v>-604881.36317098956</v>
      </c>
      <c r="I112" s="898">
        <v>-594700.94721257431</v>
      </c>
      <c r="J112" s="898">
        <v>-1242115.8192134628</v>
      </c>
      <c r="K112" s="898">
        <v>-2751555.681862216</v>
      </c>
      <c r="L112" s="898">
        <v>-4828942.4286239278</v>
      </c>
      <c r="M112" s="898">
        <v>-6157567.5733098704</v>
      </c>
      <c r="N112" s="898">
        <v>-6131315.9102448085</v>
      </c>
      <c r="O112" s="898">
        <v>-4380742.7766285706</v>
      </c>
      <c r="P112" s="898">
        <v>-25669144.009470265</v>
      </c>
      <c r="Q112" s="899"/>
      <c r="R112" s="81"/>
      <c r="S112" s="81"/>
      <c r="Y112" s="896"/>
    </row>
    <row r="113" spans="1:19" ht="15.75" thickTop="1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</row>
    <row r="114" spans="1:19">
      <c r="A114" s="81"/>
      <c r="B114" s="81"/>
      <c r="C114" s="81" t="s">
        <v>197</v>
      </c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</row>
    <row r="115" spans="1:19">
      <c r="A115" s="81"/>
      <c r="B115" s="81"/>
      <c r="C115" s="216" t="s">
        <v>1215</v>
      </c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</row>
    <row r="116" spans="1:19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103"/>
      <c r="Q116" s="81">
        <f>SUM(P30:P111)</f>
        <v>107397487.35044111</v>
      </c>
      <c r="R116" s="81"/>
      <c r="S116" s="81"/>
    </row>
    <row r="117" spans="1:19">
      <c r="A117" s="81"/>
      <c r="B117" s="81"/>
      <c r="C117" s="81"/>
      <c r="D117" s="80">
        <f>SUM(D47:D111)+D31+D30</f>
        <v>2530743.7414836134</v>
      </c>
      <c r="E117" s="80">
        <f t="shared" ref="E117:P117" si="3">SUM(E47:E111)+E31+E30</f>
        <v>2609607.9267446976</v>
      </c>
      <c r="F117" s="80">
        <f t="shared" si="3"/>
        <v>2356407.9796807249</v>
      </c>
      <c r="G117" s="80">
        <f t="shared" si="3"/>
        <v>2620605.9406538159</v>
      </c>
      <c r="H117" s="80">
        <f t="shared" si="3"/>
        <v>2361033.5525237266</v>
      </c>
      <c r="I117" s="80">
        <f t="shared" si="3"/>
        <v>2297390.6685175477</v>
      </c>
      <c r="J117" s="80">
        <f t="shared" si="3"/>
        <v>2323966.6173823229</v>
      </c>
      <c r="K117" s="80">
        <f t="shared" si="3"/>
        <v>2374448.8972396725</v>
      </c>
      <c r="L117" s="80">
        <f t="shared" si="3"/>
        <v>2264852.947306341</v>
      </c>
      <c r="M117" s="80">
        <f t="shared" si="3"/>
        <v>2485472.7456265064</v>
      </c>
      <c r="N117" s="80">
        <f t="shared" si="3"/>
        <v>2235704.080501725</v>
      </c>
      <c r="O117" s="80">
        <f t="shared" si="3"/>
        <v>2554898.0995245348</v>
      </c>
      <c r="P117" s="80">
        <f t="shared" si="3"/>
        <v>29015133.19718523</v>
      </c>
      <c r="Q117" s="81"/>
      <c r="R117" s="81"/>
      <c r="S117" s="81"/>
    </row>
    <row r="118" spans="1:19">
      <c r="A118" s="81"/>
      <c r="B118" s="81" t="s">
        <v>953</v>
      </c>
      <c r="C118" s="81"/>
      <c r="D118" s="81">
        <f>D117-D102</f>
        <v>1330732.2113715671</v>
      </c>
      <c r="E118" s="81">
        <f t="shared" ref="E118:P118" si="4">E117-E102</f>
        <v>1199354.6621995131</v>
      </c>
      <c r="F118" s="81">
        <f t="shared" si="4"/>
        <v>1229881.238196149</v>
      </c>
      <c r="G118" s="81">
        <f t="shared" si="4"/>
        <v>1264798.0708769797</v>
      </c>
      <c r="H118" s="81">
        <f t="shared" si="4"/>
        <v>1286283.0343326733</v>
      </c>
      <c r="I118" s="81">
        <f t="shared" si="4"/>
        <v>1182578.8091311369</v>
      </c>
      <c r="J118" s="81">
        <f t="shared" si="4"/>
        <v>1173617.3613453347</v>
      </c>
      <c r="K118" s="81">
        <f t="shared" si="4"/>
        <v>1197347.9122007759</v>
      </c>
      <c r="L118" s="81">
        <f t="shared" si="4"/>
        <v>1104257.1267946751</v>
      </c>
      <c r="M118" s="81">
        <f t="shared" si="4"/>
        <v>1226600.1866997201</v>
      </c>
      <c r="N118" s="81">
        <f t="shared" si="4"/>
        <v>1067702.917145418</v>
      </c>
      <c r="O118" s="81">
        <f t="shared" si="4"/>
        <v>1253215.4779056618</v>
      </c>
      <c r="P118" s="81">
        <f t="shared" si="4"/>
        <v>14516369.008199604</v>
      </c>
      <c r="Q118" s="81"/>
      <c r="R118" s="81"/>
      <c r="S118" s="81"/>
    </row>
    <row r="119" spans="1:19">
      <c r="A119" s="81"/>
      <c r="B119" s="81" t="s">
        <v>1620</v>
      </c>
      <c r="C119" s="81"/>
      <c r="D119" s="824"/>
      <c r="E119" s="824"/>
      <c r="F119" s="824"/>
      <c r="G119" s="81"/>
      <c r="H119" s="81"/>
      <c r="I119" s="81"/>
      <c r="J119" s="81"/>
      <c r="K119" s="81"/>
      <c r="L119" s="81"/>
      <c r="M119" s="81"/>
      <c r="N119" s="81"/>
      <c r="O119" s="81"/>
      <c r="P119" s="81">
        <f>-'C.2.1 F'!D177</f>
        <v>-25669144.009470254</v>
      </c>
      <c r="Q119" s="81">
        <f>P112-P119</f>
        <v>0</v>
      </c>
      <c r="R119" s="81"/>
      <c r="S119" s="81"/>
    </row>
    <row r="120" spans="1:19">
      <c r="A120" s="81"/>
      <c r="B120" s="81" t="s">
        <v>1654</v>
      </c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</row>
    <row r="121" spans="1:19">
      <c r="A121" s="81"/>
      <c r="B121" s="81" t="s">
        <v>1655</v>
      </c>
      <c r="C121" s="81"/>
      <c r="D121" s="80">
        <f>SUM(D47:D111)+D31+D30-D102</f>
        <v>1330732.2113715671</v>
      </c>
      <c r="E121" s="80">
        <f t="shared" ref="E121:P121" si="5">SUM(E47:E111)+E31+E30-E102</f>
        <v>1199354.6621995131</v>
      </c>
      <c r="F121" s="80">
        <f t="shared" si="5"/>
        <v>1229881.238196149</v>
      </c>
      <c r="G121" s="80">
        <f t="shared" si="5"/>
        <v>1264798.0708769797</v>
      </c>
      <c r="H121" s="80">
        <f t="shared" si="5"/>
        <v>1286283.0343326733</v>
      </c>
      <c r="I121" s="80">
        <f t="shared" si="5"/>
        <v>1182578.8091311369</v>
      </c>
      <c r="J121" s="80">
        <f t="shared" si="5"/>
        <v>1173617.3613453347</v>
      </c>
      <c r="K121" s="80">
        <f t="shared" si="5"/>
        <v>1197347.9122007759</v>
      </c>
      <c r="L121" s="80">
        <f t="shared" si="5"/>
        <v>1104257.1267946751</v>
      </c>
      <c r="M121" s="80">
        <f t="shared" si="5"/>
        <v>1226600.1866997201</v>
      </c>
      <c r="N121" s="80">
        <f t="shared" si="5"/>
        <v>1067702.917145418</v>
      </c>
      <c r="O121" s="80">
        <f t="shared" si="5"/>
        <v>1253215.4779056618</v>
      </c>
      <c r="P121" s="80">
        <f t="shared" si="5"/>
        <v>14516369.008199604</v>
      </c>
      <c r="Q121" s="81" t="s">
        <v>114</v>
      </c>
      <c r="R121" s="81"/>
      <c r="S121" s="81"/>
    </row>
    <row r="122" spans="1:19">
      <c r="A122" s="81"/>
      <c r="B122" s="81"/>
      <c r="C122" s="81"/>
      <c r="D122" s="80">
        <v>1330732.2113715673</v>
      </c>
      <c r="E122" s="80">
        <v>1199354.6621995133</v>
      </c>
      <c r="F122" s="80">
        <v>1229881.2381961492</v>
      </c>
      <c r="G122" s="80">
        <v>1264798.0708769797</v>
      </c>
      <c r="H122" s="80">
        <v>1286283.0343326733</v>
      </c>
      <c r="I122" s="80">
        <v>1182578.8091311362</v>
      </c>
      <c r="J122" s="80">
        <v>1173617.3613453335</v>
      </c>
      <c r="K122" s="80">
        <v>1197347.9122007759</v>
      </c>
      <c r="L122" s="80">
        <v>1104257.1267946758</v>
      </c>
      <c r="M122" s="80">
        <v>1226600.1866997199</v>
      </c>
      <c r="N122" s="80">
        <v>1067702.9171454182</v>
      </c>
      <c r="O122" s="80">
        <v>1253215.4779056623</v>
      </c>
      <c r="P122" s="80">
        <v>14516369.008199602</v>
      </c>
      <c r="Q122" s="81"/>
      <c r="R122" s="81"/>
      <c r="S122" s="81"/>
    </row>
    <row r="123" spans="1:19">
      <c r="A123" s="81"/>
      <c r="B123" s="81"/>
      <c r="C123" s="81"/>
      <c r="D123" s="81">
        <f>D121-D122</f>
        <v>0</v>
      </c>
      <c r="E123" s="81">
        <f t="shared" ref="E123:O123" si="6">E121-E122</f>
        <v>0</v>
      </c>
      <c r="F123" s="81">
        <f t="shared" si="6"/>
        <v>0</v>
      </c>
      <c r="G123" s="81">
        <f t="shared" si="6"/>
        <v>0</v>
      </c>
      <c r="H123" s="81">
        <f t="shared" si="6"/>
        <v>0</v>
      </c>
      <c r="I123" s="81">
        <f t="shared" si="6"/>
        <v>0</v>
      </c>
      <c r="J123" s="81">
        <f t="shared" si="6"/>
        <v>0</v>
      </c>
      <c r="K123" s="81">
        <f t="shared" si="6"/>
        <v>0</v>
      </c>
      <c r="L123" s="81">
        <f t="shared" si="6"/>
        <v>0</v>
      </c>
      <c r="M123" s="81">
        <f t="shared" si="6"/>
        <v>0</v>
      </c>
      <c r="N123" s="81">
        <f t="shared" si="6"/>
        <v>0</v>
      </c>
      <c r="O123" s="81">
        <f t="shared" si="6"/>
        <v>0</v>
      </c>
      <c r="P123" s="81"/>
      <c r="Q123" s="103"/>
      <c r="R123" s="81"/>
      <c r="S123" s="81"/>
    </row>
    <row r="124" spans="1:19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170"/>
      <c r="P124" s="81">
        <f>P102</f>
        <v>14498764.188985625</v>
      </c>
      <c r="Q124" s="103" t="s">
        <v>12</v>
      </c>
      <c r="R124" s="81"/>
      <c r="S124" s="81"/>
    </row>
    <row r="125" spans="1:19">
      <c r="A125" s="81"/>
      <c r="B125" s="81"/>
      <c r="C125" s="81"/>
      <c r="D125" s="81">
        <f>D121-D102</f>
        <v>130720.68125952082</v>
      </c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170"/>
      <c r="P125" s="429">
        <f>P118+P124</f>
        <v>29015133.19718523</v>
      </c>
      <c r="Q125" s="81" t="s">
        <v>1645</v>
      </c>
      <c r="R125" s="81"/>
      <c r="S125" s="81"/>
    </row>
    <row r="126" spans="1:19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</row>
    <row r="127" spans="1:19">
      <c r="P127" s="670"/>
    </row>
    <row r="128" spans="1:19">
      <c r="P128" s="732"/>
    </row>
    <row r="129" spans="3:16">
      <c r="C129" s="900"/>
    </row>
    <row r="130" spans="3:16">
      <c r="P130" s="81"/>
    </row>
  </sheetData>
  <mergeCells count="4">
    <mergeCell ref="A1:P1"/>
    <mergeCell ref="A2:P2"/>
    <mergeCell ref="A3:P3"/>
    <mergeCell ref="A4:P4"/>
  </mergeCells>
  <phoneticPr fontId="23" type="noConversion"/>
  <printOptions horizontalCentered="1"/>
  <pageMargins left="0.5" right="0.5" top="0.75" bottom="0.7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2">
    <pageSetUpPr fitToPage="1"/>
  </sheetPr>
  <dimension ref="A1:Q45"/>
  <sheetViews>
    <sheetView tabSelected="1" view="pageBreakPreview" zoomScale="90" zoomScaleNormal="90" zoomScaleSheetLayoutView="90" workbookViewId="0"/>
  </sheetViews>
  <sheetFormatPr defaultColWidth="9.6640625" defaultRowHeight="15"/>
  <cols>
    <col min="1" max="1" width="4.6640625" style="40" customWidth="1"/>
    <col min="2" max="2" width="40" style="40" customWidth="1"/>
    <col min="3" max="3" width="12.6640625" style="40" customWidth="1"/>
    <col min="4" max="4" width="1.77734375" style="40" customWidth="1"/>
    <col min="5" max="5" width="13.109375" style="40" bestFit="1" customWidth="1"/>
    <col min="6" max="6" width="3" style="40" customWidth="1"/>
    <col min="7" max="7" width="13.6640625" style="40" customWidth="1"/>
    <col min="8" max="8" width="3" style="40" customWidth="1"/>
    <col min="9" max="9" width="2.109375" style="40" customWidth="1"/>
    <col min="10" max="10" width="11.77734375" style="40" customWidth="1"/>
    <col min="11" max="11" width="2.21875" style="40" customWidth="1"/>
    <col min="12" max="12" width="12.44140625" style="40" customWidth="1"/>
    <col min="13" max="13" width="5.6640625" style="40" customWidth="1"/>
    <col min="14" max="14" width="11.44140625" style="40" customWidth="1"/>
    <col min="15" max="15" width="1.77734375" style="40" customWidth="1"/>
    <col min="16" max="16" width="12" style="40" customWidth="1"/>
    <col min="17" max="17" width="15.6640625" style="40" customWidth="1"/>
    <col min="18" max="18" width="18.6640625" style="40" customWidth="1"/>
    <col min="19" max="19" width="11.6640625" style="40" customWidth="1"/>
    <col min="20" max="20" width="9.6640625" style="40"/>
    <col min="21" max="21" width="23.6640625" style="40" customWidth="1"/>
    <col min="22" max="22" width="14.6640625" style="40" customWidth="1"/>
    <col min="23" max="23" width="18.6640625" style="40" customWidth="1"/>
    <col min="24" max="24" width="13.6640625" style="40" customWidth="1"/>
    <col min="25" max="25" width="29.6640625" style="40" customWidth="1"/>
    <col min="26" max="26" width="9.6640625" style="40"/>
    <col min="27" max="27" width="14.6640625" style="40" customWidth="1"/>
    <col min="28" max="28" width="13.6640625" style="40" customWidth="1"/>
    <col min="29" max="29" width="11.6640625" style="40" customWidth="1"/>
    <col min="30" max="30" width="9.6640625" style="40"/>
    <col min="31" max="31" width="4.6640625" style="40" customWidth="1"/>
    <col min="32" max="32" width="48.6640625" style="40" customWidth="1"/>
    <col min="33" max="33" width="9.6640625" style="40"/>
    <col min="34" max="37" width="10.6640625" style="40" customWidth="1"/>
    <col min="38" max="39" width="9.6640625" style="40"/>
    <col min="40" max="40" width="4.6640625" style="40" customWidth="1"/>
    <col min="41" max="41" width="50.6640625" style="40" customWidth="1"/>
    <col min="42" max="42" width="9.6640625" style="40"/>
    <col min="43" max="43" width="11.6640625" style="40" customWidth="1"/>
    <col min="44" max="44" width="9.6640625" style="40"/>
    <col min="45" max="46" width="4.6640625" style="40" customWidth="1"/>
    <col min="47" max="47" width="40.6640625" style="40" customWidth="1"/>
    <col min="48" max="48" width="1.6640625" style="40" customWidth="1"/>
    <col min="49" max="52" width="11.6640625" style="40" customWidth="1"/>
    <col min="53" max="54" width="9.6640625" style="40"/>
    <col min="55" max="55" width="4.6640625" style="40" customWidth="1"/>
    <col min="56" max="56" width="30.6640625" style="40" customWidth="1"/>
    <col min="57" max="65" width="9.6640625" style="40"/>
    <col min="66" max="66" width="14.6640625" style="40" customWidth="1"/>
    <col min="67" max="68" width="9.6640625" style="40"/>
    <col min="69" max="69" width="12.6640625" style="40" customWidth="1"/>
    <col min="70" max="70" width="10.6640625" style="40" customWidth="1"/>
    <col min="71" max="16384" width="9.6640625" style="40"/>
  </cols>
  <sheetData>
    <row r="1" spans="1:16" s="1" customFormat="1">
      <c r="A1" s="31" t="str">
        <f>'Table of Contents'!A1:C1</f>
        <v>Atmos Energy Corporation, Kentucky/Mid-States Division</v>
      </c>
      <c r="B1" s="30"/>
      <c r="C1" s="30"/>
      <c r="D1" s="30"/>
      <c r="E1" s="30"/>
      <c r="F1" s="30"/>
      <c r="G1" s="30"/>
      <c r="H1" s="30"/>
    </row>
    <row r="2" spans="1:16" s="1" customFormat="1">
      <c r="A2" s="31" t="str">
        <f>'Table of Contents'!A2:C2</f>
        <v>Kentucky Jurisdiction Case No. 2018-00281</v>
      </c>
      <c r="B2" s="30"/>
      <c r="C2" s="30"/>
      <c r="D2" s="30"/>
      <c r="E2" s="30"/>
      <c r="F2" s="30"/>
      <c r="G2" s="30"/>
      <c r="H2" s="30"/>
    </row>
    <row r="3" spans="1:16" s="1" customFormat="1">
      <c r="A3" s="31" t="s">
        <v>1000</v>
      </c>
      <c r="B3" s="30"/>
      <c r="C3" s="30"/>
      <c r="D3" s="30"/>
      <c r="E3" s="30"/>
      <c r="F3" s="30"/>
      <c r="G3" s="30"/>
      <c r="H3" s="30"/>
    </row>
    <row r="4" spans="1:16" s="1" customFormat="1">
      <c r="A4" s="31" t="str">
        <f>'Table of Contents'!A4:C4</f>
        <v>Forecasted Test Period: Twelve Months Ended March 31, 2020</v>
      </c>
      <c r="B4" s="30"/>
      <c r="C4" s="30"/>
      <c r="D4" s="30"/>
      <c r="E4" s="30"/>
      <c r="F4" s="30"/>
      <c r="G4" s="30"/>
      <c r="H4" s="30"/>
    </row>
    <row r="5" spans="1:16" s="1" customFormat="1">
      <c r="A5" s="31"/>
      <c r="B5" s="30"/>
      <c r="C5" s="30"/>
      <c r="D5" s="30"/>
      <c r="E5" s="30"/>
      <c r="F5" s="30"/>
      <c r="G5" s="30"/>
      <c r="H5" s="30"/>
    </row>
    <row r="6" spans="1:16" s="1" customFormat="1">
      <c r="D6" s="3"/>
      <c r="E6" s="3"/>
      <c r="F6" s="3"/>
    </row>
    <row r="7" spans="1:16" s="1" customFormat="1">
      <c r="A7" s="4" t="s">
        <v>410</v>
      </c>
      <c r="G7" s="375" t="s">
        <v>1402</v>
      </c>
      <c r="H7" s="4"/>
      <c r="I7" s="767"/>
    </row>
    <row r="8" spans="1:16" s="1" customFormat="1">
      <c r="A8" s="4" t="s">
        <v>615</v>
      </c>
      <c r="G8" s="488" t="s">
        <v>57</v>
      </c>
      <c r="H8" s="4"/>
      <c r="I8" s="767"/>
    </row>
    <row r="9" spans="1:16" s="1" customFormat="1">
      <c r="A9" s="5" t="s">
        <v>365</v>
      </c>
      <c r="B9" s="6"/>
      <c r="C9" s="6"/>
      <c r="D9" s="7"/>
      <c r="E9" s="7"/>
      <c r="F9" s="7"/>
      <c r="G9" s="549" t="s">
        <v>1195</v>
      </c>
      <c r="H9" s="5"/>
      <c r="I9" s="768"/>
    </row>
    <row r="10" spans="1:16" s="1" customFormat="1">
      <c r="D10" s="8"/>
      <c r="E10" s="2" t="s">
        <v>44</v>
      </c>
      <c r="F10" s="8"/>
      <c r="G10" s="2" t="s">
        <v>43</v>
      </c>
      <c r="I10" s="767"/>
    </row>
    <row r="11" spans="1:16" s="1" customFormat="1">
      <c r="C11" s="2" t="s">
        <v>1185</v>
      </c>
      <c r="D11" s="8"/>
      <c r="E11" s="2" t="s">
        <v>97</v>
      </c>
      <c r="F11" s="8"/>
      <c r="G11" s="2" t="s">
        <v>97</v>
      </c>
      <c r="I11" s="767"/>
    </row>
    <row r="12" spans="1:16" s="1" customFormat="1">
      <c r="A12" s="2" t="s">
        <v>93</v>
      </c>
      <c r="C12" s="2" t="s">
        <v>58</v>
      </c>
      <c r="D12" s="8"/>
      <c r="E12" s="2" t="s">
        <v>595</v>
      </c>
      <c r="F12" s="8"/>
      <c r="G12" s="2" t="s">
        <v>595</v>
      </c>
      <c r="I12" s="767"/>
      <c r="J12" s="735"/>
      <c r="K12" s="736"/>
      <c r="L12" s="735"/>
      <c r="M12" s="735"/>
      <c r="N12" s="735"/>
      <c r="O12" s="735"/>
      <c r="P12" s="735"/>
    </row>
    <row r="13" spans="1:16" s="1" customFormat="1">
      <c r="A13" s="9" t="s">
        <v>99</v>
      </c>
      <c r="B13" s="434" t="s">
        <v>985</v>
      </c>
      <c r="C13" s="434" t="s">
        <v>101</v>
      </c>
      <c r="D13" s="1022"/>
      <c r="E13" s="434" t="s">
        <v>991</v>
      </c>
      <c r="F13" s="1022"/>
      <c r="G13" s="434" t="s">
        <v>991</v>
      </c>
      <c r="H13" s="6"/>
      <c r="I13" s="768"/>
      <c r="J13" s="735"/>
      <c r="K13" s="735"/>
      <c r="L13" s="735"/>
      <c r="M13" s="735"/>
      <c r="N13" s="735"/>
      <c r="O13" s="735"/>
      <c r="P13" s="735"/>
    </row>
    <row r="14" spans="1:16" s="1" customFormat="1">
      <c r="B14" s="1023" t="s">
        <v>750</v>
      </c>
      <c r="C14" s="1023" t="s">
        <v>751</v>
      </c>
      <c r="D14" s="1024"/>
      <c r="E14" s="1023" t="s">
        <v>411</v>
      </c>
      <c r="F14" s="1024"/>
      <c r="G14" s="1023" t="s">
        <v>752</v>
      </c>
      <c r="I14" s="767"/>
      <c r="J14" s="737"/>
      <c r="K14" s="738"/>
      <c r="L14" s="737"/>
      <c r="M14" s="735"/>
      <c r="N14" s="737"/>
      <c r="O14" s="738"/>
      <c r="P14" s="737"/>
    </row>
    <row r="15" spans="1:16" s="1" customFormat="1">
      <c r="B15" s="81"/>
      <c r="C15" s="81"/>
      <c r="D15" s="1024"/>
      <c r="E15" s="1024"/>
      <c r="F15" s="1024"/>
      <c r="G15" s="73"/>
      <c r="H15" s="10"/>
      <c r="I15" s="769"/>
      <c r="J15" s="735"/>
      <c r="K15" s="735"/>
      <c r="L15" s="735"/>
      <c r="M15" s="735"/>
      <c r="N15" s="735"/>
      <c r="O15" s="735"/>
      <c r="P15" s="735"/>
    </row>
    <row r="16" spans="1:16" s="1" customFormat="1">
      <c r="A16" s="2">
        <v>1</v>
      </c>
      <c r="B16" s="88" t="s">
        <v>271</v>
      </c>
      <c r="C16" s="854" t="s">
        <v>367</v>
      </c>
      <c r="D16" s="81"/>
      <c r="E16" s="346">
        <f>'B.1 B'!F27</f>
        <v>434304539.08798397</v>
      </c>
      <c r="F16" s="81"/>
      <c r="G16" s="306">
        <f>'B.1 F '!F27</f>
        <v>495967912.94717216</v>
      </c>
      <c r="H16" s="10"/>
      <c r="I16" s="768"/>
      <c r="J16" s="735"/>
      <c r="K16" s="735"/>
      <c r="L16" s="735"/>
      <c r="M16" s="735"/>
      <c r="N16" s="735"/>
      <c r="O16" s="735"/>
      <c r="P16" s="735"/>
    </row>
    <row r="17" spans="1:17" s="1" customFormat="1">
      <c r="B17" s="81"/>
      <c r="C17" s="81"/>
      <c r="D17" s="81"/>
      <c r="E17" s="81"/>
      <c r="F17" s="81"/>
      <c r="G17" s="73"/>
      <c r="H17" s="10"/>
      <c r="I17" s="768"/>
      <c r="J17" s="735"/>
      <c r="K17" s="735"/>
      <c r="L17" s="735"/>
      <c r="M17" s="735"/>
      <c r="N17" s="735"/>
      <c r="O17" s="735"/>
      <c r="P17" s="735"/>
    </row>
    <row r="18" spans="1:17" s="1" customFormat="1">
      <c r="A18" s="2">
        <v>2</v>
      </c>
      <c r="B18" s="88" t="s">
        <v>124</v>
      </c>
      <c r="C18" s="854" t="s">
        <v>369</v>
      </c>
      <c r="D18" s="81"/>
      <c r="E18" s="306">
        <f>'C.1'!D26</f>
        <v>28729331.450891286</v>
      </c>
      <c r="F18" s="81"/>
      <c r="G18" s="306">
        <f>'C.1'!F26</f>
        <v>27525324.736542672</v>
      </c>
      <c r="H18" s="10"/>
      <c r="I18" s="770"/>
      <c r="J18" s="735"/>
      <c r="K18" s="735"/>
      <c r="L18" s="735"/>
      <c r="M18" s="735"/>
      <c r="N18" s="735"/>
      <c r="O18" s="735"/>
      <c r="P18" s="735"/>
    </row>
    <row r="19" spans="1:17" s="1" customFormat="1">
      <c r="B19" s="81"/>
      <c r="C19" s="81"/>
      <c r="D19" s="81"/>
      <c r="E19" s="81"/>
      <c r="F19" s="81"/>
      <c r="G19" s="73"/>
      <c r="H19" s="10"/>
      <c r="I19" s="768"/>
      <c r="J19" s="735"/>
      <c r="K19" s="735"/>
      <c r="L19" s="735"/>
      <c r="M19" s="735"/>
      <c r="N19" s="735"/>
      <c r="O19" s="735"/>
      <c r="P19" s="735"/>
    </row>
    <row r="20" spans="1:17" s="1" customFormat="1">
      <c r="A20" s="2">
        <v>3</v>
      </c>
      <c r="B20" s="88" t="s">
        <v>412</v>
      </c>
      <c r="C20" s="856" t="s">
        <v>142</v>
      </c>
      <c r="D20" s="81"/>
      <c r="E20" s="112">
        <f>ROUND(E18/E16,4)</f>
        <v>6.6199999999999995E-2</v>
      </c>
      <c r="F20" s="81"/>
      <c r="G20" s="112">
        <f>ROUND(G18/G16,4)</f>
        <v>5.5500000000000001E-2</v>
      </c>
      <c r="H20" s="11"/>
      <c r="I20" s="771"/>
      <c r="J20" s="735"/>
      <c r="K20" s="735"/>
      <c r="L20" s="735"/>
      <c r="M20" s="735"/>
      <c r="N20" s="735"/>
      <c r="O20" s="735"/>
      <c r="P20" s="735"/>
    </row>
    <row r="21" spans="1:17" s="1" customFormat="1">
      <c r="B21" s="81"/>
      <c r="C21" s="81"/>
      <c r="D21" s="81"/>
      <c r="E21" s="81"/>
      <c r="F21" s="81"/>
      <c r="G21" s="73"/>
      <c r="H21" s="10"/>
      <c r="I21" s="768"/>
      <c r="J21" s="735"/>
      <c r="K21" s="735"/>
      <c r="L21" s="735"/>
      <c r="M21" s="735"/>
      <c r="N21" s="735"/>
      <c r="O21" s="735"/>
      <c r="P21" s="735"/>
    </row>
    <row r="22" spans="1:17" s="1" customFormat="1">
      <c r="A22" s="2">
        <v>4</v>
      </c>
      <c r="B22" s="88" t="s">
        <v>287</v>
      </c>
      <c r="C22" s="854" t="s">
        <v>1134</v>
      </c>
      <c r="D22" s="81"/>
      <c r="E22" s="824">
        <f>'J-1 Base'!M27</f>
        <v>8.14E-2</v>
      </c>
      <c r="F22" s="81"/>
      <c r="G22" s="112">
        <f>'J-1 F'!M28</f>
        <v>7.9500000000000001E-2</v>
      </c>
      <c r="H22" s="11"/>
      <c r="I22" s="772"/>
      <c r="J22" s="739"/>
      <c r="K22" s="735"/>
      <c r="L22" s="739"/>
      <c r="M22" s="735"/>
      <c r="N22" s="739"/>
      <c r="O22" s="735"/>
      <c r="P22" s="739"/>
      <c r="Q22" s="591"/>
    </row>
    <row r="23" spans="1:17" s="1" customFormat="1">
      <c r="B23" s="81"/>
      <c r="C23" s="81"/>
      <c r="D23" s="81"/>
      <c r="E23" s="81"/>
      <c r="F23" s="81"/>
      <c r="G23" s="73"/>
      <c r="H23" s="10"/>
      <c r="I23" s="768"/>
      <c r="J23" s="735"/>
      <c r="K23" s="735"/>
      <c r="L23" s="735"/>
      <c r="M23" s="735"/>
      <c r="N23" s="735"/>
      <c r="O23" s="735"/>
      <c r="P23" s="735"/>
    </row>
    <row r="24" spans="1:17" s="1" customFormat="1">
      <c r="A24" s="2">
        <v>5</v>
      </c>
      <c r="B24" s="88" t="s">
        <v>413</v>
      </c>
      <c r="C24" s="856" t="s">
        <v>369</v>
      </c>
      <c r="D24" s="81"/>
      <c r="E24" s="306">
        <f>ROUND(E16*E22,0)</f>
        <v>35352389</v>
      </c>
      <c r="F24" s="81"/>
      <c r="G24" s="306">
        <f>ROUND(G16*G22,0)</f>
        <v>39429449</v>
      </c>
      <c r="H24" s="10"/>
      <c r="I24" s="770"/>
      <c r="J24" s="735"/>
      <c r="K24" s="735"/>
      <c r="L24" s="735"/>
      <c r="M24" s="735"/>
      <c r="N24" s="735"/>
      <c r="O24" s="735"/>
      <c r="P24" s="735"/>
    </row>
    <row r="25" spans="1:17" s="1" customFormat="1">
      <c r="B25" s="81"/>
      <c r="C25" s="81"/>
      <c r="D25" s="81"/>
      <c r="E25" s="81"/>
      <c r="F25" s="81"/>
      <c r="G25" s="73"/>
      <c r="H25" s="10"/>
      <c r="I25" s="768"/>
      <c r="J25" s="735"/>
      <c r="K25" s="735"/>
      <c r="L25" s="735"/>
      <c r="M25" s="735"/>
      <c r="N25" s="735"/>
      <c r="O25" s="735"/>
      <c r="P25" s="735"/>
    </row>
    <row r="26" spans="1:17" s="1" customFormat="1">
      <c r="A26" s="2">
        <v>6</v>
      </c>
      <c r="B26" s="88" t="s">
        <v>414</v>
      </c>
      <c r="C26" s="856" t="s">
        <v>369</v>
      </c>
      <c r="D26" s="81"/>
      <c r="E26" s="306">
        <f>(E24-E18)</f>
        <v>6623057.5491087139</v>
      </c>
      <c r="F26" s="81"/>
      <c r="G26" s="306">
        <f>(G24-G18)</f>
        <v>11904124.263457328</v>
      </c>
      <c r="H26" s="10"/>
      <c r="I26" s="770"/>
      <c r="J26" s="735"/>
      <c r="K26" s="735"/>
      <c r="L26" s="735"/>
      <c r="M26" s="735"/>
      <c r="N26" s="735"/>
      <c r="O26" s="735"/>
      <c r="P26" s="735"/>
    </row>
    <row r="27" spans="1:17" s="1" customFormat="1">
      <c r="B27" s="81"/>
      <c r="C27" s="81"/>
      <c r="D27" s="81"/>
      <c r="E27" s="81"/>
      <c r="F27" s="81"/>
      <c r="G27" s="73"/>
      <c r="H27" s="10"/>
      <c r="I27" s="768"/>
      <c r="J27" s="735"/>
      <c r="K27" s="735"/>
      <c r="L27" s="735"/>
      <c r="M27" s="735"/>
      <c r="N27" s="735"/>
      <c r="O27" s="735"/>
      <c r="P27" s="735"/>
    </row>
    <row r="28" spans="1:17" s="1" customFormat="1">
      <c r="A28" s="2">
        <v>7</v>
      </c>
      <c r="B28" s="88" t="s">
        <v>126</v>
      </c>
      <c r="C28" s="854" t="s">
        <v>375</v>
      </c>
      <c r="D28" s="81"/>
      <c r="E28" s="487">
        <f>H.1!D34</f>
        <v>1.341839</v>
      </c>
      <c r="F28" s="81"/>
      <c r="G28" s="487">
        <f>H.1!E34</f>
        <v>1.341839</v>
      </c>
      <c r="H28" s="10"/>
      <c r="I28" s="773"/>
      <c r="J28" s="735"/>
      <c r="K28" s="735"/>
      <c r="L28" s="735"/>
      <c r="M28" s="735"/>
      <c r="N28" s="735"/>
      <c r="O28" s="735"/>
      <c r="P28" s="735"/>
    </row>
    <row r="29" spans="1:17" s="1" customFormat="1">
      <c r="E29" s="81"/>
      <c r="F29" s="81"/>
      <c r="G29" s="73"/>
      <c r="H29" s="10"/>
      <c r="I29" s="768"/>
      <c r="J29" s="735"/>
      <c r="K29" s="735"/>
      <c r="L29" s="735"/>
      <c r="M29" s="735"/>
      <c r="N29" s="735"/>
      <c r="O29" s="735"/>
      <c r="P29" s="735"/>
    </row>
    <row r="30" spans="1:17" ht="15.75">
      <c r="A30" s="2">
        <v>8</v>
      </c>
      <c r="B30" s="27" t="s">
        <v>415</v>
      </c>
      <c r="E30" s="394">
        <f>ROUND(E26*E28,0)</f>
        <v>8887077</v>
      </c>
      <c r="F30" s="195"/>
      <c r="G30" s="394">
        <f>ROUND(G26*G28,0)</f>
        <v>15973418</v>
      </c>
      <c r="I30" s="774"/>
      <c r="J30" s="735"/>
      <c r="K30" s="735"/>
      <c r="L30" s="735"/>
      <c r="M30" s="740"/>
      <c r="N30" s="735"/>
      <c r="O30" s="735"/>
      <c r="P30" s="735"/>
    </row>
    <row r="31" spans="1:17">
      <c r="E31" s="195"/>
      <c r="F31" s="195"/>
      <c r="G31" s="223"/>
      <c r="H31" s="187"/>
      <c r="I31" s="775"/>
      <c r="J31" s="735"/>
      <c r="K31" s="735"/>
      <c r="L31" s="735"/>
      <c r="M31" s="735"/>
      <c r="N31" s="735"/>
      <c r="O31" s="735"/>
      <c r="P31" s="735"/>
    </row>
    <row r="32" spans="1:17">
      <c r="A32" s="1165">
        <v>9</v>
      </c>
      <c r="B32" s="40" t="s">
        <v>1636</v>
      </c>
      <c r="C32" s="78" t="s">
        <v>1637</v>
      </c>
      <c r="E32" s="195"/>
      <c r="F32" s="195"/>
      <c r="G32" s="223">
        <f>-'WP B.5 F1'!E23</f>
        <v>-1463766.1361715582</v>
      </c>
      <c r="H32" s="187"/>
      <c r="I32" s="775"/>
      <c r="J32" s="735"/>
      <c r="K32" s="735"/>
      <c r="L32" s="735"/>
      <c r="M32" s="735"/>
      <c r="N32" s="735"/>
      <c r="O32" s="735"/>
      <c r="P32" s="735"/>
    </row>
    <row r="33" spans="1:16">
      <c r="E33" s="195"/>
      <c r="F33" s="195"/>
      <c r="G33" s="223"/>
      <c r="H33" s="187"/>
      <c r="I33" s="775"/>
      <c r="J33" s="735"/>
      <c r="K33" s="735"/>
      <c r="L33" s="735"/>
      <c r="M33" s="735"/>
      <c r="N33" s="735"/>
      <c r="O33" s="735"/>
      <c r="P33" s="735"/>
    </row>
    <row r="34" spans="1:16" ht="15.75">
      <c r="A34" s="188">
        <v>10</v>
      </c>
      <c r="B34" s="1166" t="s">
        <v>1112</v>
      </c>
      <c r="C34" s="1167" t="s">
        <v>369</v>
      </c>
      <c r="D34" s="102"/>
      <c r="E34" s="941"/>
      <c r="F34" s="941"/>
      <c r="G34" s="1168">
        <f>G30+G32</f>
        <v>14509651.863828441</v>
      </c>
      <c r="H34" s="187"/>
      <c r="I34" s="775"/>
      <c r="J34" s="735"/>
      <c r="K34" s="735"/>
      <c r="L34" s="735"/>
      <c r="M34" s="735"/>
      <c r="N34" s="735"/>
      <c r="O34" s="735"/>
      <c r="P34" s="735"/>
    </row>
    <row r="35" spans="1:16">
      <c r="E35" s="195"/>
      <c r="F35" s="195"/>
      <c r="G35" s="223"/>
      <c r="H35" s="187"/>
      <c r="I35" s="775"/>
      <c r="J35" s="735"/>
      <c r="K35" s="735"/>
      <c r="L35" s="735"/>
      <c r="M35" s="735"/>
      <c r="N35" s="735"/>
      <c r="O35" s="735"/>
      <c r="P35" s="735"/>
    </row>
    <row r="36" spans="1:16">
      <c r="A36" s="188">
        <v>11</v>
      </c>
      <c r="B36" s="180" t="s">
        <v>1186</v>
      </c>
      <c r="C36" s="188" t="s">
        <v>369</v>
      </c>
      <c r="E36" s="195"/>
      <c r="F36" s="195"/>
      <c r="G36" s="307">
        <f>'C.1'!F15</f>
        <v>169717865.83695579</v>
      </c>
      <c r="H36" s="187"/>
      <c r="I36" s="775"/>
      <c r="J36" s="735"/>
      <c r="K36" s="735"/>
      <c r="L36" s="735"/>
      <c r="M36" s="735"/>
      <c r="N36" s="735"/>
      <c r="O36" s="735"/>
      <c r="P36" s="735"/>
    </row>
    <row r="37" spans="1:16">
      <c r="E37" s="195"/>
      <c r="F37" s="195"/>
      <c r="G37" s="223"/>
      <c r="H37" s="187"/>
      <c r="I37" s="775"/>
      <c r="J37" s="735"/>
      <c r="K37" s="735"/>
      <c r="L37" s="735"/>
      <c r="M37" s="735"/>
      <c r="N37" s="735"/>
      <c r="O37" s="735"/>
      <c r="P37" s="735"/>
    </row>
    <row r="38" spans="1:16">
      <c r="A38" s="188">
        <v>12</v>
      </c>
      <c r="B38" s="180" t="s">
        <v>1693</v>
      </c>
      <c r="C38" s="188" t="s">
        <v>369</v>
      </c>
      <c r="E38" s="195"/>
      <c r="F38" s="195"/>
      <c r="G38" s="307">
        <f>G34+G36</f>
        <v>184227517.70078424</v>
      </c>
      <c r="H38" s="187"/>
      <c r="I38" s="775"/>
      <c r="J38" s="735" t="s">
        <v>323</v>
      </c>
      <c r="K38" s="735"/>
      <c r="L38" s="735"/>
      <c r="M38" s="735"/>
      <c r="N38" s="735"/>
      <c r="O38" s="735"/>
      <c r="P38" s="735"/>
    </row>
    <row r="39" spans="1:16">
      <c r="G39" s="195"/>
      <c r="I39" s="191"/>
      <c r="J39" s="191"/>
      <c r="K39" s="194"/>
    </row>
    <row r="40" spans="1:16">
      <c r="I40" s="191"/>
      <c r="J40" s="191"/>
      <c r="K40" s="191"/>
    </row>
    <row r="41" spans="1:16">
      <c r="A41" s="191"/>
      <c r="B41" s="224"/>
      <c r="C41" s="225"/>
      <c r="G41" s="735"/>
      <c r="I41" s="191"/>
      <c r="J41" s="191"/>
      <c r="K41" s="191"/>
    </row>
    <row r="42" spans="1:16">
      <c r="A42" s="191"/>
      <c r="B42" s="191"/>
      <c r="C42" s="191"/>
      <c r="G42" s="735"/>
      <c r="H42" s="735"/>
      <c r="I42" s="191"/>
      <c r="J42" s="191"/>
      <c r="K42" s="191"/>
    </row>
    <row r="43" spans="1:16">
      <c r="A43" s="191"/>
      <c r="B43" s="191"/>
      <c r="C43" s="191"/>
      <c r="G43" s="735"/>
      <c r="H43" s="735"/>
    </row>
    <row r="44" spans="1:16">
      <c r="G44" s="735"/>
    </row>
    <row r="45" spans="1:16">
      <c r="G45" s="735"/>
    </row>
  </sheetData>
  <phoneticPr fontId="23" type="noConversion"/>
  <printOptions horizontalCentered="1"/>
  <pageMargins left="0.8" right="0.6" top="0.75" bottom="0.94" header="0.5" footer="0.37"/>
  <pageSetup scale="85" orientation="portrait" verticalDpi="300" r:id="rId1"/>
  <headerFooter alignWithMargins="0">
    <oddFooter>&amp;RSchedule &amp;A
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7"/>
  <dimension ref="A1:R54"/>
  <sheetViews>
    <sheetView view="pageBreakPreview" zoomScale="70" zoomScaleNormal="75" zoomScaleSheetLayoutView="70" workbookViewId="0">
      <pane xSplit="3" ySplit="11" topLeftCell="D12" activePane="bottomRight" state="frozen"/>
      <selection activeCell="F55" sqref="F55"/>
      <selection pane="topRight" activeCell="F55" sqref="F55"/>
      <selection pane="bottomLeft" activeCell="F55" sqref="F55"/>
      <selection pane="bottomRight" activeCell="J50" sqref="J50"/>
    </sheetView>
  </sheetViews>
  <sheetFormatPr defaultColWidth="7.109375" defaultRowHeight="15"/>
  <cols>
    <col min="1" max="1" width="4.6640625" style="80" customWidth="1"/>
    <col min="2" max="2" width="6.6640625" style="80" customWidth="1"/>
    <col min="3" max="3" width="38.88671875" style="80" customWidth="1"/>
    <col min="4" max="4" width="14.5546875" style="80" bestFit="1" customWidth="1"/>
    <col min="5" max="5" width="11.88671875" style="80" bestFit="1" customWidth="1"/>
    <col min="6" max="6" width="11.109375" style="80" customWidth="1"/>
    <col min="7" max="8" width="11.88671875" style="80" bestFit="1" customWidth="1"/>
    <col min="9" max="9" width="12.6640625" style="80" customWidth="1"/>
    <col min="10" max="10" width="13.109375" style="80" bestFit="1" customWidth="1"/>
    <col min="11" max="14" width="11.77734375" style="80" bestFit="1" customWidth="1"/>
    <col min="15" max="15" width="12.44140625" style="80" customWidth="1"/>
    <col min="16" max="16" width="12.44140625" style="80" bestFit="1" customWidth="1"/>
    <col min="17" max="17" width="9.6640625" style="80" customWidth="1"/>
    <col min="18" max="18" width="12.5546875" style="80" customWidth="1"/>
    <col min="19" max="16384" width="7.109375" style="80"/>
  </cols>
  <sheetData>
    <row r="1" spans="1:18">
      <c r="A1" s="1203" t="str">
        <f>'Table of Contents'!A1:C1</f>
        <v>Atmos Energy Corporation, Kentucky/Mid-States Division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1203"/>
      <c r="O1" s="1203"/>
      <c r="P1" s="1203"/>
      <c r="Q1" s="81"/>
    </row>
    <row r="2" spans="1:18">
      <c r="A2" s="1203" t="str">
        <f>'Table of Contents'!A2:C2</f>
        <v>Kentucky Jurisdiction Case No. 2018-00281</v>
      </c>
      <c r="B2" s="1203"/>
      <c r="C2" s="1203"/>
      <c r="D2" s="1203"/>
      <c r="E2" s="1203"/>
      <c r="F2" s="1203"/>
      <c r="G2" s="1203"/>
      <c r="H2" s="1203"/>
      <c r="I2" s="1203"/>
      <c r="J2" s="1203"/>
      <c r="K2" s="1203"/>
      <c r="L2" s="1203"/>
      <c r="M2" s="1203"/>
      <c r="N2" s="1203"/>
      <c r="O2" s="1203"/>
      <c r="P2" s="1203"/>
      <c r="Q2" s="81"/>
    </row>
    <row r="3" spans="1:18" ht="15.75">
      <c r="A3" s="1203" t="s">
        <v>186</v>
      </c>
      <c r="B3" s="1203"/>
      <c r="C3" s="1203"/>
      <c r="D3" s="1203"/>
      <c r="E3" s="1203"/>
      <c r="F3" s="1203"/>
      <c r="G3" s="1203"/>
      <c r="H3" s="1203"/>
      <c r="I3" s="1203"/>
      <c r="J3" s="1203"/>
      <c r="K3" s="1203"/>
      <c r="L3" s="1203"/>
      <c r="M3" s="1203"/>
      <c r="N3" s="1203"/>
      <c r="O3" s="1203"/>
      <c r="P3" s="1203"/>
      <c r="Q3" s="81"/>
    </row>
    <row r="4" spans="1:18">
      <c r="A4" s="1203" t="str">
        <f>'Table of Contents'!A4:C4</f>
        <v>Forecasted Test Period: Twelve Months Ended March 31, 2020</v>
      </c>
      <c r="B4" s="1203"/>
      <c r="C4" s="1203"/>
      <c r="D4" s="1203"/>
      <c r="E4" s="1203"/>
      <c r="F4" s="1203"/>
      <c r="G4" s="1203"/>
      <c r="H4" s="1203"/>
      <c r="I4" s="1203"/>
      <c r="J4" s="1203"/>
      <c r="K4" s="1203"/>
      <c r="L4" s="1203"/>
      <c r="M4" s="1203"/>
      <c r="N4" s="1203"/>
      <c r="O4" s="1203"/>
      <c r="P4" s="1203"/>
      <c r="Q4" s="81"/>
    </row>
    <row r="5" spans="1:18">
      <c r="A5" s="81"/>
      <c r="B5" s="150"/>
      <c r="C5" s="150"/>
      <c r="D5" s="150"/>
      <c r="E5" s="150"/>
      <c r="F5" s="150"/>
      <c r="G5" s="869"/>
      <c r="H5" s="150"/>
      <c r="I5" s="150"/>
      <c r="J5" s="150"/>
      <c r="K5" s="150"/>
      <c r="L5" s="150"/>
      <c r="M5" s="150"/>
      <c r="N5" s="150"/>
      <c r="O5" s="150"/>
      <c r="P5" s="81"/>
      <c r="Q5" s="81"/>
    </row>
    <row r="6" spans="1:18" ht="15.75">
      <c r="A6" s="88" t="str">
        <f>'C.2.1 F'!A6</f>
        <v>Data:________Base Period___X____Forecasted Period</v>
      </c>
      <c r="B6" s="81"/>
      <c r="C6" s="88"/>
      <c r="D6" s="81"/>
      <c r="E6" s="81"/>
      <c r="F6" s="901"/>
      <c r="G6" s="81"/>
      <c r="H6" s="81"/>
      <c r="I6" s="81"/>
      <c r="J6" s="81"/>
      <c r="K6" s="81"/>
      <c r="L6" s="81"/>
      <c r="M6" s="81"/>
      <c r="N6" s="81"/>
      <c r="O6" s="81"/>
      <c r="P6" s="170" t="s">
        <v>1427</v>
      </c>
      <c r="Q6" s="81"/>
    </row>
    <row r="7" spans="1:18">
      <c r="A7" s="88" t="str">
        <f>'C.2.1 F'!A7</f>
        <v>Type of Filing:___X____Original________Updated ________Revised</v>
      </c>
      <c r="B7" s="81"/>
      <c r="C7" s="88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508" t="s">
        <v>37</v>
      </c>
      <c r="Q7" s="81"/>
    </row>
    <row r="8" spans="1:18">
      <c r="A8" s="390" t="str">
        <f>'C.2.1 F'!A8</f>
        <v>Workpaper Reference No(s).____________________</v>
      </c>
      <c r="B8" s="82"/>
      <c r="C8" s="432"/>
      <c r="D8" s="151"/>
      <c r="E8" s="151"/>
      <c r="F8" s="151"/>
      <c r="G8" s="151"/>
      <c r="H8" s="151"/>
      <c r="I8" s="151"/>
      <c r="J8" s="151"/>
      <c r="K8" s="151"/>
      <c r="L8" s="151"/>
      <c r="M8" s="82"/>
      <c r="N8" s="82"/>
      <c r="O8" s="82"/>
      <c r="P8" s="509" t="str">
        <f>'C.1'!J9</f>
        <v>Witness: Waller, Densman</v>
      </c>
      <c r="Q8" s="81"/>
    </row>
    <row r="9" spans="1:18">
      <c r="A9" s="391" t="s">
        <v>93</v>
      </c>
      <c r="B9" s="826" t="s">
        <v>100</v>
      </c>
      <c r="C9" s="902"/>
      <c r="D9" s="890" t="s">
        <v>43</v>
      </c>
      <c r="E9" s="847" t="s">
        <v>43</v>
      </c>
      <c r="F9" s="847" t="s">
        <v>43</v>
      </c>
      <c r="G9" s="847" t="s">
        <v>43</v>
      </c>
      <c r="H9" s="847" t="s">
        <v>43</v>
      </c>
      <c r="I9" s="847" t="s">
        <v>43</v>
      </c>
      <c r="J9" s="847" t="s">
        <v>43</v>
      </c>
      <c r="K9" s="847" t="s">
        <v>43</v>
      </c>
      <c r="L9" s="847" t="s">
        <v>43</v>
      </c>
      <c r="M9" s="847" t="s">
        <v>43</v>
      </c>
      <c r="N9" s="847" t="s">
        <v>43</v>
      </c>
      <c r="O9" s="847" t="s">
        <v>43</v>
      </c>
      <c r="P9" s="903"/>
      <c r="Q9" s="81"/>
    </row>
    <row r="10" spans="1:18">
      <c r="A10" s="392" t="s">
        <v>99</v>
      </c>
      <c r="B10" s="82" t="s">
        <v>99</v>
      </c>
      <c r="C10" s="904" t="s">
        <v>952</v>
      </c>
      <c r="D10" s="612">
        <f>'C.2.2-F 09'!D10</f>
        <v>43556</v>
      </c>
      <c r="E10" s="612">
        <f>'C.2.2-F 09'!F10</f>
        <v>43617</v>
      </c>
      <c r="F10" s="612">
        <f>'C.2.2-F 09'!F10</f>
        <v>43617</v>
      </c>
      <c r="G10" s="612">
        <f>'C.2.2-F 09'!G10</f>
        <v>43647</v>
      </c>
      <c r="H10" s="612">
        <f>'C.2.2-F 09'!H10</f>
        <v>43678</v>
      </c>
      <c r="I10" s="612">
        <f>'C.2.2-F 09'!I10</f>
        <v>43709</v>
      </c>
      <c r="J10" s="612">
        <f>'C.2.2-F 09'!J10</f>
        <v>43739</v>
      </c>
      <c r="K10" s="612">
        <f>'C.2.2-F 09'!K10</f>
        <v>43770</v>
      </c>
      <c r="L10" s="612">
        <f>'C.2.2-F 09'!L10</f>
        <v>43800</v>
      </c>
      <c r="M10" s="612">
        <f>'C.2.2-F 09'!M10</f>
        <v>43831</v>
      </c>
      <c r="N10" s="612">
        <f>'C.2.2-F 09'!N10</f>
        <v>43862</v>
      </c>
      <c r="O10" s="612">
        <f>'C.2.2-F 09'!O10</f>
        <v>43891</v>
      </c>
      <c r="P10" s="363" t="str">
        <f>'C.2.2 B 09'!P10</f>
        <v>Total</v>
      </c>
      <c r="Q10" s="81"/>
    </row>
    <row r="11" spans="1:18">
      <c r="A11" s="81"/>
      <c r="B11" s="81"/>
      <c r="C11" s="81"/>
      <c r="D11" s="848" t="s">
        <v>146</v>
      </c>
      <c r="E11" s="848" t="s">
        <v>146</v>
      </c>
      <c r="F11" s="848" t="s">
        <v>146</v>
      </c>
      <c r="G11" s="848" t="s">
        <v>146</v>
      </c>
      <c r="H11" s="848" t="s">
        <v>146</v>
      </c>
      <c r="I11" s="848" t="s">
        <v>146</v>
      </c>
      <c r="J11" s="848" t="s">
        <v>146</v>
      </c>
      <c r="K11" s="848" t="s">
        <v>146</v>
      </c>
      <c r="L11" s="848" t="s">
        <v>146</v>
      </c>
      <c r="M11" s="848" t="s">
        <v>146</v>
      </c>
      <c r="N11" s="848" t="s">
        <v>146</v>
      </c>
      <c r="O11" s="848" t="s">
        <v>146</v>
      </c>
      <c r="P11" s="848" t="s">
        <v>146</v>
      </c>
      <c r="Q11" s="81"/>
    </row>
    <row r="12" spans="1:18">
      <c r="A12" s="850">
        <v>1</v>
      </c>
      <c r="B12" s="706">
        <v>4030</v>
      </c>
      <c r="C12" s="81" t="s">
        <v>91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81">
        <v>0</v>
      </c>
      <c r="Q12" s="81"/>
    </row>
    <row r="13" spans="1:18">
      <c r="A13" s="850">
        <f>A12+1</f>
        <v>2</v>
      </c>
      <c r="B13" s="706">
        <v>4081</v>
      </c>
      <c r="C13" s="81" t="s">
        <v>862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81">
        <v>0</v>
      </c>
      <c r="Q13" s="81"/>
    </row>
    <row r="14" spans="1:18">
      <c r="A14" s="850">
        <f>A13+1</f>
        <v>3</v>
      </c>
      <c r="B14" s="365">
        <v>8210</v>
      </c>
      <c r="C14" s="103" t="s">
        <v>891</v>
      </c>
      <c r="D14" s="596">
        <v>0</v>
      </c>
      <c r="E14" s="596">
        <v>0</v>
      </c>
      <c r="F14" s="596">
        <v>0</v>
      </c>
      <c r="G14" s="596">
        <v>0</v>
      </c>
      <c r="H14" s="596">
        <v>0</v>
      </c>
      <c r="I14" s="596">
        <v>0</v>
      </c>
      <c r="J14" s="596">
        <v>0</v>
      </c>
      <c r="K14" s="596">
        <v>0</v>
      </c>
      <c r="L14" s="596">
        <v>0</v>
      </c>
      <c r="M14" s="596">
        <v>0</v>
      </c>
      <c r="N14" s="596">
        <v>0</v>
      </c>
      <c r="O14" s="596">
        <v>0</v>
      </c>
      <c r="P14" s="81">
        <v>0</v>
      </c>
      <c r="Q14" s="81"/>
    </row>
    <row r="15" spans="1:18">
      <c r="A15" s="850">
        <f t="shared" ref="A15:A20" si="0">A14+1</f>
        <v>4</v>
      </c>
      <c r="B15" s="706">
        <v>8560</v>
      </c>
      <c r="C15" s="81" t="s">
        <v>909</v>
      </c>
      <c r="D15" s="596">
        <v>1290.6159433937373</v>
      </c>
      <c r="E15" s="596">
        <v>1349.1734457064617</v>
      </c>
      <c r="F15" s="596">
        <v>1173.5006288270752</v>
      </c>
      <c r="G15" s="596">
        <v>1349.1734457064617</v>
      </c>
      <c r="H15" s="596">
        <v>1290.6159433937373</v>
      </c>
      <c r="I15" s="596">
        <v>1232.1450728683544</v>
      </c>
      <c r="J15" s="596">
        <v>1396.0658987042982</v>
      </c>
      <c r="K15" s="596">
        <v>1335.4726619787464</v>
      </c>
      <c r="L15" s="596">
        <v>1274.8794255373275</v>
      </c>
      <c r="M15" s="596">
        <v>1389.6486490776556</v>
      </c>
      <c r="N15" s="596">
        <v>1208.7056476918874</v>
      </c>
      <c r="O15" s="596">
        <v>1269.0201945975764</v>
      </c>
      <c r="P15" s="81">
        <v>15559.01695748332</v>
      </c>
      <c r="Q15" s="81"/>
      <c r="R15" s="690"/>
    </row>
    <row r="16" spans="1:18">
      <c r="A16" s="850">
        <f t="shared" si="0"/>
        <v>5</v>
      </c>
      <c r="B16" s="706">
        <v>8700</v>
      </c>
      <c r="C16" s="81" t="s">
        <v>913</v>
      </c>
      <c r="D16" s="596">
        <v>40289.426297724953</v>
      </c>
      <c r="E16" s="596">
        <v>42175.929027634367</v>
      </c>
      <c r="F16" s="596">
        <v>40147.8091295083</v>
      </c>
      <c r="G16" s="596">
        <v>42878.108573457001</v>
      </c>
      <c r="H16" s="596">
        <v>40507.934885857401</v>
      </c>
      <c r="I16" s="596">
        <v>43399.814599081648</v>
      </c>
      <c r="J16" s="596">
        <v>43509.859721459892</v>
      </c>
      <c r="K16" s="596">
        <v>41949.649029056571</v>
      </c>
      <c r="L16" s="596">
        <v>40366.188147058652</v>
      </c>
      <c r="M16" s="596">
        <v>41069.80824986651</v>
      </c>
      <c r="N16" s="596">
        <v>39694.442278933348</v>
      </c>
      <c r="O16" s="596">
        <v>41179.643078960864</v>
      </c>
      <c r="P16" s="81">
        <v>497168.61301859951</v>
      </c>
      <c r="Q16" s="81"/>
      <c r="R16" s="690"/>
    </row>
    <row r="17" spans="1:18">
      <c r="A17" s="850">
        <f t="shared" si="0"/>
        <v>6</v>
      </c>
      <c r="B17" s="706">
        <v>8740</v>
      </c>
      <c r="C17" s="81" t="s">
        <v>915</v>
      </c>
      <c r="D17" s="596">
        <v>6227.4782322938163</v>
      </c>
      <c r="E17" s="596">
        <v>6227.4782322938163</v>
      </c>
      <c r="F17" s="596">
        <v>6227.4782322938163</v>
      </c>
      <c r="G17" s="596">
        <v>6227.4782322938163</v>
      </c>
      <c r="H17" s="596">
        <v>6227.4782322938163</v>
      </c>
      <c r="I17" s="596">
        <v>6231.4587233339525</v>
      </c>
      <c r="J17" s="596">
        <v>6227.4782322938163</v>
      </c>
      <c r="K17" s="596">
        <v>6227.4782322938163</v>
      </c>
      <c r="L17" s="596">
        <v>6227.4782322938163</v>
      </c>
      <c r="M17" s="596">
        <v>6227.4782322938163</v>
      </c>
      <c r="N17" s="596">
        <v>6227.4782322938163</v>
      </c>
      <c r="O17" s="596">
        <v>6227.4782322938163</v>
      </c>
      <c r="P17" s="81">
        <v>74733.719278565943</v>
      </c>
      <c r="Q17" s="81"/>
    </row>
    <row r="18" spans="1:18">
      <c r="A18" s="850">
        <f t="shared" si="0"/>
        <v>7</v>
      </c>
      <c r="B18" s="365">
        <v>8780</v>
      </c>
      <c r="C18" s="210" t="s">
        <v>919</v>
      </c>
      <c r="D18" s="596">
        <v>0</v>
      </c>
      <c r="E18" s="596">
        <v>0</v>
      </c>
      <c r="F18" s="596">
        <v>0</v>
      </c>
      <c r="G18" s="596">
        <v>0</v>
      </c>
      <c r="H18" s="596">
        <v>0</v>
      </c>
      <c r="I18" s="596">
        <v>0</v>
      </c>
      <c r="J18" s="596">
        <v>0</v>
      </c>
      <c r="K18" s="596">
        <v>0</v>
      </c>
      <c r="L18" s="596">
        <v>0</v>
      </c>
      <c r="M18" s="596">
        <v>0</v>
      </c>
      <c r="N18" s="596">
        <v>0</v>
      </c>
      <c r="O18" s="596">
        <v>0</v>
      </c>
      <c r="P18" s="81">
        <v>0</v>
      </c>
      <c r="Q18" s="81"/>
    </row>
    <row r="19" spans="1:18">
      <c r="A19" s="850">
        <f t="shared" si="0"/>
        <v>8</v>
      </c>
      <c r="B19" s="706">
        <v>8800</v>
      </c>
      <c r="C19" s="81" t="s">
        <v>921</v>
      </c>
      <c r="D19" s="596">
        <v>0</v>
      </c>
      <c r="E19" s="596">
        <v>0</v>
      </c>
      <c r="F19" s="596">
        <v>0</v>
      </c>
      <c r="G19" s="596">
        <v>0</v>
      </c>
      <c r="H19" s="596">
        <v>0</v>
      </c>
      <c r="I19" s="596">
        <v>0</v>
      </c>
      <c r="J19" s="596">
        <v>0</v>
      </c>
      <c r="K19" s="596">
        <v>0</v>
      </c>
      <c r="L19" s="596">
        <v>0</v>
      </c>
      <c r="M19" s="596">
        <v>0</v>
      </c>
      <c r="N19" s="596">
        <v>0</v>
      </c>
      <c r="O19" s="596">
        <v>0</v>
      </c>
      <c r="P19" s="81">
        <v>0</v>
      </c>
      <c r="Q19" s="81"/>
    </row>
    <row r="20" spans="1:18">
      <c r="A20" s="1154">
        <f t="shared" si="0"/>
        <v>9</v>
      </c>
      <c r="B20" s="706">
        <v>8850</v>
      </c>
      <c r="C20" s="103" t="s">
        <v>1648</v>
      </c>
      <c r="D20" s="596">
        <v>16990315.082228947</v>
      </c>
      <c r="E20" s="596">
        <v>21798984.801061392</v>
      </c>
      <c r="F20" s="596">
        <v>16389216.032275878</v>
      </c>
      <c r="G20" s="596">
        <v>20381248.888622656</v>
      </c>
      <c r="H20" s="596">
        <v>15192472.588887028</v>
      </c>
      <c r="I20" s="596">
        <v>15531582.211373955</v>
      </c>
      <c r="J20" s="596">
        <v>16712709.838847796</v>
      </c>
      <c r="K20" s="596">
        <v>16588628.948105497</v>
      </c>
      <c r="L20" s="596">
        <v>16696240.615405273</v>
      </c>
      <c r="M20" s="596">
        <v>17593151.365926098</v>
      </c>
      <c r="N20" s="596">
        <v>16611592.710551493</v>
      </c>
      <c r="O20" s="596">
        <v>19213246.06601375</v>
      </c>
      <c r="P20" s="81">
        <v>209699389.14929977</v>
      </c>
      <c r="Q20" s="81"/>
    </row>
    <row r="21" spans="1:18">
      <c r="A21" s="850">
        <f>A19+1</f>
        <v>9</v>
      </c>
      <c r="B21" s="365">
        <v>8900</v>
      </c>
      <c r="C21" s="80" t="s">
        <v>927</v>
      </c>
      <c r="D21" s="596">
        <v>0</v>
      </c>
      <c r="E21" s="596">
        <v>0</v>
      </c>
      <c r="F21" s="596">
        <v>0</v>
      </c>
      <c r="G21" s="596">
        <v>0</v>
      </c>
      <c r="H21" s="596">
        <v>0</v>
      </c>
      <c r="I21" s="596">
        <v>0</v>
      </c>
      <c r="J21" s="596">
        <v>0</v>
      </c>
      <c r="K21" s="596">
        <v>0</v>
      </c>
      <c r="L21" s="596">
        <v>0</v>
      </c>
      <c r="M21" s="596">
        <v>0</v>
      </c>
      <c r="N21" s="596">
        <v>0</v>
      </c>
      <c r="O21" s="596">
        <v>0</v>
      </c>
      <c r="P21" s="81">
        <v>0</v>
      </c>
      <c r="Q21" s="81"/>
    </row>
    <row r="22" spans="1:18">
      <c r="A22" s="850">
        <f t="shared" ref="A22:A42" si="1">A21+1</f>
        <v>10</v>
      </c>
      <c r="B22" s="706">
        <v>9010</v>
      </c>
      <c r="C22" s="81" t="s">
        <v>181</v>
      </c>
      <c r="D22" s="596">
        <v>0</v>
      </c>
      <c r="E22" s="596">
        <v>0</v>
      </c>
      <c r="F22" s="596">
        <v>0</v>
      </c>
      <c r="G22" s="596">
        <v>0</v>
      </c>
      <c r="H22" s="596">
        <v>0</v>
      </c>
      <c r="I22" s="596">
        <v>0</v>
      </c>
      <c r="J22" s="596">
        <v>0</v>
      </c>
      <c r="K22" s="596">
        <v>0</v>
      </c>
      <c r="L22" s="596">
        <v>0</v>
      </c>
      <c r="M22" s="596">
        <v>0</v>
      </c>
      <c r="N22" s="596">
        <v>0</v>
      </c>
      <c r="O22" s="596">
        <v>0</v>
      </c>
      <c r="P22" s="81">
        <v>0</v>
      </c>
      <c r="Q22" s="81"/>
    </row>
    <row r="23" spans="1:18">
      <c r="A23" s="850">
        <f t="shared" si="1"/>
        <v>11</v>
      </c>
      <c r="B23" s="706">
        <v>9030</v>
      </c>
      <c r="C23" s="81" t="s">
        <v>937</v>
      </c>
      <c r="D23" s="596">
        <v>9321.2297276054069</v>
      </c>
      <c r="E23" s="596">
        <v>9741.2337841680583</v>
      </c>
      <c r="F23" s="596">
        <v>8487.9423924360635</v>
      </c>
      <c r="G23" s="596">
        <v>9741.5112018101463</v>
      </c>
      <c r="H23" s="596">
        <v>9319.0161184232184</v>
      </c>
      <c r="I23" s="596">
        <v>8906.9002666200031</v>
      </c>
      <c r="J23" s="596">
        <v>10078.787663758831</v>
      </c>
      <c r="K23" s="596">
        <v>9641.174847654358</v>
      </c>
      <c r="L23" s="596">
        <v>9216.1846384146756</v>
      </c>
      <c r="M23" s="596">
        <v>10037.724018548106</v>
      </c>
      <c r="N23" s="596">
        <v>8732.5054900520663</v>
      </c>
      <c r="O23" s="596">
        <v>9303.1195377180284</v>
      </c>
      <c r="P23" s="81">
        <v>112527.32968720896</v>
      </c>
      <c r="Q23" s="81"/>
    </row>
    <row r="24" spans="1:18">
      <c r="A24" s="850">
        <f t="shared" si="1"/>
        <v>12</v>
      </c>
      <c r="B24" s="706">
        <v>9100</v>
      </c>
      <c r="C24" s="81" t="s">
        <v>940</v>
      </c>
      <c r="D24" s="596">
        <v>0</v>
      </c>
      <c r="E24" s="596">
        <v>0</v>
      </c>
      <c r="F24" s="596">
        <v>0</v>
      </c>
      <c r="G24" s="596">
        <v>0</v>
      </c>
      <c r="H24" s="596">
        <v>0</v>
      </c>
      <c r="I24" s="596">
        <v>0</v>
      </c>
      <c r="J24" s="596">
        <v>0</v>
      </c>
      <c r="K24" s="596">
        <v>0</v>
      </c>
      <c r="L24" s="596">
        <v>0</v>
      </c>
      <c r="M24" s="596">
        <v>0</v>
      </c>
      <c r="N24" s="596">
        <v>0</v>
      </c>
      <c r="O24" s="596">
        <v>0</v>
      </c>
      <c r="P24" s="81">
        <v>0</v>
      </c>
      <c r="Q24" s="81"/>
    </row>
    <row r="25" spans="1:18">
      <c r="A25" s="850">
        <f t="shared" si="1"/>
        <v>13</v>
      </c>
      <c r="B25" s="706">
        <v>9120</v>
      </c>
      <c r="C25" s="103" t="s">
        <v>1225</v>
      </c>
      <c r="D25" s="596">
        <v>1592.7679250798669</v>
      </c>
      <c r="E25" s="596">
        <v>1798.6476527412945</v>
      </c>
      <c r="F25" s="596">
        <v>1675.1198161444379</v>
      </c>
      <c r="G25" s="596">
        <v>1592.7679250798669</v>
      </c>
      <c r="H25" s="596">
        <v>2498.6387267901478</v>
      </c>
      <c r="I25" s="596">
        <v>1674.1315934516631</v>
      </c>
      <c r="J25" s="596">
        <v>2004.527380402722</v>
      </c>
      <c r="K25" s="596">
        <v>1757.4717072090091</v>
      </c>
      <c r="L25" s="596">
        <v>2642.7545361531475</v>
      </c>
      <c r="M25" s="596">
        <v>1979.8218130833507</v>
      </c>
      <c r="N25" s="596">
        <v>1753.3541126557807</v>
      </c>
      <c r="O25" s="596">
        <v>1716.2957616767235</v>
      </c>
      <c r="P25" s="81">
        <v>22686.298950468012</v>
      </c>
      <c r="Q25" s="81"/>
    </row>
    <row r="26" spans="1:18">
      <c r="A26" s="1154">
        <f t="shared" si="1"/>
        <v>14</v>
      </c>
      <c r="B26" s="706">
        <v>9160</v>
      </c>
      <c r="C26" s="103" t="s">
        <v>837</v>
      </c>
      <c r="D26" s="596">
        <v>435.09010566608231</v>
      </c>
      <c r="E26" s="596">
        <v>455.90141810643627</v>
      </c>
      <c r="F26" s="596">
        <v>450.39684563639025</v>
      </c>
      <c r="G26" s="596">
        <v>466.91056304652824</v>
      </c>
      <c r="H26" s="596">
        <v>438.60088359080288</v>
      </c>
      <c r="I26" s="596">
        <v>492.69613322782425</v>
      </c>
      <c r="J26" s="596">
        <v>470.03580058955606</v>
      </c>
      <c r="K26" s="596">
        <v>454.48042641391157</v>
      </c>
      <c r="L26" s="596">
        <v>438.68271256977442</v>
      </c>
      <c r="M26" s="596">
        <v>432.55812822059806</v>
      </c>
      <c r="N26" s="596">
        <v>437.99660805378244</v>
      </c>
      <c r="O26" s="596">
        <v>452.33084208169805</v>
      </c>
      <c r="P26" s="81">
        <v>5425.680467203385</v>
      </c>
      <c r="Q26" s="81"/>
    </row>
    <row r="27" spans="1:18">
      <c r="A27" s="1154">
        <f t="shared" si="1"/>
        <v>15</v>
      </c>
      <c r="B27" s="706">
        <v>9200</v>
      </c>
      <c r="C27" s="81" t="s">
        <v>182</v>
      </c>
      <c r="D27" s="596">
        <v>-18260637.829005595</v>
      </c>
      <c r="E27" s="596">
        <v>-24467023.112529147</v>
      </c>
      <c r="F27" s="596">
        <v>-17831030.382756699</v>
      </c>
      <c r="G27" s="596">
        <v>-22575206.610118631</v>
      </c>
      <c r="H27" s="596">
        <v>-15870303.825682504</v>
      </c>
      <c r="I27" s="596">
        <v>-16493102.772796918</v>
      </c>
      <c r="J27" s="596">
        <v>-17553877.354137652</v>
      </c>
      <c r="K27" s="596">
        <v>-17588997.432234794</v>
      </c>
      <c r="L27" s="596">
        <v>-17922016.41240507</v>
      </c>
      <c r="M27" s="596">
        <v>-18746427.987458277</v>
      </c>
      <c r="N27" s="596">
        <v>-18020906.315728329</v>
      </c>
      <c r="O27" s="596">
        <v>-21273611.319151603</v>
      </c>
      <c r="P27" s="81">
        <v>-226603141.35400525</v>
      </c>
      <c r="Q27" s="81"/>
    </row>
    <row r="28" spans="1:18">
      <c r="A28" s="1154">
        <f t="shared" si="1"/>
        <v>16</v>
      </c>
      <c r="B28" s="706">
        <v>9210</v>
      </c>
      <c r="C28" s="81" t="s">
        <v>944</v>
      </c>
      <c r="D28" s="596">
        <v>2961646.1162524079</v>
      </c>
      <c r="E28" s="596">
        <v>2919576.2442315826</v>
      </c>
      <c r="F28" s="596">
        <v>2878833.7252094275</v>
      </c>
      <c r="G28" s="596">
        <v>3089374.5900166109</v>
      </c>
      <c r="H28" s="596">
        <v>3095164.0861845738</v>
      </c>
      <c r="I28" s="596">
        <v>3165939.175366187</v>
      </c>
      <c r="J28" s="596">
        <v>2925306.7005633302</v>
      </c>
      <c r="K28" s="596">
        <v>2709077.1102262349</v>
      </c>
      <c r="L28" s="596">
        <v>2859362.9128975086</v>
      </c>
      <c r="M28" s="596">
        <v>2807136.9017923241</v>
      </c>
      <c r="N28" s="596">
        <v>2789646.7136545661</v>
      </c>
      <c r="O28" s="596">
        <v>2896749.3328193137</v>
      </c>
      <c r="P28" s="81">
        <v>35097813.609214075</v>
      </c>
      <c r="Q28" s="81"/>
    </row>
    <row r="29" spans="1:18">
      <c r="A29" s="1154">
        <f t="shared" si="1"/>
        <v>17</v>
      </c>
      <c r="B29" s="706">
        <v>9220</v>
      </c>
      <c r="C29" s="81" t="s">
        <v>945</v>
      </c>
      <c r="D29" s="96">
        <v>-8659767.8420000058</v>
      </c>
      <c r="E29" s="96">
        <v>-11774277.607500004</v>
      </c>
      <c r="F29" s="96">
        <v>-8664345.881900005</v>
      </c>
      <c r="G29" s="96">
        <v>-11298399.422400009</v>
      </c>
      <c r="H29" s="96">
        <v>-8041712.6802000003</v>
      </c>
      <c r="I29" s="96">
        <v>-7958612.8928000042</v>
      </c>
      <c r="J29" s="96">
        <v>-9028379.4567189235</v>
      </c>
      <c r="K29" s="96">
        <v>-9016519.9665654898</v>
      </c>
      <c r="L29" s="96">
        <v>-9152629.8825470693</v>
      </c>
      <c r="M29" s="96">
        <v>-9354525.3936645444</v>
      </c>
      <c r="N29" s="96">
        <v>-8848780.1148692351</v>
      </c>
      <c r="O29" s="96">
        <v>-11046378.697175987</v>
      </c>
      <c r="P29" s="81">
        <v>-112844329.83834127</v>
      </c>
      <c r="Q29" s="81"/>
    </row>
    <row r="30" spans="1:18">
      <c r="A30" s="1154">
        <f t="shared" si="1"/>
        <v>18</v>
      </c>
      <c r="B30" s="706">
        <v>9230</v>
      </c>
      <c r="C30" s="81" t="s">
        <v>946</v>
      </c>
      <c r="D30" s="596">
        <v>932826.26809255197</v>
      </c>
      <c r="E30" s="596">
        <v>921309.41317626636</v>
      </c>
      <c r="F30" s="596">
        <v>998989.40471776179</v>
      </c>
      <c r="G30" s="596">
        <v>963270.54238017055</v>
      </c>
      <c r="H30" s="596">
        <v>932153.32183036208</v>
      </c>
      <c r="I30" s="596">
        <v>1040509.507270138</v>
      </c>
      <c r="J30" s="596">
        <v>903706.85312850692</v>
      </c>
      <c r="K30" s="596">
        <v>881820.04260078259</v>
      </c>
      <c r="L30" s="596">
        <v>924837.86126786133</v>
      </c>
      <c r="M30" s="596">
        <v>897384.72202411178</v>
      </c>
      <c r="N30" s="596">
        <v>945742.11150782683</v>
      </c>
      <c r="O30" s="596">
        <v>1016812.3957529952</v>
      </c>
      <c r="P30" s="81">
        <v>11359362.443749333</v>
      </c>
      <c r="Q30" s="81"/>
    </row>
    <row r="31" spans="1:18">
      <c r="A31" s="1154">
        <f t="shared" si="1"/>
        <v>19</v>
      </c>
      <c r="B31" s="706">
        <v>9240</v>
      </c>
      <c r="C31" s="81" t="s">
        <v>947</v>
      </c>
      <c r="D31" s="596">
        <v>11976.413042635611</v>
      </c>
      <c r="E31" s="596">
        <v>11976.413042635611</v>
      </c>
      <c r="F31" s="596">
        <v>11976.413042635611</v>
      </c>
      <c r="G31" s="596">
        <v>11976.413042635611</v>
      </c>
      <c r="H31" s="596">
        <v>12106.837649100213</v>
      </c>
      <c r="I31" s="596">
        <v>11976.413042635611</v>
      </c>
      <c r="J31" s="596">
        <v>11862.783070920941</v>
      </c>
      <c r="K31" s="596">
        <v>11969.080473871165</v>
      </c>
      <c r="L31" s="596">
        <v>11969.080473871165</v>
      </c>
      <c r="M31" s="596">
        <v>11969.080473871165</v>
      </c>
      <c r="N31" s="596">
        <v>11969.080473871165</v>
      </c>
      <c r="O31" s="596">
        <v>11976.256879506069</v>
      </c>
      <c r="P31" s="81">
        <v>143704.26470818993</v>
      </c>
      <c r="Q31" s="81"/>
    </row>
    <row r="32" spans="1:18">
      <c r="A32" s="1154">
        <f t="shared" si="1"/>
        <v>20</v>
      </c>
      <c r="B32" s="706">
        <v>9250</v>
      </c>
      <c r="C32" s="81" t="s">
        <v>948</v>
      </c>
      <c r="D32" s="596">
        <v>1686725.7932429584</v>
      </c>
      <c r="E32" s="596">
        <v>1687242.3679164215</v>
      </c>
      <c r="F32" s="596">
        <v>1685692.6411583833</v>
      </c>
      <c r="G32" s="596">
        <v>1687242.3679164215</v>
      </c>
      <c r="H32" s="596">
        <v>1704969.2250897246</v>
      </c>
      <c r="I32" s="596">
        <v>1686210.0080988137</v>
      </c>
      <c r="J32" s="596">
        <v>1672097.1837121707</v>
      </c>
      <c r="K32" s="596">
        <v>1686411.7743562721</v>
      </c>
      <c r="L32" s="596">
        <v>1685857.7793980229</v>
      </c>
      <c r="M32" s="596">
        <v>1686907.0973572144</v>
      </c>
      <c r="N32" s="596">
        <v>1685252.7623788361</v>
      </c>
      <c r="O32" s="596">
        <v>1686808.0250159993</v>
      </c>
      <c r="P32" s="81">
        <v>20241417.025641236</v>
      </c>
      <c r="Q32" s="81"/>
      <c r="R32" s="690"/>
    </row>
    <row r="33" spans="1:17">
      <c r="A33" s="1154">
        <f t="shared" si="1"/>
        <v>21</v>
      </c>
      <c r="B33" s="706">
        <v>9260</v>
      </c>
      <c r="C33" s="81" t="s">
        <v>949</v>
      </c>
      <c r="D33" s="596">
        <v>3402368.9567482574</v>
      </c>
      <c r="E33" s="596">
        <v>8016561.5784550719</v>
      </c>
      <c r="F33" s="596">
        <v>3349039.1885633888</v>
      </c>
      <c r="G33" s="596">
        <v>6845160.0148082478</v>
      </c>
      <c r="H33" s="596">
        <v>2080045.775415756</v>
      </c>
      <c r="I33" s="596">
        <v>1901296.9416221301</v>
      </c>
      <c r="J33" s="596">
        <v>3454171.323240919</v>
      </c>
      <c r="K33" s="596">
        <v>3850403.1026255158</v>
      </c>
      <c r="L33" s="596">
        <v>3782486.1010320759</v>
      </c>
      <c r="M33" s="596">
        <v>4126699.9090421721</v>
      </c>
      <c r="N33" s="596">
        <v>3855384.0085120164</v>
      </c>
      <c r="O33" s="596">
        <v>3541567.6340234973</v>
      </c>
      <c r="P33" s="81">
        <v>48205184.534089051</v>
      </c>
      <c r="Q33" s="81"/>
    </row>
    <row r="34" spans="1:17">
      <c r="A34" s="1154">
        <f t="shared" si="1"/>
        <v>22</v>
      </c>
      <c r="B34" s="706">
        <v>9301</v>
      </c>
      <c r="C34" s="81" t="s">
        <v>183</v>
      </c>
      <c r="D34" s="596">
        <v>0</v>
      </c>
      <c r="E34" s="596">
        <v>0</v>
      </c>
      <c r="F34" s="596">
        <v>0</v>
      </c>
      <c r="G34" s="596">
        <v>0</v>
      </c>
      <c r="H34" s="596">
        <v>0</v>
      </c>
      <c r="I34" s="596">
        <v>0</v>
      </c>
      <c r="J34" s="596">
        <v>0</v>
      </c>
      <c r="K34" s="596">
        <v>0</v>
      </c>
      <c r="L34" s="596">
        <v>0</v>
      </c>
      <c r="M34" s="596">
        <v>0</v>
      </c>
      <c r="N34" s="596">
        <v>0</v>
      </c>
      <c r="O34" s="596">
        <v>0</v>
      </c>
      <c r="P34" s="81">
        <v>0</v>
      </c>
      <c r="Q34" s="81"/>
    </row>
    <row r="35" spans="1:17">
      <c r="A35" s="1154">
        <f t="shared" si="1"/>
        <v>23</v>
      </c>
      <c r="B35" s="706">
        <v>9302</v>
      </c>
      <c r="C35" s="81" t="s">
        <v>857</v>
      </c>
      <c r="D35" s="596">
        <v>327410.1846858018</v>
      </c>
      <c r="E35" s="596">
        <v>278765.49182960705</v>
      </c>
      <c r="F35" s="596">
        <v>576119.73005964293</v>
      </c>
      <c r="G35" s="596">
        <v>282922.57653009443</v>
      </c>
      <c r="H35" s="596">
        <v>287542.09244580485</v>
      </c>
      <c r="I35" s="596">
        <v>492583.32524524449</v>
      </c>
      <c r="J35" s="596">
        <v>261298.79200083192</v>
      </c>
      <c r="K35" s="596">
        <v>243627.54279626772</v>
      </c>
      <c r="L35" s="596">
        <v>509151.37894264434</v>
      </c>
      <c r="M35" s="596">
        <v>372134.23579678428</v>
      </c>
      <c r="N35" s="596">
        <v>368288.75968148687</v>
      </c>
      <c r="O35" s="596">
        <v>3345371.7997412262</v>
      </c>
      <c r="P35" s="81">
        <v>7345215.9097554367</v>
      </c>
      <c r="Q35" s="81"/>
    </row>
    <row r="36" spans="1:17">
      <c r="A36" s="1154">
        <f t="shared" si="1"/>
        <v>24</v>
      </c>
      <c r="B36" s="706">
        <v>9310</v>
      </c>
      <c r="C36" s="81" t="s">
        <v>184</v>
      </c>
      <c r="D36" s="596">
        <v>504803.37827339716</v>
      </c>
      <c r="E36" s="596">
        <v>503215.78049159347</v>
      </c>
      <c r="F36" s="596">
        <v>504763.03949788969</v>
      </c>
      <c r="G36" s="596">
        <v>505291.66624201986</v>
      </c>
      <c r="H36" s="596">
        <v>502614.87712421443</v>
      </c>
      <c r="I36" s="596">
        <v>514624.05521363049</v>
      </c>
      <c r="J36" s="596">
        <v>534952.50604392355</v>
      </c>
      <c r="K36" s="596">
        <v>532113.20683688927</v>
      </c>
      <c r="L36" s="596">
        <v>502560.56753564719</v>
      </c>
      <c r="M36" s="596">
        <v>503530.86299928214</v>
      </c>
      <c r="N36" s="596">
        <v>502362.45131757471</v>
      </c>
      <c r="O36" s="596">
        <v>504955.77263368253</v>
      </c>
      <c r="P36" s="81">
        <v>6115788.1642097449</v>
      </c>
      <c r="Q36" s="81"/>
    </row>
    <row r="37" spans="1:17">
      <c r="A37" s="1154">
        <f t="shared" si="1"/>
        <v>25</v>
      </c>
      <c r="B37" s="706">
        <v>9320</v>
      </c>
      <c r="C37" s="81" t="s">
        <v>185</v>
      </c>
      <c r="D37" s="596">
        <v>43176.870206876614</v>
      </c>
      <c r="E37" s="596">
        <v>41920.266263927675</v>
      </c>
      <c r="F37" s="596">
        <v>42583.843086847868</v>
      </c>
      <c r="G37" s="596">
        <v>44863.023018383581</v>
      </c>
      <c r="H37" s="596">
        <v>44665.416465591188</v>
      </c>
      <c r="I37" s="596">
        <v>45056.881975605487</v>
      </c>
      <c r="J37" s="596">
        <v>42464.075550967755</v>
      </c>
      <c r="K37" s="596">
        <v>40100.863874347968</v>
      </c>
      <c r="L37" s="596">
        <v>42013.830307207092</v>
      </c>
      <c r="M37" s="596">
        <v>40902.166619874122</v>
      </c>
      <c r="N37" s="596">
        <v>41393.350150214494</v>
      </c>
      <c r="O37" s="596">
        <v>42354.845800287447</v>
      </c>
      <c r="P37" s="81">
        <v>511495.43332013133</v>
      </c>
      <c r="Q37" s="81"/>
    </row>
    <row r="38" spans="1:17" ht="15.75" thickBot="1">
      <c r="A38" s="1154">
        <f t="shared" si="1"/>
        <v>26</v>
      </c>
      <c r="B38" s="81" t="s">
        <v>734</v>
      </c>
      <c r="C38" s="81"/>
      <c r="D38" s="898">
        <v>1.0622898116707802E-9</v>
      </c>
      <c r="E38" s="898">
        <v>-1.9281287677586079E-9</v>
      </c>
      <c r="F38" s="898">
        <v>5.3114490583539009E-10</v>
      </c>
      <c r="G38" s="898">
        <v>-2.750311978161335E-9</v>
      </c>
      <c r="H38" s="898">
        <v>-6.8394001573324203E-10</v>
      </c>
      <c r="I38" s="898">
        <v>1.6007106751203537E-10</v>
      </c>
      <c r="J38" s="898">
        <v>2.7648638933897018E-10</v>
      </c>
      <c r="K38" s="898">
        <v>7.8580342233181E-10</v>
      </c>
      <c r="L38" s="898">
        <v>-3.2741809263825417E-10</v>
      </c>
      <c r="M38" s="898">
        <v>-1.7535057850182056E-9</v>
      </c>
      <c r="N38" s="898">
        <v>1.1496013030409813E-9</v>
      </c>
      <c r="O38" s="898">
        <v>-2.3792381398379803E-9</v>
      </c>
      <c r="P38" s="898">
        <v>-2.1245796233415604E-8</v>
      </c>
      <c r="Q38" s="81"/>
    </row>
    <row r="39" spans="1:17" ht="15.75" thickTop="1">
      <c r="A39" s="1154">
        <f t="shared" si="1"/>
        <v>27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1:17">
      <c r="A40" s="1154">
        <f t="shared" si="1"/>
        <v>28</v>
      </c>
      <c r="B40" s="706">
        <f t="shared" ref="B40:C40" si="2">B29</f>
        <v>9220</v>
      </c>
      <c r="C40" s="81" t="str">
        <f t="shared" si="2"/>
        <v>A&amp;G-Administrative expense transferred-Credit</v>
      </c>
      <c r="D40" s="81">
        <v>-8659767.8420000058</v>
      </c>
      <c r="E40" s="81">
        <v>-11774277.607500004</v>
      </c>
      <c r="F40" s="81">
        <v>-8664345.881900005</v>
      </c>
      <c r="G40" s="81">
        <v>-11298399.422400009</v>
      </c>
      <c r="H40" s="81">
        <v>-8041712.6802000003</v>
      </c>
      <c r="I40" s="81">
        <v>-7958612.8928000042</v>
      </c>
      <c r="J40" s="81">
        <v>-9028379.4567189235</v>
      </c>
      <c r="K40" s="81">
        <v>-9016519.9665654898</v>
      </c>
      <c r="L40" s="81">
        <v>-9152629.8825470693</v>
      </c>
      <c r="M40" s="81">
        <v>-9354525.3936645444</v>
      </c>
      <c r="N40" s="81">
        <v>-8848780.1148692351</v>
      </c>
      <c r="O40" s="81">
        <v>-11046378.697175987</v>
      </c>
      <c r="P40" s="81"/>
      <c r="Q40" s="81"/>
    </row>
    <row r="41" spans="1:17">
      <c r="A41" s="1154">
        <f t="shared" si="1"/>
        <v>29</v>
      </c>
      <c r="B41" s="81"/>
      <c r="C41" s="81" t="s">
        <v>195</v>
      </c>
      <c r="D41" s="905">
        <v>5.1771199999999996E-2</v>
      </c>
      <c r="E41" s="905">
        <v>5.1771199999999996E-2</v>
      </c>
      <c r="F41" s="905">
        <v>5.1771199999999996E-2</v>
      </c>
      <c r="G41" s="905">
        <v>5.1771199999999996E-2</v>
      </c>
      <c r="H41" s="905">
        <v>5.1771199999999996E-2</v>
      </c>
      <c r="I41" s="905">
        <v>5.1771199999999996E-2</v>
      </c>
      <c r="J41" s="905">
        <v>5.1771199999999996E-2</v>
      </c>
      <c r="K41" s="905">
        <v>5.1771199999999996E-2</v>
      </c>
      <c r="L41" s="905">
        <v>5.1771199999999996E-2</v>
      </c>
      <c r="M41" s="905">
        <v>5.1771199999999996E-2</v>
      </c>
      <c r="N41" s="905">
        <v>5.1771199999999996E-2</v>
      </c>
      <c r="O41" s="905">
        <v>5.1771199999999996E-2</v>
      </c>
      <c r="P41" s="74"/>
      <c r="Q41" s="81"/>
    </row>
    <row r="42" spans="1:17">
      <c r="A42" s="1154">
        <f t="shared" si="1"/>
        <v>30</v>
      </c>
      <c r="B42" s="81"/>
      <c r="C42" s="81" t="s">
        <v>210</v>
      </c>
      <c r="D42" s="81">
        <v>-448326.57299999997</v>
      </c>
      <c r="E42" s="81">
        <v>-609568.48100000003</v>
      </c>
      <c r="F42" s="81">
        <v>-448563.58399999997</v>
      </c>
      <c r="G42" s="81">
        <v>-584931.696</v>
      </c>
      <c r="H42" s="81">
        <v>-416329.11599999998</v>
      </c>
      <c r="I42" s="81">
        <v>-412026.94</v>
      </c>
      <c r="J42" s="81">
        <v>-467410.03899999999</v>
      </c>
      <c r="K42" s="81">
        <v>-466796.05800000002</v>
      </c>
      <c r="L42" s="81">
        <v>-473842.63199999998</v>
      </c>
      <c r="M42" s="81">
        <v>-484295.005</v>
      </c>
      <c r="N42" s="81">
        <v>-458111.96500000003</v>
      </c>
      <c r="O42" s="81">
        <v>-571884.28099999996</v>
      </c>
      <c r="P42" s="81">
        <v>-5842086.3699999992</v>
      </c>
      <c r="Q42" s="906"/>
    </row>
    <row r="43" spans="1:17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1:17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1:17">
      <c r="A45" s="81"/>
      <c r="B45" s="81" t="s">
        <v>562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74"/>
      <c r="P45" s="880"/>
      <c r="Q45" s="81"/>
    </row>
    <row r="46" spans="1:17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1:17">
      <c r="A47" s="81"/>
      <c r="B47" s="81"/>
      <c r="C47" s="17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74"/>
      <c r="Q47" s="81"/>
    </row>
    <row r="48" spans="1:17">
      <c r="A48" s="81"/>
      <c r="B48" s="81" t="s">
        <v>953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74"/>
      <c r="Q48" s="81"/>
    </row>
    <row r="49" spans="1:17">
      <c r="A49" s="81"/>
      <c r="B49" s="81" t="s">
        <v>1620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74"/>
      <c r="Q49" s="81"/>
    </row>
    <row r="50" spans="1:17">
      <c r="A50" s="81"/>
      <c r="B50" s="81"/>
      <c r="C50" s="81"/>
      <c r="D50" s="429">
        <f>D29</f>
        <v>-8659767.8420000058</v>
      </c>
      <c r="E50" s="429">
        <f t="shared" ref="E50:O50" si="3">E29</f>
        <v>-11774277.607500004</v>
      </c>
      <c r="F50" s="429">
        <f t="shared" si="3"/>
        <v>-8664345.881900005</v>
      </c>
      <c r="G50" s="429">
        <f t="shared" si="3"/>
        <v>-11298399.422400009</v>
      </c>
      <c r="H50" s="429">
        <f t="shared" si="3"/>
        <v>-8041712.6802000003</v>
      </c>
      <c r="I50" s="429">
        <f t="shared" si="3"/>
        <v>-7958612.8928000042</v>
      </c>
      <c r="J50" s="429">
        <f t="shared" si="3"/>
        <v>-9028379.4567189235</v>
      </c>
      <c r="K50" s="429">
        <f t="shared" si="3"/>
        <v>-9016519.9665654898</v>
      </c>
      <c r="L50" s="429">
        <f t="shared" si="3"/>
        <v>-9152629.8825470693</v>
      </c>
      <c r="M50" s="429">
        <f t="shared" si="3"/>
        <v>-9354525.3936645444</v>
      </c>
      <c r="N50" s="429">
        <f t="shared" si="3"/>
        <v>-8848780.1148692351</v>
      </c>
      <c r="O50" s="429">
        <f t="shared" si="3"/>
        <v>-11046378.697175987</v>
      </c>
      <c r="P50" s="824"/>
      <c r="Q50" s="81"/>
    </row>
    <row r="51" spans="1:17">
      <c r="A51" s="81"/>
      <c r="B51" s="81"/>
      <c r="C51" s="81"/>
      <c r="D51" s="429">
        <v>8659767.842000002</v>
      </c>
      <c r="E51" s="429">
        <v>11774277.6075</v>
      </c>
      <c r="F51" s="429">
        <v>8664345.8818999995</v>
      </c>
      <c r="G51" s="429">
        <v>11298399.4224</v>
      </c>
      <c r="H51" s="429">
        <v>8041712.6802000012</v>
      </c>
      <c r="I51" s="429">
        <v>7958612.8927999996</v>
      </c>
      <c r="J51" s="429">
        <v>9028379.4567189235</v>
      </c>
      <c r="K51" s="429">
        <v>9016519.9665654879</v>
      </c>
      <c r="L51" s="429">
        <v>9152629.8825470675</v>
      </c>
      <c r="M51" s="429">
        <v>9354525.3936645426</v>
      </c>
      <c r="N51" s="429">
        <v>8848780.1148692351</v>
      </c>
      <c r="O51" s="429">
        <v>11046378.697175985</v>
      </c>
      <c r="P51" s="824"/>
      <c r="Q51" s="81"/>
    </row>
    <row r="52" spans="1:17">
      <c r="A52" s="81"/>
      <c r="B52" s="81"/>
      <c r="C52" s="81"/>
      <c r="D52" s="81">
        <f>D50+D51</f>
        <v>0</v>
      </c>
      <c r="E52" s="81">
        <f t="shared" ref="E52:O52" si="4">E50+E51</f>
        <v>0</v>
      </c>
      <c r="F52" s="81">
        <f t="shared" si="4"/>
        <v>0</v>
      </c>
      <c r="G52" s="81">
        <f t="shared" si="4"/>
        <v>0</v>
      </c>
      <c r="H52" s="81">
        <f t="shared" si="4"/>
        <v>0</v>
      </c>
      <c r="I52" s="81">
        <f t="shared" si="4"/>
        <v>0</v>
      </c>
      <c r="J52" s="81">
        <f t="shared" si="4"/>
        <v>0</v>
      </c>
      <c r="K52" s="81">
        <f t="shared" si="4"/>
        <v>0</v>
      </c>
      <c r="L52" s="81">
        <f t="shared" si="4"/>
        <v>0</v>
      </c>
      <c r="M52" s="81">
        <f t="shared" si="4"/>
        <v>0</v>
      </c>
      <c r="N52" s="81">
        <f t="shared" si="4"/>
        <v>0</v>
      </c>
      <c r="O52" s="81">
        <f t="shared" si="4"/>
        <v>0</v>
      </c>
      <c r="P52" s="824"/>
      <c r="Q52" s="81"/>
    </row>
    <row r="53" spans="1:17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24"/>
      <c r="P53" s="824"/>
      <c r="Q53" s="81"/>
    </row>
    <row r="54" spans="1:17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24"/>
      <c r="P54" s="824"/>
      <c r="Q54" s="81"/>
    </row>
  </sheetData>
  <mergeCells count="4">
    <mergeCell ref="A1:P1"/>
    <mergeCell ref="A2:P2"/>
    <mergeCell ref="A3:P3"/>
    <mergeCell ref="A4:P4"/>
  </mergeCells>
  <phoneticPr fontId="23" type="noConversion"/>
  <printOptions horizontalCentered="1"/>
  <pageMargins left="0.5" right="0.5" top="0.75" bottom="0.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8"/>
  <dimension ref="A1:Q45"/>
  <sheetViews>
    <sheetView view="pageBreakPreview" zoomScale="70" zoomScaleNormal="75" zoomScaleSheetLayoutView="70" workbookViewId="0">
      <pane xSplit="3" ySplit="11" topLeftCell="D12" activePane="bottomRight" state="frozen"/>
      <selection activeCell="F55" sqref="F55"/>
      <selection pane="topRight" activeCell="F55" sqref="F55"/>
      <selection pane="bottomLeft" activeCell="F55" sqref="F55"/>
      <selection pane="bottomRight" activeCell="G24" sqref="G24"/>
    </sheetView>
  </sheetViews>
  <sheetFormatPr defaultColWidth="7.109375" defaultRowHeight="15"/>
  <cols>
    <col min="1" max="1" width="4.6640625" style="80" customWidth="1"/>
    <col min="2" max="2" width="7.21875" style="80" customWidth="1"/>
    <col min="3" max="3" width="43.21875" style="80" customWidth="1"/>
    <col min="4" max="4" width="12.44140625" style="80" bestFit="1" customWidth="1"/>
    <col min="5" max="6" width="11.109375" style="80" customWidth="1"/>
    <col min="7" max="7" width="11.77734375" style="80" bestFit="1" customWidth="1"/>
    <col min="8" max="8" width="11.33203125" style="80" bestFit="1" customWidth="1"/>
    <col min="9" max="9" width="11.109375" style="80" customWidth="1"/>
    <col min="10" max="10" width="10.88671875" style="80" customWidth="1"/>
    <col min="11" max="14" width="11.33203125" style="80" bestFit="1" customWidth="1"/>
    <col min="15" max="15" width="12.44140625" style="80" customWidth="1"/>
    <col min="16" max="16" width="12.44140625" style="80" bestFit="1" customWidth="1"/>
    <col min="17" max="17" width="12.44140625" style="80" customWidth="1"/>
    <col min="18" max="18" width="12.5546875" style="80" customWidth="1"/>
    <col min="19" max="19" width="11.33203125" style="80" bestFit="1" customWidth="1"/>
    <col min="20" max="16384" width="7.109375" style="80"/>
  </cols>
  <sheetData>
    <row r="1" spans="1:17">
      <c r="A1" s="1203" t="str">
        <f>'Table of Contents'!A1:C1</f>
        <v>Atmos Energy Corporation, Kentucky/Mid-States Division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1203"/>
      <c r="O1" s="1203"/>
      <c r="P1" s="1203"/>
      <c r="Q1" s="81"/>
    </row>
    <row r="2" spans="1:17">
      <c r="A2" s="1203" t="str">
        <f>'Table of Contents'!A2:C2</f>
        <v>Kentucky Jurisdiction Case No. 2018-00281</v>
      </c>
      <c r="B2" s="1203"/>
      <c r="C2" s="1203"/>
      <c r="D2" s="1203"/>
      <c r="E2" s="1203"/>
      <c r="F2" s="1203"/>
      <c r="G2" s="1203"/>
      <c r="H2" s="1203"/>
      <c r="I2" s="1203"/>
      <c r="J2" s="1203"/>
      <c r="K2" s="1203"/>
      <c r="L2" s="1203"/>
      <c r="M2" s="1203"/>
      <c r="N2" s="1203"/>
      <c r="O2" s="1203"/>
      <c r="P2" s="1203"/>
      <c r="Q2" s="81"/>
    </row>
    <row r="3" spans="1:17" ht="15.75">
      <c r="A3" s="1203" t="s">
        <v>187</v>
      </c>
      <c r="B3" s="1203"/>
      <c r="C3" s="1203"/>
      <c r="D3" s="1203"/>
      <c r="E3" s="1203"/>
      <c r="F3" s="1203"/>
      <c r="G3" s="1203"/>
      <c r="H3" s="1203"/>
      <c r="I3" s="1203"/>
      <c r="J3" s="1203"/>
      <c r="K3" s="1203"/>
      <c r="L3" s="1203"/>
      <c r="M3" s="1203"/>
      <c r="N3" s="1203"/>
      <c r="O3" s="1203"/>
      <c r="P3" s="1203"/>
      <c r="Q3" s="81"/>
    </row>
    <row r="4" spans="1:17">
      <c r="A4" s="1203" t="str">
        <f>'Table of Contents'!A4:C4</f>
        <v>Forecasted Test Period: Twelve Months Ended March 31, 2020</v>
      </c>
      <c r="B4" s="1203"/>
      <c r="C4" s="1203"/>
      <c r="D4" s="1203"/>
      <c r="E4" s="1203"/>
      <c r="F4" s="1203"/>
      <c r="G4" s="1203"/>
      <c r="H4" s="1203"/>
      <c r="I4" s="1203"/>
      <c r="J4" s="1203"/>
      <c r="K4" s="1203"/>
      <c r="L4" s="1203"/>
      <c r="M4" s="1203"/>
      <c r="N4" s="1203"/>
      <c r="O4" s="1203"/>
      <c r="P4" s="1203"/>
      <c r="Q4" s="81"/>
    </row>
    <row r="5" spans="1:17">
      <c r="A5" s="81"/>
      <c r="B5" s="150"/>
      <c r="C5" s="150"/>
      <c r="D5" s="150"/>
      <c r="E5" s="150"/>
      <c r="F5" s="150"/>
      <c r="G5" s="869"/>
      <c r="H5" s="150"/>
      <c r="I5" s="150"/>
      <c r="J5" s="150"/>
      <c r="K5" s="150"/>
      <c r="L5" s="150"/>
      <c r="M5" s="150"/>
      <c r="N5" s="150"/>
      <c r="O5" s="150"/>
      <c r="P5" s="81"/>
      <c r="Q5" s="81"/>
    </row>
    <row r="6" spans="1:17" ht="15.75">
      <c r="A6" s="88" t="str">
        <f>'C.2.1 F'!A6</f>
        <v>Data:________Base Period___X____Forecasted Period</v>
      </c>
      <c r="B6" s="81"/>
      <c r="C6" s="88"/>
      <c r="D6" s="81"/>
      <c r="E6" s="901"/>
      <c r="F6" s="81"/>
      <c r="G6" s="81"/>
      <c r="H6" s="81"/>
      <c r="I6" s="81"/>
      <c r="J6" s="81"/>
      <c r="K6" s="81"/>
      <c r="L6" s="81"/>
      <c r="M6" s="81"/>
      <c r="N6" s="81"/>
      <c r="O6" s="81"/>
      <c r="P6" s="170" t="s">
        <v>1427</v>
      </c>
      <c r="Q6" s="81"/>
    </row>
    <row r="7" spans="1:17">
      <c r="A7" s="88" t="str">
        <f>'C.2.1 F'!A7</f>
        <v>Type of Filing:___X____Original________Updated ________Revised</v>
      </c>
      <c r="B7" s="81"/>
      <c r="C7" s="88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508" t="s">
        <v>37</v>
      </c>
      <c r="Q7" s="81"/>
    </row>
    <row r="8" spans="1:17">
      <c r="A8" s="390" t="str">
        <f>'C.2.1 F'!A8</f>
        <v>Workpaper Reference No(s).____________________</v>
      </c>
      <c r="B8" s="82"/>
      <c r="C8" s="432"/>
      <c r="D8" s="151"/>
      <c r="E8" s="151"/>
      <c r="F8" s="151"/>
      <c r="G8" s="151"/>
      <c r="H8" s="151"/>
      <c r="I8" s="151"/>
      <c r="J8" s="151"/>
      <c r="K8" s="151"/>
      <c r="L8" s="151"/>
      <c r="M8" s="82"/>
      <c r="N8" s="82"/>
      <c r="O8" s="82"/>
      <c r="P8" s="509" t="str">
        <f>'C.1'!J9</f>
        <v>Witness: Waller, Densman</v>
      </c>
      <c r="Q8" s="81"/>
    </row>
    <row r="9" spans="1:17">
      <c r="A9" s="391" t="s">
        <v>93</v>
      </c>
      <c r="B9" s="826" t="s">
        <v>100</v>
      </c>
      <c r="C9" s="902"/>
      <c r="D9" s="890" t="s">
        <v>43</v>
      </c>
      <c r="E9" s="847" t="s">
        <v>43</v>
      </c>
      <c r="F9" s="847" t="s">
        <v>43</v>
      </c>
      <c r="G9" s="847" t="s">
        <v>43</v>
      </c>
      <c r="H9" s="847" t="s">
        <v>43</v>
      </c>
      <c r="I9" s="847" t="s">
        <v>43</v>
      </c>
      <c r="J9" s="847" t="s">
        <v>43</v>
      </c>
      <c r="K9" s="847" t="s">
        <v>43</v>
      </c>
      <c r="L9" s="847" t="s">
        <v>43</v>
      </c>
      <c r="M9" s="847" t="s">
        <v>43</v>
      </c>
      <c r="N9" s="847" t="s">
        <v>43</v>
      </c>
      <c r="O9" s="847" t="s">
        <v>43</v>
      </c>
      <c r="P9" s="903"/>
      <c r="Q9" s="81"/>
    </row>
    <row r="10" spans="1:17">
      <c r="A10" s="392" t="s">
        <v>99</v>
      </c>
      <c r="B10" s="82" t="s">
        <v>99</v>
      </c>
      <c r="C10" s="904" t="s">
        <v>952</v>
      </c>
      <c r="D10" s="612">
        <f>'C.2.2-F 09'!D10</f>
        <v>43556</v>
      </c>
      <c r="E10" s="612">
        <f>'C.2.2-F 09'!F10</f>
        <v>43617</v>
      </c>
      <c r="F10" s="612">
        <f>'C.2.2-F 09'!F10</f>
        <v>43617</v>
      </c>
      <c r="G10" s="612">
        <f>'C.2.2-F 09'!G10</f>
        <v>43647</v>
      </c>
      <c r="H10" s="612">
        <f>'C.2.2-F 09'!H10</f>
        <v>43678</v>
      </c>
      <c r="I10" s="612">
        <f>'C.2.2-F 09'!I10</f>
        <v>43709</v>
      </c>
      <c r="J10" s="612">
        <f>'C.2.2-F 09'!J10</f>
        <v>43739</v>
      </c>
      <c r="K10" s="612">
        <f>'C.2.2-F 09'!K10</f>
        <v>43770</v>
      </c>
      <c r="L10" s="612">
        <f>'C.2.2-F 09'!L10</f>
        <v>43800</v>
      </c>
      <c r="M10" s="612">
        <f>'C.2.2-F 09'!M10</f>
        <v>43831</v>
      </c>
      <c r="N10" s="612">
        <f>'C.2.2-F 09'!N10</f>
        <v>43862</v>
      </c>
      <c r="O10" s="612">
        <f>'C.2.2-F 09'!O10</f>
        <v>43891</v>
      </c>
      <c r="P10" s="363" t="str">
        <f>'C.2.2 B 09'!P10</f>
        <v>Total</v>
      </c>
      <c r="Q10" s="76"/>
    </row>
    <row r="11" spans="1:17">
      <c r="A11" s="81"/>
      <c r="B11" s="81"/>
      <c r="C11" s="81"/>
      <c r="D11" s="848" t="s">
        <v>146</v>
      </c>
      <c r="E11" s="848" t="s">
        <v>146</v>
      </c>
      <c r="F11" s="848" t="s">
        <v>146</v>
      </c>
      <c r="G11" s="848" t="s">
        <v>146</v>
      </c>
      <c r="H11" s="848" t="s">
        <v>146</v>
      </c>
      <c r="I11" s="848" t="s">
        <v>146</v>
      </c>
      <c r="J11" s="848" t="s">
        <v>146</v>
      </c>
      <c r="K11" s="848" t="s">
        <v>146</v>
      </c>
      <c r="L11" s="848" t="s">
        <v>146</v>
      </c>
      <c r="M11" s="848" t="s">
        <v>146</v>
      </c>
      <c r="N11" s="848" t="s">
        <v>146</v>
      </c>
      <c r="O11" s="848" t="s">
        <v>146</v>
      </c>
      <c r="P11" s="848" t="s">
        <v>146</v>
      </c>
      <c r="Q11" s="848"/>
    </row>
    <row r="12" spans="1:17">
      <c r="A12" s="850">
        <v>1</v>
      </c>
      <c r="B12" s="706">
        <v>4030</v>
      </c>
      <c r="C12" s="81" t="s">
        <v>91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81">
        <v>0</v>
      </c>
      <c r="Q12" s="81"/>
    </row>
    <row r="13" spans="1:17">
      <c r="A13" s="850">
        <f>A12+1</f>
        <v>2</v>
      </c>
      <c r="B13" s="706">
        <v>4081</v>
      </c>
      <c r="C13" s="81" t="s">
        <v>862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81">
        <v>0</v>
      </c>
      <c r="Q13" s="81"/>
    </row>
    <row r="14" spans="1:17">
      <c r="A14" s="850">
        <f t="shared" ref="A14:A34" si="0">A13+1</f>
        <v>3</v>
      </c>
      <c r="B14" s="706">
        <v>8700</v>
      </c>
      <c r="C14" s="81" t="s">
        <v>913</v>
      </c>
      <c r="D14" s="96">
        <v>877.36363283060894</v>
      </c>
      <c r="E14" s="96">
        <v>877.36363283060894</v>
      </c>
      <c r="F14" s="96">
        <v>897.87950913811699</v>
      </c>
      <c r="G14" s="96">
        <v>1060.6969955785521</v>
      </c>
      <c r="H14" s="96">
        <v>925.03030714507418</v>
      </c>
      <c r="I14" s="96">
        <v>933.00967350467522</v>
      </c>
      <c r="J14" s="96">
        <v>851.17315243804569</v>
      </c>
      <c r="K14" s="96">
        <v>851.17315243804569</v>
      </c>
      <c r="L14" s="96">
        <v>985.18111044666125</v>
      </c>
      <c r="M14" s="96">
        <v>816.25251191462792</v>
      </c>
      <c r="N14" s="96">
        <v>798.79219165291909</v>
      </c>
      <c r="O14" s="96">
        <v>819.30806796042702</v>
      </c>
      <c r="P14" s="81">
        <v>10693.223937878363</v>
      </c>
      <c r="Q14" s="81"/>
    </row>
    <row r="15" spans="1:17">
      <c r="A15" s="850">
        <f t="shared" si="0"/>
        <v>4</v>
      </c>
      <c r="B15" s="706">
        <v>8740</v>
      </c>
      <c r="C15" s="81" t="s">
        <v>915</v>
      </c>
      <c r="D15" s="96">
        <v>1723.8940021102183</v>
      </c>
      <c r="E15" s="96">
        <v>1723.8940021102183</v>
      </c>
      <c r="F15" s="96">
        <v>1723.8940021102183</v>
      </c>
      <c r="G15" s="96">
        <v>1723.8940021102183</v>
      </c>
      <c r="H15" s="96">
        <v>1723.8940021102183</v>
      </c>
      <c r="I15" s="96">
        <v>1727.8615372128884</v>
      </c>
      <c r="J15" s="96">
        <v>1723.8940021102183</v>
      </c>
      <c r="K15" s="96">
        <v>1723.8940021102183</v>
      </c>
      <c r="L15" s="96">
        <v>1723.8940021102183</v>
      </c>
      <c r="M15" s="96">
        <v>1723.8940021102183</v>
      </c>
      <c r="N15" s="96">
        <v>1723.8940021102183</v>
      </c>
      <c r="O15" s="96">
        <v>1723.8940021102183</v>
      </c>
      <c r="P15" s="81">
        <v>20690.695560425287</v>
      </c>
      <c r="Q15" s="81"/>
    </row>
    <row r="16" spans="1:17">
      <c r="A16" s="850">
        <f t="shared" si="0"/>
        <v>5</v>
      </c>
      <c r="B16" s="706">
        <v>8800</v>
      </c>
      <c r="C16" s="81" t="s">
        <v>921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81">
        <v>0</v>
      </c>
      <c r="Q16" s="81"/>
    </row>
    <row r="17" spans="1:17">
      <c r="A17" s="850">
        <f t="shared" si="0"/>
        <v>6</v>
      </c>
      <c r="B17" s="706">
        <v>9010</v>
      </c>
      <c r="C17" s="81" t="s">
        <v>181</v>
      </c>
      <c r="D17" s="96">
        <v>429246.01646863128</v>
      </c>
      <c r="E17" s="96">
        <v>488642.38504268869</v>
      </c>
      <c r="F17" s="96">
        <v>397439.4943155027</v>
      </c>
      <c r="G17" s="96">
        <v>520252.66818237613</v>
      </c>
      <c r="H17" s="96">
        <v>406721.16455940832</v>
      </c>
      <c r="I17" s="96">
        <v>395229.03936622158</v>
      </c>
      <c r="J17" s="96">
        <v>446161.91149875498</v>
      </c>
      <c r="K17" s="96">
        <v>443806.64916003024</v>
      </c>
      <c r="L17" s="96">
        <v>423316.18392033927</v>
      </c>
      <c r="M17" s="96">
        <v>463228.65870570525</v>
      </c>
      <c r="N17" s="96">
        <v>403395.29222634545</v>
      </c>
      <c r="O17" s="96">
        <v>421220.11212062027</v>
      </c>
      <c r="P17" s="81">
        <v>5238659.5755666234</v>
      </c>
      <c r="Q17" s="81"/>
    </row>
    <row r="18" spans="1:17">
      <c r="A18" s="850">
        <f t="shared" si="0"/>
        <v>7</v>
      </c>
      <c r="B18" s="365">
        <v>9020</v>
      </c>
      <c r="C18" s="210" t="s">
        <v>932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81">
        <v>0</v>
      </c>
      <c r="Q18" s="81"/>
    </row>
    <row r="19" spans="1:17">
      <c r="A19" s="850">
        <f t="shared" si="0"/>
        <v>8</v>
      </c>
      <c r="B19" s="706">
        <v>9030</v>
      </c>
      <c r="C19" s="81" t="s">
        <v>937</v>
      </c>
      <c r="D19" s="96">
        <v>1953200.1379290866</v>
      </c>
      <c r="E19" s="96">
        <v>2024086.037393216</v>
      </c>
      <c r="F19" s="96">
        <v>1758262.677921674</v>
      </c>
      <c r="G19" s="96">
        <v>2023939.503513241</v>
      </c>
      <c r="H19" s="96">
        <v>1868748.8079969157</v>
      </c>
      <c r="I19" s="96">
        <v>1789055.9970529932</v>
      </c>
      <c r="J19" s="96">
        <v>2043758.8230451408</v>
      </c>
      <c r="K19" s="96">
        <v>1935312.2467359952</v>
      </c>
      <c r="L19" s="96">
        <v>1847160.8433019056</v>
      </c>
      <c r="M19" s="96">
        <v>2097860.6316308561</v>
      </c>
      <c r="N19" s="96">
        <v>1804682.9485724645</v>
      </c>
      <c r="O19" s="96">
        <v>1890662.7473085336</v>
      </c>
      <c r="P19" s="81">
        <v>23036731.402402025</v>
      </c>
      <c r="Q19" s="81"/>
    </row>
    <row r="20" spans="1:17">
      <c r="A20" s="850">
        <f t="shared" si="0"/>
        <v>9</v>
      </c>
      <c r="B20" s="706">
        <v>9200</v>
      </c>
      <c r="C20" s="81" t="s">
        <v>182</v>
      </c>
      <c r="D20" s="96">
        <v>428436.01052444585</v>
      </c>
      <c r="E20" s="96">
        <v>449007.31210763182</v>
      </c>
      <c r="F20" s="96">
        <v>390795.96584209031</v>
      </c>
      <c r="G20" s="96">
        <v>439295.84692403383</v>
      </c>
      <c r="H20" s="96">
        <v>416815.11549037608</v>
      </c>
      <c r="I20" s="96">
        <v>398150.53259779012</v>
      </c>
      <c r="J20" s="96">
        <v>449190.27213988232</v>
      </c>
      <c r="K20" s="96">
        <v>430392.32813553908</v>
      </c>
      <c r="L20" s="96">
        <v>410711.16160577774</v>
      </c>
      <c r="M20" s="96">
        <v>460938.25719557435</v>
      </c>
      <c r="N20" s="96">
        <v>402417.57891365484</v>
      </c>
      <c r="O20" s="96">
        <v>421848.58707915316</v>
      </c>
      <c r="P20" s="81">
        <v>5097998.9685559496</v>
      </c>
      <c r="Q20" s="81"/>
    </row>
    <row r="21" spans="1:17">
      <c r="A21" s="850">
        <f t="shared" si="0"/>
        <v>10</v>
      </c>
      <c r="B21" s="706">
        <v>9210</v>
      </c>
      <c r="C21" s="81" t="s">
        <v>944</v>
      </c>
      <c r="D21" s="96">
        <v>205079.412112316</v>
      </c>
      <c r="E21" s="96">
        <v>144141.80872034363</v>
      </c>
      <c r="F21" s="96">
        <v>178979.41125071948</v>
      </c>
      <c r="G21" s="96">
        <v>161164.06230037767</v>
      </c>
      <c r="H21" s="96">
        <v>161172.73086159045</v>
      </c>
      <c r="I21" s="96">
        <v>244022.43016772455</v>
      </c>
      <c r="J21" s="96">
        <v>153089.65398182583</v>
      </c>
      <c r="K21" s="96">
        <v>150561.90957695534</v>
      </c>
      <c r="L21" s="96">
        <v>151915.91380028042</v>
      </c>
      <c r="M21" s="96">
        <v>145722.73816118803</v>
      </c>
      <c r="N21" s="96">
        <v>147840.07678317462</v>
      </c>
      <c r="O21" s="96">
        <v>162220.25410780965</v>
      </c>
      <c r="P21" s="81">
        <v>2005910.4018243058</v>
      </c>
      <c r="Q21" s="81"/>
    </row>
    <row r="22" spans="1:17">
      <c r="A22" s="850">
        <f t="shared" si="0"/>
        <v>11</v>
      </c>
      <c r="B22" s="706">
        <v>9220</v>
      </c>
      <c r="C22" s="81" t="s">
        <v>945</v>
      </c>
      <c r="D22" s="96">
        <v>-4068862.3712999998</v>
      </c>
      <c r="E22" s="96">
        <v>-4142197.1992999995</v>
      </c>
      <c r="F22" s="96">
        <v>-3661549.6502999999</v>
      </c>
      <c r="G22" s="96">
        <v>-4151580.2652999996</v>
      </c>
      <c r="H22" s="96">
        <v>-3862146.4332999988</v>
      </c>
      <c r="I22" s="96">
        <v>-3852219.4766999995</v>
      </c>
      <c r="J22" s="96">
        <v>-4175633.4619124774</v>
      </c>
      <c r="K22" s="96">
        <v>-3999217.2294098809</v>
      </c>
      <c r="L22" s="96">
        <v>-3831816.5589072844</v>
      </c>
      <c r="M22" s="96">
        <v>-4264249.5678520519</v>
      </c>
      <c r="N22" s="96">
        <v>-3741712.5513172923</v>
      </c>
      <c r="O22" s="96">
        <v>-3928702.5008468572</v>
      </c>
      <c r="P22" s="81">
        <v>-47679887.266445838</v>
      </c>
      <c r="Q22" s="81"/>
    </row>
    <row r="23" spans="1:17">
      <c r="A23" s="850">
        <f t="shared" si="0"/>
        <v>12</v>
      </c>
      <c r="B23" s="706">
        <v>9230</v>
      </c>
      <c r="C23" s="81" t="s">
        <v>946</v>
      </c>
      <c r="D23" s="96">
        <v>67095.921523386729</v>
      </c>
      <c r="E23" s="96">
        <v>28305.698511487011</v>
      </c>
      <c r="F23" s="96">
        <v>26654.787280465054</v>
      </c>
      <c r="G23" s="96">
        <v>34296.442641057947</v>
      </c>
      <c r="H23" s="96">
        <v>40739.123720121141</v>
      </c>
      <c r="I23" s="96">
        <v>97310.486145742892</v>
      </c>
      <c r="J23" s="96">
        <v>32385.512891150029</v>
      </c>
      <c r="K23" s="96">
        <v>34085.951459102653</v>
      </c>
      <c r="L23" s="96">
        <v>30999.572912707095</v>
      </c>
      <c r="M23" s="96">
        <v>24405.420728197631</v>
      </c>
      <c r="N23" s="96">
        <v>29593.409271684141</v>
      </c>
      <c r="O23" s="96">
        <v>38475.724422390034</v>
      </c>
      <c r="P23" s="81">
        <v>484348.05150749232</v>
      </c>
      <c r="Q23" s="81"/>
    </row>
    <row r="24" spans="1:17">
      <c r="A24" s="850">
        <f t="shared" si="0"/>
        <v>13</v>
      </c>
      <c r="B24" s="706">
        <v>9240</v>
      </c>
      <c r="C24" s="81" t="s">
        <v>947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81">
        <v>0</v>
      </c>
      <c r="Q24" s="81"/>
    </row>
    <row r="25" spans="1:17">
      <c r="A25" s="850">
        <f t="shared" si="0"/>
        <v>14</v>
      </c>
      <c r="B25" s="365">
        <v>9250</v>
      </c>
      <c r="C25" s="80" t="s">
        <v>948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81">
        <v>0</v>
      </c>
      <c r="Q25" s="81"/>
    </row>
    <row r="26" spans="1:17">
      <c r="A26" s="850">
        <f t="shared" si="0"/>
        <v>15</v>
      </c>
      <c r="B26" s="706">
        <v>9260</v>
      </c>
      <c r="C26" s="81" t="s">
        <v>949</v>
      </c>
      <c r="D26" s="96">
        <v>851524.25120907789</v>
      </c>
      <c r="E26" s="96">
        <v>873733.33599157655</v>
      </c>
      <c r="F26" s="96">
        <v>774708.68562159804</v>
      </c>
      <c r="G26" s="96">
        <v>838167.78684310953</v>
      </c>
      <c r="H26" s="96">
        <v>833621.20246421755</v>
      </c>
      <c r="I26" s="96">
        <v>793774.6952963795</v>
      </c>
      <c r="J26" s="96">
        <v>916792.85730306082</v>
      </c>
      <c r="K26" s="96">
        <v>870803.71328959556</v>
      </c>
      <c r="L26" s="96">
        <v>832984.50450984121</v>
      </c>
      <c r="M26" s="96">
        <v>937873.15894522355</v>
      </c>
      <c r="N26" s="96">
        <v>819581.19545809063</v>
      </c>
      <c r="O26" s="96">
        <v>859712.56999440386</v>
      </c>
      <c r="P26" s="81">
        <v>10203277.956926173</v>
      </c>
      <c r="Q26" s="81"/>
    </row>
    <row r="27" spans="1:17">
      <c r="A27" s="850">
        <f t="shared" si="0"/>
        <v>16</v>
      </c>
      <c r="B27" s="706">
        <v>9310</v>
      </c>
      <c r="C27" s="81" t="s">
        <v>184</v>
      </c>
      <c r="D27" s="96">
        <v>131675.40025483278</v>
      </c>
      <c r="E27" s="96">
        <v>131675.40025483278</v>
      </c>
      <c r="F27" s="96">
        <v>132010.25789532339</v>
      </c>
      <c r="G27" s="96">
        <v>131675.40025483278</v>
      </c>
      <c r="H27" s="96">
        <v>131675.40025483278</v>
      </c>
      <c r="I27" s="96">
        <v>132007.57903419944</v>
      </c>
      <c r="J27" s="96">
        <v>131675.40025483278</v>
      </c>
      <c r="K27" s="96">
        <v>131675.40025483278</v>
      </c>
      <c r="L27" s="96">
        <v>132010.25789532339</v>
      </c>
      <c r="M27" s="96">
        <v>131675.40025483278</v>
      </c>
      <c r="N27" s="96">
        <v>131675.40025483278</v>
      </c>
      <c r="O27" s="96">
        <v>132010.25789532339</v>
      </c>
      <c r="P27" s="81">
        <v>1581441.5547588321</v>
      </c>
      <c r="Q27" s="670"/>
    </row>
    <row r="28" spans="1:17">
      <c r="A28" s="850">
        <f t="shared" si="0"/>
        <v>17</v>
      </c>
      <c r="B28" s="706">
        <v>9320</v>
      </c>
      <c r="C28" s="81" t="s">
        <v>185</v>
      </c>
      <c r="D28" s="96">
        <v>3.9636432819734515</v>
      </c>
      <c r="E28" s="96">
        <v>3.9636432819734515</v>
      </c>
      <c r="F28" s="96">
        <v>76.596661378407248</v>
      </c>
      <c r="G28" s="96">
        <v>3.9636432819734515</v>
      </c>
      <c r="H28" s="96">
        <v>3.9636432819734515</v>
      </c>
      <c r="I28" s="96">
        <v>7.8458282308336642</v>
      </c>
      <c r="J28" s="96">
        <v>3.9636432819734515</v>
      </c>
      <c r="K28" s="96">
        <v>3.9636432819734515</v>
      </c>
      <c r="L28" s="96">
        <v>9.0458485527945491</v>
      </c>
      <c r="M28" s="96">
        <v>5.155716449484264</v>
      </c>
      <c r="N28" s="96">
        <v>3.9636432819734515</v>
      </c>
      <c r="O28" s="96">
        <v>9.0458485527945491</v>
      </c>
      <c r="P28" s="81">
        <v>135.4354061381284</v>
      </c>
      <c r="Q28" s="81"/>
    </row>
    <row r="29" spans="1:17">
      <c r="A29" s="850">
        <f t="shared" si="0"/>
        <v>18</v>
      </c>
      <c r="B29" s="81"/>
      <c r="C29" s="874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81"/>
      <c r="Q29" s="81"/>
    </row>
    <row r="30" spans="1:17" ht="15.75" thickBot="1">
      <c r="A30" s="850">
        <f t="shared" si="0"/>
        <v>19</v>
      </c>
      <c r="B30" s="81" t="s">
        <v>734</v>
      </c>
      <c r="C30" s="874"/>
      <c r="D30" s="898">
        <v>1.0735368149994429E-10</v>
      </c>
      <c r="E30" s="898">
        <v>-1.2547696215392534E-10</v>
      </c>
      <c r="F30" s="898">
        <v>-4.7634785005357116E-11</v>
      </c>
      <c r="G30" s="898">
        <v>1.0735368149994429E-10</v>
      </c>
      <c r="H30" s="898">
        <v>2.237690033268791E-10</v>
      </c>
      <c r="I30" s="898">
        <v>-1.538715821425285E-10</v>
      </c>
      <c r="J30" s="898">
        <v>2.237690033268791E-10</v>
      </c>
      <c r="K30" s="898">
        <v>2.237690033268791E-10</v>
      </c>
      <c r="L30" s="898">
        <v>-9.9763752814396867E-11</v>
      </c>
      <c r="M30" s="898">
        <v>-2.6562485544445735E-10</v>
      </c>
      <c r="N30" s="898">
        <v>-1.2547696215392534E-10</v>
      </c>
      <c r="O30" s="898">
        <v>-9.9763752814396867E-11</v>
      </c>
      <c r="P30" s="898">
        <v>-7.5922912401438225E-10</v>
      </c>
      <c r="Q30" s="899"/>
    </row>
    <row r="31" spans="1:17" ht="15.75" thickTop="1">
      <c r="A31" s="850">
        <f t="shared" si="0"/>
        <v>20</v>
      </c>
      <c r="B31" s="81"/>
      <c r="C31" s="874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7">
      <c r="A32" s="850">
        <f t="shared" si="0"/>
        <v>21</v>
      </c>
      <c r="B32" s="706">
        <f t="shared" ref="B32:C32" si="1">B22</f>
        <v>9220</v>
      </c>
      <c r="C32" s="81" t="str">
        <f t="shared" si="1"/>
        <v>A&amp;G-Administrative expense transferred-Credit</v>
      </c>
      <c r="D32" s="81">
        <v>-4068862.3712999998</v>
      </c>
      <c r="E32" s="81">
        <v>-4142197.1992999995</v>
      </c>
      <c r="F32" s="81">
        <v>-3661549.6502999999</v>
      </c>
      <c r="G32" s="81">
        <v>-4151580.2652999996</v>
      </c>
      <c r="H32" s="81">
        <v>-3862146.4332999988</v>
      </c>
      <c r="I32" s="81">
        <v>-3852219.4766999995</v>
      </c>
      <c r="J32" s="81">
        <v>-4175633.4619124774</v>
      </c>
      <c r="K32" s="81">
        <v>-3999217.2294098809</v>
      </c>
      <c r="L32" s="81">
        <v>-3831816.5589072844</v>
      </c>
      <c r="M32" s="81">
        <v>-4264249.5678520519</v>
      </c>
      <c r="N32" s="81">
        <v>-3741712.5513172923</v>
      </c>
      <c r="O32" s="81">
        <v>-3928702.5008468572</v>
      </c>
      <c r="P32" s="81">
        <v>-47679887.266445838</v>
      </c>
      <c r="Q32" s="81"/>
    </row>
    <row r="33" spans="1:17">
      <c r="A33" s="850">
        <f t="shared" si="0"/>
        <v>22</v>
      </c>
      <c r="B33" s="81"/>
      <c r="C33" s="81" t="s">
        <v>195</v>
      </c>
      <c r="D33" s="905">
        <v>5.6412179785543033E-2</v>
      </c>
      <c r="E33" s="905">
        <v>5.6412179785543033E-2</v>
      </c>
      <c r="F33" s="905">
        <v>5.6412179785543033E-2</v>
      </c>
      <c r="G33" s="905">
        <v>5.6412179785543033E-2</v>
      </c>
      <c r="H33" s="905">
        <v>5.6412179785543033E-2</v>
      </c>
      <c r="I33" s="905">
        <v>5.6412179785543033E-2</v>
      </c>
      <c r="J33" s="905">
        <v>5.6412179785543033E-2</v>
      </c>
      <c r="K33" s="905">
        <v>5.6412179785543033E-2</v>
      </c>
      <c r="L33" s="905">
        <v>5.6412179785543033E-2</v>
      </c>
      <c r="M33" s="905">
        <v>5.6412179785543033E-2</v>
      </c>
      <c r="N33" s="905">
        <v>5.6412179785543033E-2</v>
      </c>
      <c r="O33" s="905">
        <v>5.6412179785543033E-2</v>
      </c>
      <c r="P33" s="74"/>
      <c r="Q33" s="907"/>
    </row>
    <row r="34" spans="1:17">
      <c r="A34" s="850">
        <f t="shared" si="0"/>
        <v>23</v>
      </c>
      <c r="B34" s="81"/>
      <c r="C34" s="81" t="s">
        <v>210</v>
      </c>
      <c r="D34" s="81">
        <v>-229533.39561240654</v>
      </c>
      <c r="E34" s="81">
        <v>-233670.37311408439</v>
      </c>
      <c r="F34" s="81">
        <v>-206555.99716641582</v>
      </c>
      <c r="G34" s="81">
        <v>-234199.69232021601</v>
      </c>
      <c r="H34" s="81">
        <v>-217872.09895341331</v>
      </c>
      <c r="I34" s="81">
        <v>-217312.09769297088</v>
      </c>
      <c r="J34" s="81">
        <v>-235556.58557193613</v>
      </c>
      <c r="K34" s="81">
        <v>-225604.56134691151</v>
      </c>
      <c r="L34" s="81">
        <v>-216161.12462629858</v>
      </c>
      <c r="M34" s="81">
        <v>-240555.61327209414</v>
      </c>
      <c r="N34" s="81">
        <v>-211078.161150734</v>
      </c>
      <c r="O34" s="81">
        <v>-221626.67180168544</v>
      </c>
      <c r="P34" s="81">
        <v>-2689726.3726291666</v>
      </c>
      <c r="Q34" s="824"/>
    </row>
    <row r="35" spans="1:17">
      <c r="A35" s="81"/>
      <c r="B35" s="81"/>
      <c r="C35" s="874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74"/>
      <c r="P35" s="880"/>
      <c r="Q35" s="81"/>
    </row>
    <row r="36" spans="1:17">
      <c r="A36" s="81"/>
      <c r="B36" s="81" t="s">
        <v>562</v>
      </c>
      <c r="C36" s="874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74"/>
      <c r="P36" s="74"/>
      <c r="Q36" s="81"/>
    </row>
    <row r="37" spans="1:17">
      <c r="A37" s="81"/>
      <c r="B37" s="81"/>
      <c r="C37" s="874"/>
      <c r="D37" s="899"/>
      <c r="E37" s="899"/>
      <c r="F37" s="899"/>
      <c r="G37" s="899"/>
      <c r="H37" s="899"/>
      <c r="I37" s="899"/>
      <c r="J37" s="899"/>
      <c r="K37" s="899"/>
      <c r="L37" s="899"/>
      <c r="M37" s="899"/>
      <c r="N37" s="899"/>
      <c r="O37" s="899"/>
      <c r="P37" s="899"/>
      <c r="Q37" s="74"/>
    </row>
    <row r="38" spans="1:17">
      <c r="A38" s="81"/>
      <c r="B38" s="81"/>
      <c r="C38" s="81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1:17">
      <c r="A39" s="81"/>
      <c r="B39" s="81"/>
      <c r="C39" s="17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74"/>
      <c r="Q39" s="81"/>
    </row>
    <row r="40" spans="1:17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1:17">
      <c r="A41" s="81"/>
      <c r="B41" s="81" t="s">
        <v>953</v>
      </c>
      <c r="C41" s="81"/>
      <c r="D41" s="81">
        <f>D22</f>
        <v>-4068862.3712999998</v>
      </c>
      <c r="E41" s="81">
        <f t="shared" ref="E41:O41" si="2">E22</f>
        <v>-4142197.1992999995</v>
      </c>
      <c r="F41" s="81">
        <f t="shared" si="2"/>
        <v>-3661549.6502999999</v>
      </c>
      <c r="G41" s="81">
        <f t="shared" si="2"/>
        <v>-4151580.2652999996</v>
      </c>
      <c r="H41" s="81">
        <f t="shared" si="2"/>
        <v>-3862146.4332999988</v>
      </c>
      <c r="I41" s="81">
        <f t="shared" si="2"/>
        <v>-3852219.4766999995</v>
      </c>
      <c r="J41" s="81">
        <f t="shared" si="2"/>
        <v>-4175633.4619124774</v>
      </c>
      <c r="K41" s="81">
        <f t="shared" si="2"/>
        <v>-3999217.2294098809</v>
      </c>
      <c r="L41" s="81">
        <f t="shared" si="2"/>
        <v>-3831816.5589072844</v>
      </c>
      <c r="M41" s="81">
        <f t="shared" si="2"/>
        <v>-4264249.5678520519</v>
      </c>
      <c r="N41" s="81">
        <f t="shared" si="2"/>
        <v>-3741712.5513172923</v>
      </c>
      <c r="O41" s="81">
        <f t="shared" si="2"/>
        <v>-3928702.5008468572</v>
      </c>
      <c r="P41" s="74"/>
      <c r="Q41" s="81"/>
    </row>
    <row r="42" spans="1:17">
      <c r="A42" s="81"/>
      <c r="B42" s="81" t="s">
        <v>1620</v>
      </c>
      <c r="C42" s="81"/>
      <c r="D42" s="81">
        <v>4068862.3713000002</v>
      </c>
      <c r="E42" s="81">
        <v>4142197.1993</v>
      </c>
      <c r="F42" s="81">
        <v>3661549.6502999999</v>
      </c>
      <c r="G42" s="81">
        <v>4151580.2653000001</v>
      </c>
      <c r="H42" s="81">
        <v>3862146.4332999997</v>
      </c>
      <c r="I42" s="81">
        <v>3852219.4767000005</v>
      </c>
      <c r="J42" s="81">
        <v>4175633.4619124783</v>
      </c>
      <c r="K42" s="81">
        <v>3999217.2294098814</v>
      </c>
      <c r="L42" s="81">
        <v>3831816.5589072849</v>
      </c>
      <c r="M42" s="81">
        <v>4264249.5678520519</v>
      </c>
      <c r="N42" s="81">
        <v>3741712.5513172923</v>
      </c>
      <c r="O42" s="81">
        <v>3928702.5008468581</v>
      </c>
      <c r="P42" s="81"/>
      <c r="Q42" s="81"/>
    </row>
    <row r="43" spans="1:17">
      <c r="A43" s="81"/>
      <c r="B43" s="81"/>
      <c r="C43" s="81"/>
      <c r="D43" s="81">
        <f>D41+D42</f>
        <v>0</v>
      </c>
      <c r="E43" s="81">
        <f t="shared" ref="E43:O43" si="3">E41+E42</f>
        <v>0</v>
      </c>
      <c r="F43" s="81">
        <f t="shared" si="3"/>
        <v>0</v>
      </c>
      <c r="G43" s="81">
        <f t="shared" si="3"/>
        <v>0</v>
      </c>
      <c r="H43" s="81">
        <f t="shared" si="3"/>
        <v>0</v>
      </c>
      <c r="I43" s="81">
        <f t="shared" si="3"/>
        <v>0</v>
      </c>
      <c r="J43" s="81">
        <f t="shared" si="3"/>
        <v>0</v>
      </c>
      <c r="K43" s="81">
        <f t="shared" si="3"/>
        <v>0</v>
      </c>
      <c r="L43" s="81">
        <f t="shared" si="3"/>
        <v>0</v>
      </c>
      <c r="M43" s="81">
        <f t="shared" si="3"/>
        <v>0</v>
      </c>
      <c r="N43" s="81">
        <f t="shared" si="3"/>
        <v>0</v>
      </c>
      <c r="O43" s="81">
        <f t="shared" si="3"/>
        <v>0</v>
      </c>
      <c r="P43" s="74"/>
      <c r="Q43" s="81"/>
    </row>
    <row r="44" spans="1:17">
      <c r="A44" s="81"/>
    </row>
    <row r="45" spans="1:17">
      <c r="A45" s="81"/>
    </row>
  </sheetData>
  <mergeCells count="4">
    <mergeCell ref="A1:P1"/>
    <mergeCell ref="A2:P2"/>
    <mergeCell ref="A3:P3"/>
    <mergeCell ref="A4:P4"/>
  </mergeCells>
  <phoneticPr fontId="23" type="noConversion"/>
  <printOptions horizontalCentered="1"/>
  <pageMargins left="0.5" right="0.5" top="0.75" bottom="0.5" header="0.5" footer="0.25"/>
  <pageSetup scale="52" fitToHeight="2" orientation="landscape" verticalDpi="300" r:id="rId1"/>
  <headerFooter alignWithMargins="0">
    <oddFooter>&amp;RSchedule &amp;A
Page &amp;P of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9"/>
  <dimension ref="A1:R76"/>
  <sheetViews>
    <sheetView view="pageBreakPreview" zoomScale="60" zoomScaleNormal="75" workbookViewId="0">
      <pane xSplit="3" ySplit="11" topLeftCell="D12" activePane="bottomRight" state="frozen"/>
      <selection activeCell="F55" sqref="F55"/>
      <selection pane="topRight" activeCell="F55" sqref="F55"/>
      <selection pane="bottomLeft" activeCell="F55" sqref="F55"/>
      <selection pane="bottomRight" activeCell="S29" sqref="S29"/>
    </sheetView>
  </sheetViews>
  <sheetFormatPr defaultColWidth="7.109375" defaultRowHeight="15"/>
  <cols>
    <col min="1" max="1" width="4.6640625" style="80" customWidth="1"/>
    <col min="2" max="2" width="7.21875" style="80" customWidth="1"/>
    <col min="3" max="3" width="38.88671875" style="80" customWidth="1"/>
    <col min="4" max="5" width="11.109375" style="80" customWidth="1"/>
    <col min="6" max="6" width="11.77734375" style="80" bestFit="1" customWidth="1"/>
    <col min="7" max="7" width="11.33203125" style="80" bestFit="1" customWidth="1"/>
    <col min="8" max="8" width="11.109375" style="80" customWidth="1"/>
    <col min="9" max="9" width="12" style="80" bestFit="1" customWidth="1"/>
    <col min="10" max="13" width="11.33203125" style="80" bestFit="1" customWidth="1"/>
    <col min="14" max="14" width="10" style="80" customWidth="1"/>
    <col min="15" max="15" width="10.77734375" style="80" customWidth="1"/>
    <col min="16" max="16" width="12.44140625" style="80" customWidth="1"/>
    <col min="17" max="17" width="12.5546875" style="80" customWidth="1"/>
    <col min="18" max="18" width="7.109375" style="80"/>
    <col min="19" max="19" width="8.109375" style="80" customWidth="1"/>
    <col min="20" max="20" width="8.77734375" style="80" customWidth="1"/>
    <col min="21" max="16384" width="7.109375" style="80"/>
  </cols>
  <sheetData>
    <row r="1" spans="1:18">
      <c r="A1" s="1203" t="str">
        <f>'Table of Contents'!A1:C1</f>
        <v>Atmos Energy Corporation, Kentucky/Mid-States Division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1203"/>
      <c r="O1" s="1203"/>
      <c r="P1" s="1203"/>
      <c r="Q1" s="81"/>
    </row>
    <row r="2" spans="1:18">
      <c r="A2" s="1203" t="str">
        <f>'Table of Contents'!A2:C2</f>
        <v>Kentucky Jurisdiction Case No. 2018-00281</v>
      </c>
      <c r="B2" s="1203"/>
      <c r="C2" s="1203"/>
      <c r="D2" s="1203"/>
      <c r="E2" s="1203"/>
      <c r="F2" s="1203"/>
      <c r="G2" s="1203"/>
      <c r="H2" s="1203"/>
      <c r="I2" s="1203"/>
      <c r="J2" s="1203"/>
      <c r="K2" s="1203"/>
      <c r="L2" s="1203"/>
      <c r="M2" s="1203"/>
      <c r="N2" s="1203"/>
      <c r="O2" s="1203"/>
      <c r="P2" s="1203"/>
      <c r="Q2" s="81"/>
    </row>
    <row r="3" spans="1:18" ht="15.75">
      <c r="A3" s="1203" t="s">
        <v>190</v>
      </c>
      <c r="B3" s="1203"/>
      <c r="C3" s="1203"/>
      <c r="D3" s="1203"/>
      <c r="E3" s="1203"/>
      <c r="F3" s="1203"/>
      <c r="G3" s="1203"/>
      <c r="H3" s="1203"/>
      <c r="I3" s="1203"/>
      <c r="J3" s="1203"/>
      <c r="K3" s="1203"/>
      <c r="L3" s="1203"/>
      <c r="M3" s="1203"/>
      <c r="N3" s="1203"/>
      <c r="O3" s="1203"/>
      <c r="P3" s="1203"/>
      <c r="Q3" s="81"/>
    </row>
    <row r="4" spans="1:18">
      <c r="A4" s="1203" t="str">
        <f>'Table of Contents'!A4:C4</f>
        <v>Forecasted Test Period: Twelve Months Ended March 31, 2020</v>
      </c>
      <c r="B4" s="1203"/>
      <c r="C4" s="1203"/>
      <c r="D4" s="1203"/>
      <c r="E4" s="1203"/>
      <c r="F4" s="1203"/>
      <c r="G4" s="1203"/>
      <c r="H4" s="1203"/>
      <c r="I4" s="1203"/>
      <c r="J4" s="1203"/>
      <c r="K4" s="1203"/>
      <c r="L4" s="1203"/>
      <c r="M4" s="1203"/>
      <c r="N4" s="1203"/>
      <c r="O4" s="1203"/>
      <c r="P4" s="1203"/>
      <c r="Q4" s="81"/>
    </row>
    <row r="5" spans="1:18">
      <c r="A5" s="81"/>
      <c r="B5" s="150"/>
      <c r="C5" s="150"/>
      <c r="D5" s="150"/>
      <c r="E5" s="150"/>
      <c r="F5" s="150"/>
      <c r="G5" s="869"/>
      <c r="H5" s="150"/>
      <c r="I5" s="150"/>
      <c r="J5" s="150"/>
      <c r="K5" s="150"/>
      <c r="L5" s="150"/>
      <c r="M5" s="150"/>
      <c r="N5" s="150"/>
      <c r="O5" s="150"/>
      <c r="P5" s="81"/>
      <c r="Q5" s="81"/>
    </row>
    <row r="6" spans="1:18">
      <c r="A6" s="88" t="str">
        <f>'C.2.1 F'!A6</f>
        <v>Data:________Base Period___X____Forecasted Period</v>
      </c>
      <c r="B6" s="81"/>
      <c r="C6" s="88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170" t="s">
        <v>1427</v>
      </c>
      <c r="Q6" s="81"/>
    </row>
    <row r="7" spans="1:18" ht="15.75">
      <c r="A7" s="88" t="str">
        <f>'C.2.1 F'!A7</f>
        <v>Type of Filing:___X____Original________Updated ________Revised</v>
      </c>
      <c r="B7" s="81"/>
      <c r="C7" s="88"/>
      <c r="D7" s="81"/>
      <c r="E7" s="81"/>
      <c r="F7" s="901"/>
      <c r="G7" s="81"/>
      <c r="H7" s="81"/>
      <c r="I7" s="81"/>
      <c r="J7" s="81"/>
      <c r="K7" s="81"/>
      <c r="L7" s="81"/>
      <c r="M7" s="81"/>
      <c r="N7" s="81"/>
      <c r="O7" s="81"/>
      <c r="P7" s="508" t="s">
        <v>37</v>
      </c>
      <c r="Q7" s="81"/>
    </row>
    <row r="8" spans="1:18">
      <c r="A8" s="390" t="str">
        <f>'C.2.1 F'!A8</f>
        <v>Workpaper Reference No(s).____________________</v>
      </c>
      <c r="B8" s="82"/>
      <c r="C8" s="432"/>
      <c r="D8" s="151"/>
      <c r="E8" s="151"/>
      <c r="F8" s="151"/>
      <c r="G8" s="151"/>
      <c r="H8" s="151"/>
      <c r="I8" s="151"/>
      <c r="J8" s="151"/>
      <c r="K8" s="151"/>
      <c r="L8" s="151"/>
      <c r="M8" s="82"/>
      <c r="N8" s="82"/>
      <c r="O8" s="82"/>
      <c r="P8" s="509" t="str">
        <f>'C.1'!J9</f>
        <v>Witness: Waller, Densman</v>
      </c>
      <c r="Q8" s="81"/>
    </row>
    <row r="9" spans="1:18">
      <c r="A9" s="391" t="s">
        <v>93</v>
      </c>
      <c r="B9" s="826" t="s">
        <v>100</v>
      </c>
      <c r="C9" s="902"/>
      <c r="D9" s="890" t="s">
        <v>43</v>
      </c>
      <c r="E9" s="847" t="s">
        <v>43</v>
      </c>
      <c r="F9" s="847" t="s">
        <v>43</v>
      </c>
      <c r="G9" s="847" t="s">
        <v>43</v>
      </c>
      <c r="H9" s="847" t="s">
        <v>43</v>
      </c>
      <c r="I9" s="847" t="s">
        <v>43</v>
      </c>
      <c r="J9" s="847" t="s">
        <v>43</v>
      </c>
      <c r="K9" s="847" t="s">
        <v>43</v>
      </c>
      <c r="L9" s="847" t="s">
        <v>43</v>
      </c>
      <c r="M9" s="847" t="s">
        <v>43</v>
      </c>
      <c r="N9" s="847" t="s">
        <v>43</v>
      </c>
      <c r="O9" s="847" t="s">
        <v>43</v>
      </c>
      <c r="P9" s="903"/>
      <c r="Q9" s="81"/>
    </row>
    <row r="10" spans="1:18">
      <c r="A10" s="392" t="s">
        <v>99</v>
      </c>
      <c r="B10" s="82" t="s">
        <v>99</v>
      </c>
      <c r="C10" s="904" t="s">
        <v>952</v>
      </c>
      <c r="D10" s="612">
        <f>'C.2.2-F 09'!D10</f>
        <v>43556</v>
      </c>
      <c r="E10" s="612">
        <f>'C.2.2-F 09'!F10</f>
        <v>43617</v>
      </c>
      <c r="F10" s="612">
        <f>'C.2.2-F 09'!F10</f>
        <v>43617</v>
      </c>
      <c r="G10" s="612">
        <f>'C.2.2-F 09'!G10</f>
        <v>43647</v>
      </c>
      <c r="H10" s="612">
        <f>'C.2.2-F 09'!H10</f>
        <v>43678</v>
      </c>
      <c r="I10" s="612">
        <f>'C.2.2-F 09'!I10</f>
        <v>43709</v>
      </c>
      <c r="J10" s="612">
        <f>'C.2.2-F 09'!J10</f>
        <v>43739</v>
      </c>
      <c r="K10" s="612">
        <f>'C.2.2-F 09'!K10</f>
        <v>43770</v>
      </c>
      <c r="L10" s="612">
        <f>'C.2.2-F 09'!L10</f>
        <v>43800</v>
      </c>
      <c r="M10" s="612">
        <f>'C.2.2-F 09'!M10</f>
        <v>43831</v>
      </c>
      <c r="N10" s="612">
        <f>'C.2.2-F 09'!N10</f>
        <v>43862</v>
      </c>
      <c r="O10" s="612">
        <f>'C.2.2-F 09'!O10</f>
        <v>43891</v>
      </c>
      <c r="P10" s="363" t="str">
        <f>'C.2.2 B 09'!P10</f>
        <v>Total</v>
      </c>
      <c r="Q10" s="76"/>
    </row>
    <row r="11" spans="1:18">
      <c r="A11" s="81"/>
      <c r="B11" s="81"/>
      <c r="C11" s="81"/>
      <c r="D11" s="848" t="s">
        <v>146</v>
      </c>
      <c r="E11" s="848" t="s">
        <v>146</v>
      </c>
      <c r="F11" s="848" t="s">
        <v>146</v>
      </c>
      <c r="G11" s="848" t="s">
        <v>146</v>
      </c>
      <c r="H11" s="848" t="s">
        <v>146</v>
      </c>
      <c r="I11" s="848" t="s">
        <v>146</v>
      </c>
      <c r="J11" s="848" t="s">
        <v>146</v>
      </c>
      <c r="K11" s="848" t="s">
        <v>146</v>
      </c>
      <c r="L11" s="848" t="s">
        <v>146</v>
      </c>
      <c r="M11" s="848" t="s">
        <v>146</v>
      </c>
      <c r="N11" s="848" t="s">
        <v>146</v>
      </c>
      <c r="O11" s="848" t="s">
        <v>146</v>
      </c>
      <c r="P11" s="848" t="s">
        <v>146</v>
      </c>
      <c r="Q11" s="848"/>
    </row>
    <row r="12" spans="1:18">
      <c r="A12" s="850">
        <v>1</v>
      </c>
      <c r="B12" s="706">
        <v>4030</v>
      </c>
      <c r="C12" s="81" t="s">
        <v>91</v>
      </c>
      <c r="D12" s="397">
        <v>0</v>
      </c>
      <c r="E12" s="397">
        <v>0</v>
      </c>
      <c r="F12" s="397">
        <v>0</v>
      </c>
      <c r="G12" s="397">
        <v>0</v>
      </c>
      <c r="H12" s="397">
        <v>0</v>
      </c>
      <c r="I12" s="397">
        <v>0</v>
      </c>
      <c r="J12" s="397">
        <v>0</v>
      </c>
      <c r="K12" s="397">
        <v>0</v>
      </c>
      <c r="L12" s="397">
        <v>0</v>
      </c>
      <c r="M12" s="397">
        <v>0</v>
      </c>
      <c r="N12" s="397">
        <v>0</v>
      </c>
      <c r="O12" s="397">
        <v>0</v>
      </c>
      <c r="P12" s="429">
        <v>0</v>
      </c>
      <c r="Q12" s="81"/>
    </row>
    <row r="13" spans="1:18">
      <c r="A13" s="850">
        <f>A12+1</f>
        <v>2</v>
      </c>
      <c r="B13" s="829">
        <v>4060</v>
      </c>
      <c r="C13" s="195" t="s">
        <v>861</v>
      </c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429"/>
      <c r="Q13" s="81"/>
    </row>
    <row r="14" spans="1:18">
      <c r="A14" s="850">
        <f t="shared" ref="A14:A55" si="0">A13+1</f>
        <v>3</v>
      </c>
      <c r="B14" s="706">
        <v>4081</v>
      </c>
      <c r="C14" s="81" t="s">
        <v>862</v>
      </c>
      <c r="D14" s="397">
        <v>0</v>
      </c>
      <c r="E14" s="397">
        <v>0</v>
      </c>
      <c r="F14" s="397">
        <v>0</v>
      </c>
      <c r="G14" s="397">
        <v>0</v>
      </c>
      <c r="H14" s="397">
        <v>0</v>
      </c>
      <c r="I14" s="397">
        <v>0</v>
      </c>
      <c r="J14" s="397">
        <v>0</v>
      </c>
      <c r="K14" s="397">
        <v>0</v>
      </c>
      <c r="L14" s="397">
        <v>0</v>
      </c>
      <c r="M14" s="397">
        <v>0</v>
      </c>
      <c r="N14" s="397">
        <v>0</v>
      </c>
      <c r="O14" s="397">
        <v>0</v>
      </c>
      <c r="P14" s="429">
        <v>0</v>
      </c>
      <c r="Q14" s="81"/>
    </row>
    <row r="15" spans="1:18">
      <c r="A15" s="850">
        <f t="shared" si="0"/>
        <v>4</v>
      </c>
      <c r="B15" s="706">
        <v>8170</v>
      </c>
      <c r="C15" s="81" t="s">
        <v>887</v>
      </c>
      <c r="D15" s="96">
        <v>42.114632652928258</v>
      </c>
      <c r="E15" s="96">
        <v>39.670524382604306</v>
      </c>
      <c r="F15" s="96">
        <v>39.49043910003715</v>
      </c>
      <c r="G15" s="96">
        <v>52.033018204225797</v>
      </c>
      <c r="H15" s="96">
        <v>40.985163346554224</v>
      </c>
      <c r="I15" s="96">
        <v>39.782462638844819</v>
      </c>
      <c r="J15" s="96">
        <v>40.358965159995584</v>
      </c>
      <c r="K15" s="96">
        <v>40.202989655695617</v>
      </c>
      <c r="L15" s="96">
        <v>40.754726350190971</v>
      </c>
      <c r="M15" s="96">
        <v>43.007104479056821</v>
      </c>
      <c r="N15" s="96">
        <v>43.722771264559341</v>
      </c>
      <c r="O15" s="96">
        <v>43.408770104746218</v>
      </c>
      <c r="P15" s="81">
        <v>505.53156733943911</v>
      </c>
      <c r="Q15" s="81"/>
      <c r="R15" s="706"/>
    </row>
    <row r="16" spans="1:18">
      <c r="A16" s="850">
        <f t="shared" si="0"/>
        <v>5</v>
      </c>
      <c r="B16" s="706">
        <v>8180</v>
      </c>
      <c r="C16" s="81" t="s">
        <v>888</v>
      </c>
      <c r="D16" s="96">
        <v>42.661182747516079</v>
      </c>
      <c r="E16" s="96">
        <v>40.185355629794429</v>
      </c>
      <c r="F16" s="96">
        <v>40.002933258618839</v>
      </c>
      <c r="G16" s="96">
        <v>52.708285901692761</v>
      </c>
      <c r="H16" s="96">
        <v>41.517055553435398</v>
      </c>
      <c r="I16" s="96">
        <v>40.298746584555204</v>
      </c>
      <c r="J16" s="96">
        <v>40.882730769147315</v>
      </c>
      <c r="K16" s="96">
        <v>40.724731065150962</v>
      </c>
      <c r="L16" s="96">
        <v>41.283628020191628</v>
      </c>
      <c r="M16" s="96">
        <v>43.565236784630713</v>
      </c>
      <c r="N16" s="96">
        <v>44.290191262430938</v>
      </c>
      <c r="O16" s="96">
        <v>43.972115097025039</v>
      </c>
      <c r="P16" s="81">
        <v>512.09219267418928</v>
      </c>
      <c r="Q16" s="81"/>
      <c r="R16" s="706"/>
    </row>
    <row r="17" spans="1:18">
      <c r="A17" s="850">
        <f t="shared" si="0"/>
        <v>6</v>
      </c>
      <c r="B17" s="706">
        <v>8190</v>
      </c>
      <c r="C17" s="81" t="s">
        <v>889</v>
      </c>
      <c r="D17" s="96">
        <v>250.98122113242815</v>
      </c>
      <c r="E17" s="96">
        <v>236.41561199317519</v>
      </c>
      <c r="F17" s="96">
        <v>235.34239773771284</v>
      </c>
      <c r="G17" s="96">
        <v>310.08962029244793</v>
      </c>
      <c r="H17" s="96">
        <v>244.25017380069647</v>
      </c>
      <c r="I17" s="96">
        <v>237.08270555360602</v>
      </c>
      <c r="J17" s="96">
        <v>240.51835956813255</v>
      </c>
      <c r="K17" s="96">
        <v>239.58882700260912</v>
      </c>
      <c r="L17" s="96">
        <v>242.87688962134803</v>
      </c>
      <c r="M17" s="96">
        <v>256.29988722632464</v>
      </c>
      <c r="N17" s="96">
        <v>260.56488759400213</v>
      </c>
      <c r="O17" s="96">
        <v>258.69360463217822</v>
      </c>
      <c r="P17" s="81">
        <v>3012.7041861546613</v>
      </c>
      <c r="Q17" s="81"/>
      <c r="R17" s="706"/>
    </row>
    <row r="18" spans="1:18">
      <c r="A18" s="850">
        <f t="shared" si="0"/>
        <v>7</v>
      </c>
      <c r="B18" s="706">
        <v>8210</v>
      </c>
      <c r="C18" s="81" t="s">
        <v>891</v>
      </c>
      <c r="D18" s="96">
        <v>273.51087648921032</v>
      </c>
      <c r="E18" s="96">
        <v>257.63776652384649</v>
      </c>
      <c r="F18" s="96">
        <v>256.46821379656359</v>
      </c>
      <c r="G18" s="96">
        <v>337.9252178856961</v>
      </c>
      <c r="H18" s="96">
        <v>266.17560794965334</v>
      </c>
      <c r="I18" s="96">
        <v>258.36474260432971</v>
      </c>
      <c r="J18" s="96">
        <v>262.10880256462053</v>
      </c>
      <c r="K18" s="96">
        <v>261.09582930082632</v>
      </c>
      <c r="L18" s="96">
        <v>264.67904913195531</v>
      </c>
      <c r="M18" s="96">
        <v>279.30697955433766</v>
      </c>
      <c r="N18" s="96">
        <v>283.95483322054787</v>
      </c>
      <c r="O18" s="96">
        <v>281.9155721127309</v>
      </c>
      <c r="P18" s="81">
        <v>3283.1434911343176</v>
      </c>
      <c r="Q18" s="81"/>
      <c r="R18" s="706"/>
    </row>
    <row r="19" spans="1:18">
      <c r="A19" s="850">
        <f t="shared" si="0"/>
        <v>8</v>
      </c>
      <c r="B19" s="706">
        <v>8240</v>
      </c>
      <c r="C19" s="81" t="s">
        <v>892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81">
        <v>0</v>
      </c>
      <c r="Q19" s="81"/>
      <c r="R19" s="706"/>
    </row>
    <row r="20" spans="1:18">
      <c r="A20" s="850">
        <f t="shared" si="0"/>
        <v>9</v>
      </c>
      <c r="B20" s="706">
        <v>8250</v>
      </c>
      <c r="C20" s="81" t="s">
        <v>903</v>
      </c>
      <c r="D20" s="96">
        <v>1785.7624046767344</v>
      </c>
      <c r="E20" s="96">
        <v>1682.1262956294786</v>
      </c>
      <c r="F20" s="96">
        <v>1674.4902435737886</v>
      </c>
      <c r="G20" s="96">
        <v>2206.3259693304212</v>
      </c>
      <c r="H20" s="96">
        <v>1737.8701710870198</v>
      </c>
      <c r="I20" s="96">
        <v>1686.8727487515262</v>
      </c>
      <c r="J20" s="96">
        <v>1711.3178516438295</v>
      </c>
      <c r="K20" s="96">
        <v>1704.7041125682729</v>
      </c>
      <c r="L20" s="96">
        <v>1728.0990844401672</v>
      </c>
      <c r="M20" s="96">
        <v>1823.6053712168396</v>
      </c>
      <c r="N20" s="96">
        <v>1853.9513759026331</v>
      </c>
      <c r="O20" s="96">
        <v>1840.6369663756593</v>
      </c>
      <c r="P20" s="81">
        <v>21435.762595196371</v>
      </c>
      <c r="Q20" s="81"/>
      <c r="R20" s="706"/>
    </row>
    <row r="21" spans="1:18">
      <c r="A21" s="850">
        <f t="shared" si="0"/>
        <v>10</v>
      </c>
      <c r="B21" s="365">
        <v>8500</v>
      </c>
      <c r="C21" s="195" t="s">
        <v>908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81">
        <v>0</v>
      </c>
      <c r="Q21" s="81"/>
      <c r="R21" s="706"/>
    </row>
    <row r="22" spans="1:18">
      <c r="A22" s="850">
        <f t="shared" si="0"/>
        <v>11</v>
      </c>
      <c r="B22" s="706">
        <v>8560</v>
      </c>
      <c r="C22" s="81" t="s">
        <v>909</v>
      </c>
      <c r="D22" s="96">
        <v>54.847815760364824</v>
      </c>
      <c r="E22" s="96">
        <v>51.664741572970968</v>
      </c>
      <c r="F22" s="96">
        <v>51.430208258130051</v>
      </c>
      <c r="G22" s="96">
        <v>67.764983715764515</v>
      </c>
      <c r="H22" s="96">
        <v>53.376856131356135</v>
      </c>
      <c r="I22" s="96">
        <v>51.810523892988158</v>
      </c>
      <c r="J22" s="96">
        <v>52.561329541135365</v>
      </c>
      <c r="K22" s="96">
        <v>52.358195495221253</v>
      </c>
      <c r="L22" s="96">
        <v>53.076747472566126</v>
      </c>
      <c r="M22" s="96">
        <v>56.010122711828046</v>
      </c>
      <c r="N22" s="96">
        <v>56.942168357828052</v>
      </c>
      <c r="O22" s="96">
        <v>56.533230260138794</v>
      </c>
      <c r="P22" s="81">
        <v>658.37692317029234</v>
      </c>
      <c r="Q22" s="81"/>
      <c r="R22" s="706"/>
    </row>
    <row r="23" spans="1:18">
      <c r="A23" s="850">
        <f t="shared" si="0"/>
        <v>12</v>
      </c>
      <c r="B23" s="706">
        <v>8570</v>
      </c>
      <c r="C23" s="81" t="s">
        <v>910</v>
      </c>
      <c r="D23" s="96">
        <v>84.230858746365513</v>
      </c>
      <c r="E23" s="96">
        <v>79.342549730943858</v>
      </c>
      <c r="F23" s="96">
        <v>78.982372352140132</v>
      </c>
      <c r="G23" s="96">
        <v>104.06800511893982</v>
      </c>
      <c r="H23" s="96">
        <v>81.971877399250943</v>
      </c>
      <c r="I23" s="96">
        <v>79.566430478697526</v>
      </c>
      <c r="J23" s="96">
        <v>80.71945733342892</v>
      </c>
      <c r="K23" s="96">
        <v>80.407500423372142</v>
      </c>
      <c r="L23" s="96">
        <v>81.510994687758028</v>
      </c>
      <c r="M23" s="96">
        <v>86.015836166001606</v>
      </c>
      <c r="N23" s="96">
        <v>87.447196814826754</v>
      </c>
      <c r="O23" s="96">
        <v>86.819182614717732</v>
      </c>
      <c r="P23" s="81">
        <v>1011.082261866443</v>
      </c>
      <c r="Q23" s="81"/>
      <c r="R23" s="706"/>
    </row>
    <row r="24" spans="1:18">
      <c r="A24" s="850">
        <f t="shared" si="0"/>
        <v>13</v>
      </c>
      <c r="B24" s="706">
        <v>8650</v>
      </c>
      <c r="C24" s="658" t="s">
        <v>1401</v>
      </c>
      <c r="D24" s="96">
        <v>82.20920994993611</v>
      </c>
      <c r="E24" s="96">
        <v>45.663854821695629</v>
      </c>
      <c r="F24" s="96">
        <v>57.569794698050764</v>
      </c>
      <c r="G24" s="96">
        <v>40.068492539349208</v>
      </c>
      <c r="H24" s="96">
        <v>58.428713779030872</v>
      </c>
      <c r="I24" s="96">
        <v>46.738494733398824</v>
      </c>
      <c r="J24" s="96">
        <v>40.326994147374954</v>
      </c>
      <c r="K24" s="96">
        <v>70.442018540508542</v>
      </c>
      <c r="L24" s="96">
        <v>96.505257345864763</v>
      </c>
      <c r="M24" s="96">
        <v>82.857528679329747</v>
      </c>
      <c r="N24" s="96">
        <v>108.97775346217409</v>
      </c>
      <c r="O24" s="96">
        <v>62.941342489103334</v>
      </c>
      <c r="P24" s="81">
        <v>792.72945518581685</v>
      </c>
      <c r="Q24" s="81"/>
      <c r="R24" s="706"/>
    </row>
    <row r="25" spans="1:18">
      <c r="A25" s="850">
        <f t="shared" si="0"/>
        <v>14</v>
      </c>
      <c r="B25" s="706">
        <v>8700</v>
      </c>
      <c r="C25" s="81" t="s">
        <v>913</v>
      </c>
      <c r="D25" s="96">
        <v>363370.24106817547</v>
      </c>
      <c r="E25" s="96">
        <v>330918.98617644393</v>
      </c>
      <c r="F25" s="96">
        <v>307582.35552223923</v>
      </c>
      <c r="G25" s="96">
        <v>323442.59377583815</v>
      </c>
      <c r="H25" s="96">
        <v>319922.14845974825</v>
      </c>
      <c r="I25" s="96">
        <v>340520.14598185191</v>
      </c>
      <c r="J25" s="96">
        <v>326572.54946827336</v>
      </c>
      <c r="K25" s="96">
        <v>352877.13079750963</v>
      </c>
      <c r="L25" s="96">
        <v>306072.19724807446</v>
      </c>
      <c r="M25" s="96">
        <v>351954.55436388974</v>
      </c>
      <c r="N25" s="96">
        <v>319565.50874683924</v>
      </c>
      <c r="O25" s="96">
        <v>333577.06118648546</v>
      </c>
      <c r="P25" s="81">
        <v>3976375.4727953686</v>
      </c>
      <c r="Q25" s="81"/>
      <c r="R25" s="706"/>
    </row>
    <row r="26" spans="1:18">
      <c r="A26" s="850">
        <f t="shared" si="0"/>
        <v>15</v>
      </c>
      <c r="B26" s="706">
        <v>8711</v>
      </c>
      <c r="C26" s="81" t="s">
        <v>189</v>
      </c>
      <c r="D26" s="96">
        <v>6550.4958025054493</v>
      </c>
      <c r="E26" s="96">
        <v>3638.5325867733623</v>
      </c>
      <c r="F26" s="96">
        <v>4587.2074278579666</v>
      </c>
      <c r="G26" s="96">
        <v>3192.6896311443252</v>
      </c>
      <c r="H26" s="96">
        <v>4655.6467893124609</v>
      </c>
      <c r="I26" s="96">
        <v>3724.1607570854658</v>
      </c>
      <c r="J26" s="96">
        <v>3213.2872466589952</v>
      </c>
      <c r="K26" s="96">
        <v>5612.8765505788788</v>
      </c>
      <c r="L26" s="96">
        <v>7689.6163282528496</v>
      </c>
      <c r="M26" s="96">
        <v>6602.1543589879284</v>
      </c>
      <c r="N26" s="96">
        <v>8683.4348250660914</v>
      </c>
      <c r="O26" s="96">
        <v>5015.2166652618425</v>
      </c>
      <c r="P26" s="81">
        <v>63165.318969485612</v>
      </c>
      <c r="Q26" s="81"/>
    </row>
    <row r="27" spans="1:18">
      <c r="A27" s="850">
        <f t="shared" si="0"/>
        <v>16</v>
      </c>
      <c r="B27" s="706">
        <v>8740</v>
      </c>
      <c r="C27" s="81" t="s">
        <v>915</v>
      </c>
      <c r="D27" s="96">
        <v>11474.504566221227</v>
      </c>
      <c r="E27" s="96">
        <v>11448.934980176169</v>
      </c>
      <c r="F27" s="96">
        <v>11435.225326857319</v>
      </c>
      <c r="G27" s="96">
        <v>11774.249084253192</v>
      </c>
      <c r="H27" s="96">
        <v>12951.946770479744</v>
      </c>
      <c r="I27" s="96">
        <v>12331.715411043153</v>
      </c>
      <c r="J27" s="96">
        <v>10000.146838008446</v>
      </c>
      <c r="K27" s="96">
        <v>10262.658262522909</v>
      </c>
      <c r="L27" s="96">
        <v>10808.183271695356</v>
      </c>
      <c r="M27" s="96">
        <v>12208.322470640127</v>
      </c>
      <c r="N27" s="96">
        <v>11490.354849445703</v>
      </c>
      <c r="O27" s="96">
        <v>10690.070564298749</v>
      </c>
      <c r="P27" s="81">
        <v>136876.31239564207</v>
      </c>
      <c r="Q27" s="81"/>
      <c r="R27" s="706"/>
    </row>
    <row r="28" spans="1:18">
      <c r="A28" s="850">
        <f t="shared" si="0"/>
        <v>17</v>
      </c>
      <c r="B28" s="706">
        <v>8750</v>
      </c>
      <c r="C28" s="81" t="s">
        <v>1226</v>
      </c>
      <c r="D28" s="96">
        <v>15088.284354892747</v>
      </c>
      <c r="E28" s="96">
        <v>14175.290020829772</v>
      </c>
      <c r="F28" s="96">
        <v>13200.648820818493</v>
      </c>
      <c r="G28" s="96">
        <v>13393.80728191989</v>
      </c>
      <c r="H28" s="96">
        <v>13711.153723082054</v>
      </c>
      <c r="I28" s="96">
        <v>13936.268305175377</v>
      </c>
      <c r="J28" s="96">
        <v>13620.984094197553</v>
      </c>
      <c r="K28" s="96">
        <v>14961.17339831388</v>
      </c>
      <c r="L28" s="96">
        <v>14601.865639258076</v>
      </c>
      <c r="M28" s="96">
        <v>15582.351647113981</v>
      </c>
      <c r="N28" s="96">
        <v>14793.716971959837</v>
      </c>
      <c r="O28" s="96">
        <v>14045.915631526057</v>
      </c>
      <c r="P28" s="81">
        <v>171111.45988908774</v>
      </c>
      <c r="Q28" s="81"/>
      <c r="R28" s="706"/>
    </row>
    <row r="29" spans="1:18">
      <c r="A29" s="850">
        <f t="shared" si="0"/>
        <v>18</v>
      </c>
      <c r="B29" s="365">
        <v>8760</v>
      </c>
      <c r="C29" s="80" t="s">
        <v>917</v>
      </c>
      <c r="D29" s="96">
        <v>0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81">
        <v>0</v>
      </c>
      <c r="Q29" s="81"/>
      <c r="R29" s="706"/>
    </row>
    <row r="30" spans="1:18">
      <c r="A30" s="850">
        <f t="shared" si="0"/>
        <v>19</v>
      </c>
      <c r="B30" s="706">
        <v>8770</v>
      </c>
      <c r="C30" s="81" t="s">
        <v>918</v>
      </c>
      <c r="D30" s="96">
        <v>1926.2656366202575</v>
      </c>
      <c r="E30" s="96">
        <v>1069.9618015087967</v>
      </c>
      <c r="F30" s="96">
        <v>1348.9330125136964</v>
      </c>
      <c r="G30" s="96">
        <v>938.85539511602519</v>
      </c>
      <c r="H30" s="96">
        <v>1369.0585715762031</v>
      </c>
      <c r="I30" s="96">
        <v>1095.1419721358484</v>
      </c>
      <c r="J30" s="96">
        <v>944.91241433387574</v>
      </c>
      <c r="K30" s="96">
        <v>1650.5454774639165</v>
      </c>
      <c r="L30" s="96">
        <v>2261.2400860164016</v>
      </c>
      <c r="M30" s="96">
        <v>1941.4565634126302</v>
      </c>
      <c r="N30" s="96">
        <v>2553.4864254029167</v>
      </c>
      <c r="O30" s="96">
        <v>1474.7951626507574</v>
      </c>
      <c r="P30" s="81">
        <v>18574.652518751325</v>
      </c>
      <c r="Q30" s="81"/>
    </row>
    <row r="31" spans="1:18">
      <c r="A31" s="850">
        <f t="shared" si="0"/>
        <v>20</v>
      </c>
      <c r="B31" s="706">
        <v>8800</v>
      </c>
      <c r="C31" s="81" t="s">
        <v>921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81">
        <v>0</v>
      </c>
      <c r="Q31" s="81"/>
    </row>
    <row r="32" spans="1:18">
      <c r="A32" s="850">
        <f t="shared" si="0"/>
        <v>21</v>
      </c>
      <c r="B32" s="706">
        <v>8810</v>
      </c>
      <c r="C32" s="81" t="s">
        <v>922</v>
      </c>
      <c r="D32" s="96">
        <v>22196.347438311634</v>
      </c>
      <c r="E32" s="96">
        <v>20908.1900230008</v>
      </c>
      <c r="F32" s="96">
        <v>20813.276800479569</v>
      </c>
      <c r="G32" s="96">
        <v>27423.792576870204</v>
      </c>
      <c r="H32" s="96">
        <v>21601.065191597223</v>
      </c>
      <c r="I32" s="96">
        <v>20967.186629895823</v>
      </c>
      <c r="J32" s="96">
        <v>21271.029960644559</v>
      </c>
      <c r="K32" s="96">
        <v>21188.823699608412</v>
      </c>
      <c r="L32" s="96">
        <v>21479.614301212601</v>
      </c>
      <c r="M32" s="96">
        <v>22666.721118046837</v>
      </c>
      <c r="N32" s="96">
        <v>23043.910413558089</v>
      </c>
      <c r="O32" s="96">
        <v>22878.417367550002</v>
      </c>
      <c r="P32" s="81">
        <v>266438.37552077579</v>
      </c>
      <c r="Q32" s="81"/>
      <c r="R32" s="706"/>
    </row>
    <row r="33" spans="1:18">
      <c r="A33" s="850">
        <f t="shared" si="0"/>
        <v>22</v>
      </c>
      <c r="B33" s="365">
        <v>9010</v>
      </c>
      <c r="C33" s="80" t="s">
        <v>181</v>
      </c>
      <c r="D33" s="96">
        <v>2606.0411959227285</v>
      </c>
      <c r="E33" s="96">
        <v>2527.3628462553825</v>
      </c>
      <c r="F33" s="96">
        <v>2338.4962512904635</v>
      </c>
      <c r="G33" s="96">
        <v>2478.4189462122854</v>
      </c>
      <c r="H33" s="96">
        <v>2443.8622591305293</v>
      </c>
      <c r="I33" s="96">
        <v>2571.7710263434838</v>
      </c>
      <c r="J33" s="96">
        <v>2576.4387006482002</v>
      </c>
      <c r="K33" s="96">
        <v>2758.009196961169</v>
      </c>
      <c r="L33" s="96">
        <v>2396.3749399968697</v>
      </c>
      <c r="M33" s="96">
        <v>2679.7657682180015</v>
      </c>
      <c r="N33" s="96">
        <v>2319.6416990205007</v>
      </c>
      <c r="O33" s="96">
        <v>2448.6191408250302</v>
      </c>
      <c r="P33" s="81">
        <v>30144.801970824639</v>
      </c>
      <c r="Q33" s="81"/>
      <c r="R33" s="706"/>
    </row>
    <row r="34" spans="1:18">
      <c r="A34" s="850">
        <f t="shared" si="0"/>
        <v>23</v>
      </c>
      <c r="B34" s="365">
        <v>9020</v>
      </c>
      <c r="C34" s="80" t="s">
        <v>932</v>
      </c>
      <c r="D34" s="96">
        <v>0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81">
        <v>0</v>
      </c>
      <c r="Q34" s="81"/>
      <c r="R34" s="706"/>
    </row>
    <row r="35" spans="1:18">
      <c r="A35" s="850">
        <f t="shared" si="0"/>
        <v>24</v>
      </c>
      <c r="B35" s="706">
        <v>9030</v>
      </c>
      <c r="C35" s="81" t="s">
        <v>937</v>
      </c>
      <c r="D35" s="96">
        <v>377114.09473338287</v>
      </c>
      <c r="E35" s="96">
        <v>417775.51809268846</v>
      </c>
      <c r="F35" s="96">
        <v>355005.80339655664</v>
      </c>
      <c r="G35" s="96">
        <v>323142.6635887117</v>
      </c>
      <c r="H35" s="96">
        <v>331169.94362827472</v>
      </c>
      <c r="I35" s="96">
        <v>401812.882471341</v>
      </c>
      <c r="J35" s="96">
        <v>292343.63620697038</v>
      </c>
      <c r="K35" s="96">
        <v>315693.2158995216</v>
      </c>
      <c r="L35" s="96">
        <v>327299.89563941211</v>
      </c>
      <c r="M35" s="96">
        <v>377774.52717811678</v>
      </c>
      <c r="N35" s="96">
        <v>367596.52172969456</v>
      </c>
      <c r="O35" s="96">
        <v>380004.5100708133</v>
      </c>
      <c r="P35" s="81">
        <v>4266733.2126354845</v>
      </c>
      <c r="Q35" s="81"/>
      <c r="R35" s="706"/>
    </row>
    <row r="36" spans="1:18">
      <c r="A36" s="850">
        <f t="shared" si="0"/>
        <v>25</v>
      </c>
      <c r="B36" s="706">
        <v>9100</v>
      </c>
      <c r="C36" s="81" t="s">
        <v>940</v>
      </c>
      <c r="D36" s="96">
        <v>238.81692929996089</v>
      </c>
      <c r="E36" s="96">
        <v>119.69633762286291</v>
      </c>
      <c r="F36" s="96">
        <v>109.93426022937949</v>
      </c>
      <c r="G36" s="96">
        <v>108.63197103094593</v>
      </c>
      <c r="H36" s="96">
        <v>114.31849588050771</v>
      </c>
      <c r="I36" s="96">
        <v>118.28833698222263</v>
      </c>
      <c r="J36" s="96">
        <v>141.65605469744054</v>
      </c>
      <c r="K36" s="96">
        <v>170.1588436048599</v>
      </c>
      <c r="L36" s="96">
        <v>110.53693119059989</v>
      </c>
      <c r="M36" s="96">
        <v>122.39637307286375</v>
      </c>
      <c r="N36" s="96">
        <v>131.96501126023531</v>
      </c>
      <c r="O36" s="96">
        <v>129.60532615319443</v>
      </c>
      <c r="P36" s="81">
        <v>1616.0048710250735</v>
      </c>
      <c r="Q36" s="81"/>
      <c r="R36" s="706"/>
    </row>
    <row r="37" spans="1:18">
      <c r="A37" s="850">
        <f t="shared" si="0"/>
        <v>26</v>
      </c>
      <c r="B37" s="706">
        <v>9110</v>
      </c>
      <c r="C37" s="81" t="s">
        <v>941</v>
      </c>
      <c r="D37" s="96">
        <v>19147.225173964674</v>
      </c>
      <c r="E37" s="96">
        <v>16739.779434278644</v>
      </c>
      <c r="F37" s="96">
        <v>16891.450239697111</v>
      </c>
      <c r="G37" s="96">
        <v>15910.881765337152</v>
      </c>
      <c r="H37" s="96">
        <v>16487.209980884531</v>
      </c>
      <c r="I37" s="96">
        <v>19717.287415727747</v>
      </c>
      <c r="J37" s="96">
        <v>16808.328507381008</v>
      </c>
      <c r="K37" s="96">
        <v>20947.439745768912</v>
      </c>
      <c r="L37" s="96">
        <v>16030.107647180488</v>
      </c>
      <c r="M37" s="96">
        <v>18520.805776434005</v>
      </c>
      <c r="N37" s="96">
        <v>15889.651035890018</v>
      </c>
      <c r="O37" s="96">
        <v>16920.343760118471</v>
      </c>
      <c r="P37" s="81">
        <v>210010.51048266279</v>
      </c>
      <c r="Q37" s="81"/>
      <c r="R37" s="706"/>
    </row>
    <row r="38" spans="1:18">
      <c r="A38" s="850">
        <f t="shared" si="0"/>
        <v>27</v>
      </c>
      <c r="B38" s="706">
        <v>9120</v>
      </c>
      <c r="C38" s="81" t="s">
        <v>942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6">
        <v>0</v>
      </c>
      <c r="P38" s="81">
        <v>0</v>
      </c>
      <c r="Q38" s="81"/>
    </row>
    <row r="39" spans="1:18">
      <c r="A39" s="850">
        <f t="shared" si="0"/>
        <v>28</v>
      </c>
      <c r="B39" s="706">
        <v>9130</v>
      </c>
      <c r="C39" s="81" t="s">
        <v>943</v>
      </c>
      <c r="D39" s="96">
        <v>215.44601269219845</v>
      </c>
      <c r="E39" s="96">
        <v>107.98270771798762</v>
      </c>
      <c r="F39" s="96">
        <v>99.175959150439581</v>
      </c>
      <c r="G39" s="96">
        <v>98.001113564755755</v>
      </c>
      <c r="H39" s="96">
        <v>103.13114814188732</v>
      </c>
      <c r="I39" s="96">
        <v>106.71249574104274</v>
      </c>
      <c r="J39" s="96">
        <v>127.79342003823565</v>
      </c>
      <c r="K39" s="96">
        <v>153.50689118415215</v>
      </c>
      <c r="L39" s="96">
        <v>99.719651994748887</v>
      </c>
      <c r="M39" s="96">
        <v>110.41851439859201</v>
      </c>
      <c r="N39" s="96">
        <v>119.05075395717945</v>
      </c>
      <c r="O39" s="96">
        <v>116.92199051896199</v>
      </c>
      <c r="P39" s="81">
        <v>1457.8606591001817</v>
      </c>
      <c r="Q39" s="81"/>
      <c r="R39" s="706"/>
    </row>
    <row r="40" spans="1:18">
      <c r="A40" s="850">
        <f t="shared" si="0"/>
        <v>29</v>
      </c>
      <c r="B40" s="706">
        <v>9200</v>
      </c>
      <c r="C40" s="81" t="s">
        <v>182</v>
      </c>
      <c r="D40" s="96">
        <v>1420.6068427693583</v>
      </c>
      <c r="E40" s="96">
        <v>1419.6000342344403</v>
      </c>
      <c r="F40" s="96">
        <v>666.50725011574423</v>
      </c>
      <c r="G40" s="96">
        <v>2033.7532405344461</v>
      </c>
      <c r="H40" s="96">
        <v>654.42554769672779</v>
      </c>
      <c r="I40" s="96">
        <v>863.84172295968062</v>
      </c>
      <c r="J40" s="96">
        <v>1359.1915221393576</v>
      </c>
      <c r="K40" s="96">
        <v>654.42554769672779</v>
      </c>
      <c r="L40" s="96">
        <v>755.106401188532</v>
      </c>
      <c r="M40" s="96">
        <v>654.42554769672779</v>
      </c>
      <c r="N40" s="96">
        <v>1066.2102384782072</v>
      </c>
      <c r="O40" s="96">
        <v>6272.4171725394062</v>
      </c>
      <c r="P40" s="81">
        <v>17820.511068049356</v>
      </c>
      <c r="Q40" s="81"/>
      <c r="R40" s="706"/>
    </row>
    <row r="41" spans="1:18">
      <c r="A41" s="850">
        <f t="shared" si="0"/>
        <v>30</v>
      </c>
      <c r="B41" s="706">
        <v>9210</v>
      </c>
      <c r="C41" s="81" t="s">
        <v>944</v>
      </c>
      <c r="D41" s="96">
        <v>675.56197419693115</v>
      </c>
      <c r="E41" s="96">
        <v>477.52425828053526</v>
      </c>
      <c r="F41" s="96">
        <v>579.68796925302638</v>
      </c>
      <c r="G41" s="96">
        <v>418.68806513434464</v>
      </c>
      <c r="H41" s="96">
        <v>488.2499144067848</v>
      </c>
      <c r="I41" s="96">
        <v>745.67191708391522</v>
      </c>
      <c r="J41" s="96">
        <v>466.45155695377315</v>
      </c>
      <c r="K41" s="96">
        <v>785.36246202372126</v>
      </c>
      <c r="L41" s="96">
        <v>468.07286082746401</v>
      </c>
      <c r="M41" s="96">
        <v>583.31945076832972</v>
      </c>
      <c r="N41" s="96">
        <v>487.02761382578973</v>
      </c>
      <c r="O41" s="96">
        <v>529.41622222108765</v>
      </c>
      <c r="P41" s="81">
        <v>6705.0342649757022</v>
      </c>
      <c r="Q41" s="81"/>
      <c r="R41" s="706"/>
    </row>
    <row r="42" spans="1:18">
      <c r="A42" s="850">
        <f t="shared" si="0"/>
        <v>31</v>
      </c>
      <c r="B42" s="706">
        <v>9220</v>
      </c>
      <c r="C42" s="81" t="s">
        <v>945</v>
      </c>
      <c r="D42" s="96">
        <v>-1048918.3637999995</v>
      </c>
      <c r="E42" s="96">
        <v>-1139040.5995</v>
      </c>
      <c r="F42" s="96">
        <v>-946981.03720000014</v>
      </c>
      <c r="G42" s="96">
        <v>-1078096.5879000004</v>
      </c>
      <c r="H42" s="96">
        <v>-884992.57380000001</v>
      </c>
      <c r="I42" s="96">
        <v>-975236.68479999993</v>
      </c>
      <c r="J42" s="96">
        <v>-898719.62929901981</v>
      </c>
      <c r="K42" s="96">
        <v>-973684.94514259754</v>
      </c>
      <c r="L42" s="96">
        <v>-945343.63978579221</v>
      </c>
      <c r="M42" s="96">
        <v>-1072764.0430990201</v>
      </c>
      <c r="N42" s="96">
        <v>-1002031.0108589251</v>
      </c>
      <c r="O42" s="96">
        <v>-1020835.0116857925</v>
      </c>
      <c r="P42" s="81">
        <v>-11986644.126871146</v>
      </c>
      <c r="Q42" s="81"/>
    </row>
    <row r="43" spans="1:18">
      <c r="A43" s="850">
        <f t="shared" si="0"/>
        <v>32</v>
      </c>
      <c r="B43" s="706">
        <v>9230</v>
      </c>
      <c r="C43" s="81" t="s">
        <v>946</v>
      </c>
      <c r="D43" s="96">
        <v>29052.121493440987</v>
      </c>
      <c r="E43" s="96">
        <v>32533.215875496611</v>
      </c>
      <c r="F43" s="96">
        <v>27519.42828138086</v>
      </c>
      <c r="G43" s="96">
        <v>23922.054749006136</v>
      </c>
      <c r="H43" s="96">
        <v>24881.095346293292</v>
      </c>
      <c r="I43" s="96">
        <v>31530.896843575993</v>
      </c>
      <c r="J43" s="96">
        <v>20947.690341120615</v>
      </c>
      <c r="K43" s="96">
        <v>23289.219886577797</v>
      </c>
      <c r="L43" s="96">
        <v>24619.874997898696</v>
      </c>
      <c r="M43" s="96">
        <v>28720.041043834321</v>
      </c>
      <c r="N43" s="96">
        <v>28532.447485001401</v>
      </c>
      <c r="O43" s="96">
        <v>29415.488938411392</v>
      </c>
      <c r="P43" s="81">
        <v>324963.57528203813</v>
      </c>
      <c r="Q43" s="81"/>
    </row>
    <row r="44" spans="1:18">
      <c r="A44" s="850">
        <f t="shared" si="0"/>
        <v>33</v>
      </c>
      <c r="B44" s="706">
        <v>9240</v>
      </c>
      <c r="C44" s="81" t="s">
        <v>947</v>
      </c>
      <c r="D44" s="96">
        <v>-7314.2456320536457</v>
      </c>
      <c r="E44" s="96">
        <v>-7152.5848982549996</v>
      </c>
      <c r="F44" s="96">
        <v>-7151.5820401048841</v>
      </c>
      <c r="G44" s="96">
        <v>-7101.8402758591474</v>
      </c>
      <c r="H44" s="96">
        <v>-7120.2928658212741</v>
      </c>
      <c r="I44" s="96">
        <v>-7151.7826117349068</v>
      </c>
      <c r="J44" s="96">
        <v>-6781.5273827122001</v>
      </c>
      <c r="K44" s="96">
        <v>-6840.4954419390033</v>
      </c>
      <c r="L44" s="96">
        <v>-6856.5411723408524</v>
      </c>
      <c r="M44" s="96">
        <v>-7073.3591043958604</v>
      </c>
      <c r="N44" s="96">
        <v>-6901.6697890960586</v>
      </c>
      <c r="O44" s="96">
        <v>-7160.006048565856</v>
      </c>
      <c r="P44" s="81">
        <v>-84605.9272628787</v>
      </c>
      <c r="Q44" s="81"/>
      <c r="R44" s="706"/>
    </row>
    <row r="45" spans="1:18">
      <c r="A45" s="850">
        <f t="shared" si="0"/>
        <v>34</v>
      </c>
      <c r="B45" s="706">
        <v>9250</v>
      </c>
      <c r="C45" s="81" t="s">
        <v>948</v>
      </c>
      <c r="D45" s="96">
        <v>38899.331037523989</v>
      </c>
      <c r="E45" s="96">
        <v>39391.89365379318</v>
      </c>
      <c r="F45" s="96">
        <v>36867.441258708466</v>
      </c>
      <c r="G45" s="96">
        <v>39261.292152417074</v>
      </c>
      <c r="H45" s="96">
        <v>38440.370536875431</v>
      </c>
      <c r="I45" s="96">
        <v>37677.010791056455</v>
      </c>
      <c r="J45" s="96">
        <v>37671.268971167177</v>
      </c>
      <c r="K45" s="96">
        <v>36779.704524074637</v>
      </c>
      <c r="L45" s="96">
        <v>35798.506429085406</v>
      </c>
      <c r="M45" s="96">
        <v>38280.697294239515</v>
      </c>
      <c r="N45" s="96">
        <v>34878.046027623626</v>
      </c>
      <c r="O45" s="96">
        <v>36432.228114864403</v>
      </c>
      <c r="P45" s="81">
        <v>450377.79079142929</v>
      </c>
      <c r="Q45" s="81"/>
      <c r="R45" s="706"/>
    </row>
    <row r="46" spans="1:18">
      <c r="A46" s="850">
        <f t="shared" si="0"/>
        <v>35</v>
      </c>
      <c r="B46" s="908">
        <v>9260</v>
      </c>
      <c r="C46" s="81" t="s">
        <v>949</v>
      </c>
      <c r="D46" s="96">
        <v>154857.16640891612</v>
      </c>
      <c r="E46" s="96">
        <v>224403.63683829253</v>
      </c>
      <c r="F46" s="96">
        <v>145259.71104519337</v>
      </c>
      <c r="G46" s="96">
        <v>282772.12377076474</v>
      </c>
      <c r="H46" s="96">
        <v>82187.307898539802</v>
      </c>
      <c r="I46" s="96">
        <v>79832.470084015949</v>
      </c>
      <c r="J46" s="96">
        <v>147541.12804323694</v>
      </c>
      <c r="K46" s="96">
        <v>162964.97680672829</v>
      </c>
      <c r="L46" s="96">
        <v>171607.29918879559</v>
      </c>
      <c r="M46" s="96">
        <v>191430.53361629174</v>
      </c>
      <c r="N46" s="96">
        <v>166790.27063888812</v>
      </c>
      <c r="O46" s="96">
        <v>157794.49555056795</v>
      </c>
      <c r="P46" s="81">
        <v>1967441.1198902314</v>
      </c>
      <c r="Q46" s="81"/>
      <c r="R46" s="706"/>
    </row>
    <row r="47" spans="1:18">
      <c r="A47" s="1155">
        <f t="shared" si="0"/>
        <v>36</v>
      </c>
      <c r="B47" s="908">
        <v>9280</v>
      </c>
      <c r="C47" s="80" t="s">
        <v>951</v>
      </c>
      <c r="D47" s="96">
        <v>73.458264713530369</v>
      </c>
      <c r="E47" s="96">
        <v>82.946623905694707</v>
      </c>
      <c r="F47" s="96">
        <v>126.48594955361011</v>
      </c>
      <c r="G47" s="96">
        <v>64.352500650082334</v>
      </c>
      <c r="H47" s="96">
        <v>69.708832452110599</v>
      </c>
      <c r="I47" s="96">
        <v>68.408009014475155</v>
      </c>
      <c r="J47" s="96">
        <v>211.80466325734591</v>
      </c>
      <c r="K47" s="96">
        <v>142.24886885672183</v>
      </c>
      <c r="L47" s="96">
        <v>74.070416919476457</v>
      </c>
      <c r="M47" s="96">
        <v>172.39736499956661</v>
      </c>
      <c r="N47" s="96">
        <v>53.945913148998869</v>
      </c>
      <c r="O47" s="96">
        <v>68.561047065961674</v>
      </c>
      <c r="P47" s="81">
        <v>1208.3884545375747</v>
      </c>
      <c r="Q47" s="81"/>
      <c r="R47" s="706"/>
    </row>
    <row r="48" spans="1:18">
      <c r="A48" s="1155">
        <f t="shared" si="0"/>
        <v>37</v>
      </c>
      <c r="B48" s="706">
        <v>9302</v>
      </c>
      <c r="C48" s="81" t="s">
        <v>857</v>
      </c>
      <c r="D48" s="96">
        <v>8710.2822963478702</v>
      </c>
      <c r="E48" s="96">
        <v>26021.425406671307</v>
      </c>
      <c r="F48" s="96">
        <v>7267.0738654345214</v>
      </c>
      <c r="G48" s="96">
        <v>11650.594974365466</v>
      </c>
      <c r="H48" s="96">
        <v>18337.647952402051</v>
      </c>
      <c r="I48" s="96">
        <v>12328.090385467434</v>
      </c>
      <c r="J48" s="96">
        <v>7214.0641812772956</v>
      </c>
      <c r="K48" s="96">
        <v>7144.4395214887018</v>
      </c>
      <c r="L48" s="96">
        <v>7479.1126020634219</v>
      </c>
      <c r="M48" s="96">
        <v>7161.8456864358504</v>
      </c>
      <c r="N48" s="96">
        <v>8197.6390910817136</v>
      </c>
      <c r="O48" s="96">
        <v>7506.0130387999243</v>
      </c>
      <c r="P48" s="81">
        <v>129018.22900183556</v>
      </c>
      <c r="Q48" s="81"/>
      <c r="R48" s="706"/>
    </row>
    <row r="49" spans="1:17">
      <c r="A49" s="1155">
        <f t="shared" si="0"/>
        <v>38</v>
      </c>
      <c r="B49" s="706">
        <v>9310</v>
      </c>
      <c r="C49" s="81" t="s">
        <v>184</v>
      </c>
      <c r="D49" s="96">
        <v>0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0</v>
      </c>
      <c r="O49" s="96">
        <v>0</v>
      </c>
      <c r="P49" s="81">
        <v>0</v>
      </c>
      <c r="Q49" s="81"/>
    </row>
    <row r="50" spans="1:17">
      <c r="A50" s="1155">
        <f t="shared" si="0"/>
        <v>39</v>
      </c>
      <c r="B50" s="81"/>
      <c r="C50" s="874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81"/>
      <c r="P50" s="81"/>
      <c r="Q50" s="670"/>
    </row>
    <row r="51" spans="1:17" ht="15.75" thickBot="1">
      <c r="A51" s="1155">
        <f t="shared" si="0"/>
        <v>40</v>
      </c>
      <c r="B51" s="81" t="s">
        <v>734</v>
      </c>
      <c r="C51" s="874"/>
      <c r="D51" s="898">
        <v>1.5279510989785194E-10</v>
      </c>
      <c r="E51" s="898">
        <v>-1.2369127944111824E-10</v>
      </c>
      <c r="F51" s="898">
        <v>-9.6406438387930393E-11</v>
      </c>
      <c r="G51" s="898">
        <v>-2.2009771782904863E-10</v>
      </c>
      <c r="H51" s="898">
        <v>4.7293724492192268E-11</v>
      </c>
      <c r="I51" s="898">
        <v>8.5492501966655254E-11</v>
      </c>
      <c r="J51" s="898">
        <v>1.3824319466948509E-10</v>
      </c>
      <c r="K51" s="898">
        <v>-6.3664629124104977E-11</v>
      </c>
      <c r="L51" s="898">
        <v>-6.3664629124104977E-12</v>
      </c>
      <c r="M51" s="898">
        <v>-1.482476363889873E-10</v>
      </c>
      <c r="N51" s="898">
        <v>1.0004441719502211E-10</v>
      </c>
      <c r="O51" s="898">
        <v>-9.9134922493249178E-11</v>
      </c>
      <c r="P51" s="898">
        <v>5.6606950238347054E-9</v>
      </c>
      <c r="Q51" s="81"/>
    </row>
    <row r="52" spans="1:17" ht="15.75" thickTop="1">
      <c r="A52" s="1155">
        <f t="shared" si="0"/>
        <v>41</v>
      </c>
      <c r="B52" s="81"/>
      <c r="C52" s="874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1:17">
      <c r="A53" s="1155">
        <f t="shared" si="0"/>
        <v>42</v>
      </c>
      <c r="B53" s="706">
        <f t="shared" ref="B53:C53" si="1">B42</f>
        <v>9220</v>
      </c>
      <c r="C53" s="81" t="str">
        <f t="shared" si="1"/>
        <v>A&amp;G-Administrative expense transferred-Credit</v>
      </c>
      <c r="D53" s="81">
        <v>-1048918.3637999995</v>
      </c>
      <c r="E53" s="81">
        <v>-1139040.5995</v>
      </c>
      <c r="F53" s="81">
        <v>-946981.03720000014</v>
      </c>
      <c r="G53" s="81">
        <v>-1078096.5879000004</v>
      </c>
      <c r="H53" s="81">
        <v>-884992.57380000001</v>
      </c>
      <c r="I53" s="81">
        <v>-975236.68479999993</v>
      </c>
      <c r="J53" s="81">
        <v>-898719.62929901981</v>
      </c>
      <c r="K53" s="81">
        <v>-973684.94514259754</v>
      </c>
      <c r="L53" s="81">
        <v>-945343.63978579221</v>
      </c>
      <c r="M53" s="81">
        <v>-1072764.0430990201</v>
      </c>
      <c r="N53" s="81">
        <v>-1002031.0108589251</v>
      </c>
      <c r="O53" s="81">
        <v>-1020835.0116857925</v>
      </c>
      <c r="P53" s="81">
        <v>-11986644.126871146</v>
      </c>
      <c r="Q53" s="81"/>
    </row>
    <row r="54" spans="1:17">
      <c r="A54" s="1155">
        <f t="shared" si="0"/>
        <v>43</v>
      </c>
      <c r="B54" s="81"/>
      <c r="C54" s="81" t="s">
        <v>195</v>
      </c>
      <c r="D54" s="905">
        <v>0.49780000000000002</v>
      </c>
      <c r="E54" s="905">
        <v>0.49780000000000002</v>
      </c>
      <c r="F54" s="905">
        <v>0.49780000000000002</v>
      </c>
      <c r="G54" s="905">
        <v>0.49780000000000002</v>
      </c>
      <c r="H54" s="905">
        <v>0.49780000000000002</v>
      </c>
      <c r="I54" s="905">
        <v>0.49780000000000002</v>
      </c>
      <c r="J54" s="905">
        <v>0.49780000000000002</v>
      </c>
      <c r="K54" s="905">
        <v>0.49780000000000002</v>
      </c>
      <c r="L54" s="905">
        <v>0.49780000000000002</v>
      </c>
      <c r="M54" s="905">
        <v>0.49780000000000002</v>
      </c>
      <c r="N54" s="905">
        <v>0.49780000000000002</v>
      </c>
      <c r="O54" s="905">
        <v>0.49780000000000002</v>
      </c>
      <c r="P54" s="909">
        <v>0.49780000000000008</v>
      </c>
      <c r="Q54" s="81"/>
    </row>
    <row r="55" spans="1:17">
      <c r="A55" s="1155">
        <f t="shared" si="0"/>
        <v>44</v>
      </c>
      <c r="B55" s="81"/>
      <c r="C55" s="81" t="s">
        <v>210</v>
      </c>
      <c r="D55" s="81">
        <v>-522151.56149963976</v>
      </c>
      <c r="E55" s="81">
        <v>-567014.41043110006</v>
      </c>
      <c r="F55" s="81">
        <v>-471407.16031816008</v>
      </c>
      <c r="G55" s="81">
        <v>-536676.48145662027</v>
      </c>
      <c r="H55" s="81">
        <v>-440549.30323764001</v>
      </c>
      <c r="I55" s="81">
        <v>-485472.82169343997</v>
      </c>
      <c r="J55" s="81">
        <v>-447382.63146505208</v>
      </c>
      <c r="K55" s="81">
        <v>-484700.36569198506</v>
      </c>
      <c r="L55" s="81">
        <v>-470592.06388536736</v>
      </c>
      <c r="M55" s="81">
        <v>-534021.94065469224</v>
      </c>
      <c r="N55" s="81">
        <v>-498811.03720557294</v>
      </c>
      <c r="O55" s="81">
        <v>-508171.66881718748</v>
      </c>
      <c r="P55" s="81">
        <v>-5966951.4463564577</v>
      </c>
      <c r="Q55" s="81"/>
    </row>
    <row r="56" spans="1:17">
      <c r="A56" s="81"/>
      <c r="B56" s="81"/>
      <c r="C56" s="874"/>
      <c r="D56" s="649"/>
      <c r="E56" s="81"/>
      <c r="F56" s="81"/>
      <c r="G56" s="81"/>
      <c r="H56" s="81"/>
      <c r="I56" s="81"/>
      <c r="J56" s="74"/>
      <c r="K56" s="74"/>
      <c r="L56" s="74"/>
      <c r="M56" s="74"/>
      <c r="N56" s="74"/>
      <c r="O56" s="74"/>
      <c r="P56" s="74"/>
      <c r="Q56" s="81"/>
    </row>
    <row r="57" spans="1:17">
      <c r="A57" s="81"/>
      <c r="B57" s="81"/>
      <c r="C57" s="874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74"/>
      <c r="O57" s="74"/>
      <c r="P57" s="81"/>
      <c r="Q57" s="81"/>
    </row>
    <row r="58" spans="1:17">
      <c r="A58" s="81"/>
      <c r="B58" s="81" t="s">
        <v>562</v>
      </c>
      <c r="C58" s="874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74"/>
      <c r="O58" s="74"/>
      <c r="P58" s="81"/>
      <c r="Q58" s="81"/>
    </row>
    <row r="59" spans="1:17">
      <c r="A59" s="81"/>
      <c r="B59" s="81"/>
      <c r="C59" s="874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74"/>
      <c r="O59" s="74"/>
      <c r="P59" s="81"/>
      <c r="Q59" s="81"/>
    </row>
    <row r="60" spans="1:17">
      <c r="A60" s="81"/>
      <c r="B60" s="81"/>
      <c r="C60" s="170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1:17">
      <c r="A61" s="81"/>
      <c r="B61" s="81"/>
      <c r="C61" s="81"/>
      <c r="D61" s="81">
        <f>D53</f>
        <v>-1048918.3637999995</v>
      </c>
      <c r="E61" s="81">
        <f t="shared" ref="E61:O61" si="2">E53</f>
        <v>-1139040.5995</v>
      </c>
      <c r="F61" s="81">
        <f t="shared" si="2"/>
        <v>-946981.03720000014</v>
      </c>
      <c r="G61" s="81">
        <f t="shared" si="2"/>
        <v>-1078096.5879000004</v>
      </c>
      <c r="H61" s="81">
        <f t="shared" si="2"/>
        <v>-884992.57380000001</v>
      </c>
      <c r="I61" s="81">
        <f t="shared" si="2"/>
        <v>-975236.68479999993</v>
      </c>
      <c r="J61" s="81">
        <f t="shared" si="2"/>
        <v>-898719.62929901981</v>
      </c>
      <c r="K61" s="81">
        <f t="shared" si="2"/>
        <v>-973684.94514259754</v>
      </c>
      <c r="L61" s="81">
        <f t="shared" si="2"/>
        <v>-945343.63978579221</v>
      </c>
      <c r="M61" s="81">
        <f t="shared" si="2"/>
        <v>-1072764.0430990201</v>
      </c>
      <c r="N61" s="81">
        <f t="shared" si="2"/>
        <v>-1002031.0108589251</v>
      </c>
      <c r="O61" s="81">
        <f t="shared" si="2"/>
        <v>-1020835.0116857925</v>
      </c>
      <c r="P61" s="81"/>
      <c r="Q61" s="81"/>
    </row>
    <row r="62" spans="1:17">
      <c r="A62" s="81"/>
      <c r="B62" s="81"/>
      <c r="C62" s="81"/>
      <c r="D62" s="81">
        <v>1048918.3637999999</v>
      </c>
      <c r="E62" s="81">
        <v>1139040.5995</v>
      </c>
      <c r="F62" s="81">
        <v>946981.03720000002</v>
      </c>
      <c r="G62" s="81">
        <v>1078096.5878999999</v>
      </c>
      <c r="H62" s="81">
        <v>884992.5737999999</v>
      </c>
      <c r="I62" s="81">
        <v>975236.68480000005</v>
      </c>
      <c r="J62" s="81">
        <v>898719.62929901993</v>
      </c>
      <c r="K62" s="81">
        <v>973684.94514259743</v>
      </c>
      <c r="L62" s="81">
        <v>945343.63978579221</v>
      </c>
      <c r="M62" s="81">
        <v>1072764.0430990199</v>
      </c>
      <c r="N62" s="81">
        <v>1002031.0108589253</v>
      </c>
      <c r="O62" s="81">
        <v>1020835.0116857922</v>
      </c>
      <c r="P62" s="81"/>
      <c r="Q62" s="81"/>
    </row>
    <row r="63" spans="1:17">
      <c r="A63" s="81"/>
      <c r="B63" s="81" t="s">
        <v>953</v>
      </c>
      <c r="C63" s="81"/>
      <c r="D63" s="81">
        <f>D61+D62</f>
        <v>0</v>
      </c>
      <c r="E63" s="81">
        <f t="shared" ref="E63:O63" si="3">E61+E62</f>
        <v>0</v>
      </c>
      <c r="F63" s="81">
        <f t="shared" si="3"/>
        <v>0</v>
      </c>
      <c r="G63" s="81">
        <f t="shared" si="3"/>
        <v>0</v>
      </c>
      <c r="H63" s="81">
        <f t="shared" si="3"/>
        <v>0</v>
      </c>
      <c r="I63" s="81">
        <f t="shared" si="3"/>
        <v>0</v>
      </c>
      <c r="J63" s="81">
        <f t="shared" si="3"/>
        <v>0</v>
      </c>
      <c r="K63" s="81">
        <f t="shared" si="3"/>
        <v>0</v>
      </c>
      <c r="L63" s="81">
        <f t="shared" si="3"/>
        <v>0</v>
      </c>
      <c r="M63" s="81">
        <f t="shared" si="3"/>
        <v>0</v>
      </c>
      <c r="N63" s="81">
        <f t="shared" si="3"/>
        <v>0</v>
      </c>
      <c r="O63" s="81">
        <f t="shared" si="3"/>
        <v>0</v>
      </c>
      <c r="P63" s="81"/>
      <c r="Q63" s="81"/>
    </row>
    <row r="64" spans="1:17">
      <c r="A64" s="81"/>
      <c r="B64" s="81" t="s">
        <v>1620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387"/>
      <c r="P64" s="81"/>
      <c r="Q64" s="81"/>
    </row>
    <row r="65" spans="1:17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170"/>
      <c r="P65" s="81"/>
      <c r="Q65" s="81"/>
    </row>
    <row r="66" spans="1:17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170"/>
      <c r="P66" s="81"/>
      <c r="Q66" s="81"/>
    </row>
    <row r="67" spans="1:17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1:17">
      <c r="A68" s="81"/>
      <c r="Q68" s="81"/>
    </row>
    <row r="69" spans="1:17">
      <c r="A69" s="81"/>
      <c r="Q69" s="81"/>
    </row>
    <row r="70" spans="1:17">
      <c r="Q70" s="81"/>
    </row>
    <row r="71" spans="1:17">
      <c r="Q71" s="81"/>
    </row>
    <row r="72" spans="1:17">
      <c r="Q72" s="81"/>
    </row>
    <row r="73" spans="1:17">
      <c r="Q73" s="81"/>
    </row>
    <row r="74" spans="1:17">
      <c r="Q74" s="81"/>
    </row>
    <row r="75" spans="1:17">
      <c r="Q75" s="81"/>
    </row>
    <row r="76" spans="1:17">
      <c r="Q76" s="81"/>
    </row>
  </sheetData>
  <sortState ref="R44:S118">
    <sortCondition ref="R44:R118"/>
  </sortState>
  <mergeCells count="4">
    <mergeCell ref="A1:P1"/>
    <mergeCell ref="A2:P2"/>
    <mergeCell ref="A3:P3"/>
    <mergeCell ref="A4:P4"/>
  </mergeCells>
  <phoneticPr fontId="23" type="noConversion"/>
  <printOptions horizontalCentered="1"/>
  <pageMargins left="0.5" right="0.5" top="0.75" bottom="0.5" header="0.5" footer="0.25"/>
  <pageSetup scale="50" fitToHeight="2" orientation="landscape" verticalDpi="300" r:id="rId1"/>
  <headerFooter alignWithMargins="0">
    <oddFooter>&amp;RSchedule &amp;A
Page &amp;P of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S84"/>
  <sheetViews>
    <sheetView view="pageBreakPreview" zoomScale="70" zoomScaleNormal="70" zoomScaleSheetLayoutView="70" workbookViewId="0">
      <pane xSplit="2" ySplit="10" topLeftCell="C38" activePane="bottomRight" state="frozen"/>
      <selection activeCell="F55" sqref="F55"/>
      <selection pane="topRight" activeCell="F55" sqref="F55"/>
      <selection pane="bottomLeft" activeCell="F55" sqref="F55"/>
      <selection pane="bottomRight" activeCell="J77" sqref="J77"/>
    </sheetView>
  </sheetViews>
  <sheetFormatPr defaultRowHeight="15"/>
  <cols>
    <col min="1" max="1" width="4.6640625" style="195" customWidth="1"/>
    <col min="2" max="2" width="40.6640625" style="195" customWidth="1"/>
    <col min="3" max="3" width="9.5546875" style="195" bestFit="1" customWidth="1"/>
    <col min="4" max="4" width="10.6640625" style="195" customWidth="1"/>
    <col min="5" max="5" width="11.33203125" style="195" customWidth="1"/>
    <col min="6" max="6" width="12.33203125" style="195" customWidth="1"/>
    <col min="7" max="7" width="10.88671875" style="195" customWidth="1"/>
    <col min="8" max="8" width="11.77734375" style="195" customWidth="1"/>
    <col min="9" max="10" width="10.88671875" style="195" customWidth="1"/>
    <col min="11" max="11" width="10.33203125" style="195" customWidth="1"/>
    <col min="12" max="12" width="11.109375" style="195" customWidth="1"/>
    <col min="13" max="13" width="12.33203125" style="195" customWidth="1"/>
    <col min="14" max="14" width="12.6640625" style="195" customWidth="1"/>
    <col min="15" max="15" width="13.77734375" style="195" customWidth="1"/>
    <col min="16" max="16" width="9.77734375" style="195" bestFit="1" customWidth="1"/>
    <col min="17" max="17" width="11.44140625" style="195" bestFit="1" customWidth="1"/>
    <col min="18" max="16384" width="8.88671875" style="195"/>
  </cols>
  <sheetData>
    <row r="1" spans="1:19" s="81" customFormat="1">
      <c r="A1" s="1203" t="str">
        <f>'Table of Contents'!A1:C1</f>
        <v>Atmos Energy Corporation, Kentucky/Mid-States Division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1203"/>
      <c r="O1" s="1203"/>
    </row>
    <row r="2" spans="1:19" s="81" customFormat="1">
      <c r="A2" s="1203" t="str">
        <f>'Table of Contents'!A2:C2</f>
        <v>Kentucky Jurisdiction Case No. 2018-00281</v>
      </c>
      <c r="B2" s="1203"/>
      <c r="C2" s="1203"/>
      <c r="D2" s="1203"/>
      <c r="E2" s="1203"/>
      <c r="F2" s="1203"/>
      <c r="G2" s="1203"/>
      <c r="H2" s="1203"/>
      <c r="I2" s="1203"/>
      <c r="J2" s="1203"/>
      <c r="K2" s="1203"/>
      <c r="L2" s="1203"/>
      <c r="M2" s="1203"/>
      <c r="N2" s="1203"/>
      <c r="O2" s="1203"/>
    </row>
    <row r="3" spans="1:19" s="81" customFormat="1">
      <c r="A3" s="1203" t="s">
        <v>192</v>
      </c>
      <c r="B3" s="1203"/>
      <c r="C3" s="1203"/>
      <c r="D3" s="1203"/>
      <c r="E3" s="1203"/>
      <c r="F3" s="1203"/>
      <c r="G3" s="1203"/>
      <c r="H3" s="1203"/>
      <c r="I3" s="1203"/>
      <c r="J3" s="1203"/>
      <c r="K3" s="1203"/>
      <c r="L3" s="1203"/>
      <c r="M3" s="1203"/>
      <c r="N3" s="1203"/>
      <c r="O3" s="1203"/>
    </row>
    <row r="4" spans="1:19">
      <c r="A4" s="1203" t="str">
        <f>'Table of Contents'!A3:C3</f>
        <v>Base Period: Twelve Months Ended December 31, 2018</v>
      </c>
      <c r="B4" s="1203"/>
      <c r="C4" s="1203"/>
      <c r="D4" s="1203"/>
      <c r="E4" s="1203"/>
      <c r="F4" s="1203"/>
      <c r="G4" s="1203"/>
      <c r="H4" s="1203"/>
      <c r="I4" s="1203"/>
      <c r="J4" s="1203"/>
      <c r="K4" s="1203"/>
      <c r="L4" s="1203"/>
      <c r="M4" s="1203"/>
      <c r="N4" s="1203"/>
      <c r="O4" s="1203"/>
      <c r="P4" s="81"/>
      <c r="Q4" s="690"/>
    </row>
    <row r="5" spans="1:19">
      <c r="A5" s="81"/>
      <c r="B5" s="150"/>
      <c r="C5" s="150"/>
      <c r="D5" s="150"/>
      <c r="E5" s="150"/>
      <c r="F5" s="869"/>
      <c r="G5" s="201"/>
      <c r="H5" s="201"/>
      <c r="I5" s="201"/>
      <c r="J5" s="670"/>
      <c r="K5" s="690"/>
      <c r="Q5" s="795"/>
    </row>
    <row r="6" spans="1:19">
      <c r="A6" s="233" t="str">
        <f>'C.2.1 B'!A6</f>
        <v>Data:___X____Base Period________Forecasted Period</v>
      </c>
      <c r="I6" s="201"/>
      <c r="M6" s="230"/>
      <c r="O6" s="505" t="s">
        <v>1428</v>
      </c>
      <c r="P6" s="81"/>
    </row>
    <row r="7" spans="1:19">
      <c r="A7" s="233" t="str">
        <f>'C.2.1 B'!A7</f>
        <v>Type of Filing:___X____Original________Updated ________Revised</v>
      </c>
      <c r="E7" s="670"/>
      <c r="I7" s="201"/>
      <c r="J7" s="670"/>
      <c r="M7" s="230"/>
      <c r="N7" s="833"/>
      <c r="O7" s="506" t="s">
        <v>713</v>
      </c>
    </row>
    <row r="8" spans="1:19">
      <c r="A8" s="313" t="str">
        <f>'C.2.1 B'!A8</f>
        <v>Workpaper Reference No(s).____________________</v>
      </c>
      <c r="B8" s="237"/>
      <c r="C8" s="236"/>
      <c r="D8" s="236"/>
      <c r="E8" s="236"/>
      <c r="F8" s="236"/>
      <c r="G8" s="236"/>
      <c r="H8" s="236"/>
      <c r="I8" s="201"/>
      <c r="J8" s="236"/>
      <c r="K8" s="237"/>
      <c r="L8" s="237"/>
      <c r="M8" s="237"/>
      <c r="N8" s="203"/>
      <c r="O8" s="507" t="s">
        <v>1344</v>
      </c>
    </row>
    <row r="9" spans="1:19">
      <c r="A9" s="314" t="s">
        <v>93</v>
      </c>
      <c r="C9" s="295" t="str">
        <f>'C.2.2 B 09'!D9</f>
        <v>actual</v>
      </c>
      <c r="D9" s="295" t="str">
        <f>'C.2.2 B 09'!E9</f>
        <v>actual</v>
      </c>
      <c r="E9" s="295" t="str">
        <f>'C.2.2 B 09'!F9</f>
        <v>actual</v>
      </c>
      <c r="F9" s="295" t="str">
        <f>'C.2.2 B 09'!G9</f>
        <v>actual</v>
      </c>
      <c r="G9" s="295" t="str">
        <f>'C.2.2 B 09'!H9</f>
        <v>actual</v>
      </c>
      <c r="H9" s="295" t="str">
        <f>'C.2.2 B 09'!I9</f>
        <v>actual</v>
      </c>
      <c r="I9" s="834" t="str">
        <f>'C.2.2 B 09'!J9</f>
        <v>actual</v>
      </c>
      <c r="J9" s="295" t="str">
        <f>'C.2.2 B 09'!K9</f>
        <v>actual</v>
      </c>
      <c r="K9" s="295" t="str">
        <f>'C.2.2 B 09'!L9</f>
        <v>actual</v>
      </c>
      <c r="L9" s="295" t="str">
        <f>'C.2.2 B 09'!M9</f>
        <v>actual</v>
      </c>
      <c r="M9" s="295" t="str">
        <f>'C.2.2 B 09'!N9</f>
        <v>actual</v>
      </c>
      <c r="N9" s="295" t="str">
        <f>'C.2.2 B 09'!O9</f>
        <v>actual</v>
      </c>
      <c r="O9" s="873"/>
    </row>
    <row r="10" spans="1:19">
      <c r="A10" s="315" t="s">
        <v>99</v>
      </c>
      <c r="B10" s="203" t="s">
        <v>191</v>
      </c>
      <c r="C10" s="207">
        <f>'C.2.2 B 09'!D10</f>
        <v>43101</v>
      </c>
      <c r="D10" s="207">
        <f>'C.2.2 B 09'!E10</f>
        <v>43132</v>
      </c>
      <c r="E10" s="207">
        <f>'C.2.2 B 09'!F10</f>
        <v>43160</v>
      </c>
      <c r="F10" s="207">
        <f>'C.2.2 B 09'!G10</f>
        <v>43191</v>
      </c>
      <c r="G10" s="207">
        <f>'C.2.2 B 09'!H10</f>
        <v>43221</v>
      </c>
      <c r="H10" s="207">
        <f>'C.2.2 B 09'!I10</f>
        <v>43252</v>
      </c>
      <c r="I10" s="207">
        <f>'C.2.2 B 09'!J10</f>
        <v>43282</v>
      </c>
      <c r="J10" s="207">
        <f>'C.2.2 B 09'!K10</f>
        <v>43313</v>
      </c>
      <c r="K10" s="207">
        <f>'C.2.2 B 09'!L10</f>
        <v>43344</v>
      </c>
      <c r="L10" s="207">
        <f>'C.2.2 B 09'!M10</f>
        <v>43374</v>
      </c>
      <c r="M10" s="207">
        <f>'C.2.2 B 09'!N10</f>
        <v>43405</v>
      </c>
      <c r="N10" s="207">
        <f>'C.2.2 B 09'!O10</f>
        <v>43435</v>
      </c>
      <c r="O10" s="207" t="str">
        <f>'C.2.2 B 09'!P10</f>
        <v>Total</v>
      </c>
      <c r="P10" s="879"/>
    </row>
    <row r="11" spans="1:19" ht="15.75">
      <c r="B11" s="297" t="s">
        <v>193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</row>
    <row r="12" spans="1:19">
      <c r="A12" s="460">
        <v>1</v>
      </c>
      <c r="C12" s="910"/>
      <c r="D12" s="910"/>
      <c r="E12" s="910"/>
      <c r="F12" s="910"/>
      <c r="G12" s="910"/>
      <c r="H12" s="910"/>
      <c r="I12" s="910"/>
      <c r="J12" s="910"/>
      <c r="K12" s="910"/>
      <c r="L12" s="910"/>
      <c r="M12" s="910"/>
      <c r="N12" s="910"/>
      <c r="O12" s="910"/>
      <c r="P12" s="911"/>
      <c r="Q12" s="690"/>
      <c r="R12" s="670"/>
    </row>
    <row r="13" spans="1:19">
      <c r="A13" s="460">
        <f>A12+1</f>
        <v>2</v>
      </c>
      <c r="C13" s="910"/>
      <c r="D13" s="910"/>
      <c r="E13" s="910"/>
      <c r="F13" s="910"/>
      <c r="G13" s="910"/>
      <c r="H13" s="910"/>
      <c r="I13" s="910"/>
      <c r="J13" s="910"/>
      <c r="K13" s="910"/>
      <c r="L13" s="910"/>
      <c r="M13" s="910"/>
      <c r="N13" s="910"/>
      <c r="P13" s="911"/>
    </row>
    <row r="14" spans="1:19">
      <c r="A14" s="460">
        <f t="shared" ref="A14:A67" si="0">A13+1</f>
        <v>3</v>
      </c>
      <c r="B14" s="195" t="s">
        <v>1692</v>
      </c>
      <c r="C14" s="910">
        <v>43714.54</v>
      </c>
      <c r="D14" s="910">
        <v>22050.870000000003</v>
      </c>
      <c r="E14" s="910">
        <v>44848.97</v>
      </c>
      <c r="F14" s="910">
        <v>19471.760000000002</v>
      </c>
      <c r="G14" s="910">
        <v>23062.050000000003</v>
      </c>
      <c r="H14" s="910">
        <v>24166.939999999995</v>
      </c>
      <c r="I14" s="910">
        <v>22210.53999999999</v>
      </c>
      <c r="J14" s="910">
        <v>47677.829999999987</v>
      </c>
      <c r="K14" s="910">
        <v>21385.74</v>
      </c>
      <c r="L14" s="910">
        <v>21742.640000000003</v>
      </c>
      <c r="M14" s="910">
        <v>63320.100000000006</v>
      </c>
      <c r="N14" s="910">
        <v>10862.859999999997</v>
      </c>
      <c r="O14" s="910">
        <f t="shared" ref="O14:O22" si="1">SUM(C14:N14)</f>
        <v>364514.83999999997</v>
      </c>
      <c r="P14" s="911"/>
    </row>
    <row r="15" spans="1:19">
      <c r="A15" s="460">
        <f t="shared" si="0"/>
        <v>4</v>
      </c>
      <c r="B15" s="81" t="s">
        <v>1223</v>
      </c>
      <c r="C15" s="910">
        <v>0</v>
      </c>
      <c r="D15" s="910">
        <v>0</v>
      </c>
      <c r="E15" s="910">
        <v>0</v>
      </c>
      <c r="F15" s="910">
        <v>0</v>
      </c>
      <c r="G15" s="910">
        <v>0</v>
      </c>
      <c r="H15" s="910">
        <v>0</v>
      </c>
      <c r="I15" s="910">
        <v>0</v>
      </c>
      <c r="J15" s="910">
        <v>155.79</v>
      </c>
      <c r="K15" s="910">
        <v>52.74</v>
      </c>
      <c r="L15" s="910">
        <v>-4.25</v>
      </c>
      <c r="M15" s="910">
        <v>0</v>
      </c>
      <c r="N15" s="910">
        <v>0</v>
      </c>
      <c r="O15" s="195">
        <f t="shared" si="1"/>
        <v>204.28</v>
      </c>
      <c r="P15" s="911"/>
    </row>
    <row r="16" spans="1:19">
      <c r="A16" s="460">
        <f t="shared" si="0"/>
        <v>5</v>
      </c>
      <c r="B16" s="195" t="s">
        <v>109</v>
      </c>
      <c r="C16" s="910">
        <v>418588</v>
      </c>
      <c r="D16" s="910">
        <v>418588</v>
      </c>
      <c r="E16" s="910">
        <v>418588</v>
      </c>
      <c r="F16" s="910">
        <v>418588</v>
      </c>
      <c r="G16" s="910">
        <v>418588</v>
      </c>
      <c r="H16" s="910">
        <v>418588</v>
      </c>
      <c r="I16" s="910">
        <v>418588</v>
      </c>
      <c r="J16" s="910">
        <v>418588</v>
      </c>
      <c r="K16" s="910">
        <v>418588</v>
      </c>
      <c r="L16" s="910">
        <v>480588</v>
      </c>
      <c r="M16" s="910">
        <v>480588</v>
      </c>
      <c r="N16" s="910">
        <v>480588</v>
      </c>
      <c r="O16" s="195">
        <f t="shared" si="1"/>
        <v>5209056</v>
      </c>
      <c r="P16" s="911"/>
      <c r="R16" s="912"/>
      <c r="S16" s="912"/>
    </row>
    <row r="17" spans="1:18">
      <c r="A17" s="460">
        <f t="shared" si="0"/>
        <v>6</v>
      </c>
      <c r="B17" s="195" t="s">
        <v>1351</v>
      </c>
      <c r="C17" s="910">
        <v>0</v>
      </c>
      <c r="D17" s="910">
        <v>0</v>
      </c>
      <c r="E17" s="910">
        <v>0</v>
      </c>
      <c r="F17" s="910">
        <v>0</v>
      </c>
      <c r="G17" s="910">
        <v>137061.62</v>
      </c>
      <c r="H17" s="910">
        <v>0</v>
      </c>
      <c r="I17" s="910">
        <v>0</v>
      </c>
      <c r="J17" s="910">
        <v>0</v>
      </c>
      <c r="K17" s="910">
        <v>0</v>
      </c>
      <c r="L17" s="910">
        <v>0</v>
      </c>
      <c r="M17" s="910">
        <v>0</v>
      </c>
      <c r="N17" s="910">
        <v>0</v>
      </c>
      <c r="O17" s="195">
        <f t="shared" si="1"/>
        <v>137061.62</v>
      </c>
      <c r="P17" s="911"/>
    </row>
    <row r="18" spans="1:18">
      <c r="A18" s="460">
        <f t="shared" si="0"/>
        <v>7</v>
      </c>
      <c r="B18" s="195" t="s">
        <v>108</v>
      </c>
      <c r="C18" s="910">
        <v>22304.63</v>
      </c>
      <c r="D18" s="910">
        <v>0</v>
      </c>
      <c r="E18" s="910">
        <v>2868.8900000000003</v>
      </c>
      <c r="F18" s="910">
        <v>45644.119999999995</v>
      </c>
      <c r="G18" s="910">
        <v>42.9</v>
      </c>
      <c r="H18" s="910">
        <v>0</v>
      </c>
      <c r="I18" s="910">
        <v>16481</v>
      </c>
      <c r="J18" s="910">
        <v>211.5</v>
      </c>
      <c r="K18" s="910">
        <v>82.5</v>
      </c>
      <c r="L18" s="910">
        <v>781.69</v>
      </c>
      <c r="M18" s="910">
        <v>66.3</v>
      </c>
      <c r="N18" s="910">
        <v>382.5</v>
      </c>
      <c r="O18" s="195">
        <f t="shared" si="1"/>
        <v>88866.03</v>
      </c>
      <c r="P18" s="911"/>
    </row>
    <row r="19" spans="1:18" ht="17.25" customHeight="1">
      <c r="A19" s="460">
        <f t="shared" si="0"/>
        <v>8</v>
      </c>
      <c r="B19" s="195" t="s">
        <v>290</v>
      </c>
      <c r="C19" s="910">
        <v>24522.720000000001</v>
      </c>
      <c r="D19" s="910">
        <v>24522.720000000001</v>
      </c>
      <c r="E19" s="910">
        <v>24522.720000000001</v>
      </c>
      <c r="F19" s="910">
        <v>24522.720000000001</v>
      </c>
      <c r="G19" s="910">
        <v>24522.720000000001</v>
      </c>
      <c r="H19" s="910">
        <v>24522.76</v>
      </c>
      <c r="I19" s="910">
        <v>0</v>
      </c>
      <c r="J19" s="910">
        <v>54700.67</v>
      </c>
      <c r="K19" s="910">
        <v>27350.33</v>
      </c>
      <c r="L19" s="910">
        <v>27350.33</v>
      </c>
      <c r="M19" s="910">
        <v>27350.33</v>
      </c>
      <c r="N19" s="910">
        <v>27350.33</v>
      </c>
      <c r="O19" s="195">
        <f t="shared" si="1"/>
        <v>311238.35000000009</v>
      </c>
      <c r="P19" s="911"/>
    </row>
    <row r="20" spans="1:18">
      <c r="A20" s="460">
        <f t="shared" si="0"/>
        <v>9</v>
      </c>
      <c r="B20" s="195" t="s">
        <v>42</v>
      </c>
      <c r="C20" s="910">
        <v>16726.78</v>
      </c>
      <c r="D20" s="910">
        <v>11571.12</v>
      </c>
      <c r="E20" s="910">
        <v>13827.51</v>
      </c>
      <c r="F20" s="910">
        <v>12398.48</v>
      </c>
      <c r="G20" s="910">
        <v>15151.86</v>
      </c>
      <c r="H20" s="910">
        <v>11197.18</v>
      </c>
      <c r="I20" s="910">
        <v>11881.87</v>
      </c>
      <c r="J20" s="910">
        <v>11507.74</v>
      </c>
      <c r="K20" s="910">
        <v>11262.14</v>
      </c>
      <c r="L20" s="910">
        <v>12067.01</v>
      </c>
      <c r="M20" s="910">
        <v>33862.379999999997</v>
      </c>
      <c r="N20" s="910">
        <v>5613.6</v>
      </c>
      <c r="O20" s="195">
        <f t="shared" si="1"/>
        <v>167067.66999999998</v>
      </c>
      <c r="P20" s="670"/>
      <c r="Q20" s="670"/>
      <c r="R20" s="690"/>
    </row>
    <row r="21" spans="1:18" ht="15.75">
      <c r="A21" s="460">
        <f t="shared" si="0"/>
        <v>10</v>
      </c>
      <c r="B21" s="195" t="s">
        <v>1001</v>
      </c>
      <c r="C21" s="910">
        <v>21550.87</v>
      </c>
      <c r="D21" s="910">
        <v>15312.85</v>
      </c>
      <c r="E21" s="910">
        <v>15558.85</v>
      </c>
      <c r="F21" s="910">
        <v>16300.88</v>
      </c>
      <c r="G21" s="910">
        <v>20184.490000000002</v>
      </c>
      <c r="H21" s="910">
        <v>-41809.89</v>
      </c>
      <c r="I21" s="910">
        <v>17821.18</v>
      </c>
      <c r="J21" s="910">
        <v>14174.4</v>
      </c>
      <c r="K21" s="910">
        <v>17201.07</v>
      </c>
      <c r="L21" s="910">
        <v>21937.200000000001</v>
      </c>
      <c r="M21" s="910">
        <v>49834.55</v>
      </c>
      <c r="N21" s="910">
        <v>6001.76</v>
      </c>
      <c r="O21" s="195">
        <f t="shared" si="1"/>
        <v>174068.21000000002</v>
      </c>
      <c r="P21" s="670"/>
      <c r="Q21" s="670"/>
      <c r="R21" s="901"/>
    </row>
    <row r="22" spans="1:18">
      <c r="A22" s="460">
        <f t="shared" si="0"/>
        <v>11</v>
      </c>
      <c r="B22" s="195" t="s">
        <v>1224</v>
      </c>
      <c r="C22" s="910">
        <v>18808.73</v>
      </c>
      <c r="D22" s="910">
        <v>-179541.32</v>
      </c>
      <c r="E22" s="910">
        <v>7557.2</v>
      </c>
      <c r="F22" s="910">
        <v>16024.58</v>
      </c>
      <c r="G22" s="910">
        <v>18266.22</v>
      </c>
      <c r="H22" s="910">
        <v>15728.75</v>
      </c>
      <c r="I22" s="910">
        <v>17735.98</v>
      </c>
      <c r="J22" s="910">
        <v>4822.49</v>
      </c>
      <c r="K22" s="910">
        <v>13244.29</v>
      </c>
      <c r="L22" s="910">
        <v>19656.580000000002</v>
      </c>
      <c r="M22" s="910">
        <v>37951.089999999997</v>
      </c>
      <c r="N22" s="910">
        <v>12543.57</v>
      </c>
      <c r="O22" s="195">
        <f t="shared" si="1"/>
        <v>2798.1600000000108</v>
      </c>
      <c r="P22" s="670"/>
      <c r="Q22" s="670"/>
      <c r="R22" s="690"/>
    </row>
    <row r="23" spans="1:18">
      <c r="A23" s="460">
        <f t="shared" si="0"/>
        <v>12</v>
      </c>
    </row>
    <row r="24" spans="1:18">
      <c r="A24" s="460">
        <f t="shared" si="0"/>
        <v>13</v>
      </c>
      <c r="B24" s="195" t="s">
        <v>96</v>
      </c>
      <c r="C24" s="544">
        <f t="shared" ref="C24:H24" si="2">SUM(C12:C22)</f>
        <v>566216.27</v>
      </c>
      <c r="D24" s="544">
        <f t="shared" si="2"/>
        <v>312504.23999999993</v>
      </c>
      <c r="E24" s="544">
        <f t="shared" si="2"/>
        <v>527772.1399999999</v>
      </c>
      <c r="F24" s="544">
        <f t="shared" si="2"/>
        <v>552950.53999999992</v>
      </c>
      <c r="G24" s="544">
        <f t="shared" si="2"/>
        <v>656879.85999999987</v>
      </c>
      <c r="H24" s="544">
        <f t="shared" si="2"/>
        <v>452393.74</v>
      </c>
      <c r="I24" s="544">
        <f t="shared" ref="I24:N24" si="3">SUM(I12:I23)</f>
        <v>504718.56999999995</v>
      </c>
      <c r="J24" s="544">
        <f t="shared" si="3"/>
        <v>551838.42000000004</v>
      </c>
      <c r="K24" s="544">
        <f t="shared" si="3"/>
        <v>509166.81</v>
      </c>
      <c r="L24" s="544">
        <f t="shared" si="3"/>
        <v>584119.19999999995</v>
      </c>
      <c r="M24" s="544">
        <f t="shared" si="3"/>
        <v>692972.75</v>
      </c>
      <c r="N24" s="544">
        <f t="shared" si="3"/>
        <v>543342.62</v>
      </c>
      <c r="O24" s="544">
        <f>SUM(C24:N24)</f>
        <v>6454875.1600000001</v>
      </c>
      <c r="P24" s="670"/>
    </row>
    <row r="25" spans="1:18">
      <c r="A25" s="460">
        <f t="shared" si="0"/>
        <v>14</v>
      </c>
      <c r="C25" s="760"/>
      <c r="D25" s="760"/>
      <c r="E25" s="760"/>
      <c r="F25" s="760"/>
      <c r="G25" s="760"/>
      <c r="H25" s="760"/>
      <c r="I25" s="760"/>
      <c r="J25" s="760"/>
      <c r="K25" s="760"/>
      <c r="L25" s="760"/>
      <c r="M25" s="760"/>
      <c r="N25" s="760"/>
      <c r="O25" s="230"/>
    </row>
    <row r="26" spans="1:18" ht="15.75">
      <c r="A26" s="460">
        <f t="shared" si="0"/>
        <v>15</v>
      </c>
      <c r="B26" s="297" t="s">
        <v>76</v>
      </c>
      <c r="C26" s="760"/>
      <c r="D26" s="760"/>
      <c r="E26" s="760"/>
      <c r="F26" s="760"/>
      <c r="G26" s="760"/>
      <c r="H26" s="760"/>
      <c r="I26" s="760"/>
      <c r="J26" s="760"/>
      <c r="K26" s="760"/>
      <c r="L26" s="760"/>
      <c r="M26" s="760"/>
      <c r="N26" s="760"/>
      <c r="P26" s="690"/>
    </row>
    <row r="27" spans="1:18">
      <c r="A27" s="460">
        <f t="shared" si="0"/>
        <v>16</v>
      </c>
      <c r="C27" s="910"/>
      <c r="D27" s="910"/>
      <c r="E27" s="910"/>
      <c r="F27" s="910"/>
      <c r="G27" s="910"/>
      <c r="H27" s="910"/>
      <c r="I27" s="910"/>
      <c r="J27" s="910"/>
      <c r="K27" s="910"/>
      <c r="L27" s="910"/>
      <c r="M27" s="910"/>
      <c r="N27" s="910"/>
      <c r="O27" s="910"/>
      <c r="Q27" s="690"/>
    </row>
    <row r="28" spans="1:18">
      <c r="A28" s="460">
        <f t="shared" si="0"/>
        <v>17</v>
      </c>
      <c r="C28" s="910"/>
      <c r="D28" s="910"/>
      <c r="E28" s="910"/>
      <c r="F28" s="910"/>
      <c r="G28" s="910"/>
      <c r="H28" s="910"/>
      <c r="I28" s="910"/>
      <c r="J28" s="910"/>
      <c r="K28" s="910"/>
      <c r="L28" s="910"/>
      <c r="M28" s="910"/>
      <c r="N28" s="910"/>
    </row>
    <row r="29" spans="1:18">
      <c r="A29" s="460">
        <f t="shared" si="0"/>
        <v>18</v>
      </c>
      <c r="B29" s="195" t="s">
        <v>1692</v>
      </c>
      <c r="C29" s="910">
        <v>346571.42</v>
      </c>
      <c r="D29" s="910">
        <v>226079.32</v>
      </c>
      <c r="E29" s="910">
        <v>217301.77999999997</v>
      </c>
      <c r="F29" s="910">
        <v>244421.21999999997</v>
      </c>
      <c r="G29" s="910">
        <v>335872.86</v>
      </c>
      <c r="H29" s="910">
        <v>218311.18</v>
      </c>
      <c r="I29" s="910">
        <v>246863.22</v>
      </c>
      <c r="J29" s="910">
        <v>204089.20999999985</v>
      </c>
      <c r="K29" s="910">
        <v>262551.64999999991</v>
      </c>
      <c r="L29" s="910">
        <v>256709.05000000002</v>
      </c>
      <c r="M29" s="910">
        <v>880262.46</v>
      </c>
      <c r="N29" s="910">
        <v>44707.499999999971</v>
      </c>
      <c r="O29" s="195">
        <f t="shared" ref="O29:O34" si="4">SUM(C29:N29)</f>
        <v>3483740.8699999996</v>
      </c>
    </row>
    <row r="30" spans="1:18">
      <c r="A30" s="460">
        <f t="shared" si="0"/>
        <v>19</v>
      </c>
      <c r="B30" s="195" t="s">
        <v>289</v>
      </c>
      <c r="C30" s="910">
        <v>69700</v>
      </c>
      <c r="D30" s="910">
        <v>69700</v>
      </c>
      <c r="E30" s="910">
        <v>69700</v>
      </c>
      <c r="F30" s="910">
        <v>69700</v>
      </c>
      <c r="G30" s="910">
        <v>69700</v>
      </c>
      <c r="H30" s="910">
        <v>69700</v>
      </c>
      <c r="I30" s="910">
        <v>69700</v>
      </c>
      <c r="J30" s="910">
        <v>69700</v>
      </c>
      <c r="K30" s="910">
        <v>69700</v>
      </c>
      <c r="L30" s="910">
        <v>69700</v>
      </c>
      <c r="M30" s="910">
        <v>69700</v>
      </c>
      <c r="N30" s="910">
        <v>69700</v>
      </c>
      <c r="O30" s="195">
        <f t="shared" si="4"/>
        <v>836400</v>
      </c>
      <c r="P30" s="670"/>
    </row>
    <row r="31" spans="1:18">
      <c r="A31" s="460">
        <f t="shared" si="0"/>
        <v>20</v>
      </c>
      <c r="B31" s="195" t="s">
        <v>1223</v>
      </c>
      <c r="C31" s="910">
        <v>0</v>
      </c>
      <c r="D31" s="910">
        <v>0</v>
      </c>
      <c r="E31" s="910">
        <v>13529.26</v>
      </c>
      <c r="F31" s="910">
        <v>742.73</v>
      </c>
      <c r="G31" s="910">
        <v>151.59</v>
      </c>
      <c r="H31" s="910">
        <v>0</v>
      </c>
      <c r="I31" s="910">
        <v>0</v>
      </c>
      <c r="J31" s="910">
        <v>0</v>
      </c>
      <c r="K31" s="910">
        <v>0</v>
      </c>
      <c r="L31" s="910">
        <v>0</v>
      </c>
      <c r="M31" s="910">
        <v>0</v>
      </c>
      <c r="N31" s="910">
        <v>0</v>
      </c>
      <c r="O31" s="195">
        <f t="shared" si="4"/>
        <v>14423.58</v>
      </c>
    </row>
    <row r="32" spans="1:18">
      <c r="A32" s="460">
        <f t="shared" si="0"/>
        <v>21</v>
      </c>
      <c r="B32" s="195" t="s">
        <v>206</v>
      </c>
      <c r="C32" s="910">
        <v>0</v>
      </c>
      <c r="D32" s="910">
        <v>0</v>
      </c>
      <c r="E32" s="910">
        <v>0</v>
      </c>
      <c r="F32" s="910">
        <v>0</v>
      </c>
      <c r="G32" s="910">
        <v>-15845.68</v>
      </c>
      <c r="H32" s="910">
        <v>-1095601</v>
      </c>
      <c r="I32" s="910">
        <v>27666.37</v>
      </c>
      <c r="J32" s="910">
        <v>0</v>
      </c>
      <c r="K32" s="910">
        <v>0</v>
      </c>
      <c r="L32" s="910">
        <v>91765</v>
      </c>
      <c r="M32" s="910">
        <v>0</v>
      </c>
      <c r="N32" s="910">
        <v>0</v>
      </c>
      <c r="O32" s="195">
        <f t="shared" si="4"/>
        <v>-992015.30999999982</v>
      </c>
      <c r="Q32" s="103"/>
      <c r="R32" s="690"/>
    </row>
    <row r="33" spans="1:17">
      <c r="A33" s="460">
        <f t="shared" si="0"/>
        <v>22</v>
      </c>
      <c r="B33" s="80"/>
      <c r="C33" s="629"/>
      <c r="D33" s="629"/>
      <c r="E33" s="629"/>
      <c r="F33" s="512"/>
      <c r="G33" s="512"/>
      <c r="H33" s="512"/>
      <c r="I33" s="512"/>
      <c r="J33" s="512"/>
      <c r="K33" s="512"/>
      <c r="L33" s="512"/>
      <c r="M33" s="512"/>
      <c r="N33" s="512"/>
    </row>
    <row r="34" spans="1:17">
      <c r="A34" s="460">
        <f t="shared" si="0"/>
        <v>23</v>
      </c>
      <c r="B34" s="195" t="s">
        <v>207</v>
      </c>
      <c r="C34" s="544">
        <f t="shared" ref="C34:N34" si="5">SUM(C27:C32)</f>
        <v>416271.42</v>
      </c>
      <c r="D34" s="544">
        <f t="shared" si="5"/>
        <v>295779.32</v>
      </c>
      <c r="E34" s="544">
        <f t="shared" si="5"/>
        <v>300531.03999999998</v>
      </c>
      <c r="F34" s="544">
        <f t="shared" si="5"/>
        <v>314863.94999999995</v>
      </c>
      <c r="G34" s="544">
        <f t="shared" si="5"/>
        <v>389878.77</v>
      </c>
      <c r="H34" s="544">
        <f t="shared" si="5"/>
        <v>-807589.82000000007</v>
      </c>
      <c r="I34" s="544">
        <f t="shared" si="5"/>
        <v>344229.58999999997</v>
      </c>
      <c r="J34" s="544">
        <f t="shared" si="5"/>
        <v>273789.20999999985</v>
      </c>
      <c r="K34" s="544">
        <f t="shared" si="5"/>
        <v>332251.64999999991</v>
      </c>
      <c r="L34" s="544">
        <f t="shared" si="5"/>
        <v>418174.05000000005</v>
      </c>
      <c r="M34" s="544">
        <f t="shared" si="5"/>
        <v>949962.46</v>
      </c>
      <c r="N34" s="544">
        <f t="shared" si="5"/>
        <v>114407.49999999997</v>
      </c>
      <c r="O34" s="544">
        <f t="shared" si="4"/>
        <v>3342549.1399999997</v>
      </c>
    </row>
    <row r="35" spans="1:17">
      <c r="A35" s="460">
        <f t="shared" si="0"/>
        <v>24</v>
      </c>
      <c r="C35" s="760"/>
      <c r="D35" s="760"/>
      <c r="E35" s="760"/>
      <c r="F35" s="760"/>
      <c r="G35" s="760"/>
      <c r="H35" s="760"/>
      <c r="I35" s="760"/>
      <c r="J35" s="760"/>
      <c r="K35" s="760"/>
      <c r="L35" s="760"/>
      <c r="M35" s="760"/>
      <c r="N35" s="760"/>
    </row>
    <row r="36" spans="1:17">
      <c r="A36" s="460">
        <f t="shared" si="0"/>
        <v>25</v>
      </c>
      <c r="B36" s="195" t="s">
        <v>208</v>
      </c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</row>
    <row r="37" spans="1:17">
      <c r="A37" s="460">
        <f t="shared" si="0"/>
        <v>26</v>
      </c>
      <c r="B37" s="195" t="s">
        <v>209</v>
      </c>
      <c r="C37" s="579"/>
      <c r="D37" s="579"/>
      <c r="E37" s="579"/>
      <c r="F37" s="579"/>
      <c r="G37" s="579"/>
      <c r="H37" s="579"/>
      <c r="I37" s="579"/>
      <c r="J37" s="579"/>
      <c r="K37" s="579"/>
      <c r="L37" s="579"/>
      <c r="M37" s="319"/>
      <c r="N37" s="319"/>
    </row>
    <row r="38" spans="1:17">
      <c r="A38" s="460">
        <f t="shared" si="0"/>
        <v>27</v>
      </c>
    </row>
    <row r="39" spans="1:17">
      <c r="A39" s="460">
        <f t="shared" si="0"/>
        <v>28</v>
      </c>
      <c r="B39" s="195" t="s">
        <v>210</v>
      </c>
      <c r="C39" s="544">
        <f t="shared" ref="C39:N39" si="6">C21</f>
        <v>21550.87</v>
      </c>
      <c r="D39" s="544">
        <f t="shared" si="6"/>
        <v>15312.85</v>
      </c>
      <c r="E39" s="544">
        <f t="shared" si="6"/>
        <v>15558.85</v>
      </c>
      <c r="F39" s="544">
        <f t="shared" si="6"/>
        <v>16300.88</v>
      </c>
      <c r="G39" s="544">
        <f t="shared" si="6"/>
        <v>20184.490000000002</v>
      </c>
      <c r="H39" s="544">
        <f t="shared" si="6"/>
        <v>-41809.89</v>
      </c>
      <c r="I39" s="544">
        <f t="shared" si="6"/>
        <v>17821.18</v>
      </c>
      <c r="J39" s="544">
        <f t="shared" si="6"/>
        <v>14174.4</v>
      </c>
      <c r="K39" s="544">
        <f t="shared" si="6"/>
        <v>17201.07</v>
      </c>
      <c r="L39" s="544">
        <f t="shared" si="6"/>
        <v>21937.200000000001</v>
      </c>
      <c r="M39" s="544">
        <f t="shared" si="6"/>
        <v>49834.55</v>
      </c>
      <c r="N39" s="544">
        <f t="shared" si="6"/>
        <v>6001.76</v>
      </c>
      <c r="O39" s="544">
        <f>SUM(C39:N39)</f>
        <v>174068.21000000002</v>
      </c>
    </row>
    <row r="40" spans="1:17">
      <c r="A40" s="460">
        <f t="shared" si="0"/>
        <v>29</v>
      </c>
    </row>
    <row r="41" spans="1:17" ht="15.75">
      <c r="A41" s="460">
        <f t="shared" si="0"/>
        <v>30</v>
      </c>
      <c r="B41" s="297" t="s">
        <v>77</v>
      </c>
    </row>
    <row r="42" spans="1:17">
      <c r="A42" s="460">
        <f t="shared" si="0"/>
        <v>31</v>
      </c>
      <c r="C42" s="910"/>
      <c r="D42" s="910"/>
      <c r="E42" s="910"/>
      <c r="F42" s="910"/>
      <c r="G42" s="910"/>
      <c r="H42" s="910"/>
      <c r="I42" s="910"/>
      <c r="J42" s="910"/>
      <c r="K42" s="910"/>
      <c r="L42" s="910"/>
      <c r="M42" s="910"/>
      <c r="N42" s="910"/>
      <c r="O42" s="910"/>
      <c r="P42" s="670"/>
    </row>
    <row r="43" spans="1:17">
      <c r="A43" s="460">
        <f t="shared" si="0"/>
        <v>32</v>
      </c>
      <c r="C43" s="910"/>
      <c r="D43" s="910"/>
      <c r="E43" s="910"/>
      <c r="F43" s="910"/>
      <c r="G43" s="910"/>
      <c r="H43" s="910"/>
      <c r="I43" s="910"/>
      <c r="J43" s="910"/>
      <c r="K43" s="910"/>
      <c r="L43" s="910"/>
      <c r="M43" s="910"/>
      <c r="N43" s="910"/>
    </row>
    <row r="44" spans="1:17">
      <c r="A44" s="460">
        <f t="shared" si="0"/>
        <v>33</v>
      </c>
      <c r="B44" s="195" t="s">
        <v>1692</v>
      </c>
      <c r="C44" s="910">
        <v>243898.34</v>
      </c>
      <c r="D44" s="910">
        <v>152509.45000000001</v>
      </c>
      <c r="E44" s="910">
        <v>192506.03000000003</v>
      </c>
      <c r="F44" s="910">
        <v>167175.08999999997</v>
      </c>
      <c r="G44" s="910">
        <v>215981.43</v>
      </c>
      <c r="H44" s="910">
        <v>145880.86000000002</v>
      </c>
      <c r="I44" s="910">
        <v>158017.58999999997</v>
      </c>
      <c r="J44" s="910">
        <v>151385.81</v>
      </c>
      <c r="K44" s="910">
        <v>147032.33000000002</v>
      </c>
      <c r="L44" s="910">
        <v>162230.68</v>
      </c>
      <c r="M44" s="910">
        <v>550256.53999999992</v>
      </c>
      <c r="N44" s="910">
        <v>47339.709999999985</v>
      </c>
      <c r="O44" s="195">
        <f t="shared" ref="O44:O47" si="7">SUM(C44:N44)</f>
        <v>2334213.86</v>
      </c>
    </row>
    <row r="45" spans="1:17">
      <c r="A45" s="460">
        <f t="shared" si="0"/>
        <v>34</v>
      </c>
      <c r="B45" s="195" t="s">
        <v>289</v>
      </c>
      <c r="C45" s="910">
        <v>52600</v>
      </c>
      <c r="D45" s="910">
        <v>52600</v>
      </c>
      <c r="E45" s="910">
        <v>52600</v>
      </c>
      <c r="F45" s="910">
        <v>52600</v>
      </c>
      <c r="G45" s="910">
        <v>52600</v>
      </c>
      <c r="H45" s="910">
        <v>52600</v>
      </c>
      <c r="I45" s="910">
        <v>52600</v>
      </c>
      <c r="J45" s="910">
        <v>52600</v>
      </c>
      <c r="K45" s="910">
        <v>52600</v>
      </c>
      <c r="L45" s="910">
        <v>52600</v>
      </c>
      <c r="M45" s="910">
        <v>52600</v>
      </c>
      <c r="N45" s="910">
        <v>52600</v>
      </c>
      <c r="O45" s="195">
        <f t="shared" si="7"/>
        <v>631200</v>
      </c>
      <c r="P45" s="670"/>
    </row>
    <row r="46" spans="1:17">
      <c r="A46" s="460">
        <f t="shared" si="0"/>
        <v>35</v>
      </c>
      <c r="C46" s="512"/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</row>
    <row r="47" spans="1:17">
      <c r="A47" s="460">
        <f t="shared" si="0"/>
        <v>36</v>
      </c>
      <c r="B47" s="195" t="s">
        <v>207</v>
      </c>
      <c r="C47" s="544">
        <f t="shared" ref="C47:N47" si="8">SUM(C42:C45)</f>
        <v>296498.33999999997</v>
      </c>
      <c r="D47" s="544">
        <f t="shared" si="8"/>
        <v>205109.45</v>
      </c>
      <c r="E47" s="544">
        <f t="shared" si="8"/>
        <v>245106.03000000003</v>
      </c>
      <c r="F47" s="544">
        <f t="shared" si="8"/>
        <v>219775.08999999997</v>
      </c>
      <c r="G47" s="544">
        <f t="shared" si="8"/>
        <v>268581.43</v>
      </c>
      <c r="H47" s="544">
        <f t="shared" si="8"/>
        <v>198480.86000000002</v>
      </c>
      <c r="I47" s="544">
        <f t="shared" si="8"/>
        <v>210617.58999999997</v>
      </c>
      <c r="J47" s="544">
        <f>SUM(J42:J45)</f>
        <v>203985.81</v>
      </c>
      <c r="K47" s="544">
        <f t="shared" si="8"/>
        <v>199632.33000000002</v>
      </c>
      <c r="L47" s="544">
        <f t="shared" si="8"/>
        <v>214830.68</v>
      </c>
      <c r="M47" s="544">
        <f t="shared" si="8"/>
        <v>602856.53999999992</v>
      </c>
      <c r="N47" s="544">
        <f t="shared" si="8"/>
        <v>99939.709999999992</v>
      </c>
      <c r="O47" s="544">
        <f t="shared" si="7"/>
        <v>2965413.8600000003</v>
      </c>
      <c r="Q47" s="103"/>
    </row>
    <row r="48" spans="1:17">
      <c r="A48" s="460">
        <f t="shared" si="0"/>
        <v>37</v>
      </c>
      <c r="C48" s="760"/>
      <c r="D48" s="760"/>
      <c r="E48" s="760"/>
      <c r="F48" s="760"/>
      <c r="G48" s="760"/>
      <c r="H48" s="760"/>
      <c r="I48" s="760"/>
      <c r="J48" s="760"/>
      <c r="K48" s="760"/>
      <c r="L48" s="760"/>
      <c r="M48" s="760"/>
      <c r="N48" s="760"/>
    </row>
    <row r="49" spans="1:17">
      <c r="A49" s="460">
        <f t="shared" si="0"/>
        <v>38</v>
      </c>
      <c r="B49" s="195" t="s">
        <v>208</v>
      </c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79"/>
    </row>
    <row r="50" spans="1:17">
      <c r="A50" s="460">
        <f t="shared" si="0"/>
        <v>39</v>
      </c>
      <c r="B50" s="195" t="s">
        <v>209</v>
      </c>
      <c r="C50" s="579"/>
      <c r="D50" s="824"/>
      <c r="E50" s="579"/>
      <c r="F50" s="579"/>
      <c r="G50" s="579"/>
      <c r="H50" s="579"/>
      <c r="I50" s="579"/>
      <c r="J50" s="579"/>
      <c r="K50" s="579"/>
      <c r="L50" s="579"/>
      <c r="M50" s="579"/>
      <c r="N50" s="579"/>
    </row>
    <row r="51" spans="1:17">
      <c r="A51" s="460">
        <f t="shared" si="0"/>
        <v>40</v>
      </c>
      <c r="J51" s="579"/>
    </row>
    <row r="52" spans="1:17">
      <c r="A52" s="460">
        <f t="shared" si="0"/>
        <v>41</v>
      </c>
      <c r="B52" s="195" t="s">
        <v>210</v>
      </c>
      <c r="C52" s="544">
        <f t="shared" ref="C52:N52" si="9">C20</f>
        <v>16726.78</v>
      </c>
      <c r="D52" s="544">
        <f t="shared" si="9"/>
        <v>11571.12</v>
      </c>
      <c r="E52" s="544">
        <f t="shared" si="9"/>
        <v>13827.51</v>
      </c>
      <c r="F52" s="544">
        <f t="shared" si="9"/>
        <v>12398.48</v>
      </c>
      <c r="G52" s="544">
        <f t="shared" si="9"/>
        <v>15151.86</v>
      </c>
      <c r="H52" s="544">
        <f t="shared" si="9"/>
        <v>11197.18</v>
      </c>
      <c r="I52" s="544">
        <f t="shared" si="9"/>
        <v>11881.87</v>
      </c>
      <c r="J52" s="544">
        <f t="shared" si="9"/>
        <v>11507.74</v>
      </c>
      <c r="K52" s="544">
        <f t="shared" si="9"/>
        <v>11262.14</v>
      </c>
      <c r="L52" s="544">
        <f t="shared" si="9"/>
        <v>12067.01</v>
      </c>
      <c r="M52" s="544">
        <f t="shared" si="9"/>
        <v>33862.379999999997</v>
      </c>
      <c r="N52" s="544">
        <f t="shared" si="9"/>
        <v>5613.6</v>
      </c>
      <c r="O52" s="544">
        <f>SUM(C52:N52)</f>
        <v>167067.66999999998</v>
      </c>
    </row>
    <row r="53" spans="1:17">
      <c r="A53" s="460">
        <f t="shared" si="0"/>
        <v>42</v>
      </c>
    </row>
    <row r="54" spans="1:17" ht="15.75">
      <c r="A54" s="460">
        <f t="shared" si="0"/>
        <v>43</v>
      </c>
      <c r="B54" s="297" t="s">
        <v>78</v>
      </c>
    </row>
    <row r="55" spans="1:17">
      <c r="A55" s="460">
        <f t="shared" si="0"/>
        <v>44</v>
      </c>
      <c r="C55" s="910"/>
      <c r="D55" s="910"/>
      <c r="E55" s="910"/>
      <c r="F55" s="910"/>
      <c r="G55" s="910"/>
      <c r="H55" s="910"/>
      <c r="I55" s="910"/>
      <c r="J55" s="910"/>
      <c r="K55" s="910"/>
      <c r="L55" s="910"/>
      <c r="M55" s="910"/>
      <c r="N55" s="910"/>
      <c r="O55" s="910"/>
    </row>
    <row r="56" spans="1:17">
      <c r="A56" s="460">
        <f t="shared" si="0"/>
        <v>45</v>
      </c>
      <c r="C56" s="910"/>
      <c r="D56" s="910"/>
      <c r="E56" s="910"/>
      <c r="F56" s="910"/>
      <c r="G56" s="910"/>
      <c r="H56" s="910"/>
      <c r="I56" s="910"/>
      <c r="J56" s="910"/>
      <c r="K56" s="910"/>
      <c r="L56" s="910"/>
      <c r="M56" s="910"/>
      <c r="N56" s="910"/>
    </row>
    <row r="57" spans="1:17">
      <c r="A57" s="460">
        <f t="shared" si="0"/>
        <v>46</v>
      </c>
      <c r="B57" s="195" t="s">
        <v>1692</v>
      </c>
      <c r="C57" s="910">
        <v>37483.709999999992</v>
      </c>
      <c r="D57" s="910">
        <v>35783.57</v>
      </c>
      <c r="E57" s="910">
        <v>14839.5</v>
      </c>
      <c r="F57" s="910">
        <v>31890.789999999997</v>
      </c>
      <c r="G57" s="910">
        <v>36393.94000000001</v>
      </c>
      <c r="H57" s="910">
        <v>30796.469999999998</v>
      </c>
      <c r="I57" s="910">
        <v>34828.73000000001</v>
      </c>
      <c r="J57" s="910">
        <v>8887.600000000004</v>
      </c>
      <c r="K57" s="910">
        <v>25805.639999999992</v>
      </c>
      <c r="L57" s="910">
        <v>37606.770000000011</v>
      </c>
      <c r="M57" s="910">
        <v>73247.399999999994</v>
      </c>
      <c r="N57" s="910">
        <v>23708.730000000003</v>
      </c>
      <c r="O57" s="910">
        <f t="shared" ref="O57:O62" si="10">SUM(C57:N57)</f>
        <v>391272.85</v>
      </c>
    </row>
    <row r="58" spans="1:17">
      <c r="A58" s="460">
        <f t="shared" si="0"/>
        <v>47</v>
      </c>
      <c r="B58" s="80" t="s">
        <v>1223</v>
      </c>
      <c r="C58" s="910">
        <v>0</v>
      </c>
      <c r="D58" s="910">
        <v>20.84</v>
      </c>
      <c r="E58" s="910">
        <v>41.69</v>
      </c>
      <c r="F58" s="910">
        <v>0</v>
      </c>
      <c r="G58" s="910">
        <v>0</v>
      </c>
      <c r="H58" s="910">
        <v>0</v>
      </c>
      <c r="I58" s="910">
        <v>0</v>
      </c>
      <c r="J58" s="910">
        <v>0</v>
      </c>
      <c r="K58" s="910">
        <v>0</v>
      </c>
      <c r="L58" s="910">
        <v>0</v>
      </c>
      <c r="M58" s="910">
        <v>54.78</v>
      </c>
      <c r="N58" s="910">
        <v>0</v>
      </c>
      <c r="O58" s="195">
        <f t="shared" si="10"/>
        <v>117.31</v>
      </c>
    </row>
    <row r="59" spans="1:17">
      <c r="A59" s="460">
        <f t="shared" si="0"/>
        <v>48</v>
      </c>
      <c r="B59" s="195" t="s">
        <v>289</v>
      </c>
      <c r="C59" s="910">
        <v>300</v>
      </c>
      <c r="D59" s="910">
        <v>-396474</v>
      </c>
      <c r="E59" s="910">
        <v>300</v>
      </c>
      <c r="F59" s="910">
        <v>300</v>
      </c>
      <c r="G59" s="910">
        <v>300</v>
      </c>
      <c r="H59" s="910">
        <v>800</v>
      </c>
      <c r="I59" s="910">
        <v>800</v>
      </c>
      <c r="J59" s="910">
        <v>800</v>
      </c>
      <c r="K59" s="910">
        <v>800</v>
      </c>
      <c r="L59" s="910">
        <v>800</v>
      </c>
      <c r="M59" s="910">
        <v>800</v>
      </c>
      <c r="N59" s="910">
        <v>800</v>
      </c>
      <c r="O59" s="195">
        <f t="shared" si="10"/>
        <v>-389674</v>
      </c>
    </row>
    <row r="60" spans="1:17">
      <c r="A60" s="460">
        <f t="shared" si="0"/>
        <v>49</v>
      </c>
      <c r="B60" s="103" t="s">
        <v>1350</v>
      </c>
      <c r="C60" s="910">
        <v>0</v>
      </c>
      <c r="D60" s="910">
        <v>0</v>
      </c>
      <c r="E60" s="910">
        <v>0</v>
      </c>
      <c r="F60" s="910">
        <v>0</v>
      </c>
      <c r="G60" s="910">
        <v>0</v>
      </c>
      <c r="H60" s="910">
        <v>0</v>
      </c>
      <c r="I60" s="910">
        <v>0</v>
      </c>
      <c r="J60" s="910">
        <v>0</v>
      </c>
      <c r="K60" s="910">
        <v>0</v>
      </c>
      <c r="L60" s="910">
        <v>0</v>
      </c>
      <c r="M60" s="910">
        <v>50</v>
      </c>
      <c r="N60" s="910">
        <v>0</v>
      </c>
      <c r="O60" s="195">
        <f t="shared" si="10"/>
        <v>50</v>
      </c>
    </row>
    <row r="61" spans="1:17">
      <c r="A61" s="460">
        <f t="shared" si="0"/>
        <v>50</v>
      </c>
      <c r="B61" s="80"/>
      <c r="C61" s="512"/>
      <c r="D61" s="512"/>
      <c r="E61" s="629"/>
      <c r="F61" s="629"/>
      <c r="G61" s="512"/>
      <c r="H61" s="512"/>
      <c r="I61" s="512"/>
      <c r="J61" s="512"/>
      <c r="K61" s="512"/>
      <c r="L61" s="512"/>
      <c r="M61" s="512"/>
      <c r="N61" s="512"/>
      <c r="Q61" s="103"/>
    </row>
    <row r="62" spans="1:17">
      <c r="A62" s="460">
        <f t="shared" si="0"/>
        <v>51</v>
      </c>
      <c r="B62" s="195" t="s">
        <v>207</v>
      </c>
      <c r="C62" s="544">
        <f t="shared" ref="C62:N62" si="11">SUM(C55:C60)</f>
        <v>37783.709999999992</v>
      </c>
      <c r="D62" s="544">
        <f t="shared" si="11"/>
        <v>-360669.59</v>
      </c>
      <c r="E62" s="544">
        <f t="shared" si="11"/>
        <v>15181.19</v>
      </c>
      <c r="F62" s="544">
        <f t="shared" si="11"/>
        <v>32190.789999999997</v>
      </c>
      <c r="G62" s="544">
        <f t="shared" si="11"/>
        <v>36693.94000000001</v>
      </c>
      <c r="H62" s="544">
        <f t="shared" si="11"/>
        <v>31596.469999999998</v>
      </c>
      <c r="I62" s="544">
        <f t="shared" si="11"/>
        <v>35628.73000000001</v>
      </c>
      <c r="J62" s="544">
        <f t="shared" si="11"/>
        <v>9687.600000000004</v>
      </c>
      <c r="K62" s="544">
        <f t="shared" si="11"/>
        <v>26605.639999999992</v>
      </c>
      <c r="L62" s="544">
        <f t="shared" si="11"/>
        <v>38406.770000000011</v>
      </c>
      <c r="M62" s="544">
        <f t="shared" si="11"/>
        <v>74152.179999999993</v>
      </c>
      <c r="N62" s="544">
        <f t="shared" si="11"/>
        <v>24508.730000000003</v>
      </c>
      <c r="O62" s="544">
        <f t="shared" si="10"/>
        <v>1766.1599999999962</v>
      </c>
    </row>
    <row r="63" spans="1:17">
      <c r="A63" s="460">
        <f t="shared" si="0"/>
        <v>52</v>
      </c>
      <c r="C63" s="760"/>
      <c r="D63" s="760"/>
      <c r="E63" s="760"/>
      <c r="F63" s="760"/>
      <c r="G63" s="760"/>
      <c r="H63" s="760"/>
      <c r="I63" s="760"/>
      <c r="J63" s="760"/>
      <c r="K63" s="760"/>
      <c r="L63" s="760"/>
      <c r="M63" s="760"/>
      <c r="N63" s="760"/>
    </row>
    <row r="64" spans="1:17">
      <c r="A64" s="460">
        <f t="shared" si="0"/>
        <v>53</v>
      </c>
      <c r="B64" s="195" t="s">
        <v>208</v>
      </c>
      <c r="C64" s="579"/>
      <c r="D64" s="579"/>
      <c r="E64" s="579"/>
      <c r="F64" s="579"/>
      <c r="G64" s="579"/>
      <c r="H64" s="579"/>
      <c r="I64" s="579"/>
      <c r="J64" s="579"/>
      <c r="K64" s="579"/>
      <c r="L64" s="579"/>
      <c r="M64" s="579"/>
      <c r="N64" s="579"/>
    </row>
    <row r="65" spans="1:16">
      <c r="A65" s="460">
        <f t="shared" si="0"/>
        <v>54</v>
      </c>
      <c r="B65" s="195" t="s">
        <v>209</v>
      </c>
      <c r="C65" s="579"/>
      <c r="D65" s="579"/>
      <c r="E65" s="579"/>
      <c r="F65" s="579"/>
      <c r="G65" s="579"/>
      <c r="H65" s="579"/>
      <c r="I65" s="579"/>
      <c r="J65" s="579"/>
      <c r="K65" s="579"/>
      <c r="L65" s="579"/>
      <c r="M65" s="579"/>
      <c r="N65" s="579"/>
    </row>
    <row r="66" spans="1:16">
      <c r="A66" s="460">
        <f t="shared" si="0"/>
        <v>55</v>
      </c>
    </row>
    <row r="67" spans="1:16">
      <c r="A67" s="460">
        <f t="shared" si="0"/>
        <v>56</v>
      </c>
      <c r="B67" s="195" t="s">
        <v>210</v>
      </c>
      <c r="C67" s="544">
        <f t="shared" ref="C67:N67" si="12">C22</f>
        <v>18808.73</v>
      </c>
      <c r="D67" s="544">
        <f t="shared" si="12"/>
        <v>-179541.32</v>
      </c>
      <c r="E67" s="544">
        <f t="shared" si="12"/>
        <v>7557.2</v>
      </c>
      <c r="F67" s="544">
        <f t="shared" si="12"/>
        <v>16024.58</v>
      </c>
      <c r="G67" s="544">
        <f t="shared" si="12"/>
        <v>18266.22</v>
      </c>
      <c r="H67" s="544">
        <f t="shared" si="12"/>
        <v>15728.75</v>
      </c>
      <c r="I67" s="544">
        <f t="shared" si="12"/>
        <v>17735.98</v>
      </c>
      <c r="J67" s="544">
        <f t="shared" si="12"/>
        <v>4822.49</v>
      </c>
      <c r="K67" s="544">
        <f t="shared" si="12"/>
        <v>13244.29</v>
      </c>
      <c r="L67" s="544">
        <f t="shared" si="12"/>
        <v>19656.580000000002</v>
      </c>
      <c r="M67" s="544">
        <f t="shared" si="12"/>
        <v>37951.089999999997</v>
      </c>
      <c r="N67" s="544">
        <f t="shared" si="12"/>
        <v>12543.57</v>
      </c>
      <c r="O67" s="544">
        <f>SUM(C67:N67)</f>
        <v>2798.1600000000108</v>
      </c>
    </row>
    <row r="68" spans="1:16">
      <c r="C68" s="760"/>
    </row>
    <row r="70" spans="1:16">
      <c r="B70" s="505"/>
      <c r="C70" s="579"/>
      <c r="D70" s="579"/>
      <c r="E70" s="579"/>
      <c r="F70" s="579"/>
      <c r="G70" s="579"/>
      <c r="H70" s="579"/>
      <c r="I70" s="579"/>
      <c r="J70" s="579"/>
      <c r="K70" s="579"/>
      <c r="L70" s="579"/>
      <c r="M70" s="579"/>
      <c r="N70" s="579"/>
      <c r="O70" s="670"/>
    </row>
    <row r="71" spans="1:16">
      <c r="B71" s="505"/>
      <c r="C71" s="579"/>
      <c r="D71" s="579"/>
      <c r="E71" s="579"/>
      <c r="F71" s="579"/>
      <c r="G71" s="579"/>
      <c r="H71" s="579"/>
      <c r="I71" s="579"/>
      <c r="J71" s="579"/>
      <c r="K71" s="579"/>
      <c r="L71" s="579"/>
      <c r="M71" s="579"/>
      <c r="N71" s="579"/>
      <c r="P71" s="670"/>
    </row>
    <row r="72" spans="1:16">
      <c r="B72" s="505"/>
      <c r="C72" s="579"/>
      <c r="D72" s="579"/>
      <c r="E72" s="579"/>
      <c r="F72" s="579"/>
      <c r="G72" s="579"/>
      <c r="H72" s="579"/>
      <c r="I72" s="579"/>
      <c r="J72" s="579"/>
      <c r="K72" s="579"/>
      <c r="L72" s="579"/>
      <c r="M72" s="579"/>
      <c r="N72" s="579"/>
      <c r="P72" s="670"/>
    </row>
    <row r="73" spans="1:16">
      <c r="P73" s="670"/>
    </row>
    <row r="74" spans="1:16">
      <c r="P74" s="670"/>
    </row>
    <row r="75" spans="1:16">
      <c r="E75" s="670"/>
      <c r="J75" s="690"/>
    </row>
    <row r="78" spans="1:16">
      <c r="J78" s="670"/>
      <c r="K78" s="670"/>
    </row>
    <row r="79" spans="1:16">
      <c r="J79" s="670"/>
      <c r="K79" s="670"/>
    </row>
    <row r="80" spans="1:16">
      <c r="J80" s="670"/>
      <c r="K80" s="670"/>
    </row>
    <row r="81" spans="10:11">
      <c r="J81" s="670"/>
      <c r="K81" s="670"/>
    </row>
    <row r="82" spans="10:11">
      <c r="J82" s="670"/>
      <c r="K82" s="670"/>
    </row>
    <row r="83" spans="10:11">
      <c r="J83" s="670"/>
      <c r="K83" s="670"/>
    </row>
    <row r="84" spans="10:11">
      <c r="J84" s="670"/>
      <c r="K84" s="670"/>
    </row>
  </sheetData>
  <mergeCells count="4">
    <mergeCell ref="A1:O1"/>
    <mergeCell ref="A2:O2"/>
    <mergeCell ref="A3:O3"/>
    <mergeCell ref="A4:O4"/>
  </mergeCells>
  <phoneticPr fontId="23" type="noConversion"/>
  <printOptions horizontalCentered="1"/>
  <pageMargins left="0.17" right="0.17" top="0.6" bottom="0.17" header="0.18" footer="0.42"/>
  <pageSetup scale="48" orientation="landscape" r:id="rId1"/>
  <headerFooter alignWithMargins="0">
    <oddFooter>&amp;RSchedule &amp;A
Page &amp;P of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S69"/>
  <sheetViews>
    <sheetView view="pageBreakPreview" zoomScale="70" zoomScaleNormal="70" zoomScaleSheetLayoutView="70" workbookViewId="0">
      <pane xSplit="2" ySplit="10" topLeftCell="C11" activePane="bottomRight" state="frozen"/>
      <selection activeCell="F55" sqref="F55"/>
      <selection pane="topRight" activeCell="F55" sqref="F55"/>
      <selection pane="bottomLeft" activeCell="F55" sqref="F55"/>
      <selection pane="bottomRight" activeCell="H23" sqref="H23"/>
    </sheetView>
  </sheetViews>
  <sheetFormatPr defaultRowHeight="15"/>
  <cols>
    <col min="1" max="1" width="4.6640625" style="81" customWidth="1"/>
    <col min="2" max="2" width="40.6640625" style="81" customWidth="1"/>
    <col min="3" max="8" width="10" style="81" customWidth="1"/>
    <col min="9" max="11" width="11.109375" style="81" customWidth="1"/>
    <col min="12" max="14" width="10" style="81" customWidth="1"/>
    <col min="15" max="15" width="13.88671875" style="81" customWidth="1"/>
    <col min="16" max="16" width="13.109375" style="81" bestFit="1" customWidth="1"/>
    <col min="17" max="17" width="12" style="81" bestFit="1" customWidth="1"/>
    <col min="18" max="18" width="11.44140625" style="81" bestFit="1" customWidth="1"/>
    <col min="19" max="16384" width="8.88671875" style="81"/>
  </cols>
  <sheetData>
    <row r="1" spans="1:19">
      <c r="A1" s="1203" t="str">
        <f>'Table of Contents'!A1:C1</f>
        <v>Atmos Energy Corporation, Kentucky/Mid-States Division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1203"/>
      <c r="O1" s="1203"/>
    </row>
    <row r="2" spans="1:19">
      <c r="A2" s="1203" t="str">
        <f>'Table of Contents'!A2:C2</f>
        <v>Kentucky Jurisdiction Case No. 2018-00281</v>
      </c>
      <c r="B2" s="1203"/>
      <c r="C2" s="1203"/>
      <c r="D2" s="1203"/>
      <c r="E2" s="1203"/>
      <c r="F2" s="1203"/>
      <c r="G2" s="1203"/>
      <c r="H2" s="1203"/>
      <c r="I2" s="1203"/>
      <c r="J2" s="1203"/>
      <c r="K2" s="1203"/>
      <c r="L2" s="1203"/>
      <c r="M2" s="1203"/>
      <c r="N2" s="1203"/>
      <c r="O2" s="1203"/>
    </row>
    <row r="3" spans="1:19">
      <c r="A3" s="1203" t="s">
        <v>192</v>
      </c>
      <c r="B3" s="1203"/>
      <c r="C3" s="1203"/>
      <c r="D3" s="1203"/>
      <c r="E3" s="1203"/>
      <c r="F3" s="1203"/>
      <c r="G3" s="1203"/>
      <c r="H3" s="1203"/>
      <c r="I3" s="1203"/>
      <c r="J3" s="1203"/>
      <c r="K3" s="1203"/>
      <c r="L3" s="1203"/>
      <c r="M3" s="1203"/>
      <c r="N3" s="1203"/>
      <c r="O3" s="1203"/>
      <c r="Q3" s="690"/>
    </row>
    <row r="4" spans="1:19">
      <c r="A4" s="1203" t="str">
        <f>'Table of Contents'!A4:C4</f>
        <v>Forecasted Test Period: Twelve Months Ended March 31, 2020</v>
      </c>
      <c r="B4" s="1203"/>
      <c r="C4" s="1203"/>
      <c r="D4" s="1203"/>
      <c r="E4" s="1203"/>
      <c r="F4" s="1203"/>
      <c r="G4" s="1203"/>
      <c r="H4" s="1203"/>
      <c r="I4" s="1203"/>
      <c r="J4" s="1203"/>
      <c r="K4" s="1203"/>
      <c r="L4" s="1203"/>
      <c r="M4" s="1203"/>
      <c r="N4" s="1203"/>
      <c r="O4" s="1203"/>
    </row>
    <row r="5" spans="1:19">
      <c r="B5" s="150"/>
      <c r="C5" s="150"/>
      <c r="D5" s="150"/>
      <c r="E5" s="150"/>
      <c r="F5" s="869"/>
      <c r="G5" s="150"/>
      <c r="H5" s="150"/>
      <c r="I5" s="150"/>
      <c r="J5" s="150"/>
      <c r="K5" s="150"/>
      <c r="L5" s="150"/>
      <c r="M5" s="370"/>
      <c r="N5" s="150"/>
    </row>
    <row r="6" spans="1:19">
      <c r="A6" s="88" t="str">
        <f>'C.2.1 F'!A6</f>
        <v>Data:________Base Period___X____Forecasted Period</v>
      </c>
      <c r="M6" s="74"/>
      <c r="O6" s="170" t="s">
        <v>1428</v>
      </c>
    </row>
    <row r="7" spans="1:19">
      <c r="A7" s="88" t="str">
        <f>'C.2.1 F'!A7</f>
        <v>Type of Filing:___X____Original________Updated ________Revised</v>
      </c>
      <c r="E7" s="670"/>
      <c r="H7" s="670"/>
      <c r="M7" s="74"/>
      <c r="N7" s="913"/>
      <c r="O7" s="508" t="s">
        <v>714</v>
      </c>
    </row>
    <row r="8" spans="1:19">
      <c r="A8" s="390" t="str">
        <f>'C.2.1 F'!A8</f>
        <v>Workpaper Reference No(s).____________________</v>
      </c>
      <c r="B8" s="82"/>
      <c r="C8" s="151"/>
      <c r="D8" s="151"/>
      <c r="E8" s="151"/>
      <c r="F8" s="151"/>
      <c r="G8" s="151"/>
      <c r="H8" s="151"/>
      <c r="I8" s="151"/>
      <c r="J8" s="151"/>
      <c r="K8" s="151"/>
      <c r="L8" s="82"/>
      <c r="M8" s="82"/>
      <c r="N8" s="361"/>
      <c r="O8" s="914" t="str">
        <f>LEFT('C.1'!J9,15)</f>
        <v>Witness: Waller</v>
      </c>
    </row>
    <row r="9" spans="1:19">
      <c r="A9" s="391" t="s">
        <v>93</v>
      </c>
      <c r="C9" s="851" t="str">
        <f>'C.2.2-F 09'!D9</f>
        <v>Forecasted</v>
      </c>
      <c r="D9" s="851" t="str">
        <f>'C.2.2-F 09'!E9</f>
        <v>Forecasted</v>
      </c>
      <c r="E9" s="851" t="str">
        <f>'C.2.2-F 09'!F9</f>
        <v>Forecasted</v>
      </c>
      <c r="F9" s="851" t="str">
        <f>'C.2.2-F 09'!G9</f>
        <v>Forecasted</v>
      </c>
      <c r="G9" s="851" t="str">
        <f>'C.2.2-F 09'!H9</f>
        <v>Forecasted</v>
      </c>
      <c r="H9" s="851" t="str">
        <f>'C.2.2-F 09'!I9</f>
        <v>Forecasted</v>
      </c>
      <c r="I9" s="851" t="str">
        <f>'C.2.2-F 09'!J9</f>
        <v>Forecasted</v>
      </c>
      <c r="J9" s="851" t="str">
        <f>'C.2.2-F 09'!K9</f>
        <v>Forecasted</v>
      </c>
      <c r="K9" s="851" t="str">
        <f>'C.2.2-F 09'!L9</f>
        <v>Forecasted</v>
      </c>
      <c r="L9" s="851" t="str">
        <f>'C.2.2-F 09'!M9</f>
        <v>Forecasted</v>
      </c>
      <c r="M9" s="851" t="str">
        <f>'C.2.2-F 09'!N9</f>
        <v>Forecasted</v>
      </c>
      <c r="N9" s="851" t="str">
        <f>'C.2.2-F 09'!O9</f>
        <v>Forecasted</v>
      </c>
      <c r="O9" s="903"/>
    </row>
    <row r="10" spans="1:19">
      <c r="A10" s="392" t="s">
        <v>99</v>
      </c>
      <c r="B10" s="361" t="s">
        <v>191</v>
      </c>
      <c r="C10" s="393">
        <f>'C.2.2-F 09'!D10</f>
        <v>43556</v>
      </c>
      <c r="D10" s="393">
        <f>'C.2.2-F 09'!E10</f>
        <v>43586</v>
      </c>
      <c r="E10" s="393">
        <f>'C.2.2-F 09'!F10</f>
        <v>43617</v>
      </c>
      <c r="F10" s="393">
        <f>'C.2.2-F 09'!G10</f>
        <v>43647</v>
      </c>
      <c r="G10" s="393">
        <f>'C.2.2-F 09'!H10</f>
        <v>43678</v>
      </c>
      <c r="H10" s="393">
        <f>'C.2.2-F 09'!I10</f>
        <v>43709</v>
      </c>
      <c r="I10" s="393">
        <f>'C.2.2-F 09'!J10</f>
        <v>43739</v>
      </c>
      <c r="J10" s="393">
        <f>'C.2.2-F 09'!K10</f>
        <v>43770</v>
      </c>
      <c r="K10" s="393">
        <f>'C.2.2-F 09'!L10</f>
        <v>43800</v>
      </c>
      <c r="L10" s="393">
        <f>'C.2.2-F 09'!M10</f>
        <v>43831</v>
      </c>
      <c r="M10" s="393">
        <f>'C.2.2-F 09'!N10</f>
        <v>43862</v>
      </c>
      <c r="N10" s="393">
        <f>'C.2.2-F 09'!O10</f>
        <v>43891</v>
      </c>
      <c r="O10" s="363" t="str">
        <f>'C.2.2 B 09'!P10</f>
        <v>Total</v>
      </c>
      <c r="P10" s="76"/>
    </row>
    <row r="11" spans="1:19" ht="15.75">
      <c r="B11" s="297"/>
      <c r="C11" s="848"/>
      <c r="D11" s="848"/>
      <c r="E11" s="848"/>
      <c r="F11" s="848"/>
      <c r="G11" s="848"/>
      <c r="H11" s="848"/>
      <c r="I11" s="848"/>
      <c r="J11" s="848"/>
      <c r="K11" s="848"/>
      <c r="L11" s="848"/>
      <c r="M11" s="848"/>
      <c r="N11" s="848"/>
      <c r="O11" s="848"/>
    </row>
    <row r="12" spans="1:19" ht="15.75">
      <c r="B12" s="297" t="s">
        <v>193</v>
      </c>
      <c r="C12" s="848"/>
      <c r="D12" s="848"/>
      <c r="E12" s="848"/>
      <c r="F12" s="848"/>
      <c r="G12" s="848"/>
      <c r="H12" s="848"/>
      <c r="I12" s="848"/>
      <c r="J12" s="848"/>
      <c r="K12" s="848"/>
      <c r="L12" s="848"/>
      <c r="M12" s="848"/>
      <c r="N12" s="848"/>
      <c r="O12" s="848"/>
    </row>
    <row r="13" spans="1:19">
      <c r="A13" s="850">
        <v>1</v>
      </c>
      <c r="C13" s="910"/>
      <c r="D13" s="910"/>
      <c r="E13" s="910"/>
      <c r="F13" s="910"/>
      <c r="G13" s="910"/>
      <c r="H13" s="910"/>
      <c r="I13" s="910"/>
      <c r="J13" s="910"/>
      <c r="K13" s="910"/>
      <c r="L13" s="910"/>
      <c r="M13" s="910"/>
      <c r="N13" s="910"/>
      <c r="O13" s="346"/>
      <c r="P13" s="670"/>
      <c r="S13" s="690"/>
    </row>
    <row r="14" spans="1:19">
      <c r="A14" s="850">
        <f>A13+1</f>
        <v>2</v>
      </c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429"/>
      <c r="P14" s="915"/>
    </row>
    <row r="15" spans="1:19">
      <c r="A15" s="850">
        <f t="shared" ref="A15:A68" si="0">A14+1</f>
        <v>3</v>
      </c>
      <c r="B15" s="81" t="s">
        <v>1691</v>
      </c>
      <c r="C15" s="512">
        <v>19471.759999999998</v>
      </c>
      <c r="D15" s="512">
        <v>23062.050000000003</v>
      </c>
      <c r="E15" s="512">
        <v>20041.669999999995</v>
      </c>
      <c r="F15" s="512">
        <v>22493.259999999995</v>
      </c>
      <c r="G15" s="512">
        <v>13986.169999999998</v>
      </c>
      <c r="H15" s="512">
        <v>49874.99</v>
      </c>
      <c r="I15" s="512">
        <v>18238.683800000003</v>
      </c>
      <c r="J15" s="512">
        <v>64281.661399999997</v>
      </c>
      <c r="K15" s="512">
        <v>10577.420199999995</v>
      </c>
      <c r="L15" s="512">
        <v>45025.976199999997</v>
      </c>
      <c r="M15" s="512">
        <v>22712.396100000005</v>
      </c>
      <c r="N15" s="512">
        <v>46194.439100000003</v>
      </c>
      <c r="O15" s="429">
        <v>355960.4768</v>
      </c>
      <c r="P15" s="915"/>
    </row>
    <row r="16" spans="1:19">
      <c r="A16" s="850">
        <f t="shared" si="0"/>
        <v>4</v>
      </c>
      <c r="B16" s="81" t="s">
        <v>1223</v>
      </c>
      <c r="C16" s="512">
        <v>0</v>
      </c>
      <c r="D16" s="512">
        <v>0</v>
      </c>
      <c r="E16" s="512">
        <v>0</v>
      </c>
      <c r="F16" s="512">
        <v>0</v>
      </c>
      <c r="G16" s="512">
        <v>155.79</v>
      </c>
      <c r="H16" s="512">
        <v>52.74</v>
      </c>
      <c r="I16" s="512">
        <v>-4.25</v>
      </c>
      <c r="J16" s="512">
        <v>0</v>
      </c>
      <c r="K16" s="512">
        <v>0</v>
      </c>
      <c r="L16" s="629">
        <v>0</v>
      </c>
      <c r="M16" s="629">
        <v>0</v>
      </c>
      <c r="N16" s="629">
        <v>0</v>
      </c>
      <c r="O16" s="429">
        <v>204.28</v>
      </c>
      <c r="P16" s="670"/>
      <c r="R16" s="885"/>
    </row>
    <row r="17" spans="1:18">
      <c r="A17" s="850">
        <f t="shared" si="0"/>
        <v>5</v>
      </c>
      <c r="B17" s="81" t="s">
        <v>109</v>
      </c>
      <c r="C17" s="512">
        <v>502291.60302156414</v>
      </c>
      <c r="D17" s="512">
        <v>502291.60302156414</v>
      </c>
      <c r="E17" s="512">
        <v>502291.60302156414</v>
      </c>
      <c r="F17" s="512">
        <v>502291.60302156414</v>
      </c>
      <c r="G17" s="512">
        <v>502291.60302156414</v>
      </c>
      <c r="H17" s="512">
        <v>502291.60302156414</v>
      </c>
      <c r="I17" s="512">
        <v>502291.60302156414</v>
      </c>
      <c r="J17" s="512">
        <v>502291.60302156414</v>
      </c>
      <c r="K17" s="512">
        <v>502291.60302156414</v>
      </c>
      <c r="L17" s="512">
        <v>502291.60302156414</v>
      </c>
      <c r="M17" s="512">
        <v>502291.60302156414</v>
      </c>
      <c r="N17" s="512">
        <v>502291.60302156414</v>
      </c>
      <c r="O17" s="512">
        <v>6027499.2362587685</v>
      </c>
      <c r="P17" s="626"/>
      <c r="Q17" s="626"/>
      <c r="R17" s="670"/>
    </row>
    <row r="18" spans="1:18">
      <c r="A18" s="850">
        <f t="shared" si="0"/>
        <v>6</v>
      </c>
      <c r="B18" s="195" t="s">
        <v>1351</v>
      </c>
      <c r="C18" s="512">
        <v>0</v>
      </c>
      <c r="D18" s="512">
        <v>137062</v>
      </c>
      <c r="E18" s="512">
        <v>0</v>
      </c>
      <c r="F18" s="512">
        <v>0</v>
      </c>
      <c r="G18" s="512">
        <v>0</v>
      </c>
      <c r="H18" s="512">
        <v>0</v>
      </c>
      <c r="I18" s="512">
        <v>0</v>
      </c>
      <c r="J18" s="512">
        <v>0</v>
      </c>
      <c r="K18" s="512">
        <v>0</v>
      </c>
      <c r="L18" s="512">
        <v>0</v>
      </c>
      <c r="M18" s="512">
        <v>0</v>
      </c>
      <c r="N18" s="512">
        <v>0</v>
      </c>
      <c r="O18" s="429">
        <v>137062</v>
      </c>
      <c r="Q18" s="916"/>
    </row>
    <row r="19" spans="1:18">
      <c r="A19" s="850">
        <f t="shared" si="0"/>
        <v>7</v>
      </c>
      <c r="B19" s="81" t="s">
        <v>108</v>
      </c>
      <c r="C19" s="512">
        <v>45643.839999999997</v>
      </c>
      <c r="D19" s="512">
        <v>43</v>
      </c>
      <c r="E19" s="512">
        <v>0</v>
      </c>
      <c r="F19" s="512">
        <v>16430.509999999998</v>
      </c>
      <c r="G19" s="512">
        <v>211</v>
      </c>
      <c r="H19" s="512">
        <v>83</v>
      </c>
      <c r="I19" s="512">
        <v>11109.77</v>
      </c>
      <c r="J19" s="512">
        <v>66</v>
      </c>
      <c r="K19" s="512">
        <v>338</v>
      </c>
      <c r="L19" s="512">
        <v>22304.83</v>
      </c>
      <c r="M19" s="512">
        <v>0</v>
      </c>
      <c r="N19" s="512">
        <v>2868.59</v>
      </c>
      <c r="O19" s="429">
        <v>99098.54</v>
      </c>
      <c r="P19" s="670"/>
      <c r="Q19" s="916"/>
    </row>
    <row r="20" spans="1:18">
      <c r="A20" s="850">
        <f t="shared" si="0"/>
        <v>8</v>
      </c>
      <c r="B20" s="81" t="s">
        <v>290</v>
      </c>
      <c r="C20" s="512">
        <v>28286.310972825959</v>
      </c>
      <c r="D20" s="512">
        <v>28286.310972825959</v>
      </c>
      <c r="E20" s="512">
        <v>28286.310972825959</v>
      </c>
      <c r="F20" s="512">
        <v>28286.310972825959</v>
      </c>
      <c r="G20" s="512">
        <v>28286.310972825959</v>
      </c>
      <c r="H20" s="512">
        <v>28286.310972825959</v>
      </c>
      <c r="I20" s="512">
        <v>28286.310972825959</v>
      </c>
      <c r="J20" s="512">
        <v>28286.310972825959</v>
      </c>
      <c r="K20" s="512">
        <v>28286.310972825959</v>
      </c>
      <c r="L20" s="512">
        <v>28286.310972825959</v>
      </c>
      <c r="M20" s="512">
        <v>28286.310972825959</v>
      </c>
      <c r="N20" s="512">
        <v>28286.310972825959</v>
      </c>
      <c r="O20" s="512">
        <v>339435.7316739115</v>
      </c>
      <c r="P20" s="917"/>
      <c r="Q20" s="670"/>
      <c r="R20" s="670"/>
    </row>
    <row r="21" spans="1:18">
      <c r="A21" s="850">
        <f t="shared" si="0"/>
        <v>9</v>
      </c>
      <c r="B21" s="81" t="s">
        <v>42</v>
      </c>
      <c r="C21" s="429">
        <v>5637.8168882350328</v>
      </c>
      <c r="D21" s="429">
        <v>5637.8168882350328</v>
      </c>
      <c r="E21" s="429">
        <v>5637.8168882350328</v>
      </c>
      <c r="F21" s="429">
        <v>5637.8168882350328</v>
      </c>
      <c r="G21" s="429">
        <v>5637.8168882350328</v>
      </c>
      <c r="H21" s="429">
        <v>5637.8168882350328</v>
      </c>
      <c r="I21" s="429">
        <v>5717.9329751804971</v>
      </c>
      <c r="J21" s="429">
        <v>5717.9329751804971</v>
      </c>
      <c r="K21" s="429">
        <v>5717.9329751804971</v>
      </c>
      <c r="L21" s="429">
        <v>5717.9329751804971</v>
      </c>
      <c r="M21" s="429">
        <v>5717.9329751804971</v>
      </c>
      <c r="N21" s="429">
        <v>5717.9329751804971</v>
      </c>
      <c r="O21" s="429">
        <v>68134.499180493178</v>
      </c>
      <c r="P21" s="626"/>
      <c r="Q21" s="670"/>
    </row>
    <row r="22" spans="1:18">
      <c r="A22" s="850">
        <f t="shared" si="0"/>
        <v>10</v>
      </c>
      <c r="B22" s="81" t="s">
        <v>1001</v>
      </c>
      <c r="C22" s="429">
        <v>5923.0135640000008</v>
      </c>
      <c r="D22" s="429">
        <v>5923.0135640000008</v>
      </c>
      <c r="E22" s="429">
        <v>5923.0135640000008</v>
      </c>
      <c r="F22" s="429">
        <v>5923.0135640000008</v>
      </c>
      <c r="G22" s="429">
        <v>5923.0135640000008</v>
      </c>
      <c r="H22" s="429">
        <v>5923.0135640000008</v>
      </c>
      <c r="I22" s="429">
        <v>5992.45039172</v>
      </c>
      <c r="J22" s="429">
        <v>5992.45039172</v>
      </c>
      <c r="K22" s="429">
        <v>5992.45039172</v>
      </c>
      <c r="L22" s="429">
        <v>5992.45039172</v>
      </c>
      <c r="M22" s="429">
        <v>5992.45039172</v>
      </c>
      <c r="N22" s="429">
        <v>5992.45039172</v>
      </c>
      <c r="O22" s="429">
        <v>71492.783734319994</v>
      </c>
      <c r="P22" s="626"/>
      <c r="Q22" s="670"/>
    </row>
    <row r="23" spans="1:18">
      <c r="A23" s="850">
        <f t="shared" si="0"/>
        <v>11</v>
      </c>
      <c r="B23" s="81" t="s">
        <v>1224</v>
      </c>
      <c r="C23" s="429">
        <v>16276.462062000001</v>
      </c>
      <c r="D23" s="429">
        <v>18518.130132000006</v>
      </c>
      <c r="E23" s="429">
        <v>15183.646700000001</v>
      </c>
      <c r="F23" s="429">
        <v>13736.691440000001</v>
      </c>
      <c r="G23" s="429">
        <v>17522.395725999999</v>
      </c>
      <c r="H23" s="429">
        <v>2399.91869</v>
      </c>
      <c r="I23" s="429">
        <v>18691.135643559999</v>
      </c>
      <c r="J23" s="429">
        <v>38021.012604640004</v>
      </c>
      <c r="K23" s="429">
        <v>14075.69901448</v>
      </c>
      <c r="L23" s="429">
        <v>19620.399363140004</v>
      </c>
      <c r="M23" s="429">
        <v>18770.371094796799</v>
      </c>
      <c r="N23" s="429">
        <v>8053.3360303338031</v>
      </c>
      <c r="O23" s="429">
        <v>200869.19850095062</v>
      </c>
      <c r="P23" s="626"/>
      <c r="Q23" s="670"/>
    </row>
    <row r="24" spans="1:18">
      <c r="A24" s="850">
        <f t="shared" si="0"/>
        <v>12</v>
      </c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</row>
    <row r="25" spans="1:18">
      <c r="A25" s="850">
        <f t="shared" si="0"/>
        <v>13</v>
      </c>
      <c r="B25" s="81" t="s">
        <v>96</v>
      </c>
      <c r="C25" s="545">
        <v>623530.80650862516</v>
      </c>
      <c r="D25" s="545">
        <v>720823.92457862513</v>
      </c>
      <c r="E25" s="545">
        <v>577364.0611466252</v>
      </c>
      <c r="F25" s="545">
        <v>594799.2058866251</v>
      </c>
      <c r="G25" s="545">
        <v>574014.10017262516</v>
      </c>
      <c r="H25" s="545">
        <v>594549.39313662518</v>
      </c>
      <c r="I25" s="545">
        <v>590323.63680485054</v>
      </c>
      <c r="J25" s="545">
        <v>644656.97136593063</v>
      </c>
      <c r="K25" s="545">
        <v>567279.41657577059</v>
      </c>
      <c r="L25" s="545">
        <v>629239.50292443053</v>
      </c>
      <c r="M25" s="545">
        <v>583771.06455608737</v>
      </c>
      <c r="N25" s="545">
        <v>599404.66249162436</v>
      </c>
      <c r="O25" s="545">
        <v>7299756.7461484447</v>
      </c>
      <c r="P25" s="916"/>
    </row>
    <row r="26" spans="1:18">
      <c r="A26" s="850">
        <f t="shared" si="0"/>
        <v>14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1:18" ht="15.75">
      <c r="A27" s="850">
        <f t="shared" si="0"/>
        <v>15</v>
      </c>
      <c r="B27" s="297" t="s">
        <v>76</v>
      </c>
    </row>
    <row r="28" spans="1:18">
      <c r="A28" s="850">
        <f t="shared" si="0"/>
        <v>16</v>
      </c>
      <c r="C28" s="910"/>
      <c r="D28" s="910"/>
      <c r="E28" s="910"/>
      <c r="F28" s="910"/>
      <c r="G28" s="910"/>
      <c r="H28" s="910"/>
      <c r="I28" s="910"/>
      <c r="J28" s="910"/>
      <c r="K28" s="910"/>
      <c r="L28" s="910"/>
      <c r="M28" s="910"/>
      <c r="N28" s="910"/>
      <c r="O28" s="346"/>
    </row>
    <row r="29" spans="1:18">
      <c r="A29" s="850">
        <f t="shared" si="0"/>
        <v>17</v>
      </c>
      <c r="C29" s="910"/>
      <c r="D29" s="910"/>
      <c r="E29" s="910"/>
      <c r="F29" s="910"/>
      <c r="G29" s="910"/>
      <c r="H29" s="910"/>
      <c r="I29" s="910"/>
      <c r="J29" s="910"/>
      <c r="K29" s="910"/>
      <c r="L29" s="910"/>
      <c r="M29" s="910"/>
      <c r="N29" s="910"/>
      <c r="O29" s="429"/>
    </row>
    <row r="30" spans="1:18">
      <c r="A30" s="850">
        <f t="shared" si="0"/>
        <v>18</v>
      </c>
      <c r="B30" s="81" t="s">
        <v>1692</v>
      </c>
      <c r="C30" s="910">
        <v>44707.500000000015</v>
      </c>
      <c r="D30" s="910">
        <v>44707.500000000015</v>
      </c>
      <c r="E30" s="910">
        <v>44707.500000000015</v>
      </c>
      <c r="F30" s="910">
        <v>44707.500000000015</v>
      </c>
      <c r="G30" s="910">
        <v>44707.500000000015</v>
      </c>
      <c r="H30" s="910">
        <v>44707.500000000015</v>
      </c>
      <c r="I30" s="910">
        <v>46048.725000000013</v>
      </c>
      <c r="J30" s="910">
        <v>46048.725000000013</v>
      </c>
      <c r="K30" s="910">
        <v>46048.725000000013</v>
      </c>
      <c r="L30" s="910">
        <v>46048.725000000013</v>
      </c>
      <c r="M30" s="910">
        <v>46048.725000000013</v>
      </c>
      <c r="N30" s="910">
        <v>46048.725000000013</v>
      </c>
      <c r="O30" s="429">
        <v>544537.35000000021</v>
      </c>
    </row>
    <row r="31" spans="1:18">
      <c r="A31" s="850">
        <f t="shared" si="0"/>
        <v>19</v>
      </c>
      <c r="B31" s="81" t="s">
        <v>289</v>
      </c>
      <c r="C31" s="910">
        <v>69700</v>
      </c>
      <c r="D31" s="910">
        <v>69700</v>
      </c>
      <c r="E31" s="910">
        <v>69700</v>
      </c>
      <c r="F31" s="910">
        <v>69700</v>
      </c>
      <c r="G31" s="910">
        <v>69700</v>
      </c>
      <c r="H31" s="910">
        <v>69700</v>
      </c>
      <c r="I31" s="910">
        <v>69700</v>
      </c>
      <c r="J31" s="910">
        <v>69700</v>
      </c>
      <c r="K31" s="910">
        <v>69700</v>
      </c>
      <c r="L31" s="910">
        <v>69700</v>
      </c>
      <c r="M31" s="910">
        <v>69700</v>
      </c>
      <c r="N31" s="910">
        <v>69700</v>
      </c>
      <c r="O31" s="512">
        <v>836400</v>
      </c>
      <c r="P31" s="626"/>
      <c r="Q31" s="626"/>
      <c r="R31" s="670"/>
    </row>
    <row r="32" spans="1:18">
      <c r="A32" s="850">
        <f t="shared" si="0"/>
        <v>20</v>
      </c>
      <c r="B32" s="81" t="s">
        <v>205</v>
      </c>
      <c r="C32" s="512">
        <v>0</v>
      </c>
      <c r="D32" s="512">
        <v>0</v>
      </c>
      <c r="E32" s="512">
        <v>0</v>
      </c>
      <c r="F32" s="512">
        <v>0</v>
      </c>
      <c r="G32" s="512">
        <v>0</v>
      </c>
      <c r="H32" s="512">
        <v>0</v>
      </c>
      <c r="I32" s="512">
        <v>0</v>
      </c>
      <c r="J32" s="512">
        <v>0</v>
      </c>
      <c r="K32" s="512">
        <v>0</v>
      </c>
      <c r="L32" s="512">
        <v>0</v>
      </c>
      <c r="M32" s="512">
        <v>0</v>
      </c>
      <c r="N32" s="512">
        <v>0</v>
      </c>
      <c r="O32" s="429">
        <v>0</v>
      </c>
    </row>
    <row r="33" spans="1:18">
      <c r="A33" s="850">
        <f t="shared" si="0"/>
        <v>21</v>
      </c>
      <c r="B33" s="81" t="s">
        <v>206</v>
      </c>
      <c r="C33" s="512">
        <v>0</v>
      </c>
      <c r="D33" s="512">
        <v>0</v>
      </c>
      <c r="E33" s="512">
        <v>0</v>
      </c>
      <c r="F33" s="512">
        <v>0</v>
      </c>
      <c r="G33" s="512">
        <v>0</v>
      </c>
      <c r="H33" s="512">
        <v>0</v>
      </c>
      <c r="I33" s="512">
        <v>0</v>
      </c>
      <c r="J33" s="512">
        <v>0</v>
      </c>
      <c r="K33" s="512">
        <v>0</v>
      </c>
      <c r="L33" s="512">
        <v>0</v>
      </c>
      <c r="M33" s="512">
        <v>0</v>
      </c>
      <c r="N33" s="512">
        <v>0</v>
      </c>
      <c r="O33" s="429">
        <v>0</v>
      </c>
    </row>
    <row r="34" spans="1:18">
      <c r="A34" s="850">
        <f t="shared" si="0"/>
        <v>22</v>
      </c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</row>
    <row r="35" spans="1:18">
      <c r="A35" s="850">
        <f t="shared" si="0"/>
        <v>23</v>
      </c>
      <c r="B35" s="81" t="s">
        <v>207</v>
      </c>
      <c r="C35" s="545">
        <v>114407.50000000001</v>
      </c>
      <c r="D35" s="545">
        <v>114407.50000000001</v>
      </c>
      <c r="E35" s="545">
        <v>114407.50000000001</v>
      </c>
      <c r="F35" s="545">
        <v>114407.50000000001</v>
      </c>
      <c r="G35" s="545">
        <v>114407.50000000001</v>
      </c>
      <c r="H35" s="545">
        <v>114407.50000000001</v>
      </c>
      <c r="I35" s="545">
        <v>115748.72500000001</v>
      </c>
      <c r="J35" s="545">
        <v>115748.72500000001</v>
      </c>
      <c r="K35" s="545">
        <v>115748.72500000001</v>
      </c>
      <c r="L35" s="545">
        <v>115748.72500000001</v>
      </c>
      <c r="M35" s="545">
        <v>115748.72500000001</v>
      </c>
      <c r="N35" s="545">
        <v>115748.72500000001</v>
      </c>
      <c r="O35" s="545">
        <v>1380937.3500000003</v>
      </c>
    </row>
    <row r="36" spans="1:18">
      <c r="A36" s="850">
        <f t="shared" si="0"/>
        <v>24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8">
      <c r="A37" s="850">
        <f t="shared" si="0"/>
        <v>25</v>
      </c>
      <c r="B37" s="81" t="s">
        <v>208</v>
      </c>
      <c r="C37" s="319">
        <v>0.104</v>
      </c>
      <c r="D37" s="319">
        <v>0.104</v>
      </c>
      <c r="E37" s="319">
        <v>0.104</v>
      </c>
      <c r="F37" s="319">
        <v>0.104</v>
      </c>
      <c r="G37" s="319">
        <v>0.104</v>
      </c>
      <c r="H37" s="319">
        <v>0.104</v>
      </c>
      <c r="I37" s="319">
        <v>0.104</v>
      </c>
      <c r="J37" s="319">
        <v>0.104</v>
      </c>
      <c r="K37" s="319">
        <v>0.104</v>
      </c>
      <c r="L37" s="319">
        <v>0.104</v>
      </c>
      <c r="M37" s="319">
        <v>0.104</v>
      </c>
      <c r="N37" s="319">
        <v>0.104</v>
      </c>
    </row>
    <row r="38" spans="1:18">
      <c r="A38" s="850">
        <f t="shared" si="0"/>
        <v>26</v>
      </c>
      <c r="B38" s="81" t="s">
        <v>209</v>
      </c>
      <c r="C38" s="579">
        <v>0.49780000000000002</v>
      </c>
      <c r="D38" s="579">
        <v>0.49780000000000002</v>
      </c>
      <c r="E38" s="579">
        <v>0.49780000000000002</v>
      </c>
      <c r="F38" s="579">
        <v>0.49780000000000002</v>
      </c>
      <c r="G38" s="579">
        <v>0.49780000000000002</v>
      </c>
      <c r="H38" s="579">
        <v>0.49780000000000002</v>
      </c>
      <c r="I38" s="579">
        <v>0.49780000000000002</v>
      </c>
      <c r="J38" s="579">
        <v>0.49780000000000002</v>
      </c>
      <c r="K38" s="579">
        <v>0.49780000000000002</v>
      </c>
      <c r="L38" s="579">
        <v>0.49780000000000002</v>
      </c>
      <c r="M38" s="579">
        <v>0.49780000000000002</v>
      </c>
      <c r="N38" s="579">
        <v>0.49780000000000002</v>
      </c>
    </row>
    <row r="39" spans="1:18">
      <c r="A39" s="850">
        <f t="shared" si="0"/>
        <v>27</v>
      </c>
    </row>
    <row r="40" spans="1:18">
      <c r="A40" s="850">
        <f t="shared" si="0"/>
        <v>28</v>
      </c>
      <c r="B40" s="81" t="s">
        <v>1354</v>
      </c>
      <c r="C40" s="918">
        <v>5923.0135640000008</v>
      </c>
      <c r="D40" s="918">
        <v>5923.0135640000008</v>
      </c>
      <c r="E40" s="918">
        <v>5923.0135640000008</v>
      </c>
      <c r="F40" s="918">
        <v>5923.0135640000008</v>
      </c>
      <c r="G40" s="918">
        <v>5923.0135640000008</v>
      </c>
      <c r="H40" s="918">
        <v>5923.0135640000008</v>
      </c>
      <c r="I40" s="918">
        <v>5992.45039172</v>
      </c>
      <c r="J40" s="918">
        <v>5992.45039172</v>
      </c>
      <c r="K40" s="918">
        <v>5992.45039172</v>
      </c>
      <c r="L40" s="918">
        <v>5992.45039172</v>
      </c>
      <c r="M40" s="918">
        <v>5992.45039172</v>
      </c>
      <c r="N40" s="918">
        <v>5992.45039172</v>
      </c>
      <c r="O40" s="545">
        <v>71492.783734319994</v>
      </c>
    </row>
    <row r="41" spans="1:18">
      <c r="A41" s="850">
        <f t="shared" si="0"/>
        <v>29</v>
      </c>
    </row>
    <row r="42" spans="1:18" ht="15.75">
      <c r="A42" s="850">
        <f t="shared" si="0"/>
        <v>30</v>
      </c>
      <c r="B42" s="297" t="s">
        <v>77</v>
      </c>
      <c r="C42" s="346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</row>
    <row r="43" spans="1:18">
      <c r="A43" s="850">
        <f t="shared" si="0"/>
        <v>31</v>
      </c>
      <c r="C43" s="910"/>
      <c r="D43" s="910"/>
      <c r="E43" s="910"/>
      <c r="F43" s="910"/>
      <c r="G43" s="910"/>
      <c r="H43" s="910"/>
      <c r="I43" s="910"/>
      <c r="J43" s="910"/>
      <c r="K43" s="910"/>
      <c r="L43" s="910"/>
      <c r="M43" s="910"/>
      <c r="N43" s="910"/>
      <c r="O43" s="346"/>
      <c r="P43" s="670"/>
    </row>
    <row r="44" spans="1:18">
      <c r="A44" s="850">
        <f t="shared" si="0"/>
        <v>32</v>
      </c>
      <c r="C44" s="910"/>
      <c r="D44" s="910"/>
      <c r="E44" s="910"/>
      <c r="F44" s="910"/>
      <c r="G44" s="910"/>
      <c r="H44" s="910"/>
      <c r="I44" s="910"/>
      <c r="J44" s="910"/>
      <c r="K44" s="910"/>
      <c r="L44" s="910"/>
      <c r="M44" s="910"/>
      <c r="N44" s="910"/>
      <c r="O44" s="429"/>
    </row>
    <row r="45" spans="1:18">
      <c r="A45" s="850">
        <f t="shared" si="0"/>
        <v>33</v>
      </c>
      <c r="B45" s="81" t="s">
        <v>1692</v>
      </c>
      <c r="C45" s="910">
        <v>47339.710000000006</v>
      </c>
      <c r="D45" s="910">
        <v>47339.710000000006</v>
      </c>
      <c r="E45" s="910">
        <v>47339.710000000006</v>
      </c>
      <c r="F45" s="910">
        <v>47339.710000000006</v>
      </c>
      <c r="G45" s="910">
        <v>47339.710000000006</v>
      </c>
      <c r="H45" s="910">
        <v>47339.710000000006</v>
      </c>
      <c r="I45" s="910">
        <v>48759.901300000005</v>
      </c>
      <c r="J45" s="910">
        <v>48759.901300000005</v>
      </c>
      <c r="K45" s="910">
        <v>48759.901300000005</v>
      </c>
      <c r="L45" s="910">
        <v>48759.901300000005</v>
      </c>
      <c r="M45" s="910">
        <v>48759.901300000005</v>
      </c>
      <c r="N45" s="910">
        <v>48759.901300000005</v>
      </c>
      <c r="O45" s="429">
        <v>576597.66780000017</v>
      </c>
    </row>
    <row r="46" spans="1:18">
      <c r="A46" s="850">
        <f t="shared" si="0"/>
        <v>34</v>
      </c>
      <c r="B46" s="81" t="s">
        <v>289</v>
      </c>
      <c r="C46" s="910">
        <v>52600</v>
      </c>
      <c r="D46" s="512">
        <v>52600</v>
      </c>
      <c r="E46" s="512">
        <v>52600</v>
      </c>
      <c r="F46" s="512">
        <v>52600</v>
      </c>
      <c r="G46" s="512">
        <v>52600</v>
      </c>
      <c r="H46" s="512">
        <v>52600</v>
      </c>
      <c r="I46" s="512">
        <v>52600</v>
      </c>
      <c r="J46" s="512">
        <v>52600</v>
      </c>
      <c r="K46" s="512">
        <v>52600</v>
      </c>
      <c r="L46" s="512">
        <v>52600</v>
      </c>
      <c r="M46" s="512">
        <v>52600</v>
      </c>
      <c r="N46" s="512">
        <v>52600</v>
      </c>
      <c r="O46" s="512">
        <v>631200</v>
      </c>
      <c r="P46" s="626"/>
      <c r="Q46" s="626"/>
      <c r="R46" s="670"/>
    </row>
    <row r="47" spans="1:18">
      <c r="A47" s="850">
        <f t="shared" si="0"/>
        <v>35</v>
      </c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</row>
    <row r="48" spans="1:18">
      <c r="A48" s="850">
        <f t="shared" si="0"/>
        <v>36</v>
      </c>
      <c r="B48" s="81" t="s">
        <v>207</v>
      </c>
      <c r="C48" s="545">
        <v>99939.71</v>
      </c>
      <c r="D48" s="545">
        <v>99939.71</v>
      </c>
      <c r="E48" s="545">
        <v>99939.71</v>
      </c>
      <c r="F48" s="545">
        <v>99939.71</v>
      </c>
      <c r="G48" s="545">
        <v>99939.71</v>
      </c>
      <c r="H48" s="545">
        <v>99939.71</v>
      </c>
      <c r="I48" s="545">
        <v>101359.9013</v>
      </c>
      <c r="J48" s="545">
        <v>101359.9013</v>
      </c>
      <c r="K48" s="545">
        <v>101359.9013</v>
      </c>
      <c r="L48" s="545">
        <v>101359.9013</v>
      </c>
      <c r="M48" s="545">
        <v>101359.9013</v>
      </c>
      <c r="N48" s="545">
        <v>101359.9013</v>
      </c>
      <c r="O48" s="545">
        <v>1207797.6678000002</v>
      </c>
    </row>
    <row r="49" spans="1:18">
      <c r="A49" s="850">
        <f t="shared" si="0"/>
        <v>37</v>
      </c>
    </row>
    <row r="50" spans="1:18">
      <c r="A50" s="850">
        <f t="shared" si="0"/>
        <v>38</v>
      </c>
      <c r="B50" s="81" t="s">
        <v>208</v>
      </c>
      <c r="C50" s="579">
        <v>0.1095</v>
      </c>
      <c r="D50" s="579">
        <v>0.1095</v>
      </c>
      <c r="E50" s="579">
        <v>0.1095</v>
      </c>
      <c r="F50" s="579">
        <v>0.1095</v>
      </c>
      <c r="G50" s="579">
        <v>0.1095</v>
      </c>
      <c r="H50" s="579">
        <v>0.1095</v>
      </c>
      <c r="I50" s="579">
        <v>0.1095</v>
      </c>
      <c r="J50" s="579">
        <v>0.1095</v>
      </c>
      <c r="K50" s="579">
        <v>0.1095</v>
      </c>
      <c r="L50" s="579">
        <v>0.1095</v>
      </c>
      <c r="M50" s="579">
        <v>0.1095</v>
      </c>
      <c r="N50" s="579">
        <v>0.1095</v>
      </c>
    </row>
    <row r="51" spans="1:18">
      <c r="A51" s="850">
        <f t="shared" si="0"/>
        <v>39</v>
      </c>
      <c r="B51" s="81" t="s">
        <v>209</v>
      </c>
      <c r="C51" s="579">
        <v>0.51517972406888612</v>
      </c>
      <c r="D51" s="579">
        <v>0.51517972406888612</v>
      </c>
      <c r="E51" s="579">
        <v>0.51517972406888612</v>
      </c>
      <c r="F51" s="579">
        <v>0.51517972406888612</v>
      </c>
      <c r="G51" s="579">
        <v>0.51517972406888612</v>
      </c>
      <c r="H51" s="579">
        <v>0.51517972406888612</v>
      </c>
      <c r="I51" s="579">
        <v>0.51517972406888612</v>
      </c>
      <c r="J51" s="579">
        <v>0.51517972406888612</v>
      </c>
      <c r="K51" s="579">
        <v>0.51517972406888612</v>
      </c>
      <c r="L51" s="579">
        <v>0.51517972406888612</v>
      </c>
      <c r="M51" s="579">
        <v>0.51517972406888612</v>
      </c>
      <c r="N51" s="579">
        <v>0.51517972406888612</v>
      </c>
    </row>
    <row r="52" spans="1:18">
      <c r="A52" s="850">
        <f t="shared" si="0"/>
        <v>40</v>
      </c>
    </row>
    <row r="53" spans="1:18">
      <c r="A53" s="850">
        <f t="shared" si="0"/>
        <v>41</v>
      </c>
      <c r="B53" s="81" t="s">
        <v>1353</v>
      </c>
      <c r="C53" s="918">
        <v>5637.8168882350328</v>
      </c>
      <c r="D53" s="918">
        <v>5637.8168882350328</v>
      </c>
      <c r="E53" s="918">
        <v>5637.8168882350328</v>
      </c>
      <c r="F53" s="918">
        <v>5637.8168882350328</v>
      </c>
      <c r="G53" s="918">
        <v>5637.8168882350328</v>
      </c>
      <c r="H53" s="918">
        <v>5637.8168882350328</v>
      </c>
      <c r="I53" s="918">
        <v>5717.9329751804971</v>
      </c>
      <c r="J53" s="918">
        <v>5717.9329751804971</v>
      </c>
      <c r="K53" s="918">
        <v>5717.9329751804971</v>
      </c>
      <c r="L53" s="918">
        <v>5717.9329751804971</v>
      </c>
      <c r="M53" s="918">
        <v>5717.9329751804971</v>
      </c>
      <c r="N53" s="918">
        <v>5717.9329751804971</v>
      </c>
      <c r="O53" s="545">
        <v>68134.499180493178</v>
      </c>
    </row>
    <row r="54" spans="1:18">
      <c r="A54" s="850">
        <f t="shared" si="0"/>
        <v>42</v>
      </c>
    </row>
    <row r="55" spans="1:18" ht="15.75">
      <c r="A55" s="850">
        <f t="shared" si="0"/>
        <v>43</v>
      </c>
      <c r="B55" s="297" t="s">
        <v>78</v>
      </c>
    </row>
    <row r="56" spans="1:18">
      <c r="A56" s="850">
        <f t="shared" si="0"/>
        <v>44</v>
      </c>
      <c r="C56" s="910"/>
      <c r="D56" s="910"/>
      <c r="E56" s="910"/>
      <c r="F56" s="910"/>
      <c r="G56" s="910"/>
      <c r="H56" s="910"/>
      <c r="I56" s="910"/>
      <c r="J56" s="910"/>
      <c r="K56" s="910"/>
      <c r="L56" s="910"/>
      <c r="M56" s="910"/>
      <c r="N56" s="910"/>
      <c r="O56" s="346"/>
    </row>
    <row r="57" spans="1:18">
      <c r="A57" s="850">
        <f t="shared" si="0"/>
        <v>45</v>
      </c>
      <c r="C57" s="910"/>
      <c r="D57" s="910"/>
      <c r="E57" s="910"/>
      <c r="F57" s="910"/>
      <c r="G57" s="910"/>
      <c r="H57" s="910"/>
      <c r="I57" s="910"/>
      <c r="J57" s="910"/>
      <c r="K57" s="910"/>
      <c r="L57" s="910"/>
      <c r="M57" s="910"/>
      <c r="N57" s="910"/>
      <c r="O57" s="429"/>
    </row>
    <row r="58" spans="1:18">
      <c r="A58" s="850">
        <f t="shared" si="0"/>
        <v>46</v>
      </c>
      <c r="B58" s="81" t="s">
        <v>1692</v>
      </c>
      <c r="C58" s="910">
        <v>31890.79</v>
      </c>
      <c r="D58" s="910">
        <v>36393.94000000001</v>
      </c>
      <c r="E58" s="910">
        <v>29695.5</v>
      </c>
      <c r="F58" s="910">
        <v>26788.799999999999</v>
      </c>
      <c r="G58" s="910">
        <v>34393.67</v>
      </c>
      <c r="H58" s="910">
        <v>4015.05</v>
      </c>
      <c r="I58" s="910">
        <v>36741.480199999998</v>
      </c>
      <c r="J58" s="910">
        <v>75515.665399999998</v>
      </c>
      <c r="K58" s="910">
        <v>27469.811600000001</v>
      </c>
      <c r="L58" s="910">
        <v>38608.221300000005</v>
      </c>
      <c r="M58" s="910">
        <v>36878.542300000001</v>
      </c>
      <c r="N58" s="910">
        <v>15327.625700000006</v>
      </c>
      <c r="O58" s="346">
        <v>393719.09650000004</v>
      </c>
    </row>
    <row r="59" spans="1:18">
      <c r="A59" s="850">
        <f t="shared" si="0"/>
        <v>47</v>
      </c>
      <c r="B59" s="80" t="s">
        <v>1223</v>
      </c>
      <c r="C59" s="910">
        <v>0</v>
      </c>
      <c r="D59" s="910">
        <v>0</v>
      </c>
      <c r="E59" s="910">
        <v>0</v>
      </c>
      <c r="F59" s="910">
        <v>0</v>
      </c>
      <c r="G59" s="910">
        <v>0</v>
      </c>
      <c r="H59" s="910">
        <v>0</v>
      </c>
      <c r="I59" s="910">
        <v>0</v>
      </c>
      <c r="J59" s="910">
        <v>56.423400000000001</v>
      </c>
      <c r="K59" s="910">
        <v>0</v>
      </c>
      <c r="L59" s="910">
        <v>0</v>
      </c>
      <c r="M59" s="910">
        <v>22.109155999999999</v>
      </c>
      <c r="N59" s="910">
        <v>44.228921</v>
      </c>
      <c r="O59" s="429">
        <v>122.761477</v>
      </c>
    </row>
    <row r="60" spans="1:18">
      <c r="A60" s="850">
        <f t="shared" si="0"/>
        <v>48</v>
      </c>
      <c r="B60" s="81" t="s">
        <v>289</v>
      </c>
      <c r="C60" s="512">
        <v>800</v>
      </c>
      <c r="D60" s="512">
        <v>800</v>
      </c>
      <c r="E60" s="512">
        <v>800</v>
      </c>
      <c r="F60" s="512">
        <v>800</v>
      </c>
      <c r="G60" s="512">
        <v>800</v>
      </c>
      <c r="H60" s="512">
        <v>800</v>
      </c>
      <c r="I60" s="512">
        <v>800</v>
      </c>
      <c r="J60" s="512">
        <v>800</v>
      </c>
      <c r="K60" s="512">
        <v>800</v>
      </c>
      <c r="L60" s="512">
        <v>800</v>
      </c>
      <c r="M60" s="512">
        <v>800</v>
      </c>
      <c r="N60" s="512">
        <v>800</v>
      </c>
      <c r="O60" s="512">
        <v>9600</v>
      </c>
      <c r="P60" s="626"/>
      <c r="Q60" s="626"/>
      <c r="R60" s="670"/>
    </row>
    <row r="61" spans="1:18">
      <c r="A61" s="850">
        <f t="shared" si="0"/>
        <v>49</v>
      </c>
      <c r="B61" s="103" t="s">
        <v>1350</v>
      </c>
      <c r="C61" s="512">
        <v>6</v>
      </c>
      <c r="D61" s="512">
        <v>6</v>
      </c>
      <c r="E61" s="512">
        <v>6</v>
      </c>
      <c r="F61" s="512">
        <v>6</v>
      </c>
      <c r="G61" s="512">
        <v>6</v>
      </c>
      <c r="H61" s="512">
        <v>6</v>
      </c>
      <c r="I61" s="512">
        <v>6</v>
      </c>
      <c r="J61" s="512">
        <v>6</v>
      </c>
      <c r="K61" s="512">
        <v>6</v>
      </c>
      <c r="L61" s="512">
        <v>6</v>
      </c>
      <c r="M61" s="512">
        <v>6</v>
      </c>
      <c r="N61" s="512">
        <v>6</v>
      </c>
      <c r="O61" s="429">
        <v>72</v>
      </c>
      <c r="P61" s="916"/>
    </row>
    <row r="62" spans="1:18">
      <c r="A62" s="850">
        <f t="shared" si="0"/>
        <v>50</v>
      </c>
      <c r="C62" s="429"/>
      <c r="D62" s="429"/>
      <c r="E62" s="429"/>
      <c r="F62" s="429"/>
      <c r="G62" s="429"/>
      <c r="H62" s="429"/>
      <c r="I62" s="429"/>
      <c r="J62" s="429"/>
      <c r="K62" s="429"/>
      <c r="L62" s="429"/>
      <c r="M62" s="429"/>
      <c r="N62" s="429"/>
      <c r="O62" s="429"/>
    </row>
    <row r="63" spans="1:18">
      <c r="A63" s="850">
        <f t="shared" si="0"/>
        <v>51</v>
      </c>
      <c r="B63" s="81" t="s">
        <v>207</v>
      </c>
      <c r="C63" s="545">
        <v>32696.79</v>
      </c>
      <c r="D63" s="545">
        <v>37199.94000000001</v>
      </c>
      <c r="E63" s="545">
        <v>30501.5</v>
      </c>
      <c r="F63" s="545">
        <v>27594.799999999999</v>
      </c>
      <c r="G63" s="545">
        <v>35199.67</v>
      </c>
      <c r="H63" s="545">
        <v>4821.05</v>
      </c>
      <c r="I63" s="545">
        <v>37547.480199999998</v>
      </c>
      <c r="J63" s="545">
        <v>76378.088799999998</v>
      </c>
      <c r="K63" s="545">
        <v>28275.811600000001</v>
      </c>
      <c r="L63" s="545">
        <v>39414.221300000005</v>
      </c>
      <c r="M63" s="545">
        <v>37706.651456</v>
      </c>
      <c r="N63" s="545">
        <v>16177.854621000006</v>
      </c>
      <c r="O63" s="545">
        <v>403513.85797700001</v>
      </c>
    </row>
    <row r="64" spans="1:18">
      <c r="A64" s="850">
        <f t="shared" si="0"/>
        <v>52</v>
      </c>
      <c r="G64" s="915"/>
    </row>
    <row r="65" spans="1:15">
      <c r="A65" s="850">
        <f t="shared" si="0"/>
        <v>53</v>
      </c>
      <c r="B65" s="81" t="s">
        <v>208</v>
      </c>
      <c r="C65" s="579">
        <v>1</v>
      </c>
      <c r="D65" s="579">
        <v>1</v>
      </c>
      <c r="E65" s="579">
        <v>1</v>
      </c>
      <c r="F65" s="579">
        <v>1</v>
      </c>
      <c r="G65" s="579">
        <v>1</v>
      </c>
      <c r="H65" s="579">
        <v>1</v>
      </c>
      <c r="I65" s="579">
        <v>1</v>
      </c>
      <c r="J65" s="579">
        <v>1</v>
      </c>
      <c r="K65" s="579">
        <v>1</v>
      </c>
      <c r="L65" s="579">
        <v>1</v>
      </c>
      <c r="M65" s="579">
        <v>1</v>
      </c>
      <c r="N65" s="579">
        <v>1</v>
      </c>
    </row>
    <row r="66" spans="1:15">
      <c r="A66" s="850">
        <f t="shared" si="0"/>
        <v>54</v>
      </c>
      <c r="B66" s="81" t="s">
        <v>209</v>
      </c>
      <c r="C66" s="579">
        <v>0.49780000000000002</v>
      </c>
      <c r="D66" s="579">
        <v>0.49780000000000002</v>
      </c>
      <c r="E66" s="579">
        <v>0.49780000000000002</v>
      </c>
      <c r="F66" s="579">
        <v>0.49780000000000002</v>
      </c>
      <c r="G66" s="579">
        <v>0.49780000000000002</v>
      </c>
      <c r="H66" s="579">
        <v>0.49780000000000002</v>
      </c>
      <c r="I66" s="579">
        <v>0.49780000000000002</v>
      </c>
      <c r="J66" s="579">
        <v>0.49780000000000002</v>
      </c>
      <c r="K66" s="579">
        <v>0.49780000000000002</v>
      </c>
      <c r="L66" s="579">
        <v>0.49780000000000002</v>
      </c>
      <c r="M66" s="579">
        <v>0.49780000000000002</v>
      </c>
      <c r="N66" s="579">
        <v>0.49780000000000002</v>
      </c>
    </row>
    <row r="67" spans="1:15">
      <c r="A67" s="850">
        <f t="shared" si="0"/>
        <v>55</v>
      </c>
    </row>
    <row r="68" spans="1:15">
      <c r="A68" s="850">
        <f t="shared" si="0"/>
        <v>56</v>
      </c>
      <c r="B68" s="81" t="s">
        <v>1352</v>
      </c>
      <c r="C68" s="918">
        <v>16276.462062000001</v>
      </c>
      <c r="D68" s="918">
        <v>18518.130132000006</v>
      </c>
      <c r="E68" s="918">
        <v>15183.646700000001</v>
      </c>
      <c r="F68" s="918">
        <v>13736.691440000001</v>
      </c>
      <c r="G68" s="918">
        <v>17522.395725999999</v>
      </c>
      <c r="H68" s="918">
        <v>2399.91869</v>
      </c>
      <c r="I68" s="918">
        <v>18691.135643559999</v>
      </c>
      <c r="J68" s="918">
        <v>38021.012604640004</v>
      </c>
      <c r="K68" s="918">
        <v>14075.69901448</v>
      </c>
      <c r="L68" s="918">
        <v>19620.399363140004</v>
      </c>
      <c r="M68" s="918">
        <v>18770.371094796799</v>
      </c>
      <c r="N68" s="918">
        <v>8053.3360303338031</v>
      </c>
      <c r="O68" s="545">
        <v>200869.19850095062</v>
      </c>
    </row>
    <row r="69" spans="1:15">
      <c r="B69" s="919"/>
    </row>
  </sheetData>
  <mergeCells count="4">
    <mergeCell ref="A1:O1"/>
    <mergeCell ref="A2:O2"/>
    <mergeCell ref="A3:O3"/>
    <mergeCell ref="A4:O4"/>
  </mergeCells>
  <phoneticPr fontId="23" type="noConversion"/>
  <printOptions horizontalCentered="1"/>
  <pageMargins left="0.17" right="0.17" top="0.66" bottom="0.17" header="0.5" footer="0.44"/>
  <pageSetup scale="47" orientation="landscape" r:id="rId1"/>
  <headerFooter alignWithMargins="0">
    <oddFooter>&amp;RSchedule &amp;A
Page &amp;P of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C23"/>
  <sheetViews>
    <sheetView view="pageBreakPreview" zoomScale="60" zoomScaleNormal="100" workbookViewId="0">
      <selection activeCell="C66" sqref="C66"/>
    </sheetView>
  </sheetViews>
  <sheetFormatPr defaultRowHeight="15"/>
  <cols>
    <col min="2" max="2" width="8.109375" customWidth="1"/>
    <col min="3" max="3" width="61.44140625" bestFit="1" customWidth="1"/>
  </cols>
  <sheetData>
    <row r="1" spans="1:3">
      <c r="A1" s="1188" t="str">
        <f>'Table of Contents'!A1:C1</f>
        <v>Atmos Energy Corporation, Kentucky/Mid-States Division</v>
      </c>
      <c r="B1" s="1188"/>
      <c r="C1" s="1188"/>
    </row>
    <row r="2" spans="1:3">
      <c r="A2" s="1188" t="str">
        <f>'Table of Contents'!A2:C2</f>
        <v>Kentucky Jurisdiction Case No. 2018-00281</v>
      </c>
      <c r="B2" s="1188"/>
      <c r="C2" s="1188"/>
    </row>
    <row r="3" spans="1:3">
      <c r="A3" s="1188" t="str">
        <f>'Table of Contents'!A3:C3</f>
        <v>Base Period: Twelve Months Ended December 31, 2018</v>
      </c>
      <c r="B3" s="1188"/>
      <c r="C3" s="1188"/>
    </row>
    <row r="4" spans="1:3">
      <c r="A4" s="1188" t="str">
        <f>'Table of Contents'!A4:C4</f>
        <v>Forecasted Test Period: Twelve Months Ended March 31, 2020</v>
      </c>
      <c r="B4" s="1188"/>
      <c r="C4" s="1188"/>
    </row>
    <row r="13" spans="1:3">
      <c r="A13" s="1188" t="s">
        <v>1429</v>
      </c>
      <c r="B13" s="1188"/>
      <c r="C13" s="1188"/>
    </row>
    <row r="15" spans="1:3">
      <c r="A15" s="1188" t="s">
        <v>59</v>
      </c>
      <c r="B15" s="1188"/>
      <c r="C15" s="1188"/>
    </row>
    <row r="18" spans="1:3">
      <c r="A18" s="58" t="s">
        <v>58</v>
      </c>
      <c r="B18" s="58" t="s">
        <v>614</v>
      </c>
      <c r="C18" s="58" t="s">
        <v>985</v>
      </c>
    </row>
    <row r="20" spans="1:3">
      <c r="A20" t="s">
        <v>1065</v>
      </c>
      <c r="B20" s="53">
        <v>4</v>
      </c>
      <c r="C20" t="s">
        <v>1077</v>
      </c>
    </row>
    <row r="21" spans="1:3">
      <c r="A21" t="s">
        <v>470</v>
      </c>
      <c r="B21" s="53">
        <v>1</v>
      </c>
      <c r="C21" t="s">
        <v>430</v>
      </c>
    </row>
    <row r="22" spans="1:3">
      <c r="A22" t="s">
        <v>1089</v>
      </c>
      <c r="B22" s="53">
        <v>1</v>
      </c>
      <c r="C22" t="s">
        <v>430</v>
      </c>
    </row>
    <row r="23" spans="1:3">
      <c r="A23" t="s">
        <v>1091</v>
      </c>
      <c r="B23" s="53">
        <v>1</v>
      </c>
      <c r="C23" t="s">
        <v>430</v>
      </c>
    </row>
  </sheetData>
  <mergeCells count="6">
    <mergeCell ref="A4:C4"/>
    <mergeCell ref="A13:C13"/>
    <mergeCell ref="A15:C15"/>
    <mergeCell ref="A1:C1"/>
    <mergeCell ref="A2:C2"/>
    <mergeCell ref="A3:C3"/>
  </mergeCells>
  <phoneticPr fontId="23" type="noConversion"/>
  <pageMargins left="0.87" right="0.69" top="1" bottom="1" header="0.5" footer="0.5"/>
  <pageSetup scale="94" orientation="portrait" r:id="rId1"/>
  <headerFooter alignWithMargins="0"/>
  <colBreaks count="1" manualBreakCount="1">
    <brk id="3" max="104857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U178"/>
  <sheetViews>
    <sheetView view="pageBreakPreview" zoomScale="60" zoomScaleNormal="85" workbookViewId="0">
      <pane ySplit="12" topLeftCell="A13" activePane="bottomLeft" state="frozen"/>
      <selection activeCell="H168" sqref="H168"/>
      <selection pane="bottomLeft" activeCell="Z17" sqref="Z17"/>
    </sheetView>
  </sheetViews>
  <sheetFormatPr defaultColWidth="7.109375" defaultRowHeight="15.75" customHeight="1"/>
  <cols>
    <col min="1" max="1" width="15.21875" style="62" customWidth="1"/>
    <col min="2" max="2" width="9.109375" style="62" customWidth="1"/>
    <col min="3" max="3" width="43.109375" style="62" customWidth="1"/>
    <col min="4" max="4" width="12.44140625" style="62" customWidth="1"/>
    <col min="5" max="5" width="1.44140625" style="62" customWidth="1"/>
    <col min="6" max="6" width="13.33203125" style="62" customWidth="1"/>
    <col min="7" max="7" width="1.44140625" style="62" customWidth="1"/>
    <col min="8" max="8" width="12.5546875" style="62" customWidth="1"/>
    <col min="9" max="9" width="1.44140625" style="62" customWidth="1"/>
    <col min="10" max="10" width="16" style="62" customWidth="1"/>
    <col min="11" max="11" width="1.44140625" style="62" customWidth="1"/>
    <col min="12" max="12" width="10" style="62" customWidth="1"/>
    <col min="13" max="13" width="1.44140625" style="62" customWidth="1"/>
    <col min="14" max="14" width="12" style="62" customWidth="1"/>
    <col min="15" max="15" width="1.44140625" style="62" customWidth="1"/>
    <col min="16" max="16" width="13.5546875" style="62" customWidth="1"/>
    <col min="17" max="17" width="6.6640625" style="62" customWidth="1"/>
    <col min="18" max="18" width="7.44140625" style="62" customWidth="1"/>
    <col min="19" max="19" width="9.5546875" style="62" customWidth="1"/>
    <col min="20" max="20" width="6.109375" style="62" customWidth="1"/>
    <col min="21" max="21" width="5.33203125" style="62" customWidth="1"/>
    <col min="22" max="22" width="7.44140625" style="62" customWidth="1"/>
    <col min="23" max="16384" width="7.109375" style="62"/>
  </cols>
  <sheetData>
    <row r="1" spans="1:16" ht="15.75" customHeight="1">
      <c r="A1" s="173" t="str">
        <f>'Table of Contents'!A1:C1</f>
        <v>Atmos Energy Corporation, Kentucky/Mid-States Division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6" ht="15.75" customHeight="1">
      <c r="A2" s="173" t="str">
        <f>'Table of Contents'!A2:C2</f>
        <v>Kentucky Jurisdiction Case No. 2018-00281</v>
      </c>
      <c r="B2" s="200"/>
      <c r="C2" s="200"/>
      <c r="D2" s="1073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6" ht="15.75" customHeight="1">
      <c r="A3" s="65" t="s">
        <v>53</v>
      </c>
      <c r="B3" s="200"/>
      <c r="C3" s="200"/>
      <c r="D3" s="1074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15.75" customHeight="1">
      <c r="A4" s="65" t="s">
        <v>851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</row>
    <row r="5" spans="1:16" ht="15.75" customHeight="1">
      <c r="A5" s="65" t="str">
        <f>Allocation!A4</f>
        <v>Forecasted Test Period: Twelve Months Ended March 31, 2020</v>
      </c>
      <c r="B5" s="200"/>
      <c r="C5" s="200"/>
      <c r="D5" s="65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</row>
    <row r="6" spans="1:16" ht="15.75" customHeight="1">
      <c r="A6" s="65"/>
      <c r="B6" s="200"/>
      <c r="C6" s="200"/>
      <c r="D6" s="65"/>
      <c r="E6" s="200"/>
      <c r="F6" s="200"/>
      <c r="G6" s="200"/>
      <c r="H6" s="200"/>
      <c r="I6" s="200"/>
      <c r="J6" s="200"/>
      <c r="K6" s="200"/>
      <c r="M6" s="200"/>
      <c r="N6" s="94"/>
      <c r="O6" s="200"/>
      <c r="P6" s="94"/>
    </row>
    <row r="7" spans="1:16" ht="15.75" customHeight="1">
      <c r="A7" s="66" t="s">
        <v>680</v>
      </c>
      <c r="N7" s="469"/>
      <c r="P7" s="1075" t="s">
        <v>1430</v>
      </c>
    </row>
    <row r="8" spans="1:16" ht="15.75" customHeight="1">
      <c r="A8" s="66" t="s">
        <v>1048</v>
      </c>
      <c r="P8" s="696" t="s">
        <v>677</v>
      </c>
    </row>
    <row r="9" spans="1:16" ht="15.75" customHeight="1">
      <c r="A9" s="239" t="s">
        <v>365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697"/>
      <c r="M9" s="240"/>
      <c r="N9" s="240"/>
      <c r="O9" s="240"/>
      <c r="P9" s="1076" t="s">
        <v>1684</v>
      </c>
    </row>
    <row r="10" spans="1:16" ht="15.75" customHeight="1">
      <c r="H10" s="241" t="s">
        <v>218</v>
      </c>
    </row>
    <row r="11" spans="1:16" ht="15.75" customHeight="1">
      <c r="A11" s="241" t="s">
        <v>93</v>
      </c>
      <c r="B11" s="276" t="s">
        <v>1303</v>
      </c>
      <c r="D11" s="241" t="s">
        <v>44</v>
      </c>
      <c r="F11" s="1077" t="s">
        <v>470</v>
      </c>
      <c r="G11" s="1078"/>
      <c r="H11" s="1077" t="s">
        <v>470</v>
      </c>
      <c r="I11" s="1079"/>
      <c r="J11" s="1077" t="s">
        <v>470</v>
      </c>
      <c r="K11" s="1078"/>
      <c r="L11" s="1080" t="s">
        <v>1089</v>
      </c>
      <c r="M11" s="1081"/>
      <c r="N11" s="1080" t="s">
        <v>1089</v>
      </c>
      <c r="O11" s="1078"/>
      <c r="P11" s="1077" t="s">
        <v>96</v>
      </c>
    </row>
    <row r="12" spans="1:16" ht="15.75" customHeight="1">
      <c r="A12" s="1082" t="s">
        <v>99</v>
      </c>
      <c r="B12" s="277" t="s">
        <v>219</v>
      </c>
      <c r="C12" s="240"/>
      <c r="D12" s="1082" t="s">
        <v>538</v>
      </c>
      <c r="E12" s="240"/>
      <c r="F12" s="1082" t="s">
        <v>606</v>
      </c>
      <c r="G12" s="239" t="s">
        <v>323</v>
      </c>
      <c r="H12" s="1082" t="s">
        <v>464</v>
      </c>
      <c r="I12" s="239" t="s">
        <v>323</v>
      </c>
      <c r="J12" s="1082" t="s">
        <v>465</v>
      </c>
      <c r="K12" s="239" t="s">
        <v>323</v>
      </c>
      <c r="L12" s="972" t="s">
        <v>466</v>
      </c>
      <c r="M12" s="968" t="s">
        <v>323</v>
      </c>
      <c r="N12" s="972" t="s">
        <v>467</v>
      </c>
      <c r="O12" s="240"/>
      <c r="P12" s="1082" t="s">
        <v>471</v>
      </c>
    </row>
    <row r="14" spans="1:16" ht="15.75" customHeight="1">
      <c r="B14" s="66" t="s">
        <v>1113</v>
      </c>
    </row>
    <row r="15" spans="1:16" ht="15.75" customHeight="1">
      <c r="A15" s="241" t="s">
        <v>366</v>
      </c>
      <c r="B15" s="66" t="s">
        <v>1015</v>
      </c>
      <c r="D15" s="86">
        <f>'C.2.1 B'!D15</f>
        <v>104140252.17000003</v>
      </c>
      <c r="E15" s="96"/>
      <c r="F15" s="86">
        <v>-7620762.034129113</v>
      </c>
      <c r="G15" s="86"/>
      <c r="H15" s="86"/>
      <c r="I15" s="86"/>
      <c r="J15" s="86"/>
      <c r="K15" s="86"/>
      <c r="L15" s="86"/>
      <c r="M15" s="86"/>
      <c r="N15" s="86"/>
      <c r="O15" s="86"/>
      <c r="P15" s="86">
        <v>-7620762.034129113</v>
      </c>
    </row>
    <row r="16" spans="1:16" ht="15.75" customHeight="1">
      <c r="A16" s="241">
        <f>A15+1</f>
        <v>2</v>
      </c>
      <c r="B16" s="66" t="s">
        <v>1016</v>
      </c>
      <c r="D16" s="86">
        <f>'C.2.1 B'!D17</f>
        <v>44941378.350000001</v>
      </c>
      <c r="E16" s="96"/>
      <c r="F16" s="86">
        <v>-3333358.2482395843</v>
      </c>
      <c r="G16" s="86"/>
      <c r="H16" s="86"/>
      <c r="I16" s="86"/>
      <c r="J16" s="86"/>
      <c r="K16" s="86"/>
      <c r="L16" s="86"/>
      <c r="M16" s="86"/>
      <c r="N16" s="86"/>
      <c r="O16" s="86"/>
      <c r="P16" s="86">
        <v>-3333358.2482395843</v>
      </c>
    </row>
    <row r="17" spans="1:16" ht="15.75" customHeight="1">
      <c r="A17" s="241">
        <f t="shared" ref="A17:A42" si="0">A16+1</f>
        <v>3</v>
      </c>
      <c r="B17" s="66" t="s">
        <v>1017</v>
      </c>
      <c r="D17" s="86">
        <f>'C.2.1 B'!D18</f>
        <v>6556064.4399999995</v>
      </c>
      <c r="E17" s="96"/>
      <c r="F17" s="86">
        <v>-1185679.6036779769</v>
      </c>
      <c r="G17" s="86"/>
      <c r="H17" s="86"/>
      <c r="I17" s="86"/>
      <c r="J17" s="86"/>
      <c r="K17" s="86"/>
      <c r="L17" s="86"/>
      <c r="M17" s="86"/>
      <c r="N17" s="86"/>
      <c r="O17" s="86"/>
      <c r="P17" s="86">
        <v>-1185679.6036779769</v>
      </c>
    </row>
    <row r="18" spans="1:16" ht="15.75" customHeight="1">
      <c r="A18" s="241">
        <f t="shared" si="0"/>
        <v>4</v>
      </c>
      <c r="B18" s="66" t="s">
        <v>1018</v>
      </c>
      <c r="D18" s="86">
        <f>'C.2.1 B'!D21</f>
        <v>7381197.1900000013</v>
      </c>
      <c r="E18" s="96"/>
      <c r="F18" s="86">
        <v>-631390.38115210924</v>
      </c>
      <c r="G18" s="86"/>
      <c r="H18" s="86"/>
      <c r="I18" s="86"/>
      <c r="J18" s="86"/>
      <c r="K18" s="86"/>
      <c r="L18" s="86"/>
      <c r="M18" s="86"/>
      <c r="N18" s="86"/>
      <c r="O18" s="86"/>
      <c r="P18" s="86">
        <v>-631390.38115210924</v>
      </c>
    </row>
    <row r="19" spans="1:16" ht="15.75" customHeight="1">
      <c r="A19" s="241">
        <f t="shared" si="0"/>
        <v>5</v>
      </c>
      <c r="B19" s="66"/>
      <c r="D19" s="461"/>
      <c r="E19" s="96"/>
      <c r="F19" s="125"/>
      <c r="G19" s="86"/>
      <c r="H19" s="125"/>
      <c r="I19" s="86"/>
      <c r="J19" s="125"/>
      <c r="K19" s="86"/>
      <c r="L19" s="125"/>
      <c r="M19" s="86"/>
      <c r="N19" s="125"/>
      <c r="O19" s="86"/>
      <c r="P19" s="125"/>
    </row>
    <row r="20" spans="1:16" ht="15.75" customHeight="1">
      <c r="A20" s="241">
        <f t="shared" si="0"/>
        <v>6</v>
      </c>
      <c r="D20" s="86"/>
      <c r="E20" s="9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1:16" ht="15.75" customHeight="1">
      <c r="A21" s="241">
        <f t="shared" si="0"/>
        <v>7</v>
      </c>
      <c r="B21" s="66" t="s">
        <v>580</v>
      </c>
      <c r="D21" s="86">
        <f>SUM(D15:D19)</f>
        <v>163018892.15000004</v>
      </c>
      <c r="E21" s="96"/>
      <c r="F21" s="86">
        <v>-12771190.267198782</v>
      </c>
      <c r="G21" s="86"/>
      <c r="H21" s="86">
        <v>0</v>
      </c>
      <c r="I21" s="86"/>
      <c r="J21" s="86">
        <v>0</v>
      </c>
      <c r="K21" s="86"/>
      <c r="L21" s="86">
        <v>0</v>
      </c>
      <c r="M21" s="86"/>
      <c r="N21" s="86">
        <v>0</v>
      </c>
      <c r="O21" s="86"/>
      <c r="P21" s="86">
        <v>-12771190.267198782</v>
      </c>
    </row>
    <row r="22" spans="1:16" ht="15.75" customHeight="1">
      <c r="A22" s="241">
        <f t="shared" si="0"/>
        <v>8</v>
      </c>
      <c r="D22" s="86"/>
      <c r="E22" s="9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1:16" ht="15.75" customHeight="1">
      <c r="A23" s="241">
        <f t="shared" si="0"/>
        <v>9</v>
      </c>
      <c r="B23" s="66" t="s">
        <v>434</v>
      </c>
      <c r="D23" s="86"/>
      <c r="E23" s="9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1:16" ht="15.75" customHeight="1">
      <c r="A24" s="241">
        <f t="shared" si="0"/>
        <v>10</v>
      </c>
      <c r="B24" s="66" t="s">
        <v>230</v>
      </c>
      <c r="D24" s="86">
        <f>'C.2.1 B'!D26</f>
        <v>1373536.7699999998</v>
      </c>
      <c r="E24" s="96"/>
      <c r="F24" s="86"/>
      <c r="G24" s="86"/>
      <c r="H24" s="86">
        <v>-68572.206226818031</v>
      </c>
      <c r="I24" s="86"/>
      <c r="J24" s="86"/>
      <c r="K24" s="86"/>
      <c r="L24" s="86"/>
      <c r="M24" s="86"/>
      <c r="N24" s="86"/>
      <c r="O24" s="86"/>
      <c r="P24" s="86">
        <v>-68572.206226818031</v>
      </c>
    </row>
    <row r="25" spans="1:16" ht="15.75" customHeight="1">
      <c r="A25" s="241">
        <f t="shared" si="0"/>
        <v>11</v>
      </c>
      <c r="B25" s="66" t="s">
        <v>566</v>
      </c>
      <c r="D25" s="86">
        <f>'C.2.1 B'!D27</f>
        <v>783570.45</v>
      </c>
      <c r="E25" s="96"/>
      <c r="F25" s="86"/>
      <c r="G25" s="86"/>
      <c r="H25" s="86">
        <v>22483.550000000047</v>
      </c>
      <c r="I25" s="86"/>
      <c r="J25" s="86"/>
      <c r="K25" s="86"/>
      <c r="L25" s="86"/>
      <c r="M25" s="86"/>
      <c r="N25" s="86"/>
      <c r="O25" s="86"/>
      <c r="P25" s="86">
        <v>22483.550000000047</v>
      </c>
    </row>
    <row r="26" spans="1:16" ht="15.75" customHeight="1">
      <c r="A26" s="241">
        <f t="shared" si="0"/>
        <v>12</v>
      </c>
      <c r="B26" s="66" t="s">
        <v>1222</v>
      </c>
      <c r="D26" s="86">
        <f>'C.2.1 B'!D28</f>
        <v>18537372.689999998</v>
      </c>
      <c r="E26" s="96"/>
      <c r="F26" s="86"/>
      <c r="G26" s="86"/>
      <c r="H26" s="86">
        <v>-3655990.7001271155</v>
      </c>
      <c r="I26" s="86"/>
      <c r="J26" s="86"/>
      <c r="K26" s="86"/>
      <c r="L26" s="86"/>
      <c r="M26" s="86"/>
      <c r="N26" s="86"/>
      <c r="O26" s="86"/>
      <c r="P26" s="86">
        <v>-3655990.7001271155</v>
      </c>
    </row>
    <row r="27" spans="1:16" ht="15.75" customHeight="1">
      <c r="A27" s="241">
        <f t="shared" si="0"/>
        <v>13</v>
      </c>
      <c r="B27" s="66" t="s">
        <v>222</v>
      </c>
      <c r="D27" s="461">
        <f>'C.2.1 B'!D29</f>
        <v>1.19</v>
      </c>
      <c r="E27" s="96"/>
      <c r="F27" s="125"/>
      <c r="G27" s="86"/>
      <c r="H27" s="125">
        <v>2477762.2105084746</v>
      </c>
      <c r="I27" s="86"/>
      <c r="J27" s="125"/>
      <c r="K27" s="86"/>
      <c r="L27" s="125"/>
      <c r="M27" s="86"/>
      <c r="N27" s="125"/>
      <c r="O27" s="86"/>
      <c r="P27" s="125">
        <v>2477762.2105084746</v>
      </c>
    </row>
    <row r="28" spans="1:16" ht="15.75" customHeight="1">
      <c r="A28" s="241">
        <f t="shared" si="0"/>
        <v>14</v>
      </c>
      <c r="D28" s="86"/>
      <c r="E28" s="9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1:16" ht="15.75" customHeight="1">
      <c r="A29" s="241">
        <f t="shared" si="0"/>
        <v>15</v>
      </c>
      <c r="B29" s="66" t="s">
        <v>1156</v>
      </c>
      <c r="D29" s="125">
        <f>SUM(D24:D27)</f>
        <v>20694481.099999998</v>
      </c>
      <c r="E29" s="96"/>
      <c r="F29" s="125">
        <v>0</v>
      </c>
      <c r="G29" s="86"/>
      <c r="H29" s="125">
        <v>-1224317.1458454588</v>
      </c>
      <c r="I29" s="86"/>
      <c r="J29" s="125">
        <v>0</v>
      </c>
      <c r="K29" s="96"/>
      <c r="L29" s="125">
        <v>0</v>
      </c>
      <c r="M29" s="86"/>
      <c r="N29" s="125">
        <v>0</v>
      </c>
      <c r="O29" s="86"/>
      <c r="P29" s="125">
        <v>-1224317.1458454588</v>
      </c>
    </row>
    <row r="30" spans="1:16" ht="15.75" customHeight="1">
      <c r="A30" s="241">
        <f t="shared" si="0"/>
        <v>16</v>
      </c>
      <c r="D30" s="86"/>
      <c r="E30" s="96"/>
      <c r="F30" s="86"/>
      <c r="G30" s="86"/>
      <c r="H30" s="86"/>
      <c r="I30" s="86"/>
      <c r="J30" s="86"/>
      <c r="K30" s="96"/>
      <c r="L30" s="86"/>
      <c r="M30" s="86"/>
      <c r="N30" s="86"/>
      <c r="O30" s="86"/>
      <c r="P30" s="86"/>
    </row>
    <row r="31" spans="1:16" ht="15.75" customHeight="1">
      <c r="A31" s="241">
        <f t="shared" si="0"/>
        <v>17</v>
      </c>
      <c r="B31" s="66" t="s">
        <v>485</v>
      </c>
      <c r="D31" s="285">
        <f>D21+D29</f>
        <v>183713373.25000003</v>
      </c>
      <c r="E31" s="96"/>
      <c r="F31" s="285">
        <v>-12771190.267198782</v>
      </c>
      <c r="G31" s="86"/>
      <c r="H31" s="285">
        <v>-1224317.1458454588</v>
      </c>
      <c r="I31" s="86"/>
      <c r="J31" s="285">
        <v>0</v>
      </c>
      <c r="K31" s="96"/>
      <c r="L31" s="285">
        <v>0</v>
      </c>
      <c r="M31" s="86"/>
      <c r="N31" s="285">
        <v>0</v>
      </c>
      <c r="O31" s="86"/>
      <c r="P31" s="285">
        <v>-13995507.41304424</v>
      </c>
    </row>
    <row r="32" spans="1:16" ht="15.75" customHeight="1">
      <c r="A32" s="241">
        <f t="shared" si="0"/>
        <v>18</v>
      </c>
      <c r="D32" s="86"/>
      <c r="E32" s="9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20" ht="15.75" customHeight="1">
      <c r="A33" s="241">
        <f t="shared" si="0"/>
        <v>19</v>
      </c>
      <c r="B33" s="66" t="s">
        <v>838</v>
      </c>
      <c r="D33" s="86"/>
      <c r="E33" s="9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1:20" ht="15.75" customHeight="1">
      <c r="A34" s="241">
        <f t="shared" si="0"/>
        <v>20</v>
      </c>
      <c r="B34" s="66" t="s">
        <v>223</v>
      </c>
      <c r="D34" s="125">
        <f>'C.2.1 B'!D105</f>
        <v>89006235.689999998</v>
      </c>
      <c r="E34" s="96"/>
      <c r="F34" s="125"/>
      <c r="G34" s="86"/>
      <c r="H34" s="125"/>
      <c r="I34" s="86"/>
      <c r="J34" s="125">
        <v>-10623881.536744118</v>
      </c>
      <c r="K34" s="86"/>
      <c r="L34" s="125"/>
      <c r="M34" s="86"/>
      <c r="N34" s="125"/>
      <c r="O34" s="86"/>
      <c r="P34" s="125">
        <v>-10623881.536744118</v>
      </c>
    </row>
    <row r="35" spans="1:20" ht="15.75" customHeight="1">
      <c r="A35" s="241">
        <f t="shared" si="0"/>
        <v>21</v>
      </c>
      <c r="D35" s="86"/>
      <c r="E35" s="9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20" ht="15.75" customHeight="1">
      <c r="A36" s="241">
        <f t="shared" si="0"/>
        <v>22</v>
      </c>
      <c r="B36" s="66" t="s">
        <v>839</v>
      </c>
      <c r="D36" s="125">
        <f>SUM(D34:D34)</f>
        <v>89006235.689999998</v>
      </c>
      <c r="E36" s="96"/>
      <c r="F36" s="125">
        <v>0</v>
      </c>
      <c r="G36" s="86"/>
      <c r="H36" s="125">
        <v>0</v>
      </c>
      <c r="I36" s="86"/>
      <c r="J36" s="125">
        <v>-10623881.536744118</v>
      </c>
      <c r="K36" s="86"/>
      <c r="L36" s="125">
        <v>0</v>
      </c>
      <c r="M36" s="96"/>
      <c r="N36" s="125">
        <v>0</v>
      </c>
      <c r="O36" s="86"/>
      <c r="P36" s="125">
        <v>-10623881.536744118</v>
      </c>
    </row>
    <row r="37" spans="1:20" ht="15.75" customHeight="1">
      <c r="A37" s="241">
        <f t="shared" si="0"/>
        <v>23</v>
      </c>
      <c r="D37" s="86"/>
      <c r="E37" s="9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20" ht="15.75" customHeight="1">
      <c r="A38" s="241">
        <f t="shared" si="0"/>
        <v>24</v>
      </c>
      <c r="B38" s="66" t="s">
        <v>486</v>
      </c>
      <c r="D38" s="285">
        <f>D31-D36</f>
        <v>94707137.560000032</v>
      </c>
      <c r="E38" s="96"/>
      <c r="F38" s="285">
        <v>-12771190.267198782</v>
      </c>
      <c r="G38" s="86"/>
      <c r="H38" s="285">
        <v>-1224317.1458454588</v>
      </c>
      <c r="I38" s="86"/>
      <c r="J38" s="285">
        <v>10623881.536744118</v>
      </c>
      <c r="K38" s="86"/>
      <c r="L38" s="285">
        <v>0</v>
      </c>
      <c r="M38" s="96"/>
      <c r="N38" s="285">
        <v>0</v>
      </c>
      <c r="O38" s="86"/>
      <c r="P38" s="285">
        <v>-3371625.8763001226</v>
      </c>
    </row>
    <row r="39" spans="1:20" ht="15.75" customHeight="1">
      <c r="A39" s="241">
        <f t="shared" si="0"/>
        <v>25</v>
      </c>
      <c r="D39" s="86"/>
      <c r="E39" s="9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1:20" ht="15.75" customHeight="1">
      <c r="A40" s="241">
        <f t="shared" si="0"/>
        <v>26</v>
      </c>
      <c r="B40" s="66" t="s">
        <v>224</v>
      </c>
      <c r="D40" s="1007">
        <f>Allocation!E25</f>
        <v>0.2495</v>
      </c>
      <c r="E40" s="96"/>
      <c r="F40" s="285">
        <v>-3186411.9716660962</v>
      </c>
      <c r="G40" s="86"/>
      <c r="H40" s="285">
        <v>-305467.12788844196</v>
      </c>
      <c r="I40" s="86"/>
      <c r="J40" s="285">
        <v>2650658.4434176572</v>
      </c>
      <c r="K40" s="86"/>
      <c r="L40" s="285">
        <v>0</v>
      </c>
      <c r="M40" s="86"/>
      <c r="N40" s="285">
        <v>0</v>
      </c>
      <c r="O40" s="86"/>
      <c r="P40" s="285">
        <v>-841220.65613688063</v>
      </c>
    </row>
    <row r="41" spans="1:20" ht="15.75" customHeight="1">
      <c r="A41" s="241">
        <f t="shared" si="0"/>
        <v>27</v>
      </c>
      <c r="D41" s="1007"/>
      <c r="E41" s="9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1:20" ht="15.75" customHeight="1">
      <c r="A42" s="241">
        <f t="shared" si="0"/>
        <v>28</v>
      </c>
      <c r="B42" s="66" t="s">
        <v>840</v>
      </c>
      <c r="D42" s="86"/>
      <c r="E42" s="96"/>
      <c r="F42" s="285">
        <v>-9584778.2955326866</v>
      </c>
      <c r="G42" s="86"/>
      <c r="H42" s="285">
        <v>-918850.01795701683</v>
      </c>
      <c r="I42" s="86"/>
      <c r="J42" s="285">
        <v>7973223.0933264606</v>
      </c>
      <c r="K42" s="86"/>
      <c r="L42" s="285">
        <v>0</v>
      </c>
      <c r="M42" s="86"/>
      <c r="N42" s="285">
        <v>0</v>
      </c>
      <c r="O42" s="86"/>
      <c r="P42" s="285">
        <v>-2530405.220163242</v>
      </c>
    </row>
    <row r="43" spans="1:20" ht="15.75" customHeight="1">
      <c r="A43" s="241"/>
      <c r="B43" s="66"/>
      <c r="D43" s="86"/>
      <c r="E43" s="96"/>
      <c r="F43" s="285"/>
      <c r="G43" s="86"/>
      <c r="H43" s="285"/>
      <c r="I43" s="86"/>
      <c r="J43" s="285"/>
      <c r="K43" s="86"/>
      <c r="L43" s="285"/>
      <c r="M43" s="86"/>
      <c r="N43" s="285"/>
      <c r="O43" s="86"/>
      <c r="P43" s="285"/>
    </row>
    <row r="44" spans="1:20" ht="15.75" customHeight="1">
      <c r="D44" s="96"/>
      <c r="E44" s="96"/>
      <c r="F44" s="96"/>
      <c r="G44" s="96"/>
      <c r="H44" s="855" t="s">
        <v>218</v>
      </c>
      <c r="I44" s="96"/>
      <c r="J44" s="96"/>
      <c r="K44" s="96"/>
      <c r="L44" s="96"/>
      <c r="M44" s="96"/>
      <c r="N44" s="96"/>
      <c r="O44" s="96"/>
      <c r="P44" s="855" t="s">
        <v>1090</v>
      </c>
    </row>
    <row r="45" spans="1:20" ht="15.75" customHeight="1">
      <c r="A45" s="241" t="s">
        <v>93</v>
      </c>
      <c r="B45" s="276" t="s">
        <v>1126</v>
      </c>
      <c r="D45" s="855" t="s">
        <v>44</v>
      </c>
      <c r="E45" s="96"/>
      <c r="F45" s="1080" t="s">
        <v>1089</v>
      </c>
      <c r="G45" s="1083"/>
      <c r="H45" s="1080" t="s">
        <v>1089</v>
      </c>
      <c r="I45" s="1081"/>
      <c r="J45" s="1080" t="s">
        <v>1089</v>
      </c>
      <c r="K45" s="1081"/>
      <c r="L45" s="1080" t="s">
        <v>1089</v>
      </c>
      <c r="M45" s="1081"/>
      <c r="N45" s="1080" t="s">
        <v>1089</v>
      </c>
      <c r="O45" s="1081"/>
      <c r="P45" s="855" t="s">
        <v>96</v>
      </c>
    </row>
    <row r="46" spans="1:20" ht="15.75" customHeight="1">
      <c r="A46" s="1082" t="s">
        <v>99</v>
      </c>
      <c r="B46" s="277" t="s">
        <v>219</v>
      </c>
      <c r="C46" s="240"/>
      <c r="D46" s="972" t="s">
        <v>538</v>
      </c>
      <c r="E46" s="640"/>
      <c r="F46" s="972" t="s">
        <v>606</v>
      </c>
      <c r="G46" s="968" t="s">
        <v>323</v>
      </c>
      <c r="H46" s="972" t="s">
        <v>464</v>
      </c>
      <c r="I46" s="968" t="s">
        <v>323</v>
      </c>
      <c r="J46" s="972" t="s">
        <v>465</v>
      </c>
      <c r="K46" s="968" t="s">
        <v>323</v>
      </c>
      <c r="L46" s="972" t="s">
        <v>466</v>
      </c>
      <c r="M46" s="968" t="s">
        <v>323</v>
      </c>
      <c r="N46" s="972" t="s">
        <v>467</v>
      </c>
      <c r="O46" s="968" t="s">
        <v>323</v>
      </c>
      <c r="P46" s="972" t="s">
        <v>471</v>
      </c>
    </row>
    <row r="47" spans="1:20" ht="15.75" customHeight="1"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1:20" ht="15.75" customHeight="1">
      <c r="A48" s="241">
        <f>A42+1</f>
        <v>29</v>
      </c>
      <c r="B48" s="1084">
        <v>7590</v>
      </c>
      <c r="C48" s="62" t="s">
        <v>110</v>
      </c>
      <c r="D48" s="353">
        <f>'C.2.1 B'!D38</f>
        <v>0</v>
      </c>
      <c r="E48" s="353"/>
      <c r="F48" s="353">
        <v>0</v>
      </c>
      <c r="G48" s="397"/>
      <c r="H48" s="353">
        <v>0</v>
      </c>
      <c r="I48" s="353"/>
      <c r="J48" s="353">
        <v>0</v>
      </c>
      <c r="K48" s="353"/>
      <c r="L48" s="353">
        <v>0</v>
      </c>
      <c r="M48" s="353"/>
      <c r="N48" s="353">
        <v>0</v>
      </c>
      <c r="O48" s="456"/>
      <c r="P48" s="353">
        <v>0</v>
      </c>
      <c r="T48" s="1084"/>
    </row>
    <row r="49" spans="1:21" ht="15.75" customHeight="1">
      <c r="A49" s="241">
        <f t="shared" ref="A49:A93" si="1">A48+1</f>
        <v>30</v>
      </c>
      <c r="B49" s="1084">
        <v>8140</v>
      </c>
      <c r="C49" s="62" t="s">
        <v>110</v>
      </c>
      <c r="D49" s="353">
        <f>'C.2.1 B'!D45</f>
        <v>0</v>
      </c>
      <c r="E49" s="353"/>
      <c r="F49" s="353">
        <v>0</v>
      </c>
      <c r="G49" s="397"/>
      <c r="H49" s="353">
        <v>0</v>
      </c>
      <c r="I49" s="353"/>
      <c r="J49" s="353">
        <v>0</v>
      </c>
      <c r="K49" s="353"/>
      <c r="L49" s="353">
        <v>0</v>
      </c>
      <c r="M49" s="353"/>
      <c r="N49" s="353"/>
      <c r="O49" s="456"/>
      <c r="P49" s="353">
        <v>0</v>
      </c>
      <c r="T49" s="1084"/>
    </row>
    <row r="50" spans="1:21" ht="15.75" customHeight="1">
      <c r="A50" s="241">
        <f t="shared" si="1"/>
        <v>31</v>
      </c>
      <c r="B50" s="1084">
        <v>8150</v>
      </c>
      <c r="C50" s="62" t="s">
        <v>231</v>
      </c>
      <c r="D50" s="353">
        <f>'C.2.1 B'!D46</f>
        <v>0</v>
      </c>
      <c r="E50" s="353"/>
      <c r="F50" s="353">
        <v>0</v>
      </c>
      <c r="G50" s="397"/>
      <c r="H50" s="353">
        <v>0</v>
      </c>
      <c r="I50" s="353"/>
      <c r="J50" s="353">
        <v>0</v>
      </c>
      <c r="K50" s="353"/>
      <c r="L50" s="353">
        <v>0</v>
      </c>
      <c r="M50" s="353"/>
      <c r="N50" s="353">
        <v>0</v>
      </c>
      <c r="O50" s="456"/>
      <c r="P50" s="353">
        <v>0</v>
      </c>
      <c r="T50" s="1084"/>
    </row>
    <row r="51" spans="1:21" ht="15.75" customHeight="1">
      <c r="A51" s="241">
        <f t="shared" si="1"/>
        <v>32</v>
      </c>
      <c r="B51" s="1084">
        <v>8160</v>
      </c>
      <c r="C51" s="62" t="s">
        <v>111</v>
      </c>
      <c r="D51" s="353">
        <f>'C.2.1 B'!D47</f>
        <v>434474.25000000006</v>
      </c>
      <c r="E51" s="353"/>
      <c r="F51" s="353">
        <v>-1090.3282441068222</v>
      </c>
      <c r="G51" s="397"/>
      <c r="H51" s="353">
        <v>0</v>
      </c>
      <c r="I51" s="353"/>
      <c r="J51" s="353">
        <v>0</v>
      </c>
      <c r="K51" s="353"/>
      <c r="L51" s="353">
        <v>0</v>
      </c>
      <c r="M51" s="353"/>
      <c r="N51" s="353">
        <v>0</v>
      </c>
      <c r="O51" s="353"/>
      <c r="P51" s="353">
        <v>-1090.3282441068222</v>
      </c>
      <c r="T51" s="1084"/>
      <c r="U51" s="1084"/>
    </row>
    <row r="52" spans="1:21" ht="15.75" customHeight="1">
      <c r="A52" s="241">
        <f t="shared" si="1"/>
        <v>33</v>
      </c>
      <c r="B52" s="1084">
        <v>8170</v>
      </c>
      <c r="C52" s="62" t="s">
        <v>1192</v>
      </c>
      <c r="D52" s="353">
        <f>'C.2.1 B'!D48</f>
        <v>32250.74</v>
      </c>
      <c r="E52" s="353"/>
      <c r="F52" s="353">
        <v>-647.74259409733952</v>
      </c>
      <c r="G52" s="397"/>
      <c r="H52" s="353">
        <v>-296.682651622805</v>
      </c>
      <c r="I52" s="353"/>
      <c r="J52" s="353">
        <v>-296.682651622805</v>
      </c>
      <c r="K52" s="353"/>
      <c r="L52" s="353">
        <v>0</v>
      </c>
      <c r="M52" s="353"/>
      <c r="N52" s="353">
        <v>0</v>
      </c>
      <c r="O52" s="353"/>
      <c r="P52" s="353">
        <v>-1241.1078973429494</v>
      </c>
      <c r="T52" s="1084"/>
      <c r="U52" s="1084"/>
    </row>
    <row r="53" spans="1:21" ht="15.75" customHeight="1">
      <c r="A53" s="241">
        <f t="shared" si="1"/>
        <v>34</v>
      </c>
      <c r="B53" s="1084">
        <v>8180</v>
      </c>
      <c r="C53" s="62" t="s">
        <v>1193</v>
      </c>
      <c r="D53" s="353">
        <f>'C.2.1 B'!D49</f>
        <v>35243.47</v>
      </c>
      <c r="E53" s="353"/>
      <c r="F53" s="353">
        <v>-522.74630597177838</v>
      </c>
      <c r="G53" s="397"/>
      <c r="H53" s="353">
        <v>-21.734302625560758</v>
      </c>
      <c r="I53" s="353"/>
      <c r="J53" s="353">
        <v>-21.734302625560758</v>
      </c>
      <c r="K53" s="353"/>
      <c r="L53" s="353">
        <v>0</v>
      </c>
      <c r="M53" s="353"/>
      <c r="N53" s="353">
        <v>0</v>
      </c>
      <c r="O53" s="353"/>
      <c r="P53" s="353">
        <v>-566.2149112228999</v>
      </c>
      <c r="T53" s="1084"/>
      <c r="U53" s="1084"/>
    </row>
    <row r="54" spans="1:21" ht="15.75" customHeight="1">
      <c r="A54" s="241">
        <f t="shared" si="1"/>
        <v>35</v>
      </c>
      <c r="B54" s="1084">
        <v>8190</v>
      </c>
      <c r="C54" s="62" t="s">
        <v>1041</v>
      </c>
      <c r="D54" s="353">
        <f>'C.2.1 B'!D50</f>
        <v>1039.6000000000001</v>
      </c>
      <c r="E54" s="353"/>
      <c r="F54" s="353">
        <v>0</v>
      </c>
      <c r="G54" s="397"/>
      <c r="H54" s="353">
        <v>-143.48408046430802</v>
      </c>
      <c r="I54" s="353"/>
      <c r="J54" s="353">
        <v>-143.48408046430802</v>
      </c>
      <c r="K54" s="353"/>
      <c r="L54" s="353">
        <v>0</v>
      </c>
      <c r="M54" s="353"/>
      <c r="N54" s="353">
        <v>0</v>
      </c>
      <c r="O54" s="353"/>
      <c r="P54" s="353">
        <v>-286.96816092861604</v>
      </c>
      <c r="T54" s="1084"/>
      <c r="U54" s="1084"/>
    </row>
    <row r="55" spans="1:21" ht="15.75" customHeight="1">
      <c r="A55" s="241">
        <f t="shared" si="1"/>
        <v>36</v>
      </c>
      <c r="B55" s="1084">
        <v>8200</v>
      </c>
      <c r="C55" s="62" t="s">
        <v>1042</v>
      </c>
      <c r="D55" s="353">
        <f>'C.2.1 B'!D51</f>
        <v>6873.4499999999989</v>
      </c>
      <c r="E55" s="353"/>
      <c r="F55" s="353">
        <v>-69.017649173665049</v>
      </c>
      <c r="G55" s="397"/>
      <c r="H55" s="353">
        <v>-220.34382301025767</v>
      </c>
      <c r="I55" s="353"/>
      <c r="J55" s="353">
        <v>-220.34382301025767</v>
      </c>
      <c r="K55" s="353"/>
      <c r="L55" s="353">
        <v>0</v>
      </c>
      <c r="M55" s="353"/>
      <c r="N55" s="353">
        <v>0</v>
      </c>
      <c r="O55" s="353"/>
      <c r="P55" s="353">
        <v>-509.70529519418039</v>
      </c>
      <c r="T55" s="1084"/>
      <c r="U55" s="1084"/>
    </row>
    <row r="56" spans="1:21" ht="15.75" customHeight="1">
      <c r="A56" s="241">
        <f t="shared" si="1"/>
        <v>37</v>
      </c>
      <c r="B56" s="1084">
        <v>8210</v>
      </c>
      <c r="C56" s="62" t="s">
        <v>1043</v>
      </c>
      <c r="D56" s="353">
        <f>'C.2.1 B'!D52</f>
        <v>50443.05</v>
      </c>
      <c r="E56" s="353"/>
      <c r="F56" s="353">
        <v>-1370.4186544654196</v>
      </c>
      <c r="G56" s="397"/>
      <c r="H56" s="353">
        <v>-334.81465987534943</v>
      </c>
      <c r="I56" s="456"/>
      <c r="J56" s="353">
        <v>-334.81465987534943</v>
      </c>
      <c r="K56" s="353"/>
      <c r="L56" s="353">
        <v>0</v>
      </c>
      <c r="M56" s="353"/>
      <c r="N56" s="353">
        <v>0</v>
      </c>
      <c r="O56" s="353"/>
      <c r="P56" s="353">
        <v>-2040.0479742161185</v>
      </c>
      <c r="T56" s="1084"/>
      <c r="U56" s="1084"/>
    </row>
    <row r="57" spans="1:21" ht="15.75" customHeight="1">
      <c r="A57" s="241">
        <f t="shared" si="1"/>
        <v>38</v>
      </c>
      <c r="B57" s="1084">
        <v>8240</v>
      </c>
      <c r="C57" s="62" t="s">
        <v>1044</v>
      </c>
      <c r="D57" s="353">
        <f>'C.2.1 B'!D53</f>
        <v>0</v>
      </c>
      <c r="E57" s="353"/>
      <c r="F57" s="353">
        <v>0</v>
      </c>
      <c r="G57" s="397"/>
      <c r="H57" s="353">
        <v>0</v>
      </c>
      <c r="I57" s="456"/>
      <c r="J57" s="353">
        <v>0</v>
      </c>
      <c r="K57" s="456"/>
      <c r="L57" s="353">
        <v>0</v>
      </c>
      <c r="M57" s="456"/>
      <c r="N57" s="353">
        <v>0</v>
      </c>
      <c r="O57" s="353"/>
      <c r="P57" s="353">
        <v>0</v>
      </c>
      <c r="T57" s="1084"/>
      <c r="U57" s="1084"/>
    </row>
    <row r="58" spans="1:21" ht="15.75" customHeight="1">
      <c r="A58" s="241">
        <f t="shared" si="1"/>
        <v>39</v>
      </c>
      <c r="B58" s="1084">
        <v>8250</v>
      </c>
      <c r="C58" s="62" t="s">
        <v>1045</v>
      </c>
      <c r="D58" s="353">
        <f>'C.2.1 B'!D54</f>
        <v>9841.1099999999988</v>
      </c>
      <c r="E58" s="353"/>
      <c r="F58" s="353">
        <v>0</v>
      </c>
      <c r="G58" s="397"/>
      <c r="H58" s="353">
        <v>-1705.9266322405233</v>
      </c>
      <c r="I58" s="456"/>
      <c r="J58" s="353">
        <v>-1705.9266322405233</v>
      </c>
      <c r="K58" s="456"/>
      <c r="L58" s="353">
        <v>0</v>
      </c>
      <c r="M58" s="456"/>
      <c r="N58" s="353">
        <v>0</v>
      </c>
      <c r="O58" s="456"/>
      <c r="P58" s="353">
        <v>-3411.8532644810466</v>
      </c>
      <c r="T58" s="1084"/>
      <c r="U58" s="1084"/>
    </row>
    <row r="59" spans="1:21" ht="15.75" customHeight="1">
      <c r="A59" s="241">
        <f t="shared" si="1"/>
        <v>40</v>
      </c>
      <c r="B59" s="1084">
        <v>8310</v>
      </c>
      <c r="C59" s="62" t="s">
        <v>1046</v>
      </c>
      <c r="D59" s="353">
        <f>'C.2.1 B'!D58</f>
        <v>26909.34</v>
      </c>
      <c r="E59" s="353"/>
      <c r="F59" s="353">
        <v>0</v>
      </c>
      <c r="G59" s="397"/>
      <c r="H59" s="353">
        <v>0</v>
      </c>
      <c r="I59" s="456"/>
      <c r="J59" s="353">
        <v>0</v>
      </c>
      <c r="K59" s="456"/>
      <c r="L59" s="353">
        <v>0</v>
      </c>
      <c r="M59" s="456"/>
      <c r="N59" s="353">
        <v>0</v>
      </c>
      <c r="O59" s="353"/>
      <c r="P59" s="353">
        <v>0</v>
      </c>
      <c r="T59" s="1084"/>
      <c r="U59" s="1084"/>
    </row>
    <row r="60" spans="1:21" ht="15.75" customHeight="1">
      <c r="A60" s="241">
        <f t="shared" si="1"/>
        <v>41</v>
      </c>
      <c r="B60" s="1084">
        <v>8320</v>
      </c>
      <c r="C60" s="62" t="s">
        <v>1047</v>
      </c>
      <c r="D60" s="353">
        <f>'C.2.1 B'!D59</f>
        <v>0</v>
      </c>
      <c r="E60" s="353"/>
      <c r="F60" s="353">
        <v>0</v>
      </c>
      <c r="G60" s="397"/>
      <c r="H60" s="353">
        <v>0</v>
      </c>
      <c r="I60" s="456"/>
      <c r="J60" s="353">
        <v>0</v>
      </c>
      <c r="K60" s="456"/>
      <c r="L60" s="353">
        <v>0</v>
      </c>
      <c r="M60" s="456"/>
      <c r="N60" s="353">
        <v>0</v>
      </c>
      <c r="O60" s="456"/>
      <c r="P60" s="353">
        <v>0</v>
      </c>
      <c r="T60" s="1084"/>
      <c r="U60" s="1084"/>
    </row>
    <row r="61" spans="1:21" ht="15.75" customHeight="1">
      <c r="A61" s="241">
        <f t="shared" si="1"/>
        <v>42</v>
      </c>
      <c r="B61" s="1084">
        <v>8340</v>
      </c>
      <c r="C61" s="62" t="s">
        <v>387</v>
      </c>
      <c r="D61" s="353">
        <f>'C.2.1 B'!D60</f>
        <v>3962.0299999999997</v>
      </c>
      <c r="E61" s="353"/>
      <c r="F61" s="353">
        <v>-115.4121307095179</v>
      </c>
      <c r="G61" s="397"/>
      <c r="H61" s="353">
        <v>0</v>
      </c>
      <c r="I61" s="456"/>
      <c r="J61" s="353">
        <v>0</v>
      </c>
      <c r="K61" s="456"/>
      <c r="L61" s="353">
        <v>0</v>
      </c>
      <c r="M61" s="456"/>
      <c r="N61" s="353">
        <v>0</v>
      </c>
      <c r="O61" s="353"/>
      <c r="P61" s="353">
        <v>-115.4121307095179</v>
      </c>
      <c r="T61" s="1084"/>
      <c r="U61" s="1084"/>
    </row>
    <row r="62" spans="1:21" ht="15.75" customHeight="1">
      <c r="A62" s="241">
        <f t="shared" si="1"/>
        <v>43</v>
      </c>
      <c r="B62" s="1084">
        <v>8350</v>
      </c>
      <c r="C62" s="62" t="s">
        <v>235</v>
      </c>
      <c r="D62" s="353">
        <f>'C.2.1 B'!D61</f>
        <v>19.91</v>
      </c>
      <c r="E62" s="353"/>
      <c r="F62" s="353">
        <v>0</v>
      </c>
      <c r="G62" s="397"/>
      <c r="H62" s="353">
        <v>0</v>
      </c>
      <c r="I62" s="456"/>
      <c r="J62" s="353">
        <v>0</v>
      </c>
      <c r="K62" s="353"/>
      <c r="L62" s="353">
        <v>0</v>
      </c>
      <c r="M62" s="456"/>
      <c r="N62" s="353">
        <v>0</v>
      </c>
      <c r="O62" s="456"/>
      <c r="P62" s="353">
        <v>0</v>
      </c>
      <c r="T62" s="1084"/>
      <c r="U62" s="1084"/>
    </row>
    <row r="63" spans="1:21" ht="15.75" customHeight="1">
      <c r="A63" s="241">
        <f t="shared" si="1"/>
        <v>44</v>
      </c>
      <c r="B63" s="1084">
        <v>8360</v>
      </c>
      <c r="C63" s="62" t="s">
        <v>236</v>
      </c>
      <c r="D63" s="353">
        <f>'C.2.1 B'!D62</f>
        <v>0</v>
      </c>
      <c r="E63" s="353"/>
      <c r="F63" s="353">
        <v>0</v>
      </c>
      <c r="G63" s="397"/>
      <c r="H63" s="353">
        <v>0</v>
      </c>
      <c r="I63" s="456"/>
      <c r="J63" s="353">
        <v>0</v>
      </c>
      <c r="K63" s="353"/>
      <c r="L63" s="353">
        <v>0</v>
      </c>
      <c r="M63" s="456"/>
      <c r="N63" s="353">
        <v>0</v>
      </c>
      <c r="O63" s="456"/>
      <c r="P63" s="353">
        <v>0</v>
      </c>
      <c r="T63" s="1084"/>
      <c r="U63" s="1084"/>
    </row>
    <row r="64" spans="1:21" ht="15.75" customHeight="1">
      <c r="A64" s="241">
        <f t="shared" si="1"/>
        <v>45</v>
      </c>
      <c r="B64" s="1084">
        <v>8370</v>
      </c>
      <c r="C64" s="66" t="s">
        <v>1376</v>
      </c>
      <c r="D64" s="353">
        <f>'C.2.1 B'!D63</f>
        <v>0</v>
      </c>
      <c r="E64" s="353"/>
      <c r="F64" s="353">
        <v>0</v>
      </c>
      <c r="G64" s="397"/>
      <c r="H64" s="353">
        <v>0</v>
      </c>
      <c r="I64" s="456"/>
      <c r="J64" s="353">
        <v>0</v>
      </c>
      <c r="K64" s="353"/>
      <c r="L64" s="353">
        <v>0</v>
      </c>
      <c r="M64" s="456"/>
      <c r="N64" s="353"/>
      <c r="O64" s="456"/>
      <c r="P64" s="353">
        <v>0</v>
      </c>
      <c r="T64" s="1084"/>
      <c r="U64" s="1084"/>
    </row>
    <row r="65" spans="1:21" ht="15.75" customHeight="1">
      <c r="A65" s="241">
        <f t="shared" si="1"/>
        <v>46</v>
      </c>
      <c r="B65" s="1084">
        <v>8400</v>
      </c>
      <c r="C65" s="62" t="s">
        <v>473</v>
      </c>
      <c r="D65" s="353">
        <v>0</v>
      </c>
      <c r="E65" s="353"/>
      <c r="F65" s="353">
        <v>0</v>
      </c>
      <c r="G65" s="397"/>
      <c r="H65" s="353">
        <v>0</v>
      </c>
      <c r="I65" s="456"/>
      <c r="J65" s="353">
        <v>0</v>
      </c>
      <c r="K65" s="353"/>
      <c r="L65" s="353">
        <v>0</v>
      </c>
      <c r="M65" s="456"/>
      <c r="N65" s="353">
        <v>0</v>
      </c>
      <c r="O65" s="456"/>
      <c r="P65" s="353">
        <v>0</v>
      </c>
      <c r="T65" s="1084"/>
      <c r="U65" s="1084"/>
    </row>
    <row r="66" spans="1:21" ht="15.75" customHeight="1">
      <c r="A66" s="241">
        <f t="shared" si="1"/>
        <v>47</v>
      </c>
      <c r="B66" s="1084">
        <v>8410</v>
      </c>
      <c r="C66" s="62" t="s">
        <v>237</v>
      </c>
      <c r="D66" s="353">
        <f>'C.2.1 B'!D64</f>
        <v>108741.04000000001</v>
      </c>
      <c r="E66" s="353"/>
      <c r="F66" s="353">
        <v>-2226.6005631666899</v>
      </c>
      <c r="G66" s="397"/>
      <c r="H66" s="353">
        <v>0</v>
      </c>
      <c r="I66" s="456"/>
      <c r="J66" s="353">
        <v>0</v>
      </c>
      <c r="K66" s="353"/>
      <c r="L66" s="353">
        <v>0</v>
      </c>
      <c r="M66" s="456"/>
      <c r="N66" s="353">
        <v>0</v>
      </c>
      <c r="O66" s="456"/>
      <c r="P66" s="353">
        <v>-2226.6005631666899</v>
      </c>
      <c r="T66" s="1084"/>
      <c r="U66" s="1084"/>
    </row>
    <row r="67" spans="1:21" ht="15.75" customHeight="1">
      <c r="A67" s="241">
        <f t="shared" si="1"/>
        <v>48</v>
      </c>
      <c r="B67" s="1084">
        <v>8470</v>
      </c>
      <c r="C67" s="62" t="s">
        <v>238</v>
      </c>
      <c r="D67" s="353">
        <v>0</v>
      </c>
      <c r="E67" s="353"/>
      <c r="F67" s="353">
        <v>0</v>
      </c>
      <c r="G67" s="397"/>
      <c r="H67" s="353">
        <v>0</v>
      </c>
      <c r="I67" s="456"/>
      <c r="J67" s="353">
        <v>0</v>
      </c>
      <c r="K67" s="353"/>
      <c r="L67" s="353">
        <v>0</v>
      </c>
      <c r="M67" s="456"/>
      <c r="N67" s="353">
        <v>0</v>
      </c>
      <c r="O67" s="456"/>
      <c r="P67" s="353">
        <v>0</v>
      </c>
      <c r="T67" s="1084"/>
      <c r="U67" s="1084"/>
    </row>
    <row r="68" spans="1:21" ht="15.75" customHeight="1">
      <c r="A68" s="241">
        <f t="shared" si="1"/>
        <v>49</v>
      </c>
      <c r="B68" s="1084">
        <v>8500</v>
      </c>
      <c r="C68" s="62" t="s">
        <v>240</v>
      </c>
      <c r="D68" s="353">
        <f>'C.2.1 B'!D68</f>
        <v>28.57</v>
      </c>
      <c r="E68" s="353"/>
      <c r="F68" s="353">
        <v>0</v>
      </c>
      <c r="G68" s="397"/>
      <c r="H68" s="353">
        <v>0</v>
      </c>
      <c r="I68" s="456"/>
      <c r="J68" s="353">
        <v>0</v>
      </c>
      <c r="K68" s="353"/>
      <c r="L68" s="353">
        <v>0</v>
      </c>
      <c r="M68" s="456"/>
      <c r="N68" s="353">
        <v>0</v>
      </c>
      <c r="O68" s="456"/>
      <c r="P68" s="353">
        <v>0</v>
      </c>
      <c r="T68" s="1084"/>
      <c r="U68" s="1084"/>
    </row>
    <row r="69" spans="1:21" ht="15.75" customHeight="1">
      <c r="A69" s="241">
        <f t="shared" si="1"/>
        <v>50</v>
      </c>
      <c r="B69" s="1084">
        <v>8520</v>
      </c>
      <c r="C69" s="62" t="s">
        <v>1377</v>
      </c>
      <c r="D69" s="353">
        <f>'C.2.1 B'!D69</f>
        <v>0</v>
      </c>
      <c r="E69" s="353"/>
      <c r="F69" s="353">
        <v>0</v>
      </c>
      <c r="G69" s="397"/>
      <c r="H69" s="353">
        <v>0</v>
      </c>
      <c r="I69" s="456"/>
      <c r="J69" s="353">
        <v>0</v>
      </c>
      <c r="K69" s="353"/>
      <c r="L69" s="353">
        <v>0</v>
      </c>
      <c r="M69" s="456"/>
      <c r="N69" s="353"/>
      <c r="O69" s="456"/>
      <c r="P69" s="353">
        <v>0</v>
      </c>
      <c r="T69" s="1084"/>
      <c r="U69" s="1084"/>
    </row>
    <row r="70" spans="1:21" ht="15.75" customHeight="1">
      <c r="A70" s="241">
        <f t="shared" si="1"/>
        <v>51</v>
      </c>
      <c r="B70" s="1084">
        <v>8550</v>
      </c>
      <c r="C70" s="62" t="s">
        <v>1392</v>
      </c>
      <c r="D70" s="353">
        <f>'C.2.1 B'!D70</f>
        <v>415.74000000000007</v>
      </c>
      <c r="E70" s="353"/>
      <c r="F70" s="353">
        <v>0</v>
      </c>
      <c r="G70" s="397"/>
      <c r="H70" s="353">
        <v>-60.118455388422888</v>
      </c>
      <c r="I70" s="456"/>
      <c r="J70" s="353">
        <v>-60.118455388422888</v>
      </c>
      <c r="K70" s="353"/>
      <c r="L70" s="353"/>
      <c r="M70" s="456"/>
      <c r="N70" s="353"/>
      <c r="O70" s="456"/>
      <c r="P70" s="353"/>
      <c r="T70" s="1084"/>
      <c r="U70" s="1084"/>
    </row>
    <row r="71" spans="1:21" ht="15.75" customHeight="1">
      <c r="A71" s="241">
        <f t="shared" si="1"/>
        <v>52</v>
      </c>
      <c r="B71" s="1084">
        <v>8560</v>
      </c>
      <c r="C71" s="62" t="s">
        <v>241</v>
      </c>
      <c r="D71" s="353">
        <f>'C.2.1 B'!D71</f>
        <v>425187.32</v>
      </c>
      <c r="E71" s="353"/>
      <c r="F71" s="353">
        <v>-6906.8860141779396</v>
      </c>
      <c r="G71" s="397"/>
      <c r="H71" s="353">
        <v>-1863.0403703559241</v>
      </c>
      <c r="I71" s="456"/>
      <c r="J71" s="353">
        <v>-1863.0403703559241</v>
      </c>
      <c r="K71" s="353"/>
      <c r="L71" s="353">
        <v>0</v>
      </c>
      <c r="M71" s="456"/>
      <c r="N71" s="353">
        <v>0</v>
      </c>
      <c r="O71" s="456"/>
      <c r="P71" s="353">
        <v>-10632.966754889789</v>
      </c>
      <c r="T71" s="1084"/>
      <c r="U71" s="1084"/>
    </row>
    <row r="72" spans="1:21" ht="15.75" customHeight="1">
      <c r="A72" s="241">
        <f t="shared" si="1"/>
        <v>53</v>
      </c>
      <c r="B72" s="1084">
        <v>8570</v>
      </c>
      <c r="C72" s="62" t="s">
        <v>242</v>
      </c>
      <c r="D72" s="353">
        <f>'C.2.1 B'!D72</f>
        <v>24759.549999999996</v>
      </c>
      <c r="E72" s="353"/>
      <c r="F72" s="353">
        <v>-723.66929800588946</v>
      </c>
      <c r="G72" s="397"/>
      <c r="H72" s="353">
        <v>-1145.1849494836142</v>
      </c>
      <c r="I72" s="353"/>
      <c r="J72" s="353">
        <v>-1145.1849494836142</v>
      </c>
      <c r="K72" s="353"/>
      <c r="L72" s="353">
        <v>0</v>
      </c>
      <c r="M72" s="353"/>
      <c r="N72" s="353">
        <v>0</v>
      </c>
      <c r="O72" s="456"/>
      <c r="P72" s="353">
        <v>-3014.0391969731181</v>
      </c>
      <c r="T72" s="1084"/>
      <c r="U72" s="1084"/>
    </row>
    <row r="73" spans="1:21" ht="15.75" customHeight="1">
      <c r="A73" s="241">
        <f t="shared" si="1"/>
        <v>54</v>
      </c>
      <c r="B73" s="1084">
        <v>8590</v>
      </c>
      <c r="C73" s="62" t="s">
        <v>243</v>
      </c>
      <c r="D73" s="353">
        <f>'C.2.1 B'!D73</f>
        <v>0</v>
      </c>
      <c r="E73" s="353"/>
      <c r="F73" s="353">
        <v>0</v>
      </c>
      <c r="G73" s="397"/>
      <c r="H73" s="353">
        <v>0</v>
      </c>
      <c r="I73" s="353"/>
      <c r="J73" s="353">
        <v>0</v>
      </c>
      <c r="K73" s="353"/>
      <c r="L73" s="353">
        <v>0</v>
      </c>
      <c r="M73" s="353"/>
      <c r="N73" s="353">
        <v>0</v>
      </c>
      <c r="O73" s="353"/>
      <c r="P73" s="353">
        <v>0</v>
      </c>
      <c r="T73" s="1084"/>
      <c r="U73" s="1084"/>
    </row>
    <row r="74" spans="1:21" ht="15.75" customHeight="1">
      <c r="A74" s="241">
        <f t="shared" si="1"/>
        <v>55</v>
      </c>
      <c r="B74" s="1084">
        <v>8600</v>
      </c>
      <c r="C74" s="62" t="s">
        <v>232</v>
      </c>
      <c r="D74" s="353">
        <f>'C.2.1 B'!D74</f>
        <v>0</v>
      </c>
      <c r="E74" s="353"/>
      <c r="F74" s="353">
        <v>0</v>
      </c>
      <c r="G74" s="397"/>
      <c r="H74" s="353">
        <v>0</v>
      </c>
      <c r="I74" s="353"/>
      <c r="J74" s="353">
        <v>0</v>
      </c>
      <c r="K74" s="353"/>
      <c r="L74" s="353">
        <v>0</v>
      </c>
      <c r="M74" s="353"/>
      <c r="N74" s="353">
        <v>0</v>
      </c>
      <c r="O74" s="353"/>
      <c r="P74" s="353">
        <v>0</v>
      </c>
      <c r="T74" s="1084"/>
      <c r="U74" s="1084"/>
    </row>
    <row r="75" spans="1:21" ht="15.75" customHeight="1">
      <c r="A75" s="241">
        <f t="shared" si="1"/>
        <v>56</v>
      </c>
      <c r="B75" s="1084">
        <v>8620</v>
      </c>
      <c r="C75" s="62" t="s">
        <v>244</v>
      </c>
      <c r="D75" s="353">
        <f>'C.2.1 B'!D78</f>
        <v>0</v>
      </c>
      <c r="E75" s="353"/>
      <c r="F75" s="353">
        <v>0</v>
      </c>
      <c r="G75" s="397"/>
      <c r="H75" s="353">
        <v>0</v>
      </c>
      <c r="I75" s="353"/>
      <c r="J75" s="353">
        <v>0</v>
      </c>
      <c r="K75" s="353"/>
      <c r="L75" s="353">
        <v>0</v>
      </c>
      <c r="M75" s="353"/>
      <c r="N75" s="353">
        <v>0</v>
      </c>
      <c r="O75" s="353"/>
      <c r="P75" s="353">
        <v>0</v>
      </c>
      <c r="T75" s="1084"/>
      <c r="U75" s="1084"/>
    </row>
    <row r="76" spans="1:21" ht="15.75" customHeight="1">
      <c r="A76" s="241">
        <f t="shared" si="1"/>
        <v>57</v>
      </c>
      <c r="B76" s="1084">
        <v>8630</v>
      </c>
      <c r="C76" s="62" t="s">
        <v>245</v>
      </c>
      <c r="D76" s="353">
        <f>'C.2.1 B'!D79</f>
        <v>28804.320000000003</v>
      </c>
      <c r="E76" s="353"/>
      <c r="F76" s="353">
        <v>-534.09043361892395</v>
      </c>
      <c r="G76" s="397"/>
      <c r="H76" s="353">
        <v>0</v>
      </c>
      <c r="I76" s="456"/>
      <c r="J76" s="353">
        <v>0</v>
      </c>
      <c r="K76" s="353"/>
      <c r="L76" s="353">
        <v>0</v>
      </c>
      <c r="M76" s="456"/>
      <c r="N76" s="353">
        <v>0</v>
      </c>
      <c r="O76" s="456"/>
      <c r="P76" s="353">
        <v>-534.09043361892395</v>
      </c>
      <c r="T76" s="1084"/>
      <c r="U76" s="1084"/>
    </row>
    <row r="77" spans="1:21" ht="15.75" customHeight="1">
      <c r="A77" s="241">
        <f t="shared" si="1"/>
        <v>58</v>
      </c>
      <c r="B77" s="1084">
        <v>8640</v>
      </c>
      <c r="C77" s="62" t="s">
        <v>246</v>
      </c>
      <c r="D77" s="353">
        <f>'C.2.1 B'!D80</f>
        <v>0</v>
      </c>
      <c r="E77" s="353"/>
      <c r="F77" s="353">
        <v>0</v>
      </c>
      <c r="G77" s="397"/>
      <c r="H77" s="353">
        <v>0</v>
      </c>
      <c r="I77" s="456"/>
      <c r="J77" s="353">
        <v>0</v>
      </c>
      <c r="K77" s="353"/>
      <c r="L77" s="353">
        <v>0</v>
      </c>
      <c r="M77" s="456"/>
      <c r="N77" s="353">
        <v>0</v>
      </c>
      <c r="O77" s="456"/>
      <c r="P77" s="353">
        <v>0</v>
      </c>
      <c r="T77" s="1084"/>
      <c r="U77" s="1084"/>
    </row>
    <row r="78" spans="1:21" ht="15.75" customHeight="1">
      <c r="A78" s="241">
        <f t="shared" si="1"/>
        <v>59</v>
      </c>
      <c r="B78" s="1084">
        <v>8650</v>
      </c>
      <c r="C78" s="62" t="s">
        <v>247</v>
      </c>
      <c r="D78" s="353">
        <f>'C.2.1 B'!D81</f>
        <v>280.58</v>
      </c>
      <c r="E78" s="353"/>
      <c r="F78" s="353">
        <v>0</v>
      </c>
      <c r="G78" s="397"/>
      <c r="H78" s="353">
        <v>0</v>
      </c>
      <c r="I78" s="456"/>
      <c r="J78" s="353">
        <v>0</v>
      </c>
      <c r="K78" s="353"/>
      <c r="L78" s="353">
        <v>0</v>
      </c>
      <c r="M78" s="456"/>
      <c r="N78" s="353">
        <v>0</v>
      </c>
      <c r="O78" s="456"/>
      <c r="P78" s="353">
        <v>0</v>
      </c>
      <c r="T78" s="1084"/>
      <c r="U78" s="1084"/>
    </row>
    <row r="79" spans="1:21" ht="15.75" customHeight="1">
      <c r="A79" s="241">
        <f t="shared" si="1"/>
        <v>60</v>
      </c>
      <c r="B79" s="1084">
        <v>8670</v>
      </c>
      <c r="C79" s="62" t="s">
        <v>248</v>
      </c>
      <c r="D79" s="353">
        <f>'C.2.1 B'!D82</f>
        <v>0</v>
      </c>
      <c r="E79" s="353"/>
      <c r="F79" s="353">
        <v>0</v>
      </c>
      <c r="G79" s="397"/>
      <c r="H79" s="353">
        <v>0</v>
      </c>
      <c r="I79" s="456"/>
      <c r="J79" s="353">
        <v>0</v>
      </c>
      <c r="K79" s="353"/>
      <c r="L79" s="353">
        <v>0</v>
      </c>
      <c r="M79" s="456"/>
      <c r="N79" s="353">
        <v>0</v>
      </c>
      <c r="O79" s="456"/>
      <c r="P79" s="353">
        <v>0</v>
      </c>
      <c r="T79" s="1084"/>
      <c r="U79" s="1084"/>
    </row>
    <row r="80" spans="1:21" ht="15.75" customHeight="1">
      <c r="A80" s="241">
        <f t="shared" si="1"/>
        <v>61</v>
      </c>
      <c r="B80" s="1084">
        <v>8700</v>
      </c>
      <c r="C80" s="62" t="s">
        <v>249</v>
      </c>
      <c r="D80" s="353">
        <f>'C.2.1 B'!D108</f>
        <v>1549674.0100000012</v>
      </c>
      <c r="E80" s="353"/>
      <c r="F80" s="353">
        <v>-14403.017091195319</v>
      </c>
      <c r="G80" s="397"/>
      <c r="H80" s="353">
        <v>-8544.8837478486166</v>
      </c>
      <c r="I80" s="456"/>
      <c r="J80" s="353">
        <v>-8544.8837478486166</v>
      </c>
      <c r="K80" s="353"/>
      <c r="L80" s="353">
        <v>0</v>
      </c>
      <c r="M80" s="456"/>
      <c r="N80" s="353">
        <v>0</v>
      </c>
      <c r="O80" s="456"/>
      <c r="P80" s="353">
        <v>-31492.784586892551</v>
      </c>
      <c r="T80" s="1084"/>
      <c r="U80" s="1084"/>
    </row>
    <row r="81" spans="1:21" ht="15.75" customHeight="1">
      <c r="A81" s="241">
        <f t="shared" si="1"/>
        <v>62</v>
      </c>
      <c r="B81" s="1084">
        <v>8710</v>
      </c>
      <c r="C81" s="62" t="s">
        <v>250</v>
      </c>
      <c r="D81" s="353">
        <f>'C.2.1 B'!D109</f>
        <v>969.81</v>
      </c>
      <c r="E81" s="353"/>
      <c r="F81" s="353">
        <v>0</v>
      </c>
      <c r="G81" s="397"/>
      <c r="H81" s="353">
        <v>-129.32519642343414</v>
      </c>
      <c r="I81" s="456"/>
      <c r="J81" s="353">
        <v>-129.32519642343414</v>
      </c>
      <c r="K81" s="353"/>
      <c r="L81" s="353">
        <v>0</v>
      </c>
      <c r="M81" s="456"/>
      <c r="N81" s="353">
        <v>0</v>
      </c>
      <c r="O81" s="456"/>
      <c r="P81" s="353">
        <v>-258.65039284686827</v>
      </c>
      <c r="T81" s="1084"/>
      <c r="U81" s="1084"/>
    </row>
    <row r="82" spans="1:21" ht="15.75" customHeight="1">
      <c r="A82" s="241">
        <f t="shared" si="1"/>
        <v>63</v>
      </c>
      <c r="B82" s="1084">
        <v>8711</v>
      </c>
      <c r="C82" s="62" t="s">
        <v>233</v>
      </c>
      <c r="D82" s="353">
        <f>'C.2.1 B'!D110</f>
        <v>42445.58</v>
      </c>
      <c r="E82" s="353"/>
      <c r="F82" s="353">
        <v>0</v>
      </c>
      <c r="G82" s="397"/>
      <c r="H82" s="353">
        <v>0</v>
      </c>
      <c r="I82" s="456"/>
      <c r="J82" s="353">
        <v>0</v>
      </c>
      <c r="K82" s="353"/>
      <c r="L82" s="353">
        <v>0</v>
      </c>
      <c r="M82" s="456"/>
      <c r="N82" s="353">
        <v>0</v>
      </c>
      <c r="O82" s="456"/>
      <c r="P82" s="353">
        <v>0</v>
      </c>
      <c r="T82" s="1084"/>
      <c r="U82" s="1084"/>
    </row>
    <row r="83" spans="1:21" ht="15.75" customHeight="1">
      <c r="A83" s="241">
        <f t="shared" si="1"/>
        <v>64</v>
      </c>
      <c r="B83" s="1084">
        <v>8720</v>
      </c>
      <c r="C83" s="62" t="s">
        <v>251</v>
      </c>
      <c r="D83" s="353">
        <f>'C.2.1 B'!D111</f>
        <v>0</v>
      </c>
      <c r="E83" s="353"/>
      <c r="F83" s="353">
        <v>0</v>
      </c>
      <c r="G83" s="397"/>
      <c r="H83" s="353">
        <v>0</v>
      </c>
      <c r="I83" s="456"/>
      <c r="J83" s="353">
        <v>0</v>
      </c>
      <c r="K83" s="353"/>
      <c r="L83" s="353">
        <v>0</v>
      </c>
      <c r="M83" s="456"/>
      <c r="N83" s="353">
        <v>0</v>
      </c>
      <c r="O83" s="456"/>
      <c r="P83" s="353">
        <v>0</v>
      </c>
      <c r="T83" s="1084"/>
      <c r="U83" s="1084"/>
    </row>
    <row r="84" spans="1:21" ht="15.75" customHeight="1">
      <c r="A84" s="241">
        <f t="shared" si="1"/>
        <v>65</v>
      </c>
      <c r="B84" s="1084">
        <v>8740</v>
      </c>
      <c r="C84" s="62" t="s">
        <v>252</v>
      </c>
      <c r="D84" s="353">
        <f>'C.2.1 B'!D112</f>
        <v>5253515.9700000007</v>
      </c>
      <c r="E84" s="353"/>
      <c r="F84" s="353">
        <v>-58399.381024167647</v>
      </c>
      <c r="G84" s="397"/>
      <c r="H84" s="353">
        <v>-9104.397957879466</v>
      </c>
      <c r="I84" s="456"/>
      <c r="J84" s="353">
        <v>-9104.397957879466</v>
      </c>
      <c r="K84" s="353"/>
      <c r="L84" s="353">
        <v>0</v>
      </c>
      <c r="M84" s="456"/>
      <c r="N84" s="353">
        <v>0</v>
      </c>
      <c r="O84" s="456"/>
      <c r="P84" s="353">
        <v>-76608.176939926576</v>
      </c>
      <c r="T84" s="1084"/>
      <c r="U84" s="1084"/>
    </row>
    <row r="85" spans="1:21" ht="15.75" customHeight="1">
      <c r="A85" s="241">
        <f t="shared" si="1"/>
        <v>66</v>
      </c>
      <c r="B85" s="1084">
        <v>8750</v>
      </c>
      <c r="C85" s="62" t="s">
        <v>253</v>
      </c>
      <c r="D85" s="353">
        <f>'C.2.1 B'!D113</f>
        <v>600716.4800000001</v>
      </c>
      <c r="E85" s="353"/>
      <c r="F85" s="353">
        <v>-14797.724261101772</v>
      </c>
      <c r="G85" s="397"/>
      <c r="H85" s="353">
        <v>-204.25644908827826</v>
      </c>
      <c r="I85" s="456"/>
      <c r="J85" s="353">
        <v>-204.25644908827826</v>
      </c>
      <c r="K85" s="353"/>
      <c r="L85" s="353">
        <v>0</v>
      </c>
      <c r="M85" s="456"/>
      <c r="N85" s="353">
        <v>0</v>
      </c>
      <c r="O85" s="456"/>
      <c r="P85" s="353">
        <v>-15206.237159278327</v>
      </c>
      <c r="T85" s="1084"/>
      <c r="U85" s="1084"/>
    </row>
    <row r="86" spans="1:21" ht="15.75" customHeight="1">
      <c r="A86" s="241">
        <f t="shared" si="1"/>
        <v>67</v>
      </c>
      <c r="B86" s="1084">
        <v>8760</v>
      </c>
      <c r="C86" s="62" t="s">
        <v>653</v>
      </c>
      <c r="D86" s="353">
        <f>'C.2.1 B'!D114</f>
        <v>155175.59999999998</v>
      </c>
      <c r="E86" s="353"/>
      <c r="F86" s="353">
        <v>-4134.3978796561732</v>
      </c>
      <c r="G86" s="397"/>
      <c r="H86" s="353">
        <v>0</v>
      </c>
      <c r="I86" s="353"/>
      <c r="J86" s="353">
        <v>0</v>
      </c>
      <c r="K86" s="353"/>
      <c r="L86" s="353">
        <v>0</v>
      </c>
      <c r="M86" s="353"/>
      <c r="N86" s="353">
        <v>0</v>
      </c>
      <c r="O86" s="456"/>
      <c r="P86" s="353">
        <v>-4134.3978796561732</v>
      </c>
      <c r="T86" s="1084"/>
      <c r="U86" s="1084"/>
    </row>
    <row r="87" spans="1:21" ht="15.75" customHeight="1">
      <c r="A87" s="241">
        <f t="shared" si="1"/>
        <v>68</v>
      </c>
      <c r="B87" s="1084">
        <v>8770</v>
      </c>
      <c r="C87" s="62" t="s">
        <v>654</v>
      </c>
      <c r="D87" s="353">
        <f>'C.2.1 B'!D115</f>
        <v>56817.969999999987</v>
      </c>
      <c r="E87" s="353"/>
      <c r="F87" s="353">
        <v>0</v>
      </c>
      <c r="G87" s="397"/>
      <c r="H87" s="353">
        <v>-678.54027299442805</v>
      </c>
      <c r="I87" s="353"/>
      <c r="J87" s="353">
        <v>-678.54027299442805</v>
      </c>
      <c r="K87" s="456"/>
      <c r="L87" s="353">
        <v>0</v>
      </c>
      <c r="M87" s="353"/>
      <c r="N87" s="353">
        <v>0</v>
      </c>
      <c r="O87" s="456"/>
      <c r="P87" s="353">
        <v>-1357.0805459888561</v>
      </c>
      <c r="T87" s="1084"/>
      <c r="U87" s="1084"/>
    </row>
    <row r="88" spans="1:21" ht="15.75" customHeight="1">
      <c r="A88" s="241">
        <f t="shared" si="1"/>
        <v>69</v>
      </c>
      <c r="B88" s="1084">
        <v>8780</v>
      </c>
      <c r="C88" s="62" t="s">
        <v>655</v>
      </c>
      <c r="D88" s="353">
        <f>'C.2.1 B'!D116</f>
        <v>1057754.6700000002</v>
      </c>
      <c r="E88" s="353"/>
      <c r="F88" s="353">
        <v>-26085.383810116597</v>
      </c>
      <c r="G88" s="397"/>
      <c r="H88" s="353">
        <v>-2205.2641996882771</v>
      </c>
      <c r="I88" s="456"/>
      <c r="J88" s="353">
        <v>-2205.2641996882771</v>
      </c>
      <c r="K88" s="456"/>
      <c r="L88" s="353">
        <v>0</v>
      </c>
      <c r="M88" s="456"/>
      <c r="N88" s="353">
        <v>0</v>
      </c>
      <c r="O88" s="456"/>
      <c r="P88" s="353">
        <v>-30495.912209493152</v>
      </c>
      <c r="T88" s="1084"/>
    </row>
    <row r="89" spans="1:21" ht="15.75" customHeight="1">
      <c r="A89" s="241">
        <f t="shared" si="1"/>
        <v>70</v>
      </c>
      <c r="B89" s="1084">
        <v>8790</v>
      </c>
      <c r="C89" s="62" t="s">
        <v>656</v>
      </c>
      <c r="D89" s="353">
        <f>'C.2.1 B'!D117</f>
        <v>2055.34</v>
      </c>
      <c r="E89" s="353"/>
      <c r="F89" s="353">
        <v>0</v>
      </c>
      <c r="G89" s="397"/>
      <c r="H89" s="353">
        <v>0</v>
      </c>
      <c r="I89" s="456"/>
      <c r="J89" s="353">
        <v>0</v>
      </c>
      <c r="K89" s="353"/>
      <c r="L89" s="353">
        <v>0</v>
      </c>
      <c r="M89" s="456"/>
      <c r="N89" s="353">
        <v>0</v>
      </c>
      <c r="O89" s="456"/>
      <c r="P89" s="353">
        <v>0</v>
      </c>
      <c r="T89" s="1084"/>
    </row>
    <row r="90" spans="1:21" ht="15.75" customHeight="1">
      <c r="A90" s="241">
        <f t="shared" si="1"/>
        <v>71</v>
      </c>
      <c r="B90" s="1084">
        <v>8800</v>
      </c>
      <c r="C90" s="62" t="s">
        <v>657</v>
      </c>
      <c r="D90" s="353">
        <f>'C.2.1 B'!D118</f>
        <v>7990.0500000000011</v>
      </c>
      <c r="E90" s="353"/>
      <c r="F90" s="353">
        <v>2.3457591393829347</v>
      </c>
      <c r="G90" s="397"/>
      <c r="H90" s="353">
        <v>0</v>
      </c>
      <c r="I90" s="456"/>
      <c r="J90" s="353">
        <v>0</v>
      </c>
      <c r="K90" s="353"/>
      <c r="L90" s="353">
        <v>0</v>
      </c>
      <c r="M90" s="456"/>
      <c r="N90" s="353">
        <v>0</v>
      </c>
      <c r="O90" s="456"/>
      <c r="P90" s="353">
        <v>2.3457591393829347</v>
      </c>
      <c r="T90" s="1084"/>
    </row>
    <row r="91" spans="1:21" ht="15.75" customHeight="1">
      <c r="A91" s="241">
        <f t="shared" si="1"/>
        <v>72</v>
      </c>
      <c r="B91" s="1084">
        <v>8810</v>
      </c>
      <c r="C91" s="62" t="s">
        <v>658</v>
      </c>
      <c r="D91" s="353">
        <f>'C.2.1 B'!D119</f>
        <v>514574.05000000005</v>
      </c>
      <c r="E91" s="353"/>
      <c r="F91" s="353">
        <v>0</v>
      </c>
      <c r="G91" s="397"/>
      <c r="H91" s="353">
        <v>-72071.12206794307</v>
      </c>
      <c r="I91" s="456"/>
      <c r="J91" s="353">
        <v>-72071.12206794307</v>
      </c>
      <c r="K91" s="353"/>
      <c r="L91" s="353">
        <v>0</v>
      </c>
      <c r="M91" s="456"/>
      <c r="N91" s="353">
        <v>0</v>
      </c>
      <c r="O91" s="456"/>
      <c r="P91" s="353">
        <v>-144142.24413588614</v>
      </c>
      <c r="T91" s="1084"/>
    </row>
    <row r="92" spans="1:21" ht="15.75" customHeight="1">
      <c r="A92" s="241">
        <f t="shared" si="1"/>
        <v>73</v>
      </c>
      <c r="B92" s="1084">
        <v>8850</v>
      </c>
      <c r="C92" s="62" t="s">
        <v>743</v>
      </c>
      <c r="D92" s="353">
        <f>'C.2.1 B'!D123</f>
        <v>1141.57</v>
      </c>
      <c r="E92" s="353"/>
      <c r="F92" s="353">
        <v>0</v>
      </c>
      <c r="G92" s="397"/>
      <c r="H92" s="353">
        <v>0</v>
      </c>
      <c r="I92" s="456"/>
      <c r="J92" s="353">
        <v>0</v>
      </c>
      <c r="K92" s="353"/>
      <c r="L92" s="353">
        <v>0</v>
      </c>
      <c r="M92" s="456"/>
      <c r="N92" s="353">
        <v>0</v>
      </c>
      <c r="O92" s="456"/>
      <c r="P92" s="353">
        <v>0</v>
      </c>
      <c r="T92" s="1084"/>
    </row>
    <row r="93" spans="1:21" ht="15.75" customHeight="1">
      <c r="A93" s="241">
        <f t="shared" si="1"/>
        <v>74</v>
      </c>
      <c r="B93" s="1084">
        <v>8860</v>
      </c>
      <c r="C93" s="62" t="s">
        <v>774</v>
      </c>
      <c r="D93" s="353">
        <f>'C.2.1 B'!D124</f>
        <v>119.19</v>
      </c>
      <c r="E93" s="353"/>
      <c r="F93" s="353">
        <v>0</v>
      </c>
      <c r="G93" s="397"/>
      <c r="H93" s="353">
        <v>0</v>
      </c>
      <c r="I93" s="456"/>
      <c r="J93" s="353">
        <v>0</v>
      </c>
      <c r="K93" s="353"/>
      <c r="L93" s="353">
        <v>0</v>
      </c>
      <c r="M93" s="456"/>
      <c r="N93" s="353">
        <v>0</v>
      </c>
      <c r="O93" s="456"/>
      <c r="P93" s="353">
        <v>0</v>
      </c>
      <c r="T93" s="1084"/>
    </row>
    <row r="94" spans="1:21" ht="15.75" customHeight="1">
      <c r="A94" s="241"/>
      <c r="B94" s="276"/>
      <c r="D94" s="86"/>
      <c r="E94" s="86"/>
      <c r="F94" s="86"/>
      <c r="G94" s="96"/>
      <c r="H94" s="86"/>
      <c r="I94" s="1085"/>
      <c r="J94" s="86"/>
      <c r="K94" s="86"/>
      <c r="L94" s="86"/>
      <c r="M94" s="1085"/>
      <c r="N94" s="86"/>
      <c r="O94" s="1085"/>
      <c r="P94" s="86"/>
    </row>
    <row r="95" spans="1:21" ht="15.75" customHeight="1">
      <c r="D95" s="96"/>
      <c r="E95" s="96"/>
      <c r="F95" s="96"/>
      <c r="G95" s="96"/>
      <c r="H95" s="855" t="s">
        <v>218</v>
      </c>
      <c r="I95" s="96"/>
      <c r="J95" s="96"/>
      <c r="K95" s="96"/>
      <c r="L95" s="96"/>
      <c r="M95" s="96"/>
      <c r="N95" s="96"/>
      <c r="O95" s="96"/>
      <c r="P95" s="855" t="s">
        <v>1090</v>
      </c>
    </row>
    <row r="96" spans="1:21" ht="15.75" customHeight="1">
      <c r="A96" s="241" t="s">
        <v>93</v>
      </c>
      <c r="B96" s="276" t="s">
        <v>1303</v>
      </c>
      <c r="D96" s="855" t="s">
        <v>44</v>
      </c>
      <c r="E96" s="96"/>
      <c r="F96" s="1080" t="s">
        <v>1089</v>
      </c>
      <c r="G96" s="1083"/>
      <c r="H96" s="1080" t="s">
        <v>1089</v>
      </c>
      <c r="I96" s="1081"/>
      <c r="J96" s="1080" t="s">
        <v>1089</v>
      </c>
      <c r="K96" s="1081"/>
      <c r="L96" s="1080" t="s">
        <v>1089</v>
      </c>
      <c r="M96" s="1081"/>
      <c r="N96" s="1080" t="s">
        <v>1089</v>
      </c>
      <c r="O96" s="1081"/>
      <c r="P96" s="855" t="s">
        <v>96</v>
      </c>
    </row>
    <row r="97" spans="1:21" ht="15.75" customHeight="1">
      <c r="A97" s="1082" t="s">
        <v>99</v>
      </c>
      <c r="B97" s="277" t="s">
        <v>219</v>
      </c>
      <c r="C97" s="240"/>
      <c r="D97" s="972" t="s">
        <v>538</v>
      </c>
      <c r="E97" s="640"/>
      <c r="F97" s="972" t="s">
        <v>606</v>
      </c>
      <c r="G97" s="968" t="s">
        <v>323</v>
      </c>
      <c r="H97" s="972" t="s">
        <v>464</v>
      </c>
      <c r="I97" s="968" t="s">
        <v>323</v>
      </c>
      <c r="J97" s="972" t="s">
        <v>465</v>
      </c>
      <c r="K97" s="968" t="s">
        <v>323</v>
      </c>
      <c r="L97" s="972" t="s">
        <v>466</v>
      </c>
      <c r="M97" s="968" t="s">
        <v>323</v>
      </c>
      <c r="N97" s="972" t="s">
        <v>467</v>
      </c>
      <c r="O97" s="968" t="s">
        <v>323</v>
      </c>
      <c r="P97" s="972" t="s">
        <v>471</v>
      </c>
    </row>
    <row r="98" spans="1:21" ht="15.75" customHeight="1"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1:21" ht="15.75" customHeight="1">
      <c r="A99" s="241">
        <f>A93+1</f>
        <v>75</v>
      </c>
      <c r="B99" s="1084">
        <v>8870</v>
      </c>
      <c r="C99" s="276" t="s">
        <v>437</v>
      </c>
      <c r="D99" s="353">
        <f>'C.2.1 B'!D125</f>
        <v>43910.619999999995</v>
      </c>
      <c r="E99" s="353"/>
      <c r="F99" s="353">
        <v>-782.82746897662901</v>
      </c>
      <c r="G99" s="397"/>
      <c r="H99" s="353">
        <v>-5.3310553609865678</v>
      </c>
      <c r="I99" s="456"/>
      <c r="J99" s="353">
        <v>-5.3310553609865678</v>
      </c>
      <c r="K99" s="353"/>
      <c r="L99" s="353">
        <v>0</v>
      </c>
      <c r="M99" s="456"/>
      <c r="N99" s="353">
        <v>0</v>
      </c>
      <c r="O99" s="456"/>
      <c r="P99" s="353">
        <v>-793.48957969860203</v>
      </c>
      <c r="T99" s="1086"/>
    </row>
    <row r="100" spans="1:21" ht="15.75" customHeight="1">
      <c r="A100" s="241">
        <f t="shared" ref="A100:A132" si="2">A99+1</f>
        <v>76</v>
      </c>
      <c r="B100" s="1084">
        <v>8890</v>
      </c>
      <c r="C100" s="276" t="s">
        <v>1194</v>
      </c>
      <c r="D100" s="353">
        <f>'C.2.1 B'!D126</f>
        <v>69570.410000000018</v>
      </c>
      <c r="E100" s="353"/>
      <c r="F100" s="353">
        <v>-1746.8778490018819</v>
      </c>
      <c r="G100" s="397"/>
      <c r="H100" s="353">
        <v>-1203.6436844140171</v>
      </c>
      <c r="I100" s="456"/>
      <c r="J100" s="353">
        <v>-1203.6436844140171</v>
      </c>
      <c r="K100" s="353"/>
      <c r="L100" s="353">
        <v>0</v>
      </c>
      <c r="M100" s="456"/>
      <c r="N100" s="353">
        <v>0</v>
      </c>
      <c r="O100" s="456"/>
      <c r="P100" s="353">
        <v>-4154.1652178299164</v>
      </c>
      <c r="T100" s="1084"/>
    </row>
    <row r="101" spans="1:21" ht="15.75" customHeight="1">
      <c r="A101" s="241">
        <f t="shared" si="2"/>
        <v>77</v>
      </c>
      <c r="B101" s="1084">
        <v>8900</v>
      </c>
      <c r="C101" s="276" t="s">
        <v>1019</v>
      </c>
      <c r="D101" s="353">
        <f>'C.2.1 B'!D127</f>
        <v>1441.2099999999998</v>
      </c>
      <c r="E101" s="353"/>
      <c r="F101" s="353">
        <v>-22.396662593276005</v>
      </c>
      <c r="G101" s="397"/>
      <c r="H101" s="353">
        <v>0</v>
      </c>
      <c r="I101" s="456"/>
      <c r="J101" s="353">
        <v>0</v>
      </c>
      <c r="K101" s="353"/>
      <c r="L101" s="353">
        <v>0</v>
      </c>
      <c r="M101" s="456"/>
      <c r="N101" s="353">
        <v>0</v>
      </c>
      <c r="O101" s="456"/>
      <c r="P101" s="353">
        <v>-22.396662593276005</v>
      </c>
      <c r="T101" s="1084"/>
    </row>
    <row r="102" spans="1:21" ht="15.75" customHeight="1">
      <c r="A102" s="241">
        <f t="shared" si="2"/>
        <v>78</v>
      </c>
      <c r="B102" s="1084">
        <v>8910</v>
      </c>
      <c r="C102" s="276" t="s">
        <v>1020</v>
      </c>
      <c r="D102" s="353">
        <f>'C.2.1 B'!D128</f>
        <v>1007.35</v>
      </c>
      <c r="E102" s="353"/>
      <c r="F102" s="353">
        <v>0</v>
      </c>
      <c r="G102" s="397"/>
      <c r="H102" s="353">
        <v>-155.1658525027276</v>
      </c>
      <c r="I102" s="456"/>
      <c r="J102" s="353">
        <v>-155.1658525027276</v>
      </c>
      <c r="K102" s="353"/>
      <c r="L102" s="353">
        <v>0</v>
      </c>
      <c r="M102" s="456"/>
      <c r="N102" s="353">
        <v>0</v>
      </c>
      <c r="O102" s="456"/>
      <c r="P102" s="353">
        <v>-310.33170500545521</v>
      </c>
      <c r="T102" s="1084"/>
    </row>
    <row r="103" spans="1:21" ht="15.75" customHeight="1">
      <c r="A103" s="241">
        <f t="shared" si="2"/>
        <v>79</v>
      </c>
      <c r="B103" s="1084">
        <v>8920</v>
      </c>
      <c r="C103" s="276" t="s">
        <v>1021</v>
      </c>
      <c r="D103" s="353">
        <f>'C.2.1 B'!D129</f>
        <v>5467.9399999999987</v>
      </c>
      <c r="E103" s="353"/>
      <c r="F103" s="353">
        <v>-225.96351523343333</v>
      </c>
      <c r="G103" s="397"/>
      <c r="H103" s="353">
        <v>0</v>
      </c>
      <c r="I103" s="456"/>
      <c r="J103" s="353">
        <v>0</v>
      </c>
      <c r="K103" s="353"/>
      <c r="L103" s="353">
        <v>0</v>
      </c>
      <c r="M103" s="456"/>
      <c r="N103" s="353">
        <v>0</v>
      </c>
      <c r="O103" s="456"/>
      <c r="P103" s="353">
        <v>-225.96351523343333</v>
      </c>
      <c r="T103" s="1084"/>
    </row>
    <row r="104" spans="1:21" ht="15.75" customHeight="1">
      <c r="A104" s="241">
        <f t="shared" si="2"/>
        <v>80</v>
      </c>
      <c r="B104" s="1084">
        <v>8930</v>
      </c>
      <c r="C104" s="276" t="s">
        <v>1022</v>
      </c>
      <c r="D104" s="353">
        <f>'C.2.1 B'!D130</f>
        <v>378.49</v>
      </c>
      <c r="E104" s="353"/>
      <c r="F104" s="353">
        <v>0</v>
      </c>
      <c r="G104" s="397"/>
      <c r="H104" s="353">
        <v>0</v>
      </c>
      <c r="I104" s="456"/>
      <c r="J104" s="353">
        <v>0</v>
      </c>
      <c r="K104" s="353"/>
      <c r="L104" s="353">
        <v>0</v>
      </c>
      <c r="M104" s="456"/>
      <c r="N104" s="353">
        <v>0</v>
      </c>
      <c r="O104" s="456"/>
      <c r="P104" s="353">
        <v>0</v>
      </c>
      <c r="T104" s="1084"/>
    </row>
    <row r="105" spans="1:21" ht="15.75" customHeight="1">
      <c r="A105" s="241">
        <f t="shared" si="2"/>
        <v>81</v>
      </c>
      <c r="B105" s="1084">
        <v>8940</v>
      </c>
      <c r="C105" s="276" t="s">
        <v>117</v>
      </c>
      <c r="D105" s="353">
        <f>'C.2.1 B'!D131</f>
        <v>12073.639999999998</v>
      </c>
      <c r="E105" s="353"/>
      <c r="F105" s="353">
        <v>0</v>
      </c>
      <c r="G105" s="397"/>
      <c r="H105" s="353">
        <v>0</v>
      </c>
      <c r="I105" s="456"/>
      <c r="J105" s="353">
        <v>0</v>
      </c>
      <c r="K105" s="353"/>
      <c r="L105" s="353">
        <v>0</v>
      </c>
      <c r="M105" s="353"/>
      <c r="N105" s="353">
        <v>0</v>
      </c>
      <c r="O105" s="456"/>
      <c r="P105" s="353">
        <v>0</v>
      </c>
      <c r="T105" s="1084"/>
    </row>
    <row r="106" spans="1:21" ht="15.75" customHeight="1">
      <c r="A106" s="241">
        <f t="shared" si="2"/>
        <v>82</v>
      </c>
      <c r="B106" s="1084">
        <v>8950</v>
      </c>
      <c r="C106" s="276" t="s">
        <v>234</v>
      </c>
      <c r="D106" s="353">
        <f>'C.2.1 B'!D132</f>
        <v>0</v>
      </c>
      <c r="E106" s="353"/>
      <c r="F106" s="353">
        <v>0</v>
      </c>
      <c r="G106" s="397"/>
      <c r="H106" s="353">
        <v>0</v>
      </c>
      <c r="I106" s="456"/>
      <c r="J106" s="353">
        <v>0</v>
      </c>
      <c r="K106" s="353"/>
      <c r="L106" s="353">
        <v>0</v>
      </c>
      <c r="M106" s="353"/>
      <c r="N106" s="353">
        <v>0</v>
      </c>
      <c r="O106" s="456"/>
      <c r="P106" s="353">
        <v>0</v>
      </c>
      <c r="T106" s="1084"/>
    </row>
    <row r="107" spans="1:21" ht="15.75" customHeight="1">
      <c r="A107" s="241">
        <f t="shared" si="2"/>
        <v>83</v>
      </c>
      <c r="B107" s="1084">
        <v>9010</v>
      </c>
      <c r="C107" s="276" t="s">
        <v>118</v>
      </c>
      <c r="D107" s="353">
        <f>'C.2.1 B'!D136</f>
        <v>0</v>
      </c>
      <c r="E107" s="353"/>
      <c r="F107" s="353">
        <v>0</v>
      </c>
      <c r="G107" s="397"/>
      <c r="H107" s="353">
        <v>0</v>
      </c>
      <c r="I107" s="456"/>
      <c r="J107" s="353">
        <v>0</v>
      </c>
      <c r="K107" s="353"/>
      <c r="L107" s="353">
        <v>0</v>
      </c>
      <c r="M107" s="353"/>
      <c r="N107" s="353">
        <v>0</v>
      </c>
      <c r="O107" s="456"/>
      <c r="P107" s="353">
        <v>0</v>
      </c>
      <c r="T107" s="1084"/>
    </row>
    <row r="108" spans="1:21" ht="15.75" customHeight="1">
      <c r="A108" s="241">
        <f t="shared" si="2"/>
        <v>84</v>
      </c>
      <c r="B108" s="1084">
        <v>9020</v>
      </c>
      <c r="C108" s="276" t="s">
        <v>119</v>
      </c>
      <c r="D108" s="353">
        <f>'C.2.1 B'!D137</f>
        <v>1221384.77</v>
      </c>
      <c r="E108" s="353"/>
      <c r="F108" s="353">
        <v>-15948.116696357509</v>
      </c>
      <c r="G108" s="397"/>
      <c r="H108" s="353">
        <v>-701.12244617116539</v>
      </c>
      <c r="I108" s="456"/>
      <c r="J108" s="353">
        <v>-701.12244617116539</v>
      </c>
      <c r="K108" s="353"/>
      <c r="L108" s="353">
        <v>0</v>
      </c>
      <c r="M108" s="353"/>
      <c r="N108" s="353">
        <v>0</v>
      </c>
      <c r="O108" s="456"/>
      <c r="P108" s="353">
        <v>-17350.361588699838</v>
      </c>
      <c r="T108" s="1084"/>
      <c r="U108" s="1084"/>
    </row>
    <row r="109" spans="1:21" ht="15.75" customHeight="1">
      <c r="A109" s="241">
        <f t="shared" si="2"/>
        <v>85</v>
      </c>
      <c r="B109" s="1084">
        <v>9030</v>
      </c>
      <c r="C109" s="276" t="s">
        <v>120</v>
      </c>
      <c r="D109" s="353">
        <f>'C.2.1 B'!D138</f>
        <v>1326590.8299999998</v>
      </c>
      <c r="E109" s="353"/>
      <c r="F109" s="353">
        <v>-14681.896220267379</v>
      </c>
      <c r="G109" s="397"/>
      <c r="H109" s="353">
        <v>-29.897134794721978</v>
      </c>
      <c r="I109" s="456"/>
      <c r="J109" s="353">
        <v>-29.897134794721978</v>
      </c>
      <c r="K109" s="353"/>
      <c r="L109" s="353">
        <v>0</v>
      </c>
      <c r="M109" s="353"/>
      <c r="N109" s="353">
        <v>0</v>
      </c>
      <c r="O109" s="456"/>
      <c r="P109" s="353">
        <v>-14741.690489856825</v>
      </c>
      <c r="T109" s="1084"/>
    </row>
    <row r="110" spans="1:21" ht="15.75" customHeight="1">
      <c r="A110" s="241">
        <f t="shared" si="2"/>
        <v>86</v>
      </c>
      <c r="B110" s="1084">
        <v>9040</v>
      </c>
      <c r="C110" s="276" t="s">
        <v>121</v>
      </c>
      <c r="D110" s="353">
        <f>'C.2.1 B'!D139</f>
        <v>923543.87</v>
      </c>
      <c r="E110" s="353"/>
      <c r="F110" s="353">
        <v>0</v>
      </c>
      <c r="G110" s="397"/>
      <c r="H110" s="353">
        <v>0</v>
      </c>
      <c r="I110" s="456"/>
      <c r="J110" s="353">
        <v>0</v>
      </c>
      <c r="K110" s="353"/>
      <c r="L110" s="353">
        <v>-208292.9660281667</v>
      </c>
      <c r="M110" s="353"/>
      <c r="N110" s="353">
        <v>0</v>
      </c>
      <c r="O110" s="456"/>
      <c r="P110" s="353">
        <v>-208292.9660281667</v>
      </c>
      <c r="T110" s="1084"/>
    </row>
    <row r="111" spans="1:21" ht="15.75" customHeight="1">
      <c r="A111" s="241">
        <f t="shared" si="2"/>
        <v>87</v>
      </c>
      <c r="B111" s="1084">
        <v>9070</v>
      </c>
      <c r="C111" s="276" t="s">
        <v>29</v>
      </c>
      <c r="D111" s="353">
        <f>'C.2.1 B'!D143</f>
        <v>0</v>
      </c>
      <c r="E111" s="353"/>
      <c r="F111" s="353">
        <v>0</v>
      </c>
      <c r="G111" s="397"/>
      <c r="H111" s="353">
        <v>0</v>
      </c>
      <c r="I111" s="456"/>
      <c r="J111" s="353">
        <v>0</v>
      </c>
      <c r="K111" s="353"/>
      <c r="L111" s="353">
        <v>0</v>
      </c>
      <c r="M111" s="353"/>
      <c r="N111" s="353">
        <v>0</v>
      </c>
      <c r="O111" s="456"/>
      <c r="P111" s="353">
        <v>0</v>
      </c>
      <c r="T111" s="1084"/>
    </row>
    <row r="112" spans="1:21" ht="15.75" customHeight="1">
      <c r="A112" s="241">
        <f t="shared" si="2"/>
        <v>88</v>
      </c>
      <c r="B112" s="1084">
        <v>9080</v>
      </c>
      <c r="C112" s="276" t="s">
        <v>30</v>
      </c>
      <c r="D112" s="353">
        <f>'C.2.1 B'!D144</f>
        <v>0</v>
      </c>
      <c r="E112" s="353"/>
      <c r="F112" s="353">
        <v>0</v>
      </c>
      <c r="G112" s="397"/>
      <c r="H112" s="353">
        <v>0</v>
      </c>
      <c r="I112" s="456"/>
      <c r="J112" s="353">
        <v>0</v>
      </c>
      <c r="K112" s="353"/>
      <c r="L112" s="353">
        <v>0</v>
      </c>
      <c r="M112" s="353"/>
      <c r="N112" s="353">
        <v>0</v>
      </c>
      <c r="O112" s="456"/>
      <c r="P112" s="353">
        <v>0</v>
      </c>
      <c r="T112" s="1084"/>
    </row>
    <row r="113" spans="1:20" ht="15.75" customHeight="1">
      <c r="A113" s="241">
        <f t="shared" si="2"/>
        <v>89</v>
      </c>
      <c r="B113" s="1084">
        <v>9090</v>
      </c>
      <c r="C113" s="276" t="s">
        <v>122</v>
      </c>
      <c r="D113" s="353">
        <f>'C.2.1 B'!D145</f>
        <v>113640.03</v>
      </c>
      <c r="E113" s="353"/>
      <c r="F113" s="353">
        <v>-3582.776085765523</v>
      </c>
      <c r="G113" s="397"/>
      <c r="H113" s="353">
        <v>0</v>
      </c>
      <c r="I113" s="456"/>
      <c r="J113" s="353">
        <v>0</v>
      </c>
      <c r="K113" s="353"/>
      <c r="L113" s="353">
        <v>0</v>
      </c>
      <c r="M113" s="353"/>
      <c r="N113" s="353">
        <v>0</v>
      </c>
      <c r="O113" s="456"/>
      <c r="P113" s="353">
        <v>-3582.776085765523</v>
      </c>
      <c r="T113" s="1084"/>
    </row>
    <row r="114" spans="1:20" ht="15.75" customHeight="1">
      <c r="A114" s="241">
        <f t="shared" si="2"/>
        <v>90</v>
      </c>
      <c r="B114" s="1084">
        <v>9100</v>
      </c>
      <c r="C114" s="276" t="s">
        <v>123</v>
      </c>
      <c r="D114" s="353">
        <f>'C.2.1 B'!D146</f>
        <v>85</v>
      </c>
      <c r="E114" s="353"/>
      <c r="F114" s="353">
        <v>0</v>
      </c>
      <c r="G114" s="397"/>
      <c r="H114" s="353">
        <v>0</v>
      </c>
      <c r="I114" s="456"/>
      <c r="J114" s="353">
        <v>0</v>
      </c>
      <c r="K114" s="353"/>
      <c r="L114" s="353">
        <v>0</v>
      </c>
      <c r="M114" s="353"/>
      <c r="N114" s="353">
        <v>0</v>
      </c>
      <c r="O114" s="456"/>
      <c r="P114" s="353">
        <v>0</v>
      </c>
      <c r="T114" s="1084"/>
    </row>
    <row r="115" spans="1:20" ht="15.75" customHeight="1">
      <c r="A115" s="241">
        <f t="shared" si="2"/>
        <v>91</v>
      </c>
      <c r="B115" s="1086">
        <v>9110</v>
      </c>
      <c r="C115" s="1087" t="s">
        <v>225</v>
      </c>
      <c r="D115" s="353">
        <f>'C.2.1 B'!D150</f>
        <v>263258.08</v>
      </c>
      <c r="E115" s="353"/>
      <c r="F115" s="353">
        <v>-6378.2980910374717</v>
      </c>
      <c r="G115" s="397"/>
      <c r="H115" s="353">
        <v>0</v>
      </c>
      <c r="I115" s="456"/>
      <c r="J115" s="353">
        <v>0</v>
      </c>
      <c r="K115" s="353"/>
      <c r="L115" s="353">
        <v>0</v>
      </c>
      <c r="M115" s="353"/>
      <c r="N115" s="353">
        <v>0</v>
      </c>
      <c r="O115" s="456"/>
      <c r="P115" s="353">
        <v>-6378.2980910374717</v>
      </c>
      <c r="T115" s="1084"/>
    </row>
    <row r="116" spans="1:20" ht="15.75" customHeight="1">
      <c r="A116" s="241">
        <f t="shared" si="2"/>
        <v>92</v>
      </c>
      <c r="B116" s="1086">
        <v>9120</v>
      </c>
      <c r="C116" s="1087" t="s">
        <v>454</v>
      </c>
      <c r="D116" s="353">
        <f>'C.2.1 B'!D151</f>
        <v>123584.46</v>
      </c>
      <c r="E116" s="353"/>
      <c r="F116" s="353">
        <v>0</v>
      </c>
      <c r="G116" s="397"/>
      <c r="H116" s="353">
        <v>0</v>
      </c>
      <c r="I116" s="456"/>
      <c r="J116" s="353">
        <v>0</v>
      </c>
      <c r="K116" s="353"/>
      <c r="L116" s="353">
        <v>0</v>
      </c>
      <c r="M116" s="353"/>
      <c r="N116" s="353">
        <v>0</v>
      </c>
      <c r="O116" s="456"/>
      <c r="P116" s="353">
        <v>0</v>
      </c>
      <c r="T116" s="1084"/>
    </row>
    <row r="117" spans="1:20" ht="15.75" customHeight="1">
      <c r="A117" s="241">
        <f t="shared" si="2"/>
        <v>93</v>
      </c>
      <c r="B117" s="1086">
        <v>9130</v>
      </c>
      <c r="C117" s="1087" t="s">
        <v>455</v>
      </c>
      <c r="D117" s="353">
        <f>'C.2.1 B'!D152</f>
        <v>30070.690000000002</v>
      </c>
      <c r="E117" s="353"/>
      <c r="F117" s="353">
        <v>0</v>
      </c>
      <c r="G117" s="397"/>
      <c r="H117" s="353">
        <v>0</v>
      </c>
      <c r="I117" s="456"/>
      <c r="J117" s="353">
        <v>0</v>
      </c>
      <c r="K117" s="353"/>
      <c r="L117" s="353">
        <v>0</v>
      </c>
      <c r="M117" s="353"/>
      <c r="N117" s="353">
        <v>0</v>
      </c>
      <c r="O117" s="456"/>
      <c r="P117" s="353">
        <v>0</v>
      </c>
      <c r="T117" s="1084"/>
    </row>
    <row r="118" spans="1:20" ht="15.75" customHeight="1">
      <c r="A118" s="241">
        <f t="shared" si="2"/>
        <v>94</v>
      </c>
      <c r="B118" s="1086">
        <v>9160</v>
      </c>
      <c r="C118" s="1087" t="s">
        <v>226</v>
      </c>
      <c r="D118" s="353">
        <f>'C.2.1 B'!D153</f>
        <v>0</v>
      </c>
      <c r="E118" s="353"/>
      <c r="F118" s="353">
        <v>0</v>
      </c>
      <c r="G118" s="397"/>
      <c r="H118" s="353">
        <v>0</v>
      </c>
      <c r="I118" s="456"/>
      <c r="J118" s="353">
        <v>0</v>
      </c>
      <c r="K118" s="353"/>
      <c r="L118" s="353">
        <v>0</v>
      </c>
      <c r="M118" s="353"/>
      <c r="N118" s="353">
        <v>0</v>
      </c>
      <c r="O118" s="456"/>
      <c r="P118" s="353">
        <v>0</v>
      </c>
      <c r="T118" s="1084"/>
    </row>
    <row r="119" spans="1:20" ht="15.75" customHeight="1">
      <c r="A119" s="241">
        <f t="shared" si="2"/>
        <v>95</v>
      </c>
      <c r="B119" s="1086">
        <v>9200</v>
      </c>
      <c r="C119" s="1087" t="s">
        <v>1299</v>
      </c>
      <c r="D119" s="353">
        <f>'C.2.1 B'!D157</f>
        <v>141308.29999999999</v>
      </c>
      <c r="E119" s="353"/>
      <c r="F119" s="353">
        <v>-4515.5290661744584</v>
      </c>
      <c r="G119" s="397"/>
      <c r="H119" s="353">
        <v>0</v>
      </c>
      <c r="I119" s="456"/>
      <c r="J119" s="353">
        <v>0</v>
      </c>
      <c r="K119" s="353"/>
      <c r="L119" s="353">
        <v>0</v>
      </c>
      <c r="M119" s="353"/>
      <c r="N119" s="353">
        <v>0</v>
      </c>
      <c r="O119" s="456"/>
      <c r="P119" s="353">
        <v>-4515.5290661744584</v>
      </c>
      <c r="T119" s="1084"/>
    </row>
    <row r="120" spans="1:20" ht="15.75" customHeight="1">
      <c r="A120" s="241">
        <f t="shared" si="2"/>
        <v>96</v>
      </c>
      <c r="B120" s="1084">
        <v>9210</v>
      </c>
      <c r="C120" s="276" t="s">
        <v>227</v>
      </c>
      <c r="D120" s="353">
        <f>'C.2.1 B'!D158</f>
        <v>15363.11</v>
      </c>
      <c r="E120" s="353"/>
      <c r="F120" s="353">
        <v>0</v>
      </c>
      <c r="G120" s="397"/>
      <c r="H120" s="353">
        <v>0</v>
      </c>
      <c r="I120" s="456"/>
      <c r="J120" s="353">
        <v>0</v>
      </c>
      <c r="K120" s="353"/>
      <c r="L120" s="353">
        <v>0</v>
      </c>
      <c r="M120" s="353"/>
      <c r="N120" s="353">
        <v>0</v>
      </c>
      <c r="O120" s="456"/>
      <c r="P120" s="353">
        <v>0</v>
      </c>
      <c r="T120" s="1084"/>
    </row>
    <row r="121" spans="1:20" ht="15">
      <c r="A121" s="241">
        <f t="shared" si="2"/>
        <v>97</v>
      </c>
      <c r="B121" s="1084">
        <v>9220</v>
      </c>
      <c r="C121" s="276" t="s">
        <v>212</v>
      </c>
      <c r="D121" s="353">
        <f>'C.2.1 B'!D159</f>
        <v>11934602.569999998</v>
      </c>
      <c r="E121" s="353"/>
      <c r="F121" s="353">
        <v>0</v>
      </c>
      <c r="G121" s="397"/>
      <c r="H121" s="353">
        <v>0</v>
      </c>
      <c r="I121" s="456"/>
      <c r="J121" s="353">
        <v>0</v>
      </c>
      <c r="K121" s="353"/>
      <c r="L121" s="353">
        <v>0</v>
      </c>
      <c r="M121" s="353"/>
      <c r="N121" s="353">
        <v>2564161.6189856268</v>
      </c>
      <c r="O121" s="456"/>
      <c r="P121" s="353">
        <v>2564161.6189856268</v>
      </c>
      <c r="S121" s="353"/>
      <c r="T121" s="1088"/>
    </row>
    <row r="122" spans="1:20" ht="15.75" customHeight="1">
      <c r="A122" s="241">
        <f t="shared" si="2"/>
        <v>98</v>
      </c>
      <c r="B122" s="1084">
        <v>9230</v>
      </c>
      <c r="C122" s="276" t="s">
        <v>228</v>
      </c>
      <c r="D122" s="353">
        <f>'C.2.1 B'!D160</f>
        <v>332297.08999999997</v>
      </c>
      <c r="E122" s="353"/>
      <c r="F122" s="353">
        <v>0</v>
      </c>
      <c r="G122" s="397"/>
      <c r="H122" s="353">
        <v>0</v>
      </c>
      <c r="I122" s="456"/>
      <c r="J122" s="353">
        <v>0</v>
      </c>
      <c r="K122" s="353"/>
      <c r="L122" s="353">
        <v>0</v>
      </c>
      <c r="M122" s="353"/>
      <c r="N122" s="353">
        <v>0</v>
      </c>
      <c r="O122" s="456"/>
      <c r="P122" s="353">
        <v>0</v>
      </c>
      <c r="T122" s="1084"/>
    </row>
    <row r="123" spans="1:20" ht="15.75" customHeight="1">
      <c r="A123" s="241">
        <f t="shared" si="2"/>
        <v>99</v>
      </c>
      <c r="B123" s="1084">
        <v>9240</v>
      </c>
      <c r="C123" s="276" t="s">
        <v>456</v>
      </c>
      <c r="D123" s="353">
        <f>'C.2.1 B'!D161</f>
        <v>171002.78999999998</v>
      </c>
      <c r="E123" s="353"/>
      <c r="F123" s="353">
        <v>0</v>
      </c>
      <c r="G123" s="397"/>
      <c r="H123" s="353">
        <v>0</v>
      </c>
      <c r="I123" s="456"/>
      <c r="J123" s="353">
        <v>0</v>
      </c>
      <c r="K123" s="353"/>
      <c r="L123" s="353">
        <v>0</v>
      </c>
      <c r="M123" s="353"/>
      <c r="N123" s="353">
        <v>0</v>
      </c>
      <c r="O123" s="456"/>
      <c r="P123" s="353">
        <v>0</v>
      </c>
      <c r="T123" s="1084"/>
    </row>
    <row r="124" spans="1:20" ht="15.75" customHeight="1">
      <c r="A124" s="241">
        <f t="shared" si="2"/>
        <v>100</v>
      </c>
      <c r="B124" s="1084">
        <v>9250</v>
      </c>
      <c r="C124" s="276" t="s">
        <v>1066</v>
      </c>
      <c r="D124" s="353">
        <f>'C.2.1 B'!D162</f>
        <v>67761.080000000016</v>
      </c>
      <c r="E124" s="353"/>
      <c r="F124" s="353">
        <v>0</v>
      </c>
      <c r="G124" s="397"/>
      <c r="H124" s="353">
        <v>0</v>
      </c>
      <c r="I124" s="456"/>
      <c r="J124" s="353">
        <v>0</v>
      </c>
      <c r="K124" s="353"/>
      <c r="L124" s="353">
        <v>0</v>
      </c>
      <c r="M124" s="353"/>
      <c r="N124" s="353">
        <v>0</v>
      </c>
      <c r="O124" s="456"/>
      <c r="P124" s="353">
        <v>0</v>
      </c>
      <c r="T124" s="1084"/>
    </row>
    <row r="125" spans="1:20" ht="15.75" customHeight="1">
      <c r="A125" s="241">
        <f t="shared" si="2"/>
        <v>101</v>
      </c>
      <c r="B125" s="1084">
        <v>9260</v>
      </c>
      <c r="C125" s="276" t="s">
        <v>1067</v>
      </c>
      <c r="D125" s="353">
        <f>'C.2.1 B'!D163</f>
        <v>1821690.6100000003</v>
      </c>
      <c r="E125" s="353"/>
      <c r="F125" s="353">
        <v>-16968.754522228905</v>
      </c>
      <c r="G125" s="397"/>
      <c r="H125" s="353">
        <v>0</v>
      </c>
      <c r="I125" s="456"/>
      <c r="J125" s="353">
        <v>0</v>
      </c>
      <c r="K125" s="353"/>
      <c r="L125" s="353">
        <v>0</v>
      </c>
      <c r="M125" s="353"/>
      <c r="N125" s="353">
        <v>0</v>
      </c>
      <c r="O125" s="456"/>
      <c r="P125" s="353">
        <v>-16968.754522228905</v>
      </c>
      <c r="T125" s="1084"/>
    </row>
    <row r="126" spans="1:20" ht="15.75" customHeight="1">
      <c r="A126" s="241">
        <f t="shared" si="2"/>
        <v>102</v>
      </c>
      <c r="B126" s="1084">
        <v>9270</v>
      </c>
      <c r="C126" s="276" t="s">
        <v>1180</v>
      </c>
      <c r="D126" s="353">
        <f>'C.2.1 B'!D164</f>
        <v>726.81</v>
      </c>
      <c r="E126" s="353"/>
      <c r="F126" s="353">
        <v>0</v>
      </c>
      <c r="G126" s="397"/>
      <c r="H126" s="353">
        <v>0</v>
      </c>
      <c r="I126" s="456"/>
      <c r="J126" s="353">
        <v>0</v>
      </c>
      <c r="K126" s="353"/>
      <c r="L126" s="353">
        <v>0</v>
      </c>
      <c r="M126" s="353"/>
      <c r="N126" s="353">
        <v>0</v>
      </c>
      <c r="O126" s="456"/>
      <c r="P126" s="353">
        <v>0</v>
      </c>
      <c r="T126" s="1084"/>
    </row>
    <row r="127" spans="1:20" ht="15.75" customHeight="1">
      <c r="A127" s="241">
        <f t="shared" si="2"/>
        <v>103</v>
      </c>
      <c r="B127" s="1084">
        <v>9280</v>
      </c>
      <c r="C127" s="276" t="s">
        <v>1181</v>
      </c>
      <c r="D127" s="353">
        <f>'C.2.1 B'!D165</f>
        <v>146891.86999999997</v>
      </c>
      <c r="E127" s="353"/>
      <c r="F127" s="353">
        <v>0</v>
      </c>
      <c r="G127" s="397"/>
      <c r="H127" s="353">
        <v>0</v>
      </c>
      <c r="I127" s="456"/>
      <c r="J127" s="353">
        <v>0</v>
      </c>
      <c r="K127" s="353"/>
      <c r="L127" s="353">
        <v>0</v>
      </c>
      <c r="M127" s="353"/>
      <c r="N127" s="353">
        <v>0</v>
      </c>
      <c r="O127" s="456"/>
      <c r="P127" s="353">
        <v>0</v>
      </c>
      <c r="T127" s="1084"/>
    </row>
    <row r="128" spans="1:20" ht="15.75" customHeight="1">
      <c r="A128" s="241">
        <f t="shared" si="2"/>
        <v>104</v>
      </c>
      <c r="B128" s="1084">
        <v>9290</v>
      </c>
      <c r="C128" s="276" t="s">
        <v>472</v>
      </c>
      <c r="D128" s="353">
        <v>0</v>
      </c>
      <c r="E128" s="353"/>
      <c r="F128" s="353">
        <v>0</v>
      </c>
      <c r="G128" s="397"/>
      <c r="H128" s="353">
        <v>0</v>
      </c>
      <c r="I128" s="456"/>
      <c r="J128" s="353">
        <v>0</v>
      </c>
      <c r="K128" s="353"/>
      <c r="L128" s="353">
        <v>0</v>
      </c>
      <c r="M128" s="353"/>
      <c r="N128" s="353">
        <v>0</v>
      </c>
      <c r="O128" s="456"/>
      <c r="P128" s="353">
        <v>0</v>
      </c>
      <c r="T128" s="1084"/>
    </row>
    <row r="129" spans="1:20" ht="15.75" customHeight="1">
      <c r="A129" s="241">
        <f t="shared" si="2"/>
        <v>105</v>
      </c>
      <c r="B129" s="1086">
        <v>9301</v>
      </c>
      <c r="C129" s="1087" t="s">
        <v>1182</v>
      </c>
      <c r="D129" s="397">
        <v>0</v>
      </c>
      <c r="E129" s="353"/>
      <c r="F129" s="353">
        <v>0</v>
      </c>
      <c r="G129" s="397"/>
      <c r="H129" s="353">
        <v>0</v>
      </c>
      <c r="I129" s="456"/>
      <c r="J129" s="353">
        <v>0</v>
      </c>
      <c r="K129" s="353"/>
      <c r="L129" s="353">
        <v>0</v>
      </c>
      <c r="M129" s="353"/>
      <c r="N129" s="353">
        <v>0</v>
      </c>
      <c r="O129" s="456"/>
      <c r="P129" s="353">
        <v>0</v>
      </c>
      <c r="T129" s="1084"/>
    </row>
    <row r="130" spans="1:20" ht="15.75" customHeight="1">
      <c r="A130" s="241">
        <f t="shared" si="2"/>
        <v>106</v>
      </c>
      <c r="B130" s="1086">
        <v>9302</v>
      </c>
      <c r="C130" s="1087" t="s">
        <v>1183</v>
      </c>
      <c r="D130" s="397">
        <f>'C.2.1 B'!D166</f>
        <v>111433.38</v>
      </c>
      <c r="E130" s="353"/>
      <c r="F130" s="353">
        <v>0</v>
      </c>
      <c r="G130" s="397"/>
      <c r="H130" s="353">
        <v>0</v>
      </c>
      <c r="I130" s="456"/>
      <c r="J130" s="353">
        <v>0</v>
      </c>
      <c r="K130" s="353"/>
      <c r="L130" s="353">
        <v>0</v>
      </c>
      <c r="M130" s="353"/>
      <c r="N130" s="353">
        <v>0</v>
      </c>
      <c r="O130" s="456"/>
      <c r="P130" s="353">
        <v>0</v>
      </c>
      <c r="T130" s="1084"/>
    </row>
    <row r="131" spans="1:20" ht="15.75" customHeight="1">
      <c r="A131" s="241">
        <f t="shared" si="2"/>
        <v>107</v>
      </c>
      <c r="B131" s="1086">
        <v>9310</v>
      </c>
      <c r="C131" s="1087" t="s">
        <v>1298</v>
      </c>
      <c r="D131" s="397">
        <f>'C.2.1 B'!D167</f>
        <v>15614.639999999998</v>
      </c>
      <c r="E131" s="353"/>
      <c r="F131" s="353">
        <v>0</v>
      </c>
      <c r="G131" s="397"/>
      <c r="H131" s="353">
        <v>-2166.01000982388</v>
      </c>
      <c r="I131" s="456"/>
      <c r="J131" s="353">
        <v>-2166.01000982388</v>
      </c>
      <c r="K131" s="353"/>
      <c r="L131" s="353">
        <v>0</v>
      </c>
      <c r="M131" s="353"/>
      <c r="N131" s="353"/>
      <c r="O131" s="456"/>
      <c r="P131" s="353">
        <v>-4332.0200196477599</v>
      </c>
      <c r="T131" s="1084"/>
    </row>
    <row r="132" spans="1:20" ht="15.75" customHeight="1">
      <c r="A132" s="241">
        <f t="shared" si="2"/>
        <v>108</v>
      </c>
      <c r="B132" s="1086">
        <v>9320</v>
      </c>
      <c r="C132" s="1087" t="s">
        <v>1184</v>
      </c>
      <c r="D132" s="354">
        <f>'C.2.1 B'!D171</f>
        <v>11000</v>
      </c>
      <c r="E132" s="353"/>
      <c r="F132" s="353">
        <v>0</v>
      </c>
      <c r="G132" s="397"/>
      <c r="H132" s="353">
        <v>0</v>
      </c>
      <c r="I132" s="456"/>
      <c r="J132" s="353">
        <v>0</v>
      </c>
      <c r="K132" s="353"/>
      <c r="L132" s="353">
        <v>0</v>
      </c>
      <c r="M132" s="353"/>
      <c r="N132" s="354">
        <v>0</v>
      </c>
      <c r="O132" s="353"/>
      <c r="P132" s="354">
        <v>0</v>
      </c>
      <c r="T132" s="1084"/>
    </row>
    <row r="133" spans="1:20" ht="15.75" customHeight="1">
      <c r="A133" s="241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</row>
    <row r="134" spans="1:20" ht="15.75" customHeight="1">
      <c r="A134" s="241">
        <f>A132+1</f>
        <v>109</v>
      </c>
      <c r="B134" s="66" t="s">
        <v>96</v>
      </c>
      <c r="D134" s="285">
        <f>SUM(D48:D93)+SUM(D99:D132)</f>
        <v>29337923.999999996</v>
      </c>
      <c r="E134" s="96"/>
      <c r="F134" s="285">
        <v>-196877.90637222855</v>
      </c>
      <c r="G134" s="96"/>
      <c r="H134" s="285">
        <v>-102990.28999999983</v>
      </c>
      <c r="I134" s="96"/>
      <c r="J134" s="285">
        <v>-102990.28999999983</v>
      </c>
      <c r="K134" s="96"/>
      <c r="L134" s="285">
        <v>-208292.9660281667</v>
      </c>
      <c r="M134" s="96"/>
      <c r="N134" s="285">
        <v>2564161.6189856268</v>
      </c>
      <c r="O134" s="96"/>
      <c r="P134" s="285">
        <v>1953130.4034960086</v>
      </c>
    </row>
    <row r="135" spans="1:20" ht="15.75" customHeight="1">
      <c r="A135" s="241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</row>
    <row r="136" spans="1:20" ht="15.75" customHeight="1">
      <c r="A136" s="241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</row>
    <row r="137" spans="1:20" ht="15.75" customHeight="1">
      <c r="A137" s="241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</row>
    <row r="138" spans="1:20" ht="15.75" customHeight="1">
      <c r="A138" s="241">
        <f>A134+1</f>
        <v>110</v>
      </c>
      <c r="B138" s="694" t="s">
        <v>318</v>
      </c>
      <c r="C138" s="96"/>
      <c r="D138" s="86">
        <v>7010809.3000999996</v>
      </c>
      <c r="E138" s="96"/>
      <c r="F138" s="86">
        <v>-196877.90637222855</v>
      </c>
      <c r="G138" s="86"/>
      <c r="H138" s="86"/>
      <c r="I138" s="86"/>
      <c r="J138" s="86"/>
      <c r="K138" s="86"/>
      <c r="L138" s="86"/>
      <c r="M138" s="86"/>
      <c r="N138" s="86"/>
      <c r="O138" s="86"/>
      <c r="P138" s="86">
        <v>-196877.90637222855</v>
      </c>
    </row>
    <row r="139" spans="1:20" ht="15.75" customHeight="1">
      <c r="A139" s="241">
        <f>A138+1</f>
        <v>111</v>
      </c>
      <c r="B139" s="66" t="s">
        <v>319</v>
      </c>
      <c r="D139" s="86">
        <v>630786.51000000013</v>
      </c>
      <c r="E139" s="96"/>
      <c r="F139" s="86"/>
      <c r="G139" s="86"/>
      <c r="H139" s="86">
        <v>-102990.28999999983</v>
      </c>
      <c r="I139" s="86"/>
      <c r="J139" s="86"/>
      <c r="K139" s="86"/>
      <c r="L139" s="86"/>
      <c r="M139" s="86"/>
      <c r="N139" s="86"/>
      <c r="O139" s="86"/>
      <c r="P139" s="86">
        <v>-102990.28999999983</v>
      </c>
    </row>
    <row r="140" spans="1:20" ht="15.75" customHeight="1">
      <c r="A140" s="241">
        <f>A139+1</f>
        <v>112</v>
      </c>
      <c r="B140" s="66" t="s">
        <v>320</v>
      </c>
      <c r="D140" s="86">
        <v>15500391.191800002</v>
      </c>
      <c r="E140" s="96"/>
      <c r="F140" s="86"/>
      <c r="G140" s="86"/>
      <c r="H140" s="86"/>
      <c r="I140" s="86"/>
      <c r="J140" s="86">
        <v>-102990.28999999983</v>
      </c>
      <c r="K140" s="86"/>
      <c r="L140" s="86"/>
      <c r="M140" s="86"/>
      <c r="N140" s="86"/>
      <c r="O140" s="86"/>
      <c r="P140" s="86">
        <v>-102990.28999999983</v>
      </c>
    </row>
    <row r="141" spans="1:20" ht="15.75" customHeight="1">
      <c r="A141" s="241">
        <f>A140+1</f>
        <v>113</v>
      </c>
      <c r="B141" s="66" t="s">
        <v>321</v>
      </c>
      <c r="D141" s="86">
        <v>549343.45279999997</v>
      </c>
      <c r="E141" s="96"/>
      <c r="F141" s="86"/>
      <c r="G141" s="86"/>
      <c r="H141" s="86"/>
      <c r="I141" s="86"/>
      <c r="J141" s="86"/>
      <c r="K141" s="86"/>
      <c r="L141" s="86">
        <v>-208292.9660281667</v>
      </c>
      <c r="M141" s="86"/>
      <c r="N141" s="86"/>
      <c r="O141" s="86"/>
      <c r="P141" s="86">
        <v>-208292.9660281667</v>
      </c>
    </row>
    <row r="142" spans="1:20" ht="15.75" customHeight="1">
      <c r="A142" s="241">
        <f>A141+1</f>
        <v>114</v>
      </c>
      <c r="B142" s="66" t="s">
        <v>800</v>
      </c>
      <c r="D142" s="125">
        <f>D121</f>
        <v>11934602.569999998</v>
      </c>
      <c r="E142" s="96"/>
      <c r="F142" s="125">
        <v>8.440110832452774E-10</v>
      </c>
      <c r="G142" s="86"/>
      <c r="H142" s="125">
        <v>-2.0372681319713593E-10</v>
      </c>
      <c r="I142" s="86"/>
      <c r="J142" s="125">
        <v>-372870.73120000423</v>
      </c>
      <c r="K142" s="86"/>
      <c r="L142" s="125"/>
      <c r="M142" s="86"/>
      <c r="N142" s="125">
        <v>2564161.6189856268</v>
      </c>
      <c r="O142" s="86"/>
      <c r="P142" s="461">
        <v>2191290.8877856233</v>
      </c>
    </row>
    <row r="143" spans="1:20" ht="15.75" customHeight="1">
      <c r="A143" s="241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</row>
    <row r="144" spans="1:20" ht="15.75" customHeight="1">
      <c r="A144" s="241">
        <f>A142+1</f>
        <v>115</v>
      </c>
      <c r="B144" s="66" t="s">
        <v>96</v>
      </c>
      <c r="D144" s="285">
        <f>SUM(D138:D142)</f>
        <v>35625933.024700001</v>
      </c>
      <c r="E144" s="96"/>
      <c r="F144" s="285">
        <v>-196877.90637222771</v>
      </c>
      <c r="G144" s="86"/>
      <c r="H144" s="285">
        <v>-102990.29000000004</v>
      </c>
      <c r="I144" s="86"/>
      <c r="J144" s="285">
        <v>-475861.02120000403</v>
      </c>
      <c r="K144" s="86"/>
      <c r="L144" s="285">
        <v>-208292.9660281667</v>
      </c>
      <c r="M144" s="86"/>
      <c r="N144" s="285">
        <v>1468018.1642612219</v>
      </c>
      <c r="O144" s="86"/>
      <c r="P144" s="285">
        <v>1580139.4353852284</v>
      </c>
    </row>
    <row r="145" spans="1:21" ht="15.75" customHeight="1">
      <c r="A145" s="241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</row>
    <row r="146" spans="1:21" ht="15.75" customHeight="1">
      <c r="A146" s="241">
        <f>A144+1</f>
        <v>116</v>
      </c>
      <c r="B146" s="66" t="s">
        <v>224</v>
      </c>
      <c r="D146" s="1007">
        <f>D40</f>
        <v>0.2495</v>
      </c>
      <c r="E146" s="96"/>
      <c r="F146" s="285">
        <v>49121.03763987081</v>
      </c>
      <c r="G146" s="96"/>
      <c r="H146" s="285">
        <v>25696.077355000009</v>
      </c>
      <c r="I146" s="86"/>
      <c r="J146" s="285">
        <v>118727.32478940101</v>
      </c>
      <c r="K146" s="86"/>
      <c r="L146" s="285">
        <v>51969.095024027592</v>
      </c>
      <c r="M146" s="86"/>
      <c r="N146" s="285">
        <v>-366270.53198317485</v>
      </c>
      <c r="O146" s="86"/>
      <c r="P146" s="285">
        <v>-394244.78912861447</v>
      </c>
    </row>
    <row r="147" spans="1:21" ht="15.75" customHeight="1">
      <c r="A147" s="241"/>
      <c r="D147" s="96"/>
      <c r="E147" s="96"/>
      <c r="F147" s="96"/>
      <c r="G147" s="96"/>
      <c r="H147" s="86"/>
      <c r="I147" s="86"/>
      <c r="J147" s="86"/>
      <c r="K147" s="86"/>
      <c r="L147" s="86"/>
      <c r="M147" s="86"/>
      <c r="N147" s="86"/>
      <c r="O147" s="86"/>
      <c r="P147" s="86"/>
    </row>
    <row r="148" spans="1:21" ht="15.75" customHeight="1">
      <c r="A148" s="241">
        <f>A146+1</f>
        <v>117</v>
      </c>
      <c r="B148" s="66" t="s">
        <v>840</v>
      </c>
      <c r="D148" s="96"/>
      <c r="E148" s="96"/>
      <c r="F148" s="285">
        <v>-147756.8687323569</v>
      </c>
      <c r="G148" s="96"/>
      <c r="H148" s="285">
        <v>-77294.212645000021</v>
      </c>
      <c r="I148" s="96"/>
      <c r="J148" s="285">
        <v>-357133.69641060301</v>
      </c>
      <c r="K148" s="96"/>
      <c r="L148" s="285">
        <v>-156323.8710041391</v>
      </c>
      <c r="M148" s="96"/>
      <c r="N148" s="285">
        <v>1101747.632278047</v>
      </c>
      <c r="O148" s="96"/>
      <c r="P148" s="285">
        <v>1185894.646256614</v>
      </c>
    </row>
    <row r="149" spans="1:21" ht="15.75" customHeight="1">
      <c r="A149" s="241"/>
      <c r="B149" s="66"/>
      <c r="D149" s="96"/>
      <c r="E149" s="96"/>
      <c r="F149" s="285"/>
      <c r="G149" s="96"/>
      <c r="H149" s="285"/>
      <c r="I149" s="96"/>
      <c r="J149" s="285"/>
      <c r="K149" s="96"/>
      <c r="L149" s="285"/>
      <c r="M149" s="96"/>
      <c r="N149" s="285"/>
      <c r="O149" s="96"/>
      <c r="P149" s="285"/>
    </row>
    <row r="150" spans="1:21" ht="15.75" customHeight="1">
      <c r="D150" s="96"/>
      <c r="E150" s="96"/>
      <c r="F150" s="96"/>
      <c r="G150" s="96"/>
      <c r="H150" s="855" t="s">
        <v>218</v>
      </c>
      <c r="I150" s="96"/>
      <c r="J150" s="96"/>
      <c r="K150" s="96"/>
      <c r="L150" s="96"/>
      <c r="M150" s="96"/>
      <c r="N150" s="96"/>
      <c r="O150" s="96"/>
      <c r="P150" s="96"/>
    </row>
    <row r="151" spans="1:21" ht="15.75" customHeight="1">
      <c r="A151" s="241" t="s">
        <v>93</v>
      </c>
      <c r="B151" s="276" t="s">
        <v>1303</v>
      </c>
      <c r="D151" s="855" t="s">
        <v>44</v>
      </c>
      <c r="E151" s="96"/>
      <c r="F151" s="1080" t="s">
        <v>1091</v>
      </c>
      <c r="G151" s="1083"/>
      <c r="H151" s="1080" t="s">
        <v>1091</v>
      </c>
      <c r="I151" s="1081"/>
      <c r="J151" s="1077" t="s">
        <v>470</v>
      </c>
      <c r="K151" s="1078"/>
      <c r="L151" s="1080" t="s">
        <v>1089</v>
      </c>
      <c r="M151" s="1081"/>
      <c r="N151" s="1080" t="s">
        <v>1089</v>
      </c>
      <c r="O151" s="1083"/>
      <c r="P151" s="855" t="s">
        <v>96</v>
      </c>
    </row>
    <row r="152" spans="1:21" ht="15.75" customHeight="1">
      <c r="A152" s="1082" t="s">
        <v>99</v>
      </c>
      <c r="B152" s="277" t="s">
        <v>219</v>
      </c>
      <c r="C152" s="240"/>
      <c r="D152" s="972" t="s">
        <v>538</v>
      </c>
      <c r="E152" s="640"/>
      <c r="F152" s="972" t="s">
        <v>606</v>
      </c>
      <c r="G152" s="968" t="s">
        <v>323</v>
      </c>
      <c r="H152" s="972" t="s">
        <v>464</v>
      </c>
      <c r="I152" s="968"/>
      <c r="J152" s="1082" t="s">
        <v>465</v>
      </c>
      <c r="K152" s="239" t="s">
        <v>323</v>
      </c>
      <c r="L152" s="972" t="s">
        <v>466</v>
      </c>
      <c r="M152" s="968" t="s">
        <v>323</v>
      </c>
      <c r="N152" s="972" t="s">
        <v>467</v>
      </c>
      <c r="O152" s="640"/>
      <c r="P152" s="972" t="s">
        <v>471</v>
      </c>
      <c r="U152" s="285"/>
    </row>
    <row r="153" spans="1:21" ht="15.75" customHeight="1">
      <c r="B153" s="279"/>
      <c r="D153" s="1089"/>
      <c r="E153" s="96"/>
      <c r="F153" s="96"/>
      <c r="G153" s="1089"/>
      <c r="H153" s="96"/>
      <c r="I153" s="1085"/>
      <c r="J153" s="96"/>
      <c r="K153" s="1090"/>
      <c r="L153" s="96"/>
      <c r="M153" s="1085"/>
      <c r="N153" s="96"/>
      <c r="O153" s="1089"/>
      <c r="P153" s="96"/>
    </row>
    <row r="154" spans="1:21" ht="15.75" customHeight="1">
      <c r="B154" s="279"/>
      <c r="D154" s="1089"/>
      <c r="E154" s="96"/>
      <c r="F154" s="96"/>
      <c r="G154" s="1089"/>
      <c r="H154" s="96"/>
      <c r="I154" s="1085"/>
      <c r="J154" s="96"/>
      <c r="K154" s="1090"/>
      <c r="L154" s="96"/>
      <c r="M154" s="1085"/>
      <c r="N154" s="96"/>
      <c r="O154" s="1089"/>
      <c r="P154" s="96"/>
    </row>
    <row r="155" spans="1:21" ht="15.75" customHeight="1">
      <c r="A155" s="241">
        <f>A148+1</f>
        <v>118</v>
      </c>
      <c r="B155" s="66" t="s">
        <v>23</v>
      </c>
      <c r="D155" s="353">
        <f>'C.2.1 B'!D176</f>
        <v>20792783.009999998</v>
      </c>
      <c r="E155" s="96"/>
      <c r="F155" s="86">
        <v>2309312.9705251791</v>
      </c>
      <c r="G155" s="1085"/>
      <c r="H155" s="86"/>
      <c r="I155" s="86"/>
      <c r="J155" s="86"/>
      <c r="K155" s="1090"/>
      <c r="L155" s="96"/>
      <c r="M155" s="86"/>
      <c r="N155" s="96"/>
      <c r="O155" s="1089"/>
      <c r="P155" s="86">
        <v>2309312.9705251791</v>
      </c>
    </row>
    <row r="156" spans="1:21" ht="15.75" customHeight="1">
      <c r="A156" s="241">
        <f>A155+1</f>
        <v>119</v>
      </c>
      <c r="B156" s="276" t="s">
        <v>509</v>
      </c>
      <c r="D156" s="86">
        <v>0</v>
      </c>
      <c r="E156" s="96"/>
      <c r="F156" s="86"/>
      <c r="G156" s="86"/>
      <c r="H156" s="86"/>
      <c r="I156" s="1085"/>
      <c r="J156" s="96"/>
      <c r="K156" s="1091"/>
      <c r="L156" s="96"/>
      <c r="M156" s="1085"/>
      <c r="N156" s="96"/>
      <c r="O156" s="1089"/>
      <c r="P156" s="86">
        <v>0</v>
      </c>
    </row>
    <row r="157" spans="1:21" ht="15.75" customHeight="1">
      <c r="A157" s="241">
        <f t="shared" ref="A157:A172" si="3">A156+1</f>
        <v>120</v>
      </c>
      <c r="B157" s="66" t="s">
        <v>166</v>
      </c>
      <c r="D157" s="1092">
        <f>'C.2.2 B 09'!P15</f>
        <v>49462.65</v>
      </c>
      <c r="E157" s="96"/>
      <c r="F157" s="125"/>
      <c r="G157" s="1085"/>
      <c r="H157" s="125"/>
      <c r="I157" s="1085"/>
      <c r="J157" s="640"/>
      <c r="K157" s="1091"/>
      <c r="L157" s="640"/>
      <c r="M157" s="1085"/>
      <c r="N157" s="640"/>
      <c r="O157" s="1089"/>
      <c r="P157" s="125">
        <v>0</v>
      </c>
    </row>
    <row r="158" spans="1:21" ht="15.75" customHeight="1">
      <c r="A158" s="241">
        <f t="shared" si="3"/>
        <v>121</v>
      </c>
      <c r="D158" s="1085"/>
      <c r="E158" s="96"/>
      <c r="F158" s="86"/>
      <c r="G158" s="1085"/>
      <c r="H158" s="86"/>
      <c r="I158" s="1085"/>
      <c r="J158" s="1089"/>
      <c r="K158" s="1090"/>
      <c r="L158" s="96"/>
      <c r="M158" s="1085"/>
      <c r="N158" s="96"/>
      <c r="O158" s="1089"/>
      <c r="P158" s="86"/>
    </row>
    <row r="159" spans="1:21" ht="15.75" customHeight="1">
      <c r="A159" s="241">
        <f t="shared" si="3"/>
        <v>122</v>
      </c>
      <c r="B159" s="66" t="s">
        <v>487</v>
      </c>
      <c r="D159" s="1093">
        <f>SUM(D155:D157)</f>
        <v>20842245.659999996</v>
      </c>
      <c r="E159" s="96"/>
      <c r="F159" s="1093">
        <v>2309312.9705251791</v>
      </c>
      <c r="G159" s="1085"/>
      <c r="H159" s="1093"/>
      <c r="I159" s="96"/>
      <c r="J159" s="1093"/>
      <c r="K159" s="1090"/>
      <c r="L159" s="1093"/>
      <c r="M159" s="96"/>
      <c r="N159" s="1093"/>
      <c r="O159" s="1085"/>
      <c r="P159" s="285">
        <v>2309312.9705251791</v>
      </c>
    </row>
    <row r="160" spans="1:21" ht="15.75" customHeight="1">
      <c r="A160" s="241">
        <f t="shared" si="3"/>
        <v>123</v>
      </c>
      <c r="D160" s="1085"/>
      <c r="E160" s="96"/>
      <c r="F160" s="86"/>
      <c r="G160" s="1085"/>
      <c r="H160" s="86"/>
      <c r="I160" s="1085"/>
      <c r="J160" s="96"/>
      <c r="K160" s="1090"/>
      <c r="L160" s="96"/>
      <c r="M160" s="1085"/>
      <c r="N160" s="96"/>
      <c r="O160" s="1089"/>
      <c r="P160" s="96"/>
    </row>
    <row r="161" spans="1:16" ht="15.75" customHeight="1">
      <c r="A161" s="241">
        <f t="shared" si="3"/>
        <v>124</v>
      </c>
      <c r="B161" s="276" t="s">
        <v>224</v>
      </c>
      <c r="D161" s="1007">
        <f>D40</f>
        <v>0.2495</v>
      </c>
      <c r="E161" s="96"/>
      <c r="F161" s="285">
        <v>576173.5861460322</v>
      </c>
      <c r="G161" s="1085"/>
      <c r="H161" s="285"/>
      <c r="I161" s="1085"/>
      <c r="J161" s="285"/>
      <c r="K161" s="1085"/>
      <c r="L161" s="285"/>
      <c r="M161" s="86"/>
      <c r="N161" s="285"/>
      <c r="O161" s="1085"/>
      <c r="P161" s="285">
        <v>576173.5861460322</v>
      </c>
    </row>
    <row r="162" spans="1:16" ht="15.75" customHeight="1">
      <c r="A162" s="241">
        <f t="shared" si="3"/>
        <v>125</v>
      </c>
      <c r="B162" s="279"/>
      <c r="D162" s="1094"/>
      <c r="E162" s="96"/>
      <c r="F162" s="86"/>
      <c r="G162" s="1085"/>
      <c r="H162" s="86"/>
      <c r="I162" s="1085"/>
      <c r="J162" s="96"/>
      <c r="K162" s="1090"/>
      <c r="L162" s="96"/>
      <c r="M162" s="1085"/>
      <c r="N162" s="96"/>
      <c r="O162" s="1089"/>
      <c r="P162" s="96"/>
    </row>
    <row r="163" spans="1:16" ht="15.75" customHeight="1">
      <c r="A163" s="241">
        <f t="shared" si="3"/>
        <v>126</v>
      </c>
      <c r="B163" s="276" t="s">
        <v>840</v>
      </c>
      <c r="D163" s="1085"/>
      <c r="E163" s="96"/>
      <c r="F163" s="285">
        <v>1733139.3843791469</v>
      </c>
      <c r="G163" s="1085"/>
      <c r="H163" s="285"/>
      <c r="I163" s="1085"/>
      <c r="J163" s="285"/>
      <c r="K163" s="1085"/>
      <c r="L163" s="285"/>
      <c r="M163" s="1085"/>
      <c r="N163" s="285"/>
      <c r="O163" s="1085"/>
      <c r="P163" s="285">
        <v>1733139.3843791469</v>
      </c>
    </row>
    <row r="164" spans="1:16" ht="15.75" customHeight="1">
      <c r="A164" s="241">
        <f t="shared" si="3"/>
        <v>127</v>
      </c>
      <c r="B164" s="279"/>
      <c r="D164" s="1085"/>
      <c r="E164" s="96"/>
      <c r="F164" s="86"/>
      <c r="G164" s="1085"/>
      <c r="H164" s="86"/>
      <c r="I164" s="1085"/>
      <c r="J164" s="96"/>
      <c r="K164" s="1090"/>
      <c r="L164" s="96"/>
      <c r="M164" s="1085"/>
      <c r="N164" s="96"/>
      <c r="O164" s="1089"/>
      <c r="P164" s="96"/>
    </row>
    <row r="165" spans="1:16" ht="15.75" customHeight="1">
      <c r="A165" s="241">
        <f t="shared" si="3"/>
        <v>128</v>
      </c>
      <c r="D165" s="96"/>
      <c r="E165" s="96"/>
      <c r="F165" s="86"/>
      <c r="G165" s="1085"/>
      <c r="H165" s="86"/>
      <c r="I165" s="86"/>
      <c r="J165" s="96"/>
      <c r="K165" s="1090"/>
      <c r="L165" s="96"/>
      <c r="M165" s="86"/>
      <c r="N165" s="1089"/>
      <c r="O165" s="1089"/>
      <c r="P165" s="96"/>
    </row>
    <row r="166" spans="1:16" ht="15.75" customHeight="1">
      <c r="A166" s="241">
        <f t="shared" si="3"/>
        <v>129</v>
      </c>
      <c r="B166" s="279"/>
      <c r="D166" s="86"/>
      <c r="E166" s="96"/>
      <c r="F166" s="86"/>
      <c r="G166" s="86"/>
      <c r="H166" s="1085"/>
      <c r="I166" s="96"/>
      <c r="J166" s="96"/>
      <c r="K166" s="96"/>
      <c r="L166" s="96"/>
      <c r="M166" s="96"/>
      <c r="N166" s="96"/>
      <c r="O166" s="96"/>
      <c r="P166" s="96"/>
    </row>
    <row r="167" spans="1:16" ht="15.75" customHeight="1">
      <c r="A167" s="241">
        <f t="shared" si="3"/>
        <v>130</v>
      </c>
      <c r="D167" s="86"/>
      <c r="E167" s="96"/>
      <c r="F167" s="86"/>
      <c r="G167" s="86"/>
      <c r="H167" s="1085"/>
      <c r="I167" s="96"/>
      <c r="J167" s="96"/>
      <c r="K167" s="96"/>
      <c r="L167" s="96"/>
      <c r="M167" s="96"/>
      <c r="N167" s="96"/>
      <c r="O167" s="96"/>
      <c r="P167" s="96"/>
    </row>
    <row r="168" spans="1:16" ht="15.75" customHeight="1">
      <c r="A168" s="241">
        <f t="shared" si="3"/>
        <v>131</v>
      </c>
      <c r="B168" s="276" t="s">
        <v>569</v>
      </c>
      <c r="D168" s="1093">
        <f>'C.2.2 B 09'!P16</f>
        <v>6454875.1700000009</v>
      </c>
      <c r="E168" s="96"/>
      <c r="F168" s="285"/>
      <c r="G168" s="86"/>
      <c r="H168" s="1093">
        <v>1056961.7626441745</v>
      </c>
      <c r="I168" s="96"/>
      <c r="J168" s="1095"/>
      <c r="K168" s="96"/>
      <c r="L168" s="1095"/>
      <c r="M168" s="96"/>
      <c r="N168" s="1095"/>
      <c r="O168" s="96"/>
      <c r="P168" s="285">
        <v>1056961.7626441745</v>
      </c>
    </row>
    <row r="169" spans="1:16" ht="15.75" customHeight="1">
      <c r="A169" s="241">
        <f t="shared" si="3"/>
        <v>132</v>
      </c>
      <c r="D169" s="86"/>
      <c r="E169" s="96"/>
      <c r="F169" s="86"/>
      <c r="G169" s="86"/>
      <c r="H169" s="1085"/>
      <c r="I169" s="96"/>
      <c r="J169" s="96"/>
      <c r="K169" s="96"/>
      <c r="L169" s="96"/>
      <c r="M169" s="96"/>
      <c r="N169" s="96"/>
      <c r="O169" s="96"/>
      <c r="P169" s="96"/>
    </row>
    <row r="170" spans="1:16" ht="15.75" customHeight="1">
      <c r="A170" s="241">
        <f t="shared" si="3"/>
        <v>133</v>
      </c>
      <c r="B170" s="276" t="s">
        <v>224</v>
      </c>
      <c r="D170" s="1007">
        <f>D40</f>
        <v>0.2495</v>
      </c>
      <c r="E170" s="96"/>
      <c r="F170" s="285"/>
      <c r="G170" s="86"/>
      <c r="H170" s="285">
        <v>263711.95977972157</v>
      </c>
      <c r="I170" s="96"/>
      <c r="J170" s="285"/>
      <c r="K170" s="86"/>
      <c r="L170" s="285"/>
      <c r="M170" s="96"/>
      <c r="N170" s="285"/>
      <c r="O170" s="86"/>
      <c r="P170" s="285">
        <v>263711.95977972157</v>
      </c>
    </row>
    <row r="171" spans="1:16" ht="15.75" customHeight="1">
      <c r="A171" s="241">
        <f t="shared" si="3"/>
        <v>134</v>
      </c>
      <c r="B171" s="279"/>
      <c r="D171" s="1094"/>
      <c r="E171" s="96"/>
      <c r="F171" s="86"/>
      <c r="G171" s="86"/>
      <c r="H171" s="86"/>
      <c r="I171" s="96"/>
      <c r="J171" s="86"/>
      <c r="K171" s="86"/>
      <c r="L171" s="86"/>
      <c r="M171" s="96"/>
      <c r="N171" s="86"/>
      <c r="O171" s="86"/>
      <c r="P171" s="86"/>
    </row>
    <row r="172" spans="1:16" ht="15.75" customHeight="1">
      <c r="A172" s="241">
        <f t="shared" si="3"/>
        <v>135</v>
      </c>
      <c r="B172" s="276" t="s">
        <v>840</v>
      </c>
      <c r="D172" s="1096"/>
      <c r="F172" s="1097"/>
      <c r="G172" s="1096"/>
      <c r="H172" s="1097">
        <v>793249.80286445294</v>
      </c>
      <c r="I172" s="279"/>
      <c r="J172" s="1097"/>
      <c r="K172" s="1096"/>
      <c r="L172" s="1097"/>
      <c r="M172" s="279"/>
      <c r="N172" s="1097"/>
      <c r="O172" s="1096"/>
      <c r="P172" s="1097">
        <v>793249.80286445294</v>
      </c>
    </row>
    <row r="173" spans="1:16" ht="15.75" customHeight="1">
      <c r="A173" s="241"/>
      <c r="B173" s="279"/>
      <c r="D173" s="63"/>
      <c r="F173" s="63"/>
      <c r="G173" s="1096"/>
      <c r="H173" s="63"/>
      <c r="I173" s="279"/>
      <c r="K173" s="279"/>
      <c r="M173" s="279"/>
      <c r="O173" s="279"/>
    </row>
    <row r="174" spans="1:16" ht="15.75" customHeight="1">
      <c r="A174" s="241"/>
      <c r="D174" s="1096"/>
      <c r="F174" s="63"/>
      <c r="G174" s="63"/>
      <c r="H174" s="63"/>
      <c r="I174" s="279"/>
      <c r="K174" s="279"/>
      <c r="M174" s="279"/>
      <c r="O174" s="279"/>
    </row>
    <row r="175" spans="1:16" ht="15.75" customHeight="1">
      <c r="A175" s="241"/>
      <c r="D175" s="63"/>
      <c r="F175" s="63"/>
      <c r="G175" s="1096"/>
      <c r="H175" s="63"/>
      <c r="I175" s="279"/>
      <c r="K175" s="279"/>
      <c r="M175" s="279"/>
    </row>
    <row r="176" spans="1:16" ht="15.75" customHeight="1">
      <c r="A176" s="241"/>
      <c r="D176" s="1096"/>
      <c r="F176" s="63"/>
      <c r="G176" s="1096"/>
      <c r="H176" s="63"/>
    </row>
    <row r="177" spans="1:15" ht="15.75" customHeight="1">
      <c r="A177" s="241"/>
      <c r="B177" s="62" t="s">
        <v>1265</v>
      </c>
      <c r="D177" s="1096"/>
      <c r="G177" s="279"/>
      <c r="I177" s="1096"/>
      <c r="K177" s="1098"/>
      <c r="M177" s="1096"/>
      <c r="O177" s="279"/>
    </row>
    <row r="178" spans="1:15" ht="15.75" customHeight="1">
      <c r="C178" s="62" t="s">
        <v>1620</v>
      </c>
    </row>
  </sheetData>
  <phoneticPr fontId="23" type="noConversion"/>
  <printOptions horizontalCentered="1"/>
  <pageMargins left="0.64" right="0.5" top="1" bottom="0.5" header="0.5" footer="0.5"/>
  <pageSetup scale="47" fitToHeight="0" orientation="portrait" verticalDpi="300" r:id="rId1"/>
  <headerFooter alignWithMargins="0">
    <oddFooter>&amp;RSchedule &amp;A
Page &amp;P of &amp;N</oddFooter>
  </headerFooter>
  <rowBreaks count="5" manualBreakCount="5">
    <brk id="42" max="15" man="1"/>
    <brk id="93" max="15" man="1"/>
    <brk id="148" max="15" man="1"/>
    <brk id="185" max="25" man="1"/>
    <brk id="239" max="25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O112"/>
  <sheetViews>
    <sheetView view="pageBreakPreview" zoomScale="80" zoomScaleNormal="90" zoomScaleSheetLayoutView="80" workbookViewId="0">
      <pane ySplit="11" topLeftCell="A42" activePane="bottomLeft" state="frozen"/>
      <selection activeCell="H168" sqref="H168"/>
      <selection pane="bottomLeft" activeCell="D53" sqref="D53"/>
    </sheetView>
  </sheetViews>
  <sheetFormatPr defaultColWidth="7.109375" defaultRowHeight="15.75" customHeight="1"/>
  <cols>
    <col min="1" max="1" width="3.77734375" style="1" customWidth="1"/>
    <col min="2" max="2" width="82.33203125" style="1" bestFit="1" customWidth="1"/>
    <col min="3" max="3" width="11.88671875" style="1" customWidth="1"/>
    <col min="4" max="4" width="17.77734375" style="1" customWidth="1"/>
    <col min="5" max="11" width="7.109375" style="1"/>
    <col min="12" max="12" width="7.88671875" style="1" customWidth="1"/>
    <col min="13" max="13" width="8.5546875" style="1" customWidth="1"/>
    <col min="14" max="16384" width="7.109375" style="1"/>
  </cols>
  <sheetData>
    <row r="1" spans="1:6" ht="15.75" customHeight="1">
      <c r="A1" s="1203" t="str">
        <f>'Table of Contents'!A1:C1</f>
        <v>Atmos Energy Corporation, Kentucky/Mid-States Division</v>
      </c>
      <c r="B1" s="1203"/>
      <c r="C1" s="1203"/>
      <c r="D1" s="1203"/>
      <c r="E1" s="30"/>
      <c r="F1"/>
    </row>
    <row r="2" spans="1:6" ht="15.75" customHeight="1">
      <c r="A2" s="1203" t="str">
        <f>'Table of Contents'!A2:C2</f>
        <v>Kentucky Jurisdiction Case No. 2018-00281</v>
      </c>
      <c r="B2" s="1203"/>
      <c r="C2" s="1203"/>
      <c r="D2" s="1203"/>
      <c r="E2" s="30"/>
      <c r="F2"/>
    </row>
    <row r="3" spans="1:6" ht="15.75" customHeight="1">
      <c r="A3" s="1203" t="s">
        <v>430</v>
      </c>
      <c r="B3" s="1203"/>
      <c r="C3" s="1203"/>
      <c r="D3" s="1203"/>
      <c r="E3" s="30"/>
      <c r="F3"/>
    </row>
    <row r="4" spans="1:6" ht="15.75" customHeight="1">
      <c r="A4" s="1203" t="str">
        <f>Allocation!A4</f>
        <v>Forecasted Test Period: Twelve Months Ended March 31, 2020</v>
      </c>
      <c r="B4" s="1203"/>
      <c r="C4" s="1203"/>
      <c r="D4" s="1203"/>
      <c r="E4" s="30"/>
      <c r="F4"/>
    </row>
    <row r="5" spans="1:6" ht="15.75" customHeight="1">
      <c r="B5" s="186"/>
      <c r="C5" s="30"/>
      <c r="D5" s="30"/>
      <c r="E5" s="30"/>
      <c r="F5"/>
    </row>
    <row r="6" spans="1:6" ht="15.75" customHeight="1">
      <c r="D6" s="35"/>
      <c r="F6"/>
    </row>
    <row r="7" spans="1:6" ht="15.75" customHeight="1">
      <c r="B7" s="4" t="s">
        <v>468</v>
      </c>
      <c r="D7" s="547" t="s">
        <v>1431</v>
      </c>
      <c r="F7"/>
    </row>
    <row r="8" spans="1:6" ht="15.75" customHeight="1">
      <c r="B8" s="4" t="s">
        <v>539</v>
      </c>
      <c r="D8" s="497" t="s">
        <v>255</v>
      </c>
      <c r="F8"/>
    </row>
    <row r="9" spans="1:6" ht="15.75" customHeight="1">
      <c r="A9" s="33"/>
      <c r="B9" s="4" t="s">
        <v>365</v>
      </c>
      <c r="C9" s="33"/>
      <c r="D9" s="497" t="str">
        <f>D.1!P9</f>
        <v>Witness:  Waller, Densman</v>
      </c>
      <c r="E9" s="35"/>
      <c r="F9"/>
    </row>
    <row r="10" spans="1:6" ht="15.75" customHeight="1">
      <c r="A10" s="1" t="s">
        <v>1078</v>
      </c>
      <c r="B10" s="13"/>
      <c r="C10" s="35"/>
      <c r="D10" s="59"/>
      <c r="E10" s="35"/>
      <c r="F10"/>
    </row>
    <row r="11" spans="1:6" ht="15.75" customHeight="1">
      <c r="A11" s="33" t="s">
        <v>1079</v>
      </c>
      <c r="B11" s="252" t="s">
        <v>603</v>
      </c>
      <c r="C11" s="6"/>
      <c r="D11" s="9" t="s">
        <v>104</v>
      </c>
      <c r="E11" s="35"/>
      <c r="F11"/>
    </row>
    <row r="12" spans="1:6" ht="15.75" customHeight="1">
      <c r="A12" s="54">
        <v>1</v>
      </c>
      <c r="B12" s="196" t="s">
        <v>604</v>
      </c>
      <c r="F12"/>
    </row>
    <row r="13" spans="1:6" ht="15.75" customHeight="1">
      <c r="A13" s="54">
        <f>A12+1</f>
        <v>2</v>
      </c>
      <c r="B13" s="88" t="s">
        <v>1274</v>
      </c>
      <c r="C13" s="88" t="s">
        <v>43</v>
      </c>
      <c r="D13" s="580">
        <f>'C.2.1 F'!D15</f>
        <v>96519490.135870919</v>
      </c>
      <c r="F13"/>
    </row>
    <row r="14" spans="1:6" ht="15.75" customHeight="1">
      <c r="A14" s="762">
        <f t="shared" ref="A14:A72" si="0">A13+1</f>
        <v>3</v>
      </c>
      <c r="B14" s="88" t="s">
        <v>1695</v>
      </c>
      <c r="C14" s="88" t="s">
        <v>44</v>
      </c>
      <c r="D14" s="83">
        <f>'C.2.1 B'!D15</f>
        <v>104140252.17000003</v>
      </c>
      <c r="F14"/>
    </row>
    <row r="15" spans="1:6" ht="15.75" customHeight="1">
      <c r="A15" s="762">
        <f t="shared" si="0"/>
        <v>4</v>
      </c>
      <c r="B15" s="81"/>
      <c r="C15" s="88" t="s">
        <v>150</v>
      </c>
      <c r="D15" s="580">
        <f>D13-D14</f>
        <v>-7620762.034129113</v>
      </c>
      <c r="F15"/>
    </row>
    <row r="16" spans="1:6" ht="15.75" customHeight="1">
      <c r="A16" s="762">
        <f t="shared" si="0"/>
        <v>5</v>
      </c>
      <c r="B16" s="81"/>
      <c r="C16" s="81"/>
      <c r="D16" s="166">
        <f>D15/D14</f>
        <v>-7.31778719115148E-2</v>
      </c>
      <c r="F16"/>
    </row>
    <row r="17" spans="1:6" ht="15.75" customHeight="1">
      <c r="A17" s="762">
        <f t="shared" si="0"/>
        <v>6</v>
      </c>
      <c r="B17" s="81"/>
      <c r="C17" s="81"/>
      <c r="D17" s="166"/>
      <c r="F17"/>
    </row>
    <row r="18" spans="1:6" ht="15.75" customHeight="1">
      <c r="A18" s="762">
        <f t="shared" si="0"/>
        <v>7</v>
      </c>
      <c r="B18" s="88" t="s">
        <v>1275</v>
      </c>
      <c r="C18" s="88" t="s">
        <v>43</v>
      </c>
      <c r="D18" s="580">
        <f>'C.2.1 F'!D16</f>
        <v>41608020.101760417</v>
      </c>
      <c r="F18"/>
    </row>
    <row r="19" spans="1:6" ht="15.75" customHeight="1">
      <c r="A19" s="762">
        <f t="shared" si="0"/>
        <v>8</v>
      </c>
      <c r="B19" s="88" t="s">
        <v>1695</v>
      </c>
      <c r="C19" s="88" t="s">
        <v>44</v>
      </c>
      <c r="D19" s="83">
        <f>'C.2.1 B'!D17</f>
        <v>44941378.350000001</v>
      </c>
      <c r="F19"/>
    </row>
    <row r="20" spans="1:6" ht="15.75" customHeight="1">
      <c r="A20" s="762">
        <f t="shared" si="0"/>
        <v>9</v>
      </c>
      <c r="B20" s="81"/>
      <c r="C20" s="88" t="s">
        <v>150</v>
      </c>
      <c r="D20" s="580">
        <f>D18-D19</f>
        <v>-3333358.2482395843</v>
      </c>
      <c r="F20"/>
    </row>
    <row r="21" spans="1:6" ht="15.75" customHeight="1">
      <c r="A21" s="762">
        <f t="shared" si="0"/>
        <v>10</v>
      </c>
      <c r="B21" s="81"/>
      <c r="C21" s="81"/>
      <c r="D21" s="166">
        <f>D20/D19</f>
        <v>-7.4171250874409025E-2</v>
      </c>
      <c r="F21"/>
    </row>
    <row r="22" spans="1:6" ht="15.75" customHeight="1">
      <c r="A22" s="762">
        <f t="shared" si="0"/>
        <v>11</v>
      </c>
      <c r="B22" s="81"/>
      <c r="C22" s="81"/>
      <c r="D22" s="166"/>
      <c r="F22"/>
    </row>
    <row r="23" spans="1:6" ht="15.75" customHeight="1">
      <c r="A23" s="762">
        <f t="shared" si="0"/>
        <v>12</v>
      </c>
      <c r="B23" s="88" t="s">
        <v>1276</v>
      </c>
      <c r="C23" s="88" t="s">
        <v>43</v>
      </c>
      <c r="D23" s="580">
        <f>'C.2.1 F'!D17</f>
        <v>5370384.8363220226</v>
      </c>
      <c r="F23"/>
    </row>
    <row r="24" spans="1:6" ht="15.75" customHeight="1">
      <c r="A24" s="762">
        <f t="shared" si="0"/>
        <v>13</v>
      </c>
      <c r="B24" s="88" t="s">
        <v>1605</v>
      </c>
      <c r="C24" s="88" t="s">
        <v>44</v>
      </c>
      <c r="D24" s="83">
        <f>'C.2.1 B'!D18</f>
        <v>6556064.4399999995</v>
      </c>
      <c r="F24"/>
    </row>
    <row r="25" spans="1:6" ht="15.75" customHeight="1">
      <c r="A25" s="762">
        <f t="shared" si="0"/>
        <v>14</v>
      </c>
      <c r="B25" s="81" t="s">
        <v>1591</v>
      </c>
      <c r="C25" s="88" t="s">
        <v>150</v>
      </c>
      <c r="D25" s="580">
        <f>D23-D24</f>
        <v>-1185679.6036779769</v>
      </c>
      <c r="F25"/>
    </row>
    <row r="26" spans="1:6" ht="15.75" customHeight="1">
      <c r="A26" s="762">
        <f t="shared" si="0"/>
        <v>15</v>
      </c>
      <c r="B26" s="81"/>
      <c r="C26" s="81"/>
      <c r="D26" s="166">
        <f>D25/D24</f>
        <v>-0.18085234129852101</v>
      </c>
      <c r="F26"/>
    </row>
    <row r="27" spans="1:6" ht="15.75" customHeight="1">
      <c r="A27" s="762">
        <f t="shared" si="0"/>
        <v>16</v>
      </c>
      <c r="B27" s="81"/>
      <c r="C27" s="81"/>
      <c r="D27" s="166"/>
      <c r="F27"/>
    </row>
    <row r="28" spans="1:6" ht="15.75" customHeight="1">
      <c r="A28" s="762">
        <f t="shared" si="0"/>
        <v>17</v>
      </c>
      <c r="B28" s="88" t="s">
        <v>1277</v>
      </c>
      <c r="C28" s="88" t="s">
        <v>43</v>
      </c>
      <c r="D28" s="580">
        <f>'C.2.1 F'!D18</f>
        <v>6749806.8088478921</v>
      </c>
      <c r="F28"/>
    </row>
    <row r="29" spans="1:6" ht="15.75" customHeight="1">
      <c r="A29" s="762">
        <f t="shared" si="0"/>
        <v>18</v>
      </c>
      <c r="B29" s="88" t="s">
        <v>1696</v>
      </c>
      <c r="C29" s="88" t="s">
        <v>44</v>
      </c>
      <c r="D29" s="83">
        <f>'C.2.1 B'!D21</f>
        <v>7381197.1900000013</v>
      </c>
      <c r="F29"/>
    </row>
    <row r="30" spans="1:6" ht="15.75" customHeight="1">
      <c r="A30" s="762">
        <f t="shared" si="0"/>
        <v>19</v>
      </c>
      <c r="B30" s="81"/>
      <c r="C30" s="88" t="s">
        <v>150</v>
      </c>
      <c r="D30" s="580">
        <f>D28-D29</f>
        <v>-631390.38115210924</v>
      </c>
      <c r="F30"/>
    </row>
    <row r="31" spans="1:6" ht="15.75" customHeight="1">
      <c r="A31" s="762">
        <f t="shared" si="0"/>
        <v>20</v>
      </c>
      <c r="B31" s="81"/>
      <c r="C31" s="81"/>
      <c r="D31" s="166">
        <f>D30/D29</f>
        <v>-8.5540375754696391E-2</v>
      </c>
      <c r="F31"/>
    </row>
    <row r="32" spans="1:6" ht="15.75" customHeight="1">
      <c r="A32" s="762">
        <f t="shared" si="0"/>
        <v>21</v>
      </c>
      <c r="B32" s="81"/>
      <c r="C32" s="81"/>
      <c r="D32" s="166"/>
      <c r="F32"/>
    </row>
    <row r="33" spans="1:6" ht="15.75" customHeight="1">
      <c r="A33" s="762">
        <f t="shared" si="0"/>
        <v>22</v>
      </c>
      <c r="B33" s="81" t="s">
        <v>652</v>
      </c>
      <c r="C33" s="88" t="s">
        <v>43</v>
      </c>
      <c r="D33" s="580">
        <v>0</v>
      </c>
      <c r="F33"/>
    </row>
    <row r="34" spans="1:6" ht="15.75" customHeight="1">
      <c r="A34" s="762">
        <f t="shared" si="0"/>
        <v>23</v>
      </c>
      <c r="B34" s="81"/>
      <c r="C34" s="88" t="s">
        <v>44</v>
      </c>
      <c r="D34" s="83">
        <v>0</v>
      </c>
      <c r="F34"/>
    </row>
    <row r="35" spans="1:6" ht="15.75" customHeight="1">
      <c r="A35" s="762">
        <f t="shared" si="0"/>
        <v>24</v>
      </c>
      <c r="B35" s="81"/>
      <c r="C35" s="88" t="s">
        <v>150</v>
      </c>
      <c r="D35" s="580">
        <f>D33-D34</f>
        <v>0</v>
      </c>
      <c r="F35"/>
    </row>
    <row r="36" spans="1:6" ht="15.75" customHeight="1">
      <c r="A36" s="762">
        <f t="shared" si="0"/>
        <v>25</v>
      </c>
      <c r="B36" s="81"/>
      <c r="C36" s="81"/>
      <c r="D36" s="581">
        <f>IF(D34=0,0,D35/D34)</f>
        <v>0</v>
      </c>
      <c r="F36"/>
    </row>
    <row r="37" spans="1:6" ht="15.75" customHeight="1">
      <c r="A37" s="762">
        <f t="shared" si="0"/>
        <v>26</v>
      </c>
      <c r="B37" s="600" t="s">
        <v>605</v>
      </c>
      <c r="C37" s="81"/>
      <c r="D37" s="81"/>
      <c r="F37"/>
    </row>
    <row r="38" spans="1:6" ht="15.75" customHeight="1">
      <c r="A38" s="762">
        <f t="shared" si="0"/>
        <v>27</v>
      </c>
      <c r="B38" s="81" t="s">
        <v>1280</v>
      </c>
      <c r="C38" s="88" t="s">
        <v>43</v>
      </c>
      <c r="D38" s="580">
        <f>'C.2.1 F'!D22</f>
        <v>1304964.5637731818</v>
      </c>
      <c r="F38"/>
    </row>
    <row r="39" spans="1:6" ht="15.75" customHeight="1">
      <c r="A39" s="762">
        <f t="shared" si="0"/>
        <v>28</v>
      </c>
      <c r="B39" s="81" t="s">
        <v>1281</v>
      </c>
      <c r="C39" s="88" t="s">
        <v>44</v>
      </c>
      <c r="D39" s="83">
        <f>'C.2.1 B'!D26</f>
        <v>1373536.7699999998</v>
      </c>
      <c r="F39"/>
    </row>
    <row r="40" spans="1:6" ht="15.75" customHeight="1">
      <c r="A40" s="762">
        <f t="shared" si="0"/>
        <v>29</v>
      </c>
      <c r="B40" s="81"/>
      <c r="C40" s="88" t="s">
        <v>150</v>
      </c>
      <c r="D40" s="580">
        <f>D38-D39</f>
        <v>-68572.206226818031</v>
      </c>
      <c r="F40"/>
    </row>
    <row r="41" spans="1:6" ht="15.75" customHeight="1">
      <c r="A41" s="762">
        <f t="shared" si="0"/>
        <v>30</v>
      </c>
      <c r="B41" s="81"/>
      <c r="C41" s="81"/>
      <c r="D41" s="166">
        <f>D40/D39</f>
        <v>-4.9923822735970909E-2</v>
      </c>
      <c r="F41"/>
    </row>
    <row r="42" spans="1:6" ht="15.75" customHeight="1">
      <c r="A42" s="762">
        <f t="shared" si="0"/>
        <v>31</v>
      </c>
      <c r="B42" s="81"/>
      <c r="C42" s="81"/>
      <c r="D42" s="166"/>
      <c r="F42"/>
    </row>
    <row r="43" spans="1:6" ht="15.75" customHeight="1">
      <c r="A43" s="762">
        <f t="shared" si="0"/>
        <v>32</v>
      </c>
      <c r="B43" s="88" t="s">
        <v>1375</v>
      </c>
      <c r="C43" s="88" t="s">
        <v>43</v>
      </c>
      <c r="D43" s="580">
        <f>'C.2.1 F'!D23</f>
        <v>806054</v>
      </c>
      <c r="F43"/>
    </row>
    <row r="44" spans="1:6" ht="15.75" customHeight="1">
      <c r="A44" s="762">
        <f t="shared" si="0"/>
        <v>33</v>
      </c>
      <c r="B44" s="88" t="s">
        <v>1278</v>
      </c>
      <c r="C44" s="88" t="s">
        <v>44</v>
      </c>
      <c r="D44" s="83">
        <f>'C.2.1 B'!D27</f>
        <v>783570.45</v>
      </c>
      <c r="F44"/>
    </row>
    <row r="45" spans="1:6" ht="15.75" customHeight="1">
      <c r="A45" s="762">
        <f t="shared" si="0"/>
        <v>34</v>
      </c>
      <c r="B45" s="81"/>
      <c r="C45" s="88" t="s">
        <v>150</v>
      </c>
      <c r="D45" s="580">
        <f>D43-D44</f>
        <v>22483.550000000047</v>
      </c>
      <c r="F45"/>
    </row>
    <row r="46" spans="1:6" ht="15.75" customHeight="1">
      <c r="A46" s="762">
        <f t="shared" si="0"/>
        <v>35</v>
      </c>
      <c r="B46" s="81"/>
      <c r="C46" s="81"/>
      <c r="D46" s="166">
        <f>D45/D44</f>
        <v>2.8693718605646814E-2</v>
      </c>
      <c r="F46"/>
    </row>
    <row r="47" spans="1:6" ht="15.75" customHeight="1">
      <c r="A47" s="762">
        <f t="shared" si="0"/>
        <v>36</v>
      </c>
      <c r="B47" s="81"/>
      <c r="C47" s="81"/>
      <c r="D47" s="166"/>
      <c r="F47"/>
    </row>
    <row r="48" spans="1:6" ht="15.75" customHeight="1">
      <c r="A48" s="762">
        <f t="shared" si="0"/>
        <v>37</v>
      </c>
      <c r="B48" s="88" t="s">
        <v>1279</v>
      </c>
      <c r="C48" s="88" t="s">
        <v>43</v>
      </c>
      <c r="D48" s="580">
        <f>'C.2.1 F'!D24</f>
        <v>14881381.989872882</v>
      </c>
      <c r="F48"/>
    </row>
    <row r="49" spans="1:11" ht="15.75" customHeight="1">
      <c r="A49" s="762">
        <f t="shared" si="0"/>
        <v>38</v>
      </c>
      <c r="B49" s="88" t="s">
        <v>1604</v>
      </c>
      <c r="C49" s="88" t="s">
        <v>44</v>
      </c>
      <c r="D49" s="83">
        <f>'C.2.1 B'!D28</f>
        <v>18537372.689999998</v>
      </c>
      <c r="F49"/>
    </row>
    <row r="50" spans="1:11" ht="15.75" customHeight="1">
      <c r="A50" s="762">
        <f t="shared" si="0"/>
        <v>39</v>
      </c>
      <c r="B50" s="81"/>
      <c r="C50" s="88" t="s">
        <v>150</v>
      </c>
      <c r="D50" s="580">
        <f>D48-D49</f>
        <v>-3655990.7001271155</v>
      </c>
      <c r="F50"/>
    </row>
    <row r="51" spans="1:11" ht="15.75" customHeight="1">
      <c r="A51" s="762">
        <f t="shared" si="0"/>
        <v>40</v>
      </c>
      <c r="B51" s="81"/>
      <c r="C51" s="81"/>
      <c r="D51" s="166">
        <f>D50/D49</f>
        <v>-0.19722270039374798</v>
      </c>
      <c r="F51"/>
    </row>
    <row r="52" spans="1:11" ht="15.75" customHeight="1">
      <c r="A52" s="762">
        <f t="shared" si="0"/>
        <v>41</v>
      </c>
      <c r="B52" s="81"/>
      <c r="C52" s="81"/>
      <c r="D52" s="166"/>
      <c r="F52"/>
    </row>
    <row r="53" spans="1:11" ht="15.75" customHeight="1">
      <c r="A53" s="762">
        <f t="shared" si="0"/>
        <v>42</v>
      </c>
      <c r="B53" s="81" t="s">
        <v>1488</v>
      </c>
      <c r="C53" s="88" t="s">
        <v>43</v>
      </c>
      <c r="D53" s="580">
        <f>'C.2.1 F'!D25</f>
        <v>2477763.4005084746</v>
      </c>
      <c r="F53"/>
    </row>
    <row r="54" spans="1:11" ht="15.75" customHeight="1">
      <c r="A54" s="762">
        <f t="shared" si="0"/>
        <v>43</v>
      </c>
      <c r="B54" s="103" t="s">
        <v>1489</v>
      </c>
      <c r="C54" s="88" t="s">
        <v>44</v>
      </c>
      <c r="D54" s="83">
        <f>'C.2.1 B'!D29</f>
        <v>1.19</v>
      </c>
      <c r="F54"/>
    </row>
    <row r="55" spans="1:11" ht="15.75" customHeight="1">
      <c r="A55" s="762">
        <f t="shared" si="0"/>
        <v>44</v>
      </c>
      <c r="B55" s="81"/>
      <c r="C55" s="88" t="s">
        <v>150</v>
      </c>
      <c r="D55" s="580">
        <f>D53-D54</f>
        <v>2477762.2105084746</v>
      </c>
      <c r="F55"/>
    </row>
    <row r="56" spans="1:11" ht="15.75" customHeight="1">
      <c r="A56" s="762">
        <f t="shared" si="0"/>
        <v>45</v>
      </c>
      <c r="B56" s="81"/>
      <c r="C56" s="81"/>
      <c r="D56" s="581">
        <f>IF(D54=0,0,D55/D54)</f>
        <v>2082153.1180743484</v>
      </c>
      <c r="F56"/>
    </row>
    <row r="57" spans="1:11" ht="15.75" customHeight="1">
      <c r="A57" s="762">
        <f t="shared" si="0"/>
        <v>46</v>
      </c>
      <c r="B57" s="600" t="s">
        <v>469</v>
      </c>
      <c r="C57" s="81"/>
      <c r="D57" s="81"/>
      <c r="F57"/>
    </row>
    <row r="58" spans="1:11" ht="15.75" customHeight="1">
      <c r="A58" s="762">
        <f t="shared" si="0"/>
        <v>47</v>
      </c>
      <c r="B58" s="88" t="s">
        <v>1493</v>
      </c>
      <c r="C58" s="88" t="s">
        <v>43</v>
      </c>
      <c r="D58" s="580">
        <f>'C.2.1 F'!D100</f>
        <v>78382354.15325588</v>
      </c>
      <c r="F58"/>
    </row>
    <row r="59" spans="1:11" ht="15.75" customHeight="1">
      <c r="A59" s="762">
        <f t="shared" si="0"/>
        <v>48</v>
      </c>
      <c r="B59" s="88" t="s">
        <v>1603</v>
      </c>
      <c r="C59" s="88" t="s">
        <v>44</v>
      </c>
      <c r="D59" s="83">
        <f>'C.2.1 B'!D105</f>
        <v>89006235.689999998</v>
      </c>
      <c r="F59"/>
    </row>
    <row r="60" spans="1:11" ht="15.75" customHeight="1">
      <c r="A60" s="762">
        <f t="shared" si="0"/>
        <v>49</v>
      </c>
      <c r="B60" s="1" t="s">
        <v>1697</v>
      </c>
      <c r="C60" s="4" t="s">
        <v>150</v>
      </c>
      <c r="D60" s="28">
        <f>D58-D59</f>
        <v>-10623881.536744118</v>
      </c>
      <c r="F60"/>
      <c r="G60" s="10"/>
      <c r="H60" s="10"/>
      <c r="I60" s="10"/>
      <c r="J60" s="10"/>
      <c r="K60" s="10"/>
    </row>
    <row r="61" spans="1:11" ht="15.75" customHeight="1">
      <c r="A61" s="762">
        <f t="shared" si="0"/>
        <v>50</v>
      </c>
      <c r="B61" s="1" t="s">
        <v>1698</v>
      </c>
      <c r="D61" s="20">
        <f>D60/D59</f>
        <v>-0.11936109256149262</v>
      </c>
      <c r="F61"/>
      <c r="G61" s="10"/>
      <c r="H61" s="10"/>
      <c r="I61" s="10"/>
      <c r="J61" s="10"/>
      <c r="K61" s="10"/>
    </row>
    <row r="62" spans="1:11" ht="15.75" customHeight="1">
      <c r="A62" s="841">
        <f t="shared" si="0"/>
        <v>51</v>
      </c>
      <c r="D62" s="20"/>
      <c r="F62" s="792"/>
      <c r="G62" s="10"/>
      <c r="H62" s="10"/>
      <c r="I62" s="10"/>
      <c r="J62" s="10"/>
      <c r="K62" s="10"/>
    </row>
    <row r="63" spans="1:11" ht="15.75" customHeight="1">
      <c r="A63" s="841">
        <f t="shared" si="0"/>
        <v>52</v>
      </c>
      <c r="D63" s="20"/>
      <c r="F63" s="792"/>
      <c r="G63" s="10"/>
      <c r="H63" s="10"/>
      <c r="I63" s="10"/>
      <c r="J63" s="10"/>
      <c r="K63" s="10"/>
    </row>
    <row r="64" spans="1:11" ht="15.75" customHeight="1">
      <c r="A64" s="841">
        <f t="shared" si="0"/>
        <v>53</v>
      </c>
      <c r="D64" s="20"/>
      <c r="F64" s="792"/>
      <c r="G64" s="10"/>
      <c r="H64" s="10"/>
      <c r="I64" s="10"/>
      <c r="J64" s="10"/>
      <c r="K64" s="10"/>
    </row>
    <row r="65" spans="1:15" ht="15.75" customHeight="1">
      <c r="A65" s="841">
        <f t="shared" si="0"/>
        <v>54</v>
      </c>
      <c r="B65" t="s">
        <v>194</v>
      </c>
      <c r="F65"/>
    </row>
    <row r="66" spans="1:15" ht="15.75" customHeight="1">
      <c r="A66" s="841">
        <f t="shared" si="0"/>
        <v>55</v>
      </c>
      <c r="B66" s="316" t="s">
        <v>1268</v>
      </c>
      <c r="C66"/>
      <c r="D66">
        <f>D14+D19+D24+D29+D34+D44+D49+D54+D39</f>
        <v>183713373.25000003</v>
      </c>
      <c r="E66"/>
      <c r="F66"/>
    </row>
    <row r="67" spans="1:15" ht="15.75" customHeight="1">
      <c r="A67" s="841">
        <f t="shared" si="0"/>
        <v>56</v>
      </c>
      <c r="B67" s="316" t="s">
        <v>1269</v>
      </c>
      <c r="C67"/>
      <c r="D67" s="52">
        <f>D59</f>
        <v>89006235.689999998</v>
      </c>
      <c r="E67"/>
      <c r="F67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 customHeight="1">
      <c r="A68" s="841">
        <f t="shared" si="0"/>
        <v>57</v>
      </c>
      <c r="B68" s="316" t="s">
        <v>1270</v>
      </c>
      <c r="C68"/>
      <c r="D68">
        <f>D66-D67</f>
        <v>94707137.560000032</v>
      </c>
      <c r="E68"/>
      <c r="F68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.75" customHeight="1">
      <c r="A69" s="841">
        <f t="shared" si="0"/>
        <v>58</v>
      </c>
      <c r="B69" s="316"/>
      <c r="C69"/>
      <c r="D69"/>
      <c r="E69"/>
      <c r="F69"/>
      <c r="K69" s="29"/>
    </row>
    <row r="70" spans="1:15" ht="15.75" customHeight="1">
      <c r="A70" s="841">
        <f t="shared" si="0"/>
        <v>59</v>
      </c>
      <c r="B70" s="316" t="s">
        <v>1271</v>
      </c>
      <c r="C70"/>
      <c r="D70">
        <f>D13+D18+D23+D28+D33+D43+D48+D53+D38</f>
        <v>169717865.83695576</v>
      </c>
      <c r="E70"/>
      <c r="F70"/>
    </row>
    <row r="71" spans="1:15" ht="15.75" customHeight="1">
      <c r="A71" s="841">
        <f t="shared" si="0"/>
        <v>60</v>
      </c>
      <c r="B71" s="316" t="s">
        <v>1272</v>
      </c>
      <c r="C71"/>
      <c r="D71" s="52">
        <f>D58</f>
        <v>78382354.15325588</v>
      </c>
      <c r="E71"/>
      <c r="F71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5.75" customHeight="1">
      <c r="A72" s="841">
        <f t="shared" si="0"/>
        <v>61</v>
      </c>
      <c r="B72" s="316" t="s">
        <v>1273</v>
      </c>
      <c r="C72"/>
      <c r="D72">
        <f>D70-D71</f>
        <v>91335511.683699876</v>
      </c>
      <c r="E72"/>
      <c r="F72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5.75" customHeight="1">
      <c r="B73"/>
      <c r="C73"/>
      <c r="D73"/>
      <c r="E73"/>
      <c r="F73"/>
      <c r="K73" s="29"/>
    </row>
    <row r="74" spans="1:15" ht="15.75" customHeight="1">
      <c r="B74"/>
      <c r="C74"/>
      <c r="D74"/>
      <c r="E74"/>
      <c r="F74"/>
    </row>
    <row r="75" spans="1:15" ht="15.75" customHeight="1">
      <c r="B75"/>
      <c r="C75"/>
      <c r="D75"/>
      <c r="E75"/>
      <c r="F75"/>
    </row>
    <row r="76" spans="1:15" ht="15.75" customHeight="1">
      <c r="B76"/>
      <c r="C76"/>
      <c r="D76"/>
      <c r="E76"/>
      <c r="F76"/>
    </row>
    <row r="77" spans="1:15" ht="15.75" customHeight="1">
      <c r="B77"/>
      <c r="C77"/>
      <c r="D77"/>
      <c r="E77"/>
      <c r="F77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5.75" customHeight="1">
      <c r="B78"/>
      <c r="C78"/>
      <c r="D78"/>
      <c r="E78"/>
      <c r="F78"/>
    </row>
    <row r="79" spans="1:15" ht="15.75" customHeight="1">
      <c r="B79"/>
      <c r="C79"/>
      <c r="D79"/>
      <c r="E79"/>
      <c r="F79"/>
    </row>
    <row r="80" spans="1:15" ht="15.75" customHeight="1">
      <c r="B80"/>
      <c r="C80"/>
      <c r="D80"/>
      <c r="E80"/>
      <c r="F80"/>
    </row>
    <row r="81" spans="2:6" ht="15.75" customHeight="1">
      <c r="B81"/>
      <c r="C81"/>
      <c r="D81"/>
      <c r="E81"/>
      <c r="F81"/>
    </row>
    <row r="82" spans="2:6" ht="15.75" customHeight="1">
      <c r="B82"/>
      <c r="C82"/>
      <c r="D82"/>
      <c r="E82"/>
      <c r="F82"/>
    </row>
    <row r="83" spans="2:6" ht="15.75" customHeight="1">
      <c r="B83"/>
      <c r="C83"/>
      <c r="D83"/>
      <c r="E83"/>
      <c r="F83"/>
    </row>
    <row r="84" spans="2:6" ht="15.75" customHeight="1">
      <c r="B84"/>
      <c r="C84"/>
      <c r="D84"/>
      <c r="E84"/>
      <c r="F84"/>
    </row>
    <row r="85" spans="2:6" ht="15.75" customHeight="1">
      <c r="B85"/>
      <c r="C85"/>
      <c r="D85"/>
      <c r="E85"/>
      <c r="F85"/>
    </row>
    <row r="86" spans="2:6" ht="15.75" customHeight="1">
      <c r="B86"/>
      <c r="C86"/>
      <c r="D86"/>
      <c r="E86"/>
      <c r="F86"/>
    </row>
    <row r="87" spans="2:6" ht="15.75" customHeight="1">
      <c r="B87"/>
      <c r="C87"/>
      <c r="D87"/>
      <c r="E87"/>
      <c r="F87"/>
    </row>
    <row r="88" spans="2:6" ht="15.75" customHeight="1">
      <c r="B88"/>
      <c r="C88"/>
      <c r="D88"/>
      <c r="E88"/>
      <c r="F88"/>
    </row>
    <row r="89" spans="2:6" ht="15.75" customHeight="1">
      <c r="B89"/>
      <c r="C89"/>
      <c r="D89"/>
      <c r="E89"/>
      <c r="F89"/>
    </row>
    <row r="90" spans="2:6" ht="15.75" customHeight="1">
      <c r="B90"/>
      <c r="C90"/>
      <c r="D90"/>
      <c r="E90"/>
      <c r="F90"/>
    </row>
    <row r="91" spans="2:6" ht="15.75" customHeight="1">
      <c r="B91"/>
      <c r="C91"/>
      <c r="D91"/>
      <c r="E91"/>
      <c r="F91"/>
    </row>
    <row r="92" spans="2:6" ht="15.75" customHeight="1">
      <c r="B92"/>
      <c r="C92"/>
      <c r="D92"/>
      <c r="E92"/>
      <c r="F92"/>
    </row>
    <row r="93" spans="2:6" ht="15.75" customHeight="1">
      <c r="B93"/>
      <c r="C93"/>
      <c r="D93"/>
      <c r="E93"/>
      <c r="F93"/>
    </row>
    <row r="94" spans="2:6" ht="15.75" customHeight="1">
      <c r="B94"/>
      <c r="C94"/>
      <c r="D94"/>
      <c r="E94"/>
      <c r="F94"/>
    </row>
    <row r="95" spans="2:6" ht="15.75" customHeight="1">
      <c r="B95"/>
      <c r="C95"/>
      <c r="D95"/>
      <c r="E95"/>
      <c r="F95"/>
    </row>
    <row r="96" spans="2:6" ht="15.75" customHeight="1">
      <c r="B96"/>
      <c r="C96"/>
      <c r="D96"/>
      <c r="E96"/>
      <c r="F96"/>
    </row>
    <row r="97" spans="2:6" ht="15.75" customHeight="1">
      <c r="B97"/>
      <c r="C97"/>
      <c r="D97"/>
      <c r="E97"/>
      <c r="F97"/>
    </row>
    <row r="98" spans="2:6" ht="15.75" customHeight="1">
      <c r="B98"/>
      <c r="C98"/>
      <c r="D98"/>
      <c r="E98"/>
      <c r="F98"/>
    </row>
    <row r="99" spans="2:6" ht="15.75" customHeight="1">
      <c r="B99"/>
      <c r="C99"/>
      <c r="D99"/>
      <c r="E99"/>
      <c r="F99"/>
    </row>
    <row r="100" spans="2:6" ht="15.75" customHeight="1">
      <c r="B100"/>
      <c r="C100"/>
      <c r="D100"/>
      <c r="E100"/>
      <c r="F100"/>
    </row>
    <row r="101" spans="2:6" ht="15.75" customHeight="1">
      <c r="B101"/>
      <c r="C101"/>
      <c r="D101"/>
      <c r="E101"/>
      <c r="F101"/>
    </row>
    <row r="102" spans="2:6" ht="15.75" customHeight="1">
      <c r="B102"/>
      <c r="C102"/>
      <c r="D102"/>
      <c r="E102"/>
      <c r="F102"/>
    </row>
    <row r="103" spans="2:6" ht="15.75" customHeight="1">
      <c r="B103"/>
      <c r="C103"/>
      <c r="D103"/>
      <c r="E103"/>
      <c r="F103"/>
    </row>
    <row r="104" spans="2:6" ht="15.75" customHeight="1">
      <c r="B104"/>
      <c r="C104"/>
      <c r="D104"/>
      <c r="E104"/>
      <c r="F104"/>
    </row>
    <row r="105" spans="2:6" ht="15.75" customHeight="1">
      <c r="B105"/>
      <c r="C105"/>
      <c r="D105"/>
      <c r="E105"/>
      <c r="F105"/>
    </row>
    <row r="106" spans="2:6" ht="15.75" customHeight="1">
      <c r="B106"/>
      <c r="C106"/>
      <c r="D106"/>
      <c r="E106"/>
      <c r="F106"/>
    </row>
    <row r="107" spans="2:6" ht="15.75" customHeight="1">
      <c r="B107"/>
      <c r="C107"/>
      <c r="D107"/>
      <c r="E107"/>
      <c r="F107"/>
    </row>
    <row r="108" spans="2:6" ht="15.75" customHeight="1">
      <c r="B108"/>
      <c r="C108"/>
      <c r="D108"/>
      <c r="E108"/>
      <c r="F108"/>
    </row>
    <row r="109" spans="2:6" ht="15.75" customHeight="1">
      <c r="B109" s="26"/>
    </row>
    <row r="110" spans="2:6" ht="15.75" customHeight="1">
      <c r="B110" s="26"/>
    </row>
    <row r="112" spans="2:6" ht="15.75" customHeight="1">
      <c r="B112" s="26"/>
    </row>
  </sheetData>
  <mergeCells count="4">
    <mergeCell ref="A1:D1"/>
    <mergeCell ref="A2:D2"/>
    <mergeCell ref="A3:D3"/>
    <mergeCell ref="A4:D4"/>
  </mergeCells>
  <phoneticPr fontId="23" type="noConversion"/>
  <printOptions horizontalCentered="1"/>
  <pageMargins left="0.71" right="0.43" top="0.75" bottom="0.67" header="0.5" footer="0.26"/>
  <pageSetup scale="61" orientation="portrait" verticalDpi="300" r:id="rId1"/>
  <headerFooter alignWithMargins="0">
    <oddFooter>&amp;RSchedule &amp;A
Page &amp;P of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O143"/>
  <sheetViews>
    <sheetView view="pageBreakPreview" zoomScale="80" zoomScaleNormal="90" zoomScaleSheetLayoutView="80" workbookViewId="0">
      <pane ySplit="10" topLeftCell="A11" activePane="bottomLeft" state="frozen"/>
      <selection activeCell="H168" sqref="H168"/>
      <selection pane="bottomLeft" activeCell="F45" sqref="F45"/>
    </sheetView>
  </sheetViews>
  <sheetFormatPr defaultColWidth="7.109375" defaultRowHeight="15.75" customHeight="1"/>
  <cols>
    <col min="1" max="1" width="3.6640625" style="1" customWidth="1"/>
    <col min="2" max="2" width="89.44140625" style="1" customWidth="1"/>
    <col min="3" max="3" width="11.6640625" style="1" customWidth="1"/>
    <col min="4" max="4" width="12.44140625" style="1" customWidth="1"/>
    <col min="5" max="11" width="7.109375" style="1"/>
    <col min="12" max="12" width="7.88671875" style="1" customWidth="1"/>
    <col min="13" max="13" width="8.5546875" style="1" customWidth="1"/>
    <col min="14" max="16384" width="7.109375" style="1"/>
  </cols>
  <sheetData>
    <row r="1" spans="1:5" ht="15.75" customHeight="1">
      <c r="A1" s="1203" t="str">
        <f>'Table of Contents'!A1:C1</f>
        <v>Atmos Energy Corporation, Kentucky/Mid-States Division</v>
      </c>
      <c r="B1" s="1203"/>
      <c r="C1" s="1203"/>
      <c r="D1" s="1203"/>
      <c r="E1" s="30"/>
    </row>
    <row r="2" spans="1:5" ht="15.75" customHeight="1">
      <c r="A2" s="1203" t="str">
        <f>'Table of Contents'!A2:C2</f>
        <v>Kentucky Jurisdiction Case No. 2018-00281</v>
      </c>
      <c r="B2" s="1203"/>
      <c r="C2" s="1203"/>
      <c r="D2" s="1203"/>
      <c r="E2" s="30"/>
    </row>
    <row r="3" spans="1:5" ht="15.75" customHeight="1">
      <c r="A3" s="1203" t="s">
        <v>430</v>
      </c>
      <c r="B3" s="1203"/>
      <c r="C3" s="1203"/>
      <c r="D3" s="1203"/>
      <c r="E3" s="30"/>
    </row>
    <row r="4" spans="1:5" ht="15.75" customHeight="1">
      <c r="A4" s="1203" t="str">
        <f>'Table of Contents'!A4:C4</f>
        <v>Forecasted Test Period: Twelve Months Ended March 31, 2020</v>
      </c>
      <c r="B4" s="1203"/>
      <c r="C4" s="1203"/>
      <c r="D4" s="1203"/>
      <c r="E4" s="30"/>
    </row>
    <row r="6" spans="1:5" ht="15.75" customHeight="1">
      <c r="B6" s="4" t="s">
        <v>680</v>
      </c>
      <c r="D6" s="547" t="s">
        <v>1432</v>
      </c>
    </row>
    <row r="7" spans="1:5" ht="15.75" customHeight="1">
      <c r="B7" s="4" t="s">
        <v>539</v>
      </c>
      <c r="D7" s="497" t="s">
        <v>263</v>
      </c>
    </row>
    <row r="8" spans="1:5" ht="15.75" customHeight="1">
      <c r="A8" s="33"/>
      <c r="B8" s="4" t="s">
        <v>458</v>
      </c>
      <c r="C8" s="33"/>
      <c r="D8" s="497" t="str">
        <f>D.1!P9</f>
        <v>Witness:  Waller, Densman</v>
      </c>
      <c r="E8"/>
    </row>
    <row r="9" spans="1:5" ht="15.75" customHeight="1">
      <c r="A9" s="1" t="s">
        <v>1078</v>
      </c>
      <c r="B9" s="13"/>
      <c r="C9" s="35"/>
      <c r="D9" s="13"/>
      <c r="E9"/>
    </row>
    <row r="10" spans="1:5" ht="15.75" customHeight="1">
      <c r="A10" s="33" t="s">
        <v>1079</v>
      </c>
      <c r="B10" s="130" t="s">
        <v>603</v>
      </c>
      <c r="C10" s="6"/>
      <c r="D10" s="9" t="s">
        <v>104</v>
      </c>
      <c r="E10"/>
    </row>
    <row r="11" spans="1:5" ht="15.75" customHeight="1">
      <c r="E11"/>
    </row>
    <row r="12" spans="1:5" ht="15.75" customHeight="1">
      <c r="A12" s="54">
        <v>1</v>
      </c>
      <c r="B12" s="196" t="s">
        <v>606</v>
      </c>
      <c r="E12"/>
    </row>
    <row r="13" spans="1:5" ht="15.75" customHeight="1">
      <c r="A13" s="54">
        <v>2</v>
      </c>
      <c r="B13" s="582" t="s">
        <v>1486</v>
      </c>
      <c r="C13" s="4" t="s">
        <v>43</v>
      </c>
      <c r="D13" s="356">
        <v>6813931.3937277719</v>
      </c>
    </row>
    <row r="14" spans="1:5" ht="15.75" customHeight="1">
      <c r="A14" s="54">
        <v>3</v>
      </c>
      <c r="B14" s="582" t="s">
        <v>1487</v>
      </c>
      <c r="C14" s="4" t="s">
        <v>44</v>
      </c>
      <c r="D14" s="419">
        <v>7010809.3000999996</v>
      </c>
    </row>
    <row r="15" spans="1:5" ht="15.75" customHeight="1">
      <c r="A15" s="54">
        <v>4</v>
      </c>
      <c r="B15" s="582" t="s">
        <v>1282</v>
      </c>
      <c r="C15" s="4" t="s">
        <v>150</v>
      </c>
      <c r="D15" s="584">
        <f>D13-D14</f>
        <v>-196877.90637222771</v>
      </c>
    </row>
    <row r="16" spans="1:5" ht="15.75" customHeight="1">
      <c r="A16" s="54">
        <v>5</v>
      </c>
      <c r="B16" s="582" t="s">
        <v>1283</v>
      </c>
      <c r="D16" s="166">
        <f>D15/D14</f>
        <v>-2.8082051293196564E-2</v>
      </c>
    </row>
    <row r="17" spans="1:5" ht="15.75" customHeight="1">
      <c r="A17" s="54">
        <v>6</v>
      </c>
      <c r="B17" s="583"/>
      <c r="D17" s="81"/>
    </row>
    <row r="18" spans="1:5" ht="15.75" customHeight="1">
      <c r="A18" s="54">
        <v>7</v>
      </c>
      <c r="B18" s="600" t="s">
        <v>464</v>
      </c>
      <c r="D18" s="81"/>
    </row>
    <row r="19" spans="1:5" ht="15.75" customHeight="1">
      <c r="A19" s="54">
        <v>8</v>
      </c>
      <c r="B19" s="583" t="s">
        <v>1284</v>
      </c>
      <c r="C19" s="4" t="s">
        <v>43</v>
      </c>
      <c r="D19" s="356">
        <v>527796.22000000009</v>
      </c>
    </row>
    <row r="20" spans="1:5" ht="15.75" customHeight="1">
      <c r="A20" s="54">
        <v>9</v>
      </c>
      <c r="B20" s="583" t="s">
        <v>1285</v>
      </c>
      <c r="C20" s="4" t="s">
        <v>44</v>
      </c>
      <c r="D20" s="419">
        <v>630786.51000000013</v>
      </c>
    </row>
    <row r="21" spans="1:5" ht="15.75" customHeight="1">
      <c r="A21" s="54">
        <v>10</v>
      </c>
      <c r="B21" s="583" t="s">
        <v>1286</v>
      </c>
      <c r="C21" s="4" t="s">
        <v>150</v>
      </c>
      <c r="D21" s="580">
        <f>D19-D20</f>
        <v>-102990.29000000004</v>
      </c>
    </row>
    <row r="22" spans="1:5" ht="15.75" customHeight="1">
      <c r="A22" s="54">
        <v>11</v>
      </c>
      <c r="B22" s="583" t="s">
        <v>1288</v>
      </c>
      <c r="D22" s="166">
        <f>D21/D20</f>
        <v>-0.16327281634478838</v>
      </c>
    </row>
    <row r="23" spans="1:5" ht="15.75" customHeight="1">
      <c r="A23" s="54">
        <v>12</v>
      </c>
      <c r="B23" s="583" t="s">
        <v>1287</v>
      </c>
      <c r="D23" s="81"/>
    </row>
    <row r="24" spans="1:5" ht="15.75" customHeight="1">
      <c r="A24" s="54">
        <v>13</v>
      </c>
      <c r="B24" s="583"/>
      <c r="D24" s="81"/>
    </row>
    <row r="25" spans="1:5" ht="15.75" customHeight="1">
      <c r="A25" s="54">
        <v>14</v>
      </c>
      <c r="B25" s="600" t="s">
        <v>465</v>
      </c>
      <c r="D25" s="81"/>
    </row>
    <row r="26" spans="1:5" ht="15.75" customHeight="1">
      <c r="A26" s="54">
        <v>15</v>
      </c>
      <c r="B26" s="583" t="s">
        <v>1289</v>
      </c>
      <c r="C26" s="4" t="s">
        <v>43</v>
      </c>
      <c r="D26" s="584">
        <v>6833590.9076999994</v>
      </c>
    </row>
    <row r="27" spans="1:5" ht="15.75" customHeight="1">
      <c r="A27" s="54">
        <v>16</v>
      </c>
      <c r="B27" s="583" t="s">
        <v>1491</v>
      </c>
      <c r="C27" s="4" t="s">
        <v>44</v>
      </c>
      <c r="D27" s="585">
        <v>7309451.9289000034</v>
      </c>
    </row>
    <row r="28" spans="1:5" ht="15.75" customHeight="1">
      <c r="A28" s="54">
        <v>17</v>
      </c>
      <c r="B28" s="583" t="s">
        <v>1485</v>
      </c>
      <c r="C28" s="4" t="s">
        <v>150</v>
      </c>
      <c r="D28" s="580">
        <f>D26-D27</f>
        <v>-475861.02120000403</v>
      </c>
    </row>
    <row r="29" spans="1:5" ht="15.75" customHeight="1">
      <c r="A29" s="54">
        <v>18</v>
      </c>
      <c r="B29" s="583"/>
      <c r="D29" s="166">
        <f>D28/D27</f>
        <v>-6.5102147989858417E-2</v>
      </c>
    </row>
    <row r="30" spans="1:5" ht="15.75" customHeight="1">
      <c r="A30" s="54">
        <v>19</v>
      </c>
      <c r="B30" s="583"/>
      <c r="D30" s="81"/>
    </row>
    <row r="31" spans="1:5" ht="15.75" customHeight="1">
      <c r="A31" s="54">
        <v>20</v>
      </c>
      <c r="B31" s="600" t="s">
        <v>466</v>
      </c>
      <c r="D31" s="81"/>
    </row>
    <row r="32" spans="1:5" ht="15.75" customHeight="1">
      <c r="A32" s="54">
        <v>21</v>
      </c>
      <c r="B32" s="583" t="s">
        <v>1290</v>
      </c>
      <c r="C32" s="4" t="s">
        <v>43</v>
      </c>
      <c r="D32" s="73">
        <v>341050.48677183327</v>
      </c>
      <c r="E32" s="10"/>
    </row>
    <row r="33" spans="1:11" ht="15.75" customHeight="1">
      <c r="A33" s="54">
        <v>22</v>
      </c>
      <c r="B33" s="583" t="s">
        <v>1291</v>
      </c>
      <c r="C33" s="4" t="s">
        <v>44</v>
      </c>
      <c r="D33" s="83">
        <v>549343.45279999997</v>
      </c>
      <c r="E33" s="10"/>
    </row>
    <row r="34" spans="1:11" ht="15.75" customHeight="1">
      <c r="A34" s="54">
        <v>23</v>
      </c>
      <c r="B34" s="583" t="s">
        <v>1490</v>
      </c>
      <c r="C34" s="4" t="s">
        <v>150</v>
      </c>
      <c r="D34" s="586">
        <f>D32-D33</f>
        <v>-208292.9660281667</v>
      </c>
    </row>
    <row r="35" spans="1:11" ht="15.75" customHeight="1">
      <c r="A35" s="54">
        <v>24</v>
      </c>
      <c r="B35" s="90"/>
      <c r="D35" s="166">
        <f>D34/D32</f>
        <v>-0.61073938934887695</v>
      </c>
      <c r="E35" s="10"/>
    </row>
    <row r="36" spans="1:11" ht="15.75" customHeight="1">
      <c r="A36" s="54">
        <v>25</v>
      </c>
      <c r="B36" s="196" t="s">
        <v>467</v>
      </c>
      <c r="C36" s="10"/>
      <c r="D36" s="73"/>
      <c r="E36" s="10"/>
      <c r="F36" s="10"/>
      <c r="G36" s="10"/>
      <c r="H36" s="10"/>
      <c r="I36" s="10"/>
      <c r="J36" s="10"/>
      <c r="K36" s="10"/>
    </row>
    <row r="37" spans="1:11" ht="15.75" customHeight="1">
      <c r="A37" s="54">
        <v>26</v>
      </c>
      <c r="B37" s="583" t="s">
        <v>1292</v>
      </c>
      <c r="C37" s="4" t="s">
        <v>43</v>
      </c>
      <c r="D37" s="356">
        <v>14498764.187912352</v>
      </c>
    </row>
    <row r="38" spans="1:11" ht="15.75" customHeight="1">
      <c r="A38" s="54">
        <v>27</v>
      </c>
      <c r="B38" s="103" t="s">
        <v>1293</v>
      </c>
      <c r="C38" s="4" t="s">
        <v>44</v>
      </c>
      <c r="D38" s="419">
        <v>13030746.02365113</v>
      </c>
    </row>
    <row r="39" spans="1:11" ht="15.75" customHeight="1">
      <c r="A39" s="54">
        <v>28</v>
      </c>
      <c r="B39" s="90" t="s">
        <v>1294</v>
      </c>
      <c r="C39" s="4" t="s">
        <v>150</v>
      </c>
      <c r="D39" s="580">
        <f>D37-D38</f>
        <v>1468018.1642612219</v>
      </c>
      <c r="E39" s="10"/>
      <c r="F39" s="10"/>
      <c r="G39" s="10"/>
      <c r="H39" s="10"/>
      <c r="I39" s="10"/>
      <c r="J39" s="10"/>
      <c r="K39" s="10"/>
    </row>
    <row r="40" spans="1:11" ht="15.75" customHeight="1">
      <c r="A40" s="54">
        <v>29</v>
      </c>
      <c r="B40" s="4"/>
      <c r="D40" s="166">
        <f>D39/D38</f>
        <v>0.11265802906424023</v>
      </c>
      <c r="E40" s="10"/>
      <c r="F40" s="10"/>
      <c r="G40" s="10"/>
      <c r="H40" s="10"/>
      <c r="I40" s="10"/>
      <c r="J40" s="10"/>
      <c r="K40" s="10"/>
    </row>
    <row r="41" spans="1:11" ht="15.75" customHeight="1">
      <c r="A41" s="54">
        <v>30</v>
      </c>
      <c r="B41" s="4"/>
      <c r="D41" s="20"/>
      <c r="E41" s="10"/>
      <c r="F41" s="10"/>
      <c r="G41" s="10"/>
      <c r="H41" s="10"/>
      <c r="I41" s="10"/>
      <c r="J41" s="10"/>
      <c r="K41" s="10"/>
    </row>
    <row r="42" spans="1:11" ht="15.75" customHeight="1">
      <c r="A42" s="54">
        <v>31</v>
      </c>
      <c r="B42" s="15" t="s">
        <v>390</v>
      </c>
      <c r="C42" t="s">
        <v>43</v>
      </c>
      <c r="D42" s="182">
        <f>D13+D19+D26+D32+D37</f>
        <v>29015133.196111955</v>
      </c>
      <c r="E42"/>
    </row>
    <row r="43" spans="1:11" ht="15.75" customHeight="1">
      <c r="A43" s="54">
        <v>32</v>
      </c>
      <c r="B43"/>
      <c r="C43" t="s">
        <v>44</v>
      </c>
      <c r="D43" s="406">
        <f>D14+D20+D27+D33+D38</f>
        <v>28531137.215451136</v>
      </c>
      <c r="E43"/>
    </row>
    <row r="44" spans="1:11" ht="15.75" customHeight="1">
      <c r="A44" s="54">
        <v>33</v>
      </c>
      <c r="B44"/>
      <c r="C44" t="s">
        <v>150</v>
      </c>
      <c r="D44" s="28">
        <f>D42-D43</f>
        <v>483995.98066081852</v>
      </c>
      <c r="E44"/>
    </row>
    <row r="45" spans="1:11" ht="15.75" customHeight="1">
      <c r="A45" s="54">
        <v>34</v>
      </c>
      <c r="B45"/>
      <c r="C45"/>
      <c r="D45" s="20">
        <f>D44/D43</f>
        <v>1.6963781604846399E-2</v>
      </c>
      <c r="E45"/>
      <c r="K45" s="10"/>
    </row>
    <row r="46" spans="1:11" ht="15.75" customHeight="1">
      <c r="B46"/>
      <c r="C46"/>
      <c r="D46"/>
      <c r="E46"/>
    </row>
    <row r="47" spans="1:11" ht="15.75" customHeight="1">
      <c r="B47"/>
      <c r="C47"/>
      <c r="D47"/>
      <c r="E47"/>
    </row>
    <row r="48" spans="1:11" ht="15.75" customHeight="1">
      <c r="B48"/>
      <c r="C48"/>
      <c r="D48"/>
      <c r="E48"/>
    </row>
    <row r="49" spans="2:15" ht="15.75" customHeight="1">
      <c r="B49"/>
      <c r="C49"/>
      <c r="D49"/>
      <c r="E49"/>
    </row>
    <row r="50" spans="2:15" ht="15.75" customHeight="1">
      <c r="B50"/>
      <c r="C50"/>
      <c r="D50"/>
      <c r="E50"/>
    </row>
    <row r="51" spans="2:15" ht="15.75" customHeight="1">
      <c r="B51"/>
      <c r="C51"/>
      <c r="D51"/>
      <c r="E51"/>
    </row>
    <row r="52" spans="2:15" ht="15.75" customHeight="1">
      <c r="B52"/>
      <c r="C52"/>
      <c r="D52"/>
      <c r="E52"/>
    </row>
    <row r="53" spans="2:15" ht="15.75" customHeight="1">
      <c r="B53"/>
      <c r="C53"/>
      <c r="D53"/>
      <c r="E53"/>
    </row>
    <row r="54" spans="2:15" ht="15.75" customHeight="1">
      <c r="B54"/>
      <c r="C54"/>
      <c r="D54"/>
      <c r="E54"/>
    </row>
    <row r="55" spans="2:15" ht="15.75" customHeight="1">
      <c r="B55"/>
      <c r="C55"/>
      <c r="D55"/>
      <c r="E55"/>
    </row>
    <row r="56" spans="2:15" ht="15.75" customHeight="1">
      <c r="B56"/>
      <c r="C56"/>
      <c r="D56"/>
      <c r="E56"/>
    </row>
    <row r="57" spans="2:15" ht="15.75" customHeight="1">
      <c r="B57"/>
      <c r="C57"/>
      <c r="D57"/>
      <c r="E57"/>
    </row>
    <row r="58" spans="2:15" ht="15.75" customHeight="1">
      <c r="B58"/>
      <c r="C58"/>
      <c r="D58"/>
      <c r="E58"/>
    </row>
    <row r="59" spans="2:15" ht="15.75" customHeight="1">
      <c r="B59"/>
      <c r="C59"/>
      <c r="D59"/>
      <c r="E59"/>
    </row>
    <row r="60" spans="2:15" ht="15.75" customHeight="1">
      <c r="B60"/>
      <c r="C60"/>
      <c r="D60"/>
      <c r="E6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2:15" ht="15.75" customHeight="1">
      <c r="B61"/>
      <c r="C61"/>
      <c r="D61"/>
      <c r="E61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2:15" ht="15.75" customHeight="1">
      <c r="B62"/>
      <c r="C62"/>
      <c r="D62"/>
      <c r="E62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2:15" ht="15.75" customHeight="1">
      <c r="B63"/>
      <c r="C63"/>
      <c r="D63"/>
      <c r="E63"/>
      <c r="K63" s="29"/>
    </row>
    <row r="64" spans="2:15" ht="15.75" customHeight="1">
      <c r="B64"/>
      <c r="C64"/>
      <c r="D64"/>
      <c r="E64"/>
    </row>
    <row r="65" spans="2:11" ht="15.75" customHeight="1">
      <c r="B65"/>
      <c r="C65"/>
      <c r="D65"/>
      <c r="E65"/>
    </row>
    <row r="66" spans="2:11" ht="15.75" customHeight="1">
      <c r="B66"/>
      <c r="C66"/>
      <c r="D66"/>
      <c r="E66"/>
      <c r="K66" s="10"/>
    </row>
    <row r="67" spans="2:11" ht="15.75" customHeight="1">
      <c r="B67"/>
      <c r="C67"/>
      <c r="D67"/>
      <c r="E67"/>
    </row>
    <row r="68" spans="2:11" ht="15.75" customHeight="1">
      <c r="B68"/>
      <c r="C68"/>
      <c r="D68"/>
      <c r="E68"/>
    </row>
    <row r="69" spans="2:11" ht="15.75" customHeight="1">
      <c r="B69"/>
      <c r="C69"/>
      <c r="D69"/>
      <c r="E69"/>
    </row>
    <row r="70" spans="2:11" ht="15.75" customHeight="1">
      <c r="B70"/>
      <c r="C70"/>
      <c r="D70"/>
      <c r="E70"/>
    </row>
    <row r="71" spans="2:11" ht="15.75" customHeight="1">
      <c r="B71"/>
      <c r="C71"/>
      <c r="D71"/>
      <c r="E71"/>
    </row>
    <row r="72" spans="2:11" ht="15.75" customHeight="1">
      <c r="B72"/>
      <c r="C72"/>
      <c r="D72"/>
      <c r="E72"/>
    </row>
    <row r="73" spans="2:11" ht="15.75" customHeight="1">
      <c r="B73"/>
      <c r="C73"/>
      <c r="D73"/>
      <c r="E73"/>
      <c r="G73" s="26"/>
    </row>
    <row r="74" spans="2:11" ht="15.75" customHeight="1">
      <c r="B74"/>
      <c r="C74"/>
      <c r="D74"/>
      <c r="E74"/>
      <c r="G74" s="26"/>
    </row>
    <row r="75" spans="2:11" ht="15.75" customHeight="1">
      <c r="B75"/>
      <c r="C75"/>
      <c r="D75"/>
      <c r="E75"/>
      <c r="G75" s="26"/>
    </row>
    <row r="76" spans="2:11" ht="15.75" customHeight="1">
      <c r="B76"/>
      <c r="C76"/>
      <c r="D76"/>
      <c r="E76"/>
    </row>
    <row r="77" spans="2:11" ht="15.75" customHeight="1">
      <c r="B77"/>
      <c r="C77"/>
      <c r="D77"/>
      <c r="E77"/>
    </row>
    <row r="78" spans="2:11" ht="15.75" customHeight="1">
      <c r="B78"/>
      <c r="C78"/>
      <c r="D78"/>
      <c r="E78"/>
    </row>
    <row r="79" spans="2:11" ht="15.75" customHeight="1">
      <c r="B79"/>
      <c r="C79"/>
      <c r="D79"/>
      <c r="E79"/>
    </row>
    <row r="80" spans="2:11" ht="15.75" customHeight="1">
      <c r="B80"/>
      <c r="C80"/>
      <c r="D80"/>
      <c r="E80"/>
    </row>
    <row r="81" spans="2:15" ht="15.75" customHeight="1">
      <c r="B81"/>
      <c r="C81"/>
      <c r="D81"/>
      <c r="E81"/>
    </row>
    <row r="82" spans="2:15" ht="15.75" customHeight="1">
      <c r="B82"/>
      <c r="C82"/>
      <c r="D82"/>
      <c r="E82"/>
    </row>
    <row r="83" spans="2:15" ht="15.75" customHeight="1">
      <c r="B83"/>
      <c r="C83"/>
      <c r="D83"/>
      <c r="E83"/>
    </row>
    <row r="84" spans="2:15" ht="15.75" customHeight="1">
      <c r="B84"/>
      <c r="C84"/>
      <c r="D84"/>
      <c r="E84"/>
    </row>
    <row r="85" spans="2:15" ht="15.75" customHeight="1">
      <c r="B85"/>
      <c r="C85"/>
      <c r="D85"/>
      <c r="E85"/>
    </row>
    <row r="86" spans="2:15" ht="15.75" customHeight="1">
      <c r="B86"/>
      <c r="C86"/>
      <c r="D86"/>
      <c r="E86"/>
    </row>
    <row r="87" spans="2:15" ht="15.75" customHeight="1">
      <c r="B87"/>
      <c r="C87"/>
      <c r="D87"/>
      <c r="E87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2:15" ht="15.75" customHeight="1">
      <c r="B88"/>
      <c r="C88"/>
      <c r="D88"/>
      <c r="E88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2:15" ht="15.75" customHeight="1">
      <c r="B89"/>
      <c r="C89"/>
      <c r="D89"/>
      <c r="E89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2:15" ht="15.75" customHeight="1">
      <c r="B90"/>
      <c r="C90"/>
      <c r="D90"/>
      <c r="E90"/>
      <c r="K90" s="29"/>
    </row>
    <row r="91" spans="2:15" ht="15.75" customHeight="1">
      <c r="B91"/>
      <c r="C91"/>
      <c r="D91"/>
      <c r="E91"/>
    </row>
    <row r="92" spans="2:15" ht="15.75" customHeight="1">
      <c r="B92"/>
      <c r="C92"/>
      <c r="D92"/>
      <c r="E92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2:15" ht="15.75" customHeight="1">
      <c r="B93"/>
      <c r="C93"/>
      <c r="D93"/>
      <c r="E93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2:15" ht="15.75" customHeight="1">
      <c r="B94"/>
      <c r="C94"/>
      <c r="D94"/>
      <c r="E94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2:15" ht="15.75" customHeight="1">
      <c r="B95"/>
      <c r="C95"/>
      <c r="D95"/>
      <c r="E95"/>
      <c r="K95" s="29"/>
    </row>
    <row r="96" spans="2:15" ht="15.75" customHeight="1">
      <c r="B96"/>
      <c r="C96"/>
      <c r="D96"/>
      <c r="E96"/>
    </row>
    <row r="97" spans="2:15" ht="15.75" customHeight="1">
      <c r="B97"/>
      <c r="C97"/>
      <c r="D97"/>
      <c r="E97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2:15" ht="15.75" customHeight="1">
      <c r="B98"/>
      <c r="C98"/>
      <c r="D98"/>
      <c r="E98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2:15" ht="15.75" customHeight="1">
      <c r="B99"/>
      <c r="C99"/>
      <c r="D99"/>
      <c r="E99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2:15" ht="15.75" customHeight="1">
      <c r="B100"/>
      <c r="C100"/>
      <c r="D100"/>
      <c r="E100"/>
      <c r="K100" s="29"/>
    </row>
    <row r="101" spans="2:15" ht="15.75" customHeight="1">
      <c r="B101"/>
      <c r="C101"/>
      <c r="D101"/>
      <c r="E101"/>
    </row>
    <row r="102" spans="2:15" ht="15.75" customHeight="1">
      <c r="B102"/>
      <c r="C102"/>
      <c r="D102"/>
      <c r="E102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2:15" ht="15.75" customHeight="1">
      <c r="B103"/>
      <c r="C103"/>
      <c r="D103"/>
      <c r="E103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2:15" ht="15.75" customHeight="1">
      <c r="B104"/>
      <c r="C104"/>
      <c r="D104"/>
      <c r="E104"/>
      <c r="K104" s="29"/>
    </row>
    <row r="105" spans="2:15" ht="15.75" customHeight="1">
      <c r="B105"/>
      <c r="C105"/>
      <c r="D105"/>
      <c r="E105"/>
    </row>
    <row r="106" spans="2:15" ht="15.75" customHeight="1">
      <c r="B106"/>
      <c r="C106"/>
      <c r="D106"/>
      <c r="E106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2:15" ht="15.75" customHeight="1">
      <c r="B107"/>
      <c r="C107"/>
      <c r="D107"/>
      <c r="E107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2:15" ht="15.75" customHeight="1">
      <c r="B108"/>
      <c r="C108"/>
      <c r="D108"/>
      <c r="E108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2:15" ht="15.75" customHeight="1">
      <c r="B109"/>
      <c r="C109"/>
      <c r="D109"/>
      <c r="E109"/>
      <c r="K109" s="29"/>
    </row>
    <row r="110" spans="2:15" ht="15.75" customHeight="1">
      <c r="B110"/>
      <c r="C110"/>
      <c r="D110"/>
      <c r="E110"/>
    </row>
    <row r="111" spans="2:15" ht="15.75" customHeight="1">
      <c r="B111"/>
      <c r="C111"/>
      <c r="D111"/>
      <c r="E111"/>
    </row>
    <row r="112" spans="2:15" ht="15.75" customHeight="1">
      <c r="B112"/>
      <c r="C112"/>
      <c r="D112"/>
      <c r="E112"/>
      <c r="K112" s="10"/>
    </row>
    <row r="113" spans="2:15" ht="15.75" customHeight="1">
      <c r="B113"/>
      <c r="C113"/>
      <c r="D113"/>
      <c r="E113"/>
    </row>
    <row r="114" spans="2:15" ht="15.75" customHeight="1">
      <c r="B114"/>
      <c r="C114"/>
      <c r="D114"/>
      <c r="E114"/>
    </row>
    <row r="115" spans="2:15" ht="15.75" customHeight="1">
      <c r="B115"/>
      <c r="C115"/>
      <c r="D115"/>
      <c r="E115"/>
    </row>
    <row r="116" spans="2:15" ht="15.75" customHeight="1">
      <c r="B116"/>
      <c r="C116"/>
      <c r="D116"/>
      <c r="E116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2:15" ht="15.75" customHeight="1">
      <c r="B117"/>
      <c r="C117"/>
      <c r="D117"/>
      <c r="E117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2:15" ht="15.75" customHeight="1">
      <c r="B118"/>
      <c r="C118"/>
      <c r="D118"/>
      <c r="E118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2:15" ht="15.75" customHeight="1">
      <c r="B119"/>
      <c r="C119"/>
      <c r="D119"/>
      <c r="E119"/>
      <c r="K119" s="29"/>
    </row>
    <row r="120" spans="2:15" ht="15.75" customHeight="1">
      <c r="C120"/>
      <c r="D120"/>
      <c r="E120"/>
    </row>
    <row r="121" spans="2:15" ht="15.75" customHeight="1">
      <c r="B121"/>
      <c r="C121"/>
      <c r="D121"/>
      <c r="E121"/>
    </row>
    <row r="122" spans="2:15" ht="15.75" customHeight="1">
      <c r="B122"/>
      <c r="C122"/>
      <c r="D122"/>
      <c r="E122"/>
    </row>
    <row r="123" spans="2:15" ht="15.75" customHeight="1">
      <c r="B123"/>
      <c r="C123"/>
      <c r="D123"/>
      <c r="E123"/>
    </row>
    <row r="124" spans="2:15" ht="15.75" customHeight="1">
      <c r="B124"/>
      <c r="C124"/>
      <c r="D124"/>
      <c r="E124"/>
    </row>
    <row r="125" spans="2:15" ht="15.75" customHeight="1">
      <c r="B125"/>
      <c r="C125"/>
      <c r="D125"/>
      <c r="E125"/>
    </row>
    <row r="126" spans="2:15" ht="15.75" customHeight="1">
      <c r="B126"/>
      <c r="C126"/>
      <c r="D126"/>
      <c r="E126"/>
    </row>
    <row r="127" spans="2:15" ht="15.75" customHeight="1">
      <c r="B127"/>
      <c r="C127"/>
      <c r="D127"/>
      <c r="E127"/>
    </row>
    <row r="128" spans="2:15" ht="15.75" customHeight="1">
      <c r="B128"/>
      <c r="C128"/>
      <c r="D128"/>
      <c r="E128"/>
    </row>
    <row r="129" spans="2:5" ht="15.75" customHeight="1">
      <c r="B129"/>
      <c r="C129"/>
      <c r="D129"/>
      <c r="E129"/>
    </row>
    <row r="130" spans="2:5" ht="15.75" customHeight="1">
      <c r="B130"/>
      <c r="C130"/>
      <c r="D130"/>
      <c r="E130"/>
    </row>
    <row r="131" spans="2:5" ht="15.75" customHeight="1">
      <c r="B131"/>
      <c r="C131"/>
      <c r="D131"/>
      <c r="E131"/>
    </row>
    <row r="132" spans="2:5" ht="15.75" customHeight="1">
      <c r="B132"/>
      <c r="C132"/>
      <c r="D132"/>
      <c r="E132"/>
    </row>
    <row r="133" spans="2:5" ht="15.75" customHeight="1">
      <c r="B133"/>
      <c r="C133"/>
      <c r="D133"/>
      <c r="E133"/>
    </row>
    <row r="134" spans="2:5" ht="15.75" customHeight="1">
      <c r="B134"/>
      <c r="C134"/>
      <c r="D134"/>
      <c r="E134"/>
    </row>
    <row r="135" spans="2:5" ht="15.75" customHeight="1">
      <c r="B135"/>
      <c r="C135"/>
      <c r="D135"/>
      <c r="E135"/>
    </row>
    <row r="136" spans="2:5" ht="15.75" customHeight="1">
      <c r="B136"/>
      <c r="C136"/>
      <c r="D136"/>
      <c r="E136"/>
    </row>
    <row r="137" spans="2:5" ht="15.75" customHeight="1">
      <c r="B137"/>
      <c r="C137"/>
      <c r="D137"/>
      <c r="E137"/>
    </row>
    <row r="138" spans="2:5" ht="15.75" customHeight="1">
      <c r="B138"/>
      <c r="C138"/>
      <c r="D138"/>
      <c r="E138"/>
    </row>
    <row r="139" spans="2:5" ht="15.75" customHeight="1">
      <c r="B139"/>
      <c r="C139"/>
      <c r="D139"/>
      <c r="E139"/>
    </row>
    <row r="140" spans="2:5" ht="15.75" customHeight="1">
      <c r="B140"/>
      <c r="C140"/>
      <c r="D140"/>
      <c r="E140"/>
    </row>
    <row r="141" spans="2:5" ht="15.75" customHeight="1">
      <c r="B141"/>
      <c r="C141"/>
      <c r="D141"/>
      <c r="E141"/>
    </row>
    <row r="142" spans="2:5" ht="15.75" customHeight="1">
      <c r="B142"/>
      <c r="C142"/>
      <c r="D142"/>
      <c r="E142"/>
    </row>
    <row r="143" spans="2:5" ht="15.75" customHeight="1">
      <c r="B143"/>
      <c r="C143"/>
      <c r="D143"/>
      <c r="E143"/>
    </row>
  </sheetData>
  <mergeCells count="4">
    <mergeCell ref="A1:D1"/>
    <mergeCell ref="A2:D2"/>
    <mergeCell ref="A3:D3"/>
    <mergeCell ref="A4:D4"/>
  </mergeCells>
  <phoneticPr fontId="23" type="noConversion"/>
  <printOptions horizontalCentered="1"/>
  <pageMargins left="0.67" right="0.57999999999999996" top="0.75" bottom="1.28" header="0.5" footer="0.78"/>
  <pageSetup scale="66" orientation="portrait" verticalDpi="300" r:id="rId1"/>
  <headerFooter alignWithMargins="0">
    <oddFooter>&amp;RSchedule &amp;A
Page 1 of 1</oddFooter>
  </headerFooter>
  <rowBreaks count="1" manualBreakCount="1">
    <brk id="68" min="1" max="4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J70"/>
  <sheetViews>
    <sheetView view="pageBreakPreview" zoomScale="80" zoomScaleNormal="90" zoomScaleSheetLayoutView="80" workbookViewId="0">
      <selection sqref="A1:D1"/>
    </sheetView>
  </sheetViews>
  <sheetFormatPr defaultColWidth="7.109375" defaultRowHeight="15"/>
  <cols>
    <col min="1" max="1" width="3.77734375" style="1" customWidth="1"/>
    <col min="2" max="2" width="66.77734375" style="1" bestFit="1" customWidth="1"/>
    <col min="3" max="3" width="13.33203125" style="1" customWidth="1"/>
    <col min="4" max="4" width="12.6640625" style="1" customWidth="1"/>
    <col min="5" max="10" width="7.109375" style="1"/>
    <col min="11" max="11" width="7.88671875" style="1" customWidth="1"/>
    <col min="12" max="12" width="8.5546875" style="1" customWidth="1"/>
    <col min="13" max="16384" width="7.109375" style="1"/>
  </cols>
  <sheetData>
    <row r="1" spans="1:10">
      <c r="A1" s="1203" t="str">
        <f>'Table of Contents'!A1:C1</f>
        <v>Atmos Energy Corporation, Kentucky/Mid-States Division</v>
      </c>
      <c r="B1" s="1203"/>
      <c r="C1" s="1203"/>
      <c r="D1" s="1203"/>
    </row>
    <row r="2" spans="1:10">
      <c r="A2" s="1203" t="str">
        <f>'Table of Contents'!A2:C2</f>
        <v>Kentucky Jurisdiction Case No. 2018-00281</v>
      </c>
      <c r="B2" s="1203"/>
      <c r="C2" s="1203"/>
      <c r="D2" s="1203"/>
    </row>
    <row r="3" spans="1:10">
      <c r="A3" s="1203" t="s">
        <v>430</v>
      </c>
      <c r="B3" s="1203"/>
      <c r="C3" s="1203"/>
      <c r="D3" s="1203"/>
    </row>
    <row r="4" spans="1:10">
      <c r="A4" s="1203" t="str">
        <f>'Table of Contents'!A4:C4</f>
        <v>Forecasted Test Period: Twelve Months Ended March 31, 2020</v>
      </c>
      <c r="B4" s="1203"/>
      <c r="C4" s="1203"/>
      <c r="D4" s="1203"/>
    </row>
    <row r="5" spans="1:10">
      <c r="D5" s="35"/>
      <c r="F5" s="26"/>
    </row>
    <row r="6" spans="1:10">
      <c r="B6" s="4" t="s">
        <v>680</v>
      </c>
      <c r="D6" s="547" t="s">
        <v>1433</v>
      </c>
      <c r="F6" s="26"/>
    </row>
    <row r="7" spans="1:10">
      <c r="B7" s="4" t="s">
        <v>615</v>
      </c>
      <c r="D7" s="497" t="s">
        <v>264</v>
      </c>
      <c r="F7" s="26"/>
    </row>
    <row r="8" spans="1:10">
      <c r="A8" s="33"/>
      <c r="B8" s="4" t="s">
        <v>365</v>
      </c>
      <c r="C8" s="33"/>
      <c r="D8" s="548" t="str">
        <f>D.1!P9</f>
        <v>Witness:  Waller, Densman</v>
      </c>
    </row>
    <row r="9" spans="1:10">
      <c r="A9" s="1" t="s">
        <v>1078</v>
      </c>
      <c r="B9" s="13"/>
      <c r="C9" s="35"/>
      <c r="D9" s="13"/>
    </row>
    <row r="10" spans="1:10">
      <c r="A10" s="33" t="s">
        <v>1079</v>
      </c>
      <c r="B10" s="130" t="s">
        <v>603</v>
      </c>
      <c r="C10" s="6"/>
      <c r="D10" s="9" t="s">
        <v>104</v>
      </c>
    </row>
    <row r="12" spans="1:10" ht="15.75">
      <c r="A12" s="54">
        <v>1</v>
      </c>
      <c r="B12" s="196" t="s">
        <v>604</v>
      </c>
      <c r="D12" s="81"/>
    </row>
    <row r="13" spans="1:10">
      <c r="A13" s="54">
        <v>2</v>
      </c>
      <c r="B13" s="81" t="s">
        <v>1345</v>
      </c>
      <c r="C13" s="4" t="s">
        <v>43</v>
      </c>
      <c r="D13" s="580">
        <f>'C.2.2-F 09'!P14</f>
        <v>23102095.980525177</v>
      </c>
      <c r="J13" s="10"/>
    </row>
    <row r="14" spans="1:10">
      <c r="A14" s="54">
        <v>3</v>
      </c>
      <c r="B14" s="81" t="s">
        <v>1205</v>
      </c>
      <c r="C14" s="4" t="s">
        <v>44</v>
      </c>
      <c r="D14" s="83">
        <f>'C.2.2 B 09'!P14</f>
        <v>20792783.009999998</v>
      </c>
    </row>
    <row r="15" spans="1:10">
      <c r="A15" s="54">
        <v>4</v>
      </c>
      <c r="C15" s="4" t="s">
        <v>150</v>
      </c>
      <c r="D15" s="580">
        <f>D13-D14</f>
        <v>2309312.9705251791</v>
      </c>
    </row>
    <row r="16" spans="1:10">
      <c r="A16" s="54">
        <v>5</v>
      </c>
      <c r="D16" s="166">
        <f>D15/D14</f>
        <v>0.1110631977169457</v>
      </c>
    </row>
    <row r="17" spans="1:10" ht="15.75">
      <c r="A17" s="54">
        <v>6</v>
      </c>
      <c r="B17" s="196" t="s">
        <v>605</v>
      </c>
      <c r="D17" s="166"/>
    </row>
    <row r="18" spans="1:10">
      <c r="A18" s="54">
        <v>7</v>
      </c>
      <c r="B18" s="88" t="s">
        <v>1206</v>
      </c>
      <c r="C18" s="4" t="s">
        <v>43</v>
      </c>
      <c r="D18" s="580">
        <f>'C.2.2-F 09'!P16</f>
        <v>7511836.9326441754</v>
      </c>
      <c r="J18" s="10"/>
    </row>
    <row r="19" spans="1:10">
      <c r="A19" s="54">
        <v>8</v>
      </c>
      <c r="B19" s="88" t="s">
        <v>1207</v>
      </c>
      <c r="C19" s="4" t="s">
        <v>44</v>
      </c>
      <c r="D19" s="83">
        <f>'C.2.2 B 09'!P16</f>
        <v>6454875.1700000009</v>
      </c>
    </row>
    <row r="20" spans="1:10" ht="16.5" customHeight="1">
      <c r="A20" s="54">
        <v>9</v>
      </c>
      <c r="B20" s="81"/>
      <c r="C20" s="4" t="s">
        <v>150</v>
      </c>
      <c r="D20" s="580">
        <f>D18-D19</f>
        <v>1056961.7626441745</v>
      </c>
    </row>
    <row r="21" spans="1:10">
      <c r="A21" s="54">
        <v>10</v>
      </c>
      <c r="B21" s="81"/>
      <c r="D21" s="20">
        <f>D20/D19</f>
        <v>0.16374627468499509</v>
      </c>
    </row>
    <row r="22" spans="1:10">
      <c r="D22" s="28"/>
      <c r="J22" s="10"/>
    </row>
    <row r="23" spans="1:10">
      <c r="B23" s="4"/>
      <c r="C23" s="4"/>
      <c r="D23" s="28"/>
    </row>
    <row r="24" spans="1:10">
      <c r="B24"/>
      <c r="C24"/>
      <c r="D24"/>
      <c r="E24"/>
    </row>
    <row r="25" spans="1:10">
      <c r="B25"/>
      <c r="C25"/>
      <c r="D25"/>
      <c r="E25"/>
    </row>
    <row r="26" spans="1:10">
      <c r="B26"/>
      <c r="C26"/>
      <c r="D26"/>
      <c r="E26"/>
    </row>
    <row r="27" spans="1:10">
      <c r="B27"/>
      <c r="C27"/>
      <c r="D27"/>
      <c r="E27"/>
    </row>
    <row r="28" spans="1:10">
      <c r="B28"/>
      <c r="C28"/>
      <c r="D28"/>
      <c r="E28"/>
    </row>
    <row r="29" spans="1:10">
      <c r="B29"/>
      <c r="C29"/>
      <c r="D29"/>
      <c r="E29"/>
    </row>
    <row r="30" spans="1:10">
      <c r="B30"/>
      <c r="C30"/>
      <c r="D30"/>
      <c r="E30"/>
    </row>
    <row r="31" spans="1:10">
      <c r="B31"/>
      <c r="C31"/>
      <c r="D31"/>
      <c r="E31"/>
    </row>
    <row r="32" spans="1:10">
      <c r="B32"/>
      <c r="C32"/>
      <c r="D32"/>
      <c r="E32"/>
    </row>
    <row r="33" spans="2:5">
      <c r="B33"/>
      <c r="C33"/>
      <c r="D33"/>
      <c r="E33"/>
    </row>
    <row r="34" spans="2:5">
      <c r="B34"/>
      <c r="C34"/>
      <c r="D34"/>
      <c r="E34"/>
    </row>
    <row r="35" spans="2:5">
      <c r="B35"/>
      <c r="C35"/>
      <c r="D35"/>
      <c r="E35"/>
    </row>
    <row r="36" spans="2:5">
      <c r="B36"/>
      <c r="C36"/>
      <c r="D36"/>
      <c r="E36"/>
    </row>
    <row r="37" spans="2:5">
      <c r="B37"/>
      <c r="C37"/>
      <c r="D37"/>
      <c r="E37"/>
    </row>
    <row r="38" spans="2:5">
      <c r="B38"/>
      <c r="C38"/>
      <c r="D38"/>
      <c r="E38"/>
    </row>
    <row r="39" spans="2:5">
      <c r="B39"/>
      <c r="C39"/>
      <c r="D39"/>
      <c r="E39"/>
    </row>
    <row r="40" spans="2:5">
      <c r="B40"/>
      <c r="C40"/>
      <c r="D40"/>
      <c r="E40"/>
    </row>
    <row r="41" spans="2:5">
      <c r="B41"/>
      <c r="C41"/>
      <c r="D41"/>
      <c r="E41"/>
    </row>
    <row r="42" spans="2:5">
      <c r="B42"/>
      <c r="C42"/>
      <c r="D42"/>
      <c r="E42"/>
    </row>
    <row r="43" spans="2:5">
      <c r="B43"/>
      <c r="C43"/>
      <c r="D43"/>
      <c r="E43"/>
    </row>
    <row r="44" spans="2:5">
      <c r="B44"/>
      <c r="C44"/>
      <c r="D44"/>
      <c r="E44"/>
    </row>
    <row r="45" spans="2:5">
      <c r="B45"/>
      <c r="C45"/>
      <c r="D45"/>
      <c r="E45"/>
    </row>
    <row r="46" spans="2:5">
      <c r="B46"/>
      <c r="C46"/>
      <c r="D46"/>
      <c r="E46"/>
    </row>
    <row r="47" spans="2:5">
      <c r="B47"/>
      <c r="C47"/>
      <c r="D47"/>
      <c r="E47"/>
    </row>
    <row r="48" spans="2:5">
      <c r="B48"/>
      <c r="C48"/>
      <c r="D48"/>
      <c r="E48"/>
    </row>
    <row r="49" spans="2:5">
      <c r="B49"/>
      <c r="C49"/>
      <c r="D49"/>
      <c r="E49"/>
    </row>
    <row r="50" spans="2:5">
      <c r="B50"/>
      <c r="C50"/>
      <c r="D50"/>
      <c r="E50"/>
    </row>
    <row r="51" spans="2:5">
      <c r="B51"/>
      <c r="C51"/>
      <c r="D51"/>
      <c r="E51"/>
    </row>
    <row r="52" spans="2:5">
      <c r="B52"/>
      <c r="C52"/>
      <c r="D52"/>
      <c r="E52"/>
    </row>
    <row r="53" spans="2:5">
      <c r="B53"/>
      <c r="C53"/>
      <c r="D53"/>
      <c r="E53"/>
    </row>
    <row r="54" spans="2:5">
      <c r="B54"/>
      <c r="C54"/>
      <c r="D54"/>
      <c r="E54"/>
    </row>
    <row r="55" spans="2:5">
      <c r="B55"/>
      <c r="C55"/>
      <c r="D55"/>
      <c r="E55"/>
    </row>
    <row r="56" spans="2:5">
      <c r="B56"/>
      <c r="C56"/>
      <c r="D56"/>
      <c r="E56"/>
    </row>
    <row r="57" spans="2:5">
      <c r="B57"/>
      <c r="C57"/>
      <c r="D57"/>
      <c r="E57"/>
    </row>
    <row r="58" spans="2:5">
      <c r="B58"/>
      <c r="C58"/>
      <c r="D58"/>
      <c r="E58"/>
    </row>
    <row r="59" spans="2:5">
      <c r="B59"/>
      <c r="C59"/>
      <c r="D59"/>
      <c r="E59"/>
    </row>
    <row r="60" spans="2:5">
      <c r="B60"/>
      <c r="C60"/>
      <c r="D60"/>
      <c r="E60"/>
    </row>
    <row r="61" spans="2:5">
      <c r="B61"/>
      <c r="C61"/>
      <c r="D61"/>
      <c r="E61"/>
    </row>
    <row r="62" spans="2:5">
      <c r="B62"/>
      <c r="C62"/>
      <c r="D62"/>
      <c r="E62"/>
    </row>
    <row r="63" spans="2:5">
      <c r="B63"/>
      <c r="C63"/>
      <c r="D63"/>
      <c r="E63"/>
    </row>
    <row r="64" spans="2:5">
      <c r="B64"/>
      <c r="C64"/>
      <c r="D64"/>
      <c r="E64"/>
    </row>
    <row r="65" spans="2:5">
      <c r="B65"/>
      <c r="C65"/>
      <c r="D65"/>
      <c r="E65"/>
    </row>
    <row r="66" spans="2:5">
      <c r="B66"/>
      <c r="C66"/>
      <c r="D66"/>
      <c r="E66"/>
    </row>
    <row r="67" spans="2:5">
      <c r="B67"/>
      <c r="C67"/>
      <c r="D67"/>
      <c r="E67"/>
    </row>
    <row r="68" spans="2:5">
      <c r="B68"/>
      <c r="C68"/>
      <c r="D68"/>
      <c r="E68"/>
    </row>
    <row r="69" spans="2:5">
      <c r="B69"/>
      <c r="C69"/>
      <c r="D69"/>
      <c r="E69"/>
    </row>
    <row r="70" spans="2:5">
      <c r="B70"/>
      <c r="C70"/>
      <c r="D70"/>
      <c r="E70"/>
    </row>
  </sheetData>
  <mergeCells count="4">
    <mergeCell ref="A1:D1"/>
    <mergeCell ref="A2:D2"/>
    <mergeCell ref="A3:D3"/>
    <mergeCell ref="A4:D4"/>
  </mergeCells>
  <phoneticPr fontId="23" type="noConversion"/>
  <pageMargins left="0.95" right="0.5" top="0.92" bottom="0.5" header="0.5" footer="0.5"/>
  <pageSetup scale="78" orientation="portrait" verticalDpi="300" r:id="rId1"/>
  <headerFooter alignWithMargins="0">
    <oddFooter>&amp;RSchedule &amp;A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24"/>
  <sheetViews>
    <sheetView view="pageBreakPreview" zoomScale="90" zoomScaleNormal="100" zoomScaleSheetLayoutView="90" workbookViewId="0">
      <selection activeCell="C6" sqref="C6"/>
    </sheetView>
  </sheetViews>
  <sheetFormatPr defaultRowHeight="15"/>
  <cols>
    <col min="1" max="1" width="10" customWidth="1"/>
    <col min="3" max="3" width="74.44140625" bestFit="1" customWidth="1"/>
  </cols>
  <sheetData>
    <row r="1" spans="1:3">
      <c r="A1" s="1188" t="str">
        <f>'Table of Contents'!A1:C1</f>
        <v>Atmos Energy Corporation, Kentucky/Mid-States Division</v>
      </c>
      <c r="B1" s="1188"/>
      <c r="C1" s="1188"/>
    </row>
    <row r="2" spans="1:3">
      <c r="A2" s="1188" t="str">
        <f>'Table of Contents'!A2:C2</f>
        <v>Kentucky Jurisdiction Case No. 2018-00281</v>
      </c>
      <c r="B2" s="1188"/>
      <c r="C2" s="1188"/>
    </row>
    <row r="3" spans="1:3">
      <c r="A3" s="1188" t="str">
        <f>'Table of Contents'!A3:C3</f>
        <v>Base Period: Twelve Months Ended December 31, 2018</v>
      </c>
      <c r="B3" s="1188"/>
      <c r="C3" s="1188"/>
    </row>
    <row r="4" spans="1:3">
      <c r="A4" s="1188" t="str">
        <f>'Table of Contents'!A4:C4</f>
        <v>Forecasted Test Period: Twelve Months Ended March 31, 2020</v>
      </c>
      <c r="B4" s="1188"/>
      <c r="C4" s="1188"/>
    </row>
    <row r="9" spans="1:3">
      <c r="A9" s="1188" t="s">
        <v>1413</v>
      </c>
      <c r="B9" s="1188"/>
      <c r="C9" s="1188"/>
    </row>
    <row r="11" spans="1:3" ht="15.75">
      <c r="A11" s="1192" t="s">
        <v>271</v>
      </c>
      <c r="B11" s="1192"/>
      <c r="C11" s="1192"/>
    </row>
    <row r="14" spans="1:3" ht="15.75">
      <c r="A14" s="302" t="s">
        <v>58</v>
      </c>
      <c r="B14" s="459" t="s">
        <v>614</v>
      </c>
      <c r="C14" s="302" t="s">
        <v>985</v>
      </c>
    </row>
    <row r="15" spans="1:3">
      <c r="A15" s="78"/>
      <c r="B15" s="195"/>
      <c r="C15" s="40"/>
    </row>
    <row r="16" spans="1:3">
      <c r="A16" s="226" t="s">
        <v>367</v>
      </c>
      <c r="B16" s="460">
        <v>2</v>
      </c>
      <c r="C16" s="40" t="s">
        <v>171</v>
      </c>
    </row>
    <row r="17" spans="1:3">
      <c r="A17" s="226" t="s">
        <v>678</v>
      </c>
      <c r="B17" s="460">
        <v>14</v>
      </c>
      <c r="C17" s="40" t="s">
        <v>530</v>
      </c>
    </row>
    <row r="18" spans="1:3">
      <c r="A18" s="226" t="s">
        <v>679</v>
      </c>
      <c r="B18" s="460">
        <v>14</v>
      </c>
      <c r="C18" s="40" t="s">
        <v>416</v>
      </c>
    </row>
    <row r="19" spans="1:3">
      <c r="A19" s="226" t="s">
        <v>1118</v>
      </c>
      <c r="B19" s="460">
        <v>5</v>
      </c>
      <c r="C19" s="40" t="s">
        <v>91</v>
      </c>
    </row>
    <row r="20" spans="1:3">
      <c r="A20" s="226" t="s">
        <v>79</v>
      </c>
      <c r="B20" s="460">
        <v>2</v>
      </c>
      <c r="C20" s="40" t="s">
        <v>80</v>
      </c>
    </row>
    <row r="21" spans="1:3">
      <c r="A21" s="226" t="s">
        <v>82</v>
      </c>
      <c r="B21" s="460">
        <v>2</v>
      </c>
      <c r="C21" s="40" t="s">
        <v>847</v>
      </c>
    </row>
    <row r="22" spans="1:3">
      <c r="A22" s="226" t="s">
        <v>81</v>
      </c>
      <c r="B22" s="460">
        <v>2</v>
      </c>
      <c r="C22" s="40" t="s">
        <v>848</v>
      </c>
    </row>
    <row r="23" spans="1:3">
      <c r="A23" s="226" t="s">
        <v>84</v>
      </c>
      <c r="B23" s="460">
        <v>2</v>
      </c>
      <c r="C23" s="40" t="s">
        <v>628</v>
      </c>
    </row>
    <row r="24" spans="1:3">
      <c r="A24" s="226" t="s">
        <v>807</v>
      </c>
      <c r="B24" s="460">
        <v>2</v>
      </c>
      <c r="C24" s="4" t="s">
        <v>633</v>
      </c>
    </row>
  </sheetData>
  <mergeCells count="6">
    <mergeCell ref="A9:C9"/>
    <mergeCell ref="A11:C11"/>
    <mergeCell ref="A1:C1"/>
    <mergeCell ref="A2:C2"/>
    <mergeCell ref="A3:C3"/>
    <mergeCell ref="A4:C4"/>
  </mergeCells>
  <phoneticPr fontId="23" type="noConversion"/>
  <printOptions horizontalCentered="1"/>
  <pageMargins left="0.75" right="0.75" top="1" bottom="1" header="0.5" footer="0.5"/>
  <pageSetup scale="78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C23"/>
  <sheetViews>
    <sheetView view="pageBreakPreview" zoomScale="60" zoomScaleNormal="100" workbookViewId="0">
      <selection activeCell="E14" sqref="E14"/>
    </sheetView>
  </sheetViews>
  <sheetFormatPr defaultRowHeight="15"/>
  <cols>
    <col min="3" max="3" width="67.6640625" customWidth="1"/>
  </cols>
  <sheetData>
    <row r="1" spans="1:3">
      <c r="A1" s="1188" t="str">
        <f>'Table of Contents'!A1:C1</f>
        <v>Atmos Energy Corporation, Kentucky/Mid-States Division</v>
      </c>
      <c r="B1" s="1188"/>
      <c r="C1" s="1188"/>
    </row>
    <row r="2" spans="1:3">
      <c r="A2" s="1188" t="str">
        <f>'Table of Contents'!A2:C2</f>
        <v>Kentucky Jurisdiction Case No. 2018-00281</v>
      </c>
      <c r="B2" s="1188"/>
      <c r="C2" s="1188"/>
    </row>
    <row r="3" spans="1:3">
      <c r="A3" s="1188" t="str">
        <f>'Table of Contents'!A3:C3</f>
        <v>Base Period: Twelve Months Ended December 31, 2018</v>
      </c>
      <c r="B3" s="1188"/>
      <c r="C3" s="1188"/>
    </row>
    <row r="4" spans="1:3">
      <c r="A4" s="1188" t="str">
        <f>'Table of Contents'!A4:C4</f>
        <v>Forecasted Test Period: Twelve Months Ended March 31, 2020</v>
      </c>
      <c r="B4" s="1188"/>
      <c r="C4" s="1188"/>
    </row>
    <row r="13" spans="1:3">
      <c r="A13" s="1188" t="s">
        <v>1434</v>
      </c>
      <c r="B13" s="1188"/>
      <c r="C13" s="1188"/>
    </row>
    <row r="15" spans="1:3" ht="15.75">
      <c r="A15" s="1209" t="s">
        <v>463</v>
      </c>
      <c r="B15" s="1209"/>
      <c r="C15" s="1209"/>
    </row>
    <row r="18" spans="1:3">
      <c r="A18" s="58" t="s">
        <v>58</v>
      </c>
      <c r="B18" s="58" t="s">
        <v>614</v>
      </c>
      <c r="C18" s="58" t="s">
        <v>985</v>
      </c>
    </row>
    <row r="20" spans="1:3">
      <c r="A20" s="53" t="s">
        <v>828</v>
      </c>
      <c r="B20" s="53">
        <v>1</v>
      </c>
      <c r="C20" t="s">
        <v>463</v>
      </c>
    </row>
    <row r="21" spans="1:3">
      <c r="B21" s="53"/>
    </row>
    <row r="22" spans="1:3">
      <c r="B22" s="53"/>
    </row>
    <row r="23" spans="1:3">
      <c r="B23" s="53"/>
    </row>
  </sheetData>
  <mergeCells count="6">
    <mergeCell ref="A4:C4"/>
    <mergeCell ref="A13:C13"/>
    <mergeCell ref="A15:C15"/>
    <mergeCell ref="A1:C1"/>
    <mergeCell ref="A2:C2"/>
    <mergeCell ref="A3:C3"/>
  </mergeCells>
  <phoneticPr fontId="23" type="noConversion"/>
  <pageMargins left="0.75" right="0.75" top="1" bottom="1" header="0.5" footer="0.5"/>
  <pageSetup scale="87" orientation="portrait" r:id="rId1"/>
  <headerFooter alignWithMargins="0"/>
  <colBreaks count="1" manualBreakCount="1">
    <brk id="3" max="104857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/>
  <dimension ref="A1:AH43"/>
  <sheetViews>
    <sheetView view="pageBreakPreview" zoomScale="70" zoomScaleNormal="90" zoomScaleSheetLayoutView="70" workbookViewId="0">
      <selection activeCell="J24" sqref="J24"/>
    </sheetView>
  </sheetViews>
  <sheetFormatPr defaultColWidth="13.88671875" defaultRowHeight="15"/>
  <cols>
    <col min="1" max="1" width="3.6640625" style="36" customWidth="1"/>
    <col min="2" max="2" width="16.21875" style="36" customWidth="1"/>
    <col min="3" max="3" width="11" style="36" customWidth="1"/>
    <col min="4" max="4" width="12.33203125" style="36" customWidth="1"/>
    <col min="5" max="5" width="13.109375" style="36" customWidth="1"/>
    <col min="6" max="6" width="12.5546875" style="36" customWidth="1"/>
    <col min="7" max="7" width="13.109375" style="36" customWidth="1"/>
    <col min="8" max="8" width="8.6640625" style="36" customWidth="1"/>
    <col min="9" max="9" width="13.88671875" style="36" customWidth="1"/>
    <col min="10" max="10" width="15.109375" style="36" customWidth="1"/>
    <col min="11" max="16384" width="13.88671875" style="36"/>
  </cols>
  <sheetData>
    <row r="1" spans="1:16">
      <c r="A1" s="1202" t="str">
        <f>'Table of Contents'!A1:C1</f>
        <v>Atmos Energy Corporation, Kentucky/Mid-States Division</v>
      </c>
      <c r="B1" s="1202"/>
      <c r="C1" s="1202"/>
      <c r="D1" s="1202"/>
      <c r="E1" s="1202"/>
      <c r="F1" s="1202"/>
      <c r="G1" s="1202"/>
      <c r="H1" s="1202"/>
      <c r="I1" s="30"/>
      <c r="M1" s="37"/>
      <c r="O1" s="37"/>
      <c r="P1" s="37"/>
    </row>
    <row r="2" spans="1:16">
      <c r="A2" s="1202" t="str">
        <f>'Table of Contents'!A2:C2</f>
        <v>Kentucky Jurisdiction Case No. 2018-00281</v>
      </c>
      <c r="B2" s="1202"/>
      <c r="C2" s="1202"/>
      <c r="D2" s="1202"/>
      <c r="E2" s="1202"/>
      <c r="F2" s="1202"/>
      <c r="G2" s="1202"/>
      <c r="H2" s="1202"/>
      <c r="I2" s="30"/>
      <c r="P2" s="37"/>
    </row>
    <row r="3" spans="1:16">
      <c r="A3" s="1202" t="s">
        <v>151</v>
      </c>
      <c r="B3" s="1202"/>
      <c r="C3" s="1202"/>
      <c r="D3" s="1202"/>
      <c r="E3" s="1202"/>
      <c r="F3" s="1202"/>
      <c r="G3" s="1202"/>
      <c r="H3" s="1202"/>
      <c r="I3" s="30"/>
    </row>
    <row r="4" spans="1:16">
      <c r="A4" s="1202" t="str">
        <f>'Table of Contents'!A3:C3</f>
        <v>Base Period: Twelve Months Ended December 31, 2018</v>
      </c>
      <c r="B4" s="1202"/>
      <c r="C4" s="1202"/>
      <c r="D4" s="1202"/>
      <c r="E4" s="1202"/>
      <c r="F4" s="1202"/>
      <c r="G4" s="1202"/>
      <c r="H4" s="1202"/>
      <c r="I4" s="30"/>
      <c r="M4" s="37"/>
      <c r="O4" s="37"/>
      <c r="P4" s="37"/>
    </row>
    <row r="5" spans="1:16">
      <c r="A5" s="1202" t="str">
        <f>'Table of Contents'!A4:C4</f>
        <v>Forecasted Test Period: Twelve Months Ended March 31, 2020</v>
      </c>
      <c r="B5" s="1202"/>
      <c r="C5" s="1202"/>
      <c r="D5" s="1202"/>
      <c r="E5" s="1202"/>
      <c r="F5" s="1202"/>
      <c r="G5" s="1202"/>
      <c r="H5" s="1202"/>
      <c r="I5" s="30"/>
      <c r="M5" s="37"/>
      <c r="O5" s="37"/>
      <c r="P5" s="37"/>
    </row>
    <row r="6" spans="1:16">
      <c r="A6" s="4"/>
      <c r="B6" s="49"/>
      <c r="C6" s="49"/>
      <c r="D6" s="50"/>
      <c r="P6" s="37"/>
    </row>
    <row r="7" spans="1:16">
      <c r="B7" s="50"/>
      <c r="C7" s="50"/>
      <c r="D7" s="50"/>
      <c r="H7" s="375" t="s">
        <v>1406</v>
      </c>
      <c r="I7" s="4"/>
    </row>
    <row r="8" spans="1:16">
      <c r="A8" s="4" t="s">
        <v>615</v>
      </c>
      <c r="B8" s="50"/>
      <c r="C8" s="50"/>
      <c r="D8" s="50"/>
      <c r="H8" s="488" t="s">
        <v>829</v>
      </c>
      <c r="I8" s="4"/>
      <c r="M8" s="37"/>
      <c r="O8" s="37"/>
      <c r="P8" s="37"/>
    </row>
    <row r="9" spans="1:16">
      <c r="A9" s="51" t="s">
        <v>365</v>
      </c>
      <c r="B9" s="38"/>
      <c r="C9" s="38"/>
      <c r="D9" s="38"/>
      <c r="E9" s="154"/>
      <c r="F9" s="154"/>
      <c r="G9" s="154"/>
      <c r="H9" s="549" t="s">
        <v>1694</v>
      </c>
      <c r="I9" s="50"/>
      <c r="M9" s="37"/>
      <c r="P9" s="37"/>
    </row>
    <row r="10" spans="1:16">
      <c r="E10" s="50"/>
      <c r="F10" s="49"/>
      <c r="G10" s="50"/>
      <c r="H10" s="49"/>
      <c r="I10" s="50"/>
    </row>
    <row r="11" spans="1:16">
      <c r="A11" s="37" t="s">
        <v>93</v>
      </c>
      <c r="E11" s="34" t="s">
        <v>324</v>
      </c>
      <c r="F11" s="2"/>
      <c r="G11" s="54" t="s">
        <v>316</v>
      </c>
      <c r="H11" s="54" t="s">
        <v>139</v>
      </c>
      <c r="I11" s="221"/>
    </row>
    <row r="12" spans="1:16">
      <c r="A12" s="39" t="s">
        <v>99</v>
      </c>
      <c r="B12" s="39" t="s">
        <v>985</v>
      </c>
      <c r="C12" s="38"/>
      <c r="D12" s="38"/>
      <c r="E12" s="9" t="s">
        <v>986</v>
      </c>
      <c r="F12" s="9" t="s">
        <v>987</v>
      </c>
      <c r="G12" s="9" t="s">
        <v>830</v>
      </c>
      <c r="H12" s="9" t="s">
        <v>449</v>
      </c>
      <c r="I12" s="34"/>
    </row>
    <row r="13" spans="1:16">
      <c r="E13" s="2" t="s">
        <v>1092</v>
      </c>
      <c r="F13" s="2" t="s">
        <v>1093</v>
      </c>
      <c r="G13" s="2" t="s">
        <v>1094</v>
      </c>
      <c r="H13" s="2"/>
      <c r="I13" s="34"/>
    </row>
    <row r="14" spans="1:16">
      <c r="E14" s="2"/>
      <c r="F14" s="2"/>
      <c r="G14" s="2"/>
      <c r="H14" s="2"/>
      <c r="I14" s="34"/>
    </row>
    <row r="15" spans="1:16">
      <c r="A15" s="54">
        <v>1</v>
      </c>
      <c r="B15" s="36" t="s">
        <v>831</v>
      </c>
      <c r="E15" s="550">
        <f>+'C.2'!D14-SUM('C.2'!D17:D27)</f>
        <v>35262663.180000037</v>
      </c>
      <c r="F15" s="550">
        <f>+G15-E15</f>
        <v>-1700036.8795823157</v>
      </c>
      <c r="G15" s="550">
        <f>'C.2'!O14-SUM('C.2'!O17:O27)</f>
        <v>33562626.300417721</v>
      </c>
      <c r="H15" s="2" t="s">
        <v>140</v>
      </c>
      <c r="I15" s="34"/>
    </row>
    <row r="16" spans="1:16">
      <c r="A16" s="54"/>
      <c r="E16" s="19"/>
      <c r="F16" s="19"/>
      <c r="G16" s="19"/>
      <c r="H16" s="2"/>
      <c r="I16" s="2"/>
    </row>
    <row r="17" spans="1:34">
      <c r="A17" s="54">
        <v>2</v>
      </c>
      <c r="B17" s="36" t="s">
        <v>211</v>
      </c>
      <c r="E17" s="159">
        <f>+E32</f>
        <v>9076964.8669388648</v>
      </c>
      <c r="F17" s="159">
        <f>+G17-E17</f>
        <v>288059.9750617817</v>
      </c>
      <c r="G17" s="159">
        <f>+G32</f>
        <v>9365024.8420006465</v>
      </c>
      <c r="H17" s="2" t="s">
        <v>775</v>
      </c>
      <c r="I17" s="2"/>
    </row>
    <row r="18" spans="1:34">
      <c r="A18" s="54"/>
      <c r="E18" s="19"/>
      <c r="F18" s="19"/>
      <c r="G18" s="19"/>
      <c r="H18" s="2"/>
      <c r="I18" s="2"/>
    </row>
    <row r="19" spans="1:34">
      <c r="A19" s="54">
        <v>3</v>
      </c>
      <c r="B19" s="36" t="s">
        <v>812</v>
      </c>
      <c r="E19" s="550">
        <f>+E15-E17</f>
        <v>26185698.31306117</v>
      </c>
      <c r="F19" s="550">
        <f>+F15-F17</f>
        <v>-1988096.8546440974</v>
      </c>
      <c r="G19" s="550">
        <f>+G15-G17</f>
        <v>24197601.458417073</v>
      </c>
      <c r="H19" s="2"/>
      <c r="I19" s="2"/>
    </row>
    <row r="20" spans="1:34">
      <c r="A20" s="54"/>
      <c r="E20" s="19"/>
      <c r="F20" s="19"/>
      <c r="G20" s="19"/>
      <c r="H20" s="2"/>
      <c r="I20" s="2"/>
    </row>
    <row r="21" spans="1:34">
      <c r="A21" s="54">
        <v>4</v>
      </c>
      <c r="B21" s="36" t="s">
        <v>152</v>
      </c>
      <c r="E21" s="160">
        <f>0.05+0.21*(1-0.05)</f>
        <v>0.2495</v>
      </c>
      <c r="F21" s="160"/>
      <c r="G21" s="160">
        <f>Allocation!E25</f>
        <v>0.2495</v>
      </c>
      <c r="H21" s="2" t="s">
        <v>500</v>
      </c>
      <c r="I21" s="2"/>
    </row>
    <row r="22" spans="1:34">
      <c r="A22" s="54"/>
      <c r="E22" s="19"/>
      <c r="F22" s="19"/>
      <c r="G22" s="19"/>
      <c r="H22" s="2"/>
      <c r="I22" s="2"/>
    </row>
    <row r="23" spans="1:34" ht="16.5" thickBot="1">
      <c r="A23" s="54">
        <v>5</v>
      </c>
      <c r="B23" s="161" t="s">
        <v>1148</v>
      </c>
      <c r="E23" s="551">
        <f>+E19*E21</f>
        <v>6533331.729108762</v>
      </c>
      <c r="F23" s="551">
        <f>+G23-E23</f>
        <v>-496030.1652337024</v>
      </c>
      <c r="G23" s="552">
        <f>+G19*G21</f>
        <v>6037301.5638750596</v>
      </c>
      <c r="H23" s="2"/>
      <c r="I23" s="2"/>
    </row>
    <row r="24" spans="1:34" ht="16.5" thickTop="1">
      <c r="A24" s="54"/>
      <c r="B24" s="161"/>
      <c r="E24" s="72"/>
      <c r="F24" s="19"/>
      <c r="G24" s="162"/>
      <c r="H24" s="2"/>
      <c r="I24" s="2"/>
    </row>
    <row r="25" spans="1:34" ht="15.75">
      <c r="A25" s="54"/>
      <c r="B25" s="161"/>
      <c r="E25" s="72"/>
      <c r="F25" s="19"/>
      <c r="G25" s="162"/>
      <c r="H25" s="2"/>
      <c r="I25" s="2"/>
    </row>
    <row r="26" spans="1:34">
      <c r="A26" s="54"/>
      <c r="E26" s="19"/>
      <c r="F26" s="19"/>
      <c r="G26" s="19"/>
      <c r="H26" s="2"/>
      <c r="I26" s="2"/>
    </row>
    <row r="27" spans="1:34">
      <c r="A27" s="54"/>
      <c r="B27" s="163" t="s">
        <v>1149</v>
      </c>
      <c r="E27" s="19"/>
      <c r="F27" s="19"/>
      <c r="G27" s="19"/>
      <c r="H27" s="2"/>
      <c r="I27" s="2"/>
    </row>
    <row r="28" spans="1:34" s="1" customFormat="1">
      <c r="A28" s="54">
        <v>6</v>
      </c>
      <c r="B28" s="156" t="s">
        <v>22</v>
      </c>
      <c r="E28" s="553">
        <f>+'B.1 B'!F27</f>
        <v>434304539.08798397</v>
      </c>
      <c r="F28" s="155"/>
      <c r="G28" s="554">
        <f>+'B.1 F '!F27</f>
        <v>495967912.94717216</v>
      </c>
      <c r="H28" s="54" t="s">
        <v>367</v>
      </c>
      <c r="J28" s="36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1:34" s="1" customFormat="1">
      <c r="A29" s="54"/>
      <c r="J29" s="36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4" s="1" customFormat="1">
      <c r="A30" s="54">
        <v>7</v>
      </c>
      <c r="B30" s="156" t="s">
        <v>141</v>
      </c>
      <c r="E30" s="158">
        <f>J.1!N21</f>
        <v>2.0899999999999998E-2</v>
      </c>
      <c r="G30" s="158">
        <f>J.1!V21</f>
        <v>1.8882319999999998E-2</v>
      </c>
      <c r="H30" s="54" t="s">
        <v>1134</v>
      </c>
      <c r="I30" s="691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</row>
    <row r="31" spans="1:34" s="1" customFormat="1">
      <c r="A31" s="54"/>
      <c r="I31" s="591"/>
      <c r="J31" s="36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1:34" s="1" customFormat="1" ht="15.75" thickBot="1">
      <c r="A32" s="54">
        <v>8</v>
      </c>
      <c r="B32" s="157" t="s">
        <v>1054</v>
      </c>
      <c r="E32" s="330">
        <f>+E28*E30</f>
        <v>9076964.8669388648</v>
      </c>
      <c r="G32" s="330">
        <f>+G28*G30</f>
        <v>9365024.8420006465</v>
      </c>
      <c r="J32" s="36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1:34" s="1" customFormat="1" ht="15.75" thickTop="1">
      <c r="A33" s="54"/>
      <c r="J33" s="36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4" s="1" customFormat="1">
      <c r="A34" s="54"/>
      <c r="B34" s="81"/>
      <c r="C34" s="81"/>
      <c r="D34" s="81"/>
      <c r="E34" s="81"/>
      <c r="F34" s="81"/>
      <c r="J34" s="36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1:34" s="1" customFormat="1">
      <c r="A35" s="54">
        <v>9</v>
      </c>
      <c r="B35" s="655" t="s">
        <v>1702</v>
      </c>
      <c r="C35" s="81"/>
      <c r="D35" s="81"/>
      <c r="E35" s="81"/>
      <c r="F35" s="81"/>
      <c r="I35" s="692"/>
      <c r="J35" s="691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>
      <c r="A36" s="54">
        <v>10</v>
      </c>
      <c r="B36" s="652" t="s">
        <v>1150</v>
      </c>
      <c r="C36" s="653"/>
      <c r="D36" s="653"/>
      <c r="E36" s="654">
        <v>0.05</v>
      </c>
      <c r="F36" s="653"/>
      <c r="I36" s="692"/>
      <c r="J36" s="691"/>
    </row>
    <row r="37" spans="1:34">
      <c r="A37" s="54">
        <v>11</v>
      </c>
      <c r="B37" s="652" t="s">
        <v>1151</v>
      </c>
      <c r="C37" s="653"/>
      <c r="D37" s="653"/>
      <c r="E37" s="654">
        <v>0.21</v>
      </c>
      <c r="F37" s="653"/>
      <c r="I37" s="692"/>
      <c r="J37" s="691"/>
    </row>
    <row r="38" spans="1:34">
      <c r="B38" s="653"/>
      <c r="C38" s="653"/>
      <c r="D38" s="653"/>
      <c r="E38" s="654"/>
      <c r="F38" s="653"/>
      <c r="I38" s="691"/>
      <c r="J38" s="691"/>
    </row>
    <row r="39" spans="1:34">
      <c r="E39" s="164"/>
    </row>
    <row r="40" spans="1:34">
      <c r="E40" s="164"/>
    </row>
    <row r="41" spans="1:34">
      <c r="G41" s="693"/>
    </row>
    <row r="43" spans="1:34">
      <c r="E43" s="164"/>
    </row>
  </sheetData>
  <mergeCells count="5">
    <mergeCell ref="A2:H2"/>
    <mergeCell ref="A3:H3"/>
    <mergeCell ref="A4:H4"/>
    <mergeCell ref="A5:H5"/>
    <mergeCell ref="A1:H1"/>
  </mergeCells>
  <phoneticPr fontId="23" type="noConversion"/>
  <pageMargins left="1.05" right="0.5" top="0.95" bottom="0.5" header="0.5" footer="0.5"/>
  <pageSetup scale="80" orientation="portrait" verticalDpi="300" r:id="rId1"/>
  <headerFooter alignWithMargins="0">
    <oddFooter>&amp;RSchedule &amp;A
Page &amp;P of 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C29"/>
  <sheetViews>
    <sheetView view="pageBreakPreview" zoomScale="60" zoomScaleNormal="100" workbookViewId="0">
      <selection activeCell="D31" sqref="D31"/>
    </sheetView>
  </sheetViews>
  <sheetFormatPr defaultRowHeight="15"/>
  <cols>
    <col min="3" max="3" width="45.44140625" customWidth="1"/>
  </cols>
  <sheetData>
    <row r="1" spans="1:3">
      <c r="A1" s="1188" t="str">
        <f>'Table of Contents'!A1:C1</f>
        <v>Atmos Energy Corporation, Kentucky/Mid-States Division</v>
      </c>
      <c r="B1" s="1188"/>
      <c r="C1" s="1188"/>
    </row>
    <row r="2" spans="1:3">
      <c r="A2" s="1188" t="str">
        <f>'Table of Contents'!A2:C2</f>
        <v>Kentucky Jurisdiction Case No. 2018-00281</v>
      </c>
      <c r="B2" s="1188"/>
      <c r="C2" s="1188"/>
    </row>
    <row r="3" spans="1:3">
      <c r="A3" s="1188" t="str">
        <f>'Table of Contents'!A3:C3</f>
        <v>Base Period: Twelve Months Ended December 31, 2018</v>
      </c>
      <c r="B3" s="1188"/>
      <c r="C3" s="1188"/>
    </row>
    <row r="4" spans="1:3">
      <c r="A4" s="1188" t="str">
        <f>'Table of Contents'!A4:C4</f>
        <v>Forecasted Test Period: Twelve Months Ended March 31, 2020</v>
      </c>
      <c r="B4" s="1188"/>
      <c r="C4" s="1188"/>
    </row>
    <row r="11" spans="1:3">
      <c r="A11" s="1188" t="s">
        <v>1435</v>
      </c>
      <c r="B11" s="1188"/>
      <c r="C11" s="1188"/>
    </row>
    <row r="13" spans="1:3">
      <c r="A13" s="1188"/>
      <c r="B13" s="1188"/>
      <c r="C13" s="1188"/>
    </row>
    <row r="16" spans="1:3">
      <c r="A16" s="58" t="s">
        <v>58</v>
      </c>
      <c r="B16" s="58" t="s">
        <v>614</v>
      </c>
      <c r="C16" s="58" t="s">
        <v>985</v>
      </c>
    </row>
    <row r="18" spans="1:3">
      <c r="A18" t="s">
        <v>545</v>
      </c>
      <c r="B18" s="176">
        <v>2</v>
      </c>
      <c r="C18" t="s">
        <v>546</v>
      </c>
    </row>
    <row r="19" spans="1:3">
      <c r="A19" t="s">
        <v>547</v>
      </c>
      <c r="B19" s="176">
        <v>1</v>
      </c>
      <c r="C19" t="s">
        <v>548</v>
      </c>
    </row>
    <row r="20" spans="1:3">
      <c r="A20" t="s">
        <v>501</v>
      </c>
      <c r="B20" s="176">
        <v>1</v>
      </c>
      <c r="C20" t="s">
        <v>549</v>
      </c>
    </row>
    <row r="21" spans="1:3">
      <c r="A21" t="s">
        <v>550</v>
      </c>
      <c r="B21" s="176">
        <v>1</v>
      </c>
      <c r="C21" t="s">
        <v>551</v>
      </c>
    </row>
    <row r="22" spans="1:3">
      <c r="A22" t="s">
        <v>502</v>
      </c>
      <c r="B22" s="176">
        <v>1</v>
      </c>
      <c r="C22" t="s">
        <v>552</v>
      </c>
    </row>
    <row r="23" spans="1:3">
      <c r="A23" t="s">
        <v>553</v>
      </c>
      <c r="B23" s="176">
        <v>1</v>
      </c>
      <c r="C23" t="s">
        <v>954</v>
      </c>
    </row>
    <row r="24" spans="1:3">
      <c r="A24" t="s">
        <v>554</v>
      </c>
      <c r="B24" s="176">
        <v>1</v>
      </c>
      <c r="C24" t="s">
        <v>555</v>
      </c>
    </row>
    <row r="25" spans="1:3">
      <c r="A25" t="s">
        <v>556</v>
      </c>
      <c r="B25" s="176">
        <v>1</v>
      </c>
      <c r="C25" t="s">
        <v>220</v>
      </c>
    </row>
    <row r="26" spans="1:3">
      <c r="A26" t="s">
        <v>557</v>
      </c>
      <c r="B26" s="176">
        <v>1</v>
      </c>
      <c r="C26" t="s">
        <v>558</v>
      </c>
    </row>
    <row r="27" spans="1:3">
      <c r="A27" t="s">
        <v>972</v>
      </c>
      <c r="B27" s="176">
        <v>1</v>
      </c>
      <c r="C27" t="s">
        <v>559</v>
      </c>
    </row>
    <row r="28" spans="1:3">
      <c r="A28" t="s">
        <v>1296</v>
      </c>
      <c r="B28" s="676">
        <v>1</v>
      </c>
      <c r="C28" t="s">
        <v>1297</v>
      </c>
    </row>
    <row r="29" spans="1:3">
      <c r="A29" t="s">
        <v>1371</v>
      </c>
      <c r="B29" s="838">
        <v>1</v>
      </c>
      <c r="C29" t="s">
        <v>1484</v>
      </c>
    </row>
  </sheetData>
  <mergeCells count="6">
    <mergeCell ref="A4:C4"/>
    <mergeCell ref="A11:C11"/>
    <mergeCell ref="A13:C13"/>
    <mergeCell ref="A1:C1"/>
    <mergeCell ref="A2:C2"/>
    <mergeCell ref="A3:C3"/>
  </mergeCells>
  <phoneticPr fontId="23" type="noConversion"/>
  <printOptions horizontalCentered="1"/>
  <pageMargins left="0.75" right="0.75" top="1" bottom="1" header="0.5" footer="0.5"/>
  <pageSetup orientation="portrait" r:id="rId1"/>
  <headerFooter alignWithMargins="0"/>
  <colBreaks count="1" manualBreakCount="1">
    <brk id="3" max="104857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194"/>
  <sheetViews>
    <sheetView view="pageBreakPreview" zoomScale="60" zoomScaleNormal="90" workbookViewId="0">
      <pane ySplit="11" topLeftCell="A139" activePane="bottomLeft" state="frozen"/>
      <selection activeCell="J154" sqref="J154"/>
      <selection pane="bottomLeft" activeCell="J154" sqref="J154"/>
    </sheetView>
  </sheetViews>
  <sheetFormatPr defaultColWidth="11.21875" defaultRowHeight="15"/>
  <cols>
    <col min="1" max="1" width="4.6640625" style="436" customWidth="1"/>
    <col min="2" max="2" width="9.5546875" style="436" customWidth="1"/>
    <col min="3" max="3" width="56.5546875" style="436" customWidth="1"/>
    <col min="4" max="4" width="10.6640625" style="436" customWidth="1"/>
    <col min="5" max="5" width="13.5546875" style="436" customWidth="1"/>
    <col min="6" max="6" width="11.6640625" style="436" customWidth="1"/>
    <col min="7" max="7" width="3.6640625" style="436" customWidth="1"/>
    <col min="8" max="8" width="7.6640625" style="436" customWidth="1"/>
    <col min="9" max="9" width="4.6640625" style="436" customWidth="1"/>
    <col min="10" max="10" width="23.6640625" style="436" customWidth="1"/>
    <col min="11" max="12" width="10.6640625" style="436" customWidth="1"/>
    <col min="13" max="13" width="11.6640625" style="436" customWidth="1"/>
    <col min="14" max="14" width="10.6640625" style="436" customWidth="1"/>
    <col min="15" max="15" width="9.6640625" style="436" customWidth="1"/>
    <col min="16" max="16" width="14.6640625" style="436" customWidth="1"/>
    <col min="17" max="17" width="5.6640625" style="436" customWidth="1"/>
    <col min="18" max="18" width="4.6640625" style="436" customWidth="1"/>
    <col min="19" max="19" width="9.6640625" style="436" customWidth="1"/>
    <col min="20" max="20" width="20.6640625" style="436" customWidth="1"/>
    <col min="21" max="21" width="9.6640625" style="436" customWidth="1"/>
    <col min="22" max="22" width="15.6640625" style="436" customWidth="1"/>
    <col min="23" max="23" width="9.6640625" style="436" customWidth="1"/>
    <col min="24" max="24" width="6.6640625" style="436" customWidth="1"/>
    <col min="25" max="25" width="9.6640625" style="436" customWidth="1"/>
    <col min="26" max="26" width="16.6640625" style="436" customWidth="1"/>
    <col min="27" max="27" width="9.6640625" style="436" customWidth="1"/>
    <col min="28" max="28" width="5.6640625" style="436" customWidth="1"/>
    <col min="29" max="29" width="10.6640625" style="436" customWidth="1"/>
    <col min="30" max="30" width="19.6640625" style="436" customWidth="1"/>
    <col min="31" max="31" width="9.6640625" style="436" customWidth="1"/>
    <col min="32" max="32" width="16.6640625" style="436" customWidth="1"/>
    <col min="33" max="33" width="11.21875" style="436"/>
    <col min="34" max="34" width="5.6640625" style="436" customWidth="1"/>
    <col min="35" max="35" width="10.6640625" style="436" customWidth="1"/>
    <col min="36" max="36" width="17.6640625" style="436" customWidth="1"/>
    <col min="37" max="37" width="10.6640625" style="436" customWidth="1"/>
    <col min="38" max="38" width="24.6640625" style="436" customWidth="1"/>
    <col min="39" max="40" width="9.6640625" style="436" customWidth="1"/>
    <col min="41" max="41" width="11.6640625" style="436" customWidth="1"/>
    <col min="42" max="43" width="9.6640625" style="436" customWidth="1"/>
    <col min="44" max="44" width="13.6640625" style="436" customWidth="1"/>
    <col min="45" max="45" width="19.6640625" style="436" customWidth="1"/>
    <col min="46" max="46" width="14.6640625" style="436" customWidth="1"/>
    <col min="47" max="50" width="11.21875" style="436"/>
    <col min="51" max="51" width="9.6640625" style="436" customWidth="1"/>
    <col min="52" max="52" width="14.6640625" style="436" customWidth="1"/>
    <col min="53" max="54" width="11.21875" style="436"/>
    <col min="55" max="55" width="12.6640625" style="436" customWidth="1"/>
    <col min="56" max="56" width="10.6640625" style="436" customWidth="1"/>
    <col min="57" max="16384" width="11.21875" style="436"/>
  </cols>
  <sheetData>
    <row r="1" spans="1:7" ht="15.75" customHeight="1">
      <c r="A1" s="1210" t="str">
        <f>'Table of Contents'!A1:C1</f>
        <v>Atmos Energy Corporation, Kentucky/Mid-States Division</v>
      </c>
      <c r="B1" s="1210"/>
      <c r="C1" s="1210"/>
      <c r="D1" s="1210"/>
      <c r="E1" s="1210"/>
      <c r="F1" s="1210"/>
    </row>
    <row r="2" spans="1:7" ht="15.75">
      <c r="A2" s="1210" t="str">
        <f>'Table of Contents'!A2:C2</f>
        <v>Kentucky Jurisdiction Case No. 2018-00281</v>
      </c>
      <c r="B2" s="1210"/>
      <c r="C2" s="1210"/>
      <c r="D2" s="1210"/>
      <c r="E2" s="1210"/>
      <c r="F2" s="1210"/>
    </row>
    <row r="3" spans="1:7" ht="15.75">
      <c r="A3" s="1210" t="s">
        <v>424</v>
      </c>
      <c r="B3" s="1210"/>
      <c r="C3" s="1210"/>
      <c r="D3" s="1210"/>
      <c r="E3" s="1210"/>
      <c r="F3" s="1210"/>
    </row>
    <row r="4" spans="1:7" ht="15.75">
      <c r="A4" s="1210" t="str">
        <f>'Table of Contents'!A3:C3</f>
        <v>Base Period: Twelve Months Ended December 31, 2018</v>
      </c>
      <c r="B4" s="1210"/>
      <c r="C4" s="1210"/>
      <c r="D4" s="1210"/>
      <c r="E4" s="1210"/>
      <c r="F4" s="1210"/>
    </row>
    <row r="5" spans="1:7" ht="15.75">
      <c r="A5" s="1210" t="str">
        <f>'Table of Contents'!A4:C4</f>
        <v>Forecasted Test Period: Twelve Months Ended March 31, 2020</v>
      </c>
      <c r="B5" s="1210"/>
      <c r="C5" s="1210"/>
      <c r="D5" s="1210"/>
      <c r="E5" s="1210"/>
      <c r="F5" s="1210"/>
    </row>
    <row r="7" spans="1:7" ht="15.75">
      <c r="A7" s="555" t="s">
        <v>803</v>
      </c>
      <c r="B7" s="437"/>
      <c r="F7" s="556" t="s">
        <v>1407</v>
      </c>
    </row>
    <row r="8" spans="1:7" ht="15.75">
      <c r="A8" s="555" t="s">
        <v>1122</v>
      </c>
      <c r="B8" s="437"/>
      <c r="F8" s="557" t="s">
        <v>174</v>
      </c>
    </row>
    <row r="9" spans="1:7" ht="15.75">
      <c r="A9" s="555" t="s">
        <v>426</v>
      </c>
      <c r="B9" s="437"/>
      <c r="F9" s="558" t="s">
        <v>1344</v>
      </c>
    </row>
    <row r="10" spans="1:7">
      <c r="A10" s="441" t="s">
        <v>93</v>
      </c>
      <c r="B10" s="442"/>
      <c r="C10" s="442"/>
      <c r="D10" s="441" t="s">
        <v>96</v>
      </c>
      <c r="E10" s="442"/>
      <c r="F10" s="442"/>
      <c r="G10" s="440"/>
    </row>
    <row r="11" spans="1:7">
      <c r="A11" s="443" t="s">
        <v>99</v>
      </c>
      <c r="B11" s="443" t="s">
        <v>175</v>
      </c>
      <c r="C11" s="443" t="s">
        <v>176</v>
      </c>
      <c r="D11" s="443" t="s">
        <v>593</v>
      </c>
      <c r="E11" s="443" t="s">
        <v>177</v>
      </c>
      <c r="F11" s="443" t="s">
        <v>594</v>
      </c>
      <c r="G11" s="440"/>
    </row>
    <row r="12" spans="1:7">
      <c r="A12" s="452"/>
      <c r="B12" s="452"/>
      <c r="C12" s="452"/>
      <c r="D12" s="452"/>
      <c r="E12" s="452"/>
      <c r="F12" s="452"/>
      <c r="G12" s="440"/>
    </row>
    <row r="13" spans="1:7" ht="15.75">
      <c r="A13" s="452"/>
      <c r="C13" s="454" t="s">
        <v>805</v>
      </c>
      <c r="D13" s="452"/>
      <c r="E13" s="452"/>
      <c r="F13" s="452"/>
      <c r="G13" s="440"/>
    </row>
    <row r="14" spans="1:7">
      <c r="G14" s="440"/>
    </row>
    <row r="15" spans="1:7">
      <c r="A15" s="444">
        <v>1</v>
      </c>
      <c r="B15" s="445" t="s">
        <v>624</v>
      </c>
      <c r="C15" s="798" t="s">
        <v>388</v>
      </c>
      <c r="D15" s="778">
        <v>45058.8</v>
      </c>
      <c r="E15" s="446" t="s">
        <v>1059</v>
      </c>
      <c r="F15" s="444">
        <f t="shared" ref="F15:F37" si="0">D15</f>
        <v>45058.8</v>
      </c>
    </row>
    <row r="16" spans="1:7">
      <c r="A16" s="444">
        <f>A15+1</f>
        <v>2</v>
      </c>
      <c r="B16" s="445" t="s">
        <v>624</v>
      </c>
      <c r="C16" s="798" t="s">
        <v>1623</v>
      </c>
      <c r="D16" s="778">
        <v>100</v>
      </c>
      <c r="E16" s="446"/>
      <c r="F16" s="444">
        <f t="shared" si="0"/>
        <v>100</v>
      </c>
    </row>
    <row r="17" spans="1:6">
      <c r="A17" s="444">
        <f t="shared" ref="A17:A80" si="1">A16+1</f>
        <v>3</v>
      </c>
      <c r="B17" s="445" t="s">
        <v>624</v>
      </c>
      <c r="C17" s="798" t="s">
        <v>1249</v>
      </c>
      <c r="D17" s="778">
        <v>140</v>
      </c>
      <c r="E17" s="183"/>
      <c r="F17" s="444">
        <f t="shared" si="0"/>
        <v>140</v>
      </c>
    </row>
    <row r="18" spans="1:6">
      <c r="A18" s="444">
        <f t="shared" si="1"/>
        <v>4</v>
      </c>
      <c r="B18" s="445" t="s">
        <v>624</v>
      </c>
      <c r="C18" s="798" t="s">
        <v>1707</v>
      </c>
      <c r="D18" s="778">
        <v>100</v>
      </c>
      <c r="E18" s="183"/>
      <c r="F18" s="444">
        <f t="shared" si="0"/>
        <v>100</v>
      </c>
    </row>
    <row r="19" spans="1:6">
      <c r="A19" s="444">
        <f t="shared" si="1"/>
        <v>5</v>
      </c>
      <c r="B19" s="445" t="s">
        <v>624</v>
      </c>
      <c r="C19" s="798" t="s">
        <v>1708</v>
      </c>
      <c r="D19" s="778">
        <v>391.35</v>
      </c>
      <c r="E19" s="183"/>
      <c r="F19" s="444">
        <f t="shared" si="0"/>
        <v>391.35</v>
      </c>
    </row>
    <row r="20" spans="1:6">
      <c r="A20" s="444">
        <f t="shared" si="1"/>
        <v>6</v>
      </c>
      <c r="B20" s="445" t="s">
        <v>624</v>
      </c>
      <c r="C20" s="798" t="s">
        <v>1584</v>
      </c>
      <c r="D20" s="778">
        <v>280</v>
      </c>
      <c r="E20" s="183"/>
      <c r="F20" s="444">
        <f t="shared" si="0"/>
        <v>280</v>
      </c>
    </row>
    <row r="21" spans="1:6">
      <c r="A21" s="444">
        <f t="shared" si="1"/>
        <v>7</v>
      </c>
      <c r="B21" s="445" t="s">
        <v>624</v>
      </c>
      <c r="C21" s="798" t="s">
        <v>1624</v>
      </c>
      <c r="D21" s="778">
        <v>75</v>
      </c>
      <c r="E21" s="183"/>
      <c r="F21" s="444">
        <f t="shared" si="0"/>
        <v>75</v>
      </c>
    </row>
    <row r="22" spans="1:6">
      <c r="A22" s="444">
        <f t="shared" si="1"/>
        <v>8</v>
      </c>
      <c r="B22" s="445" t="s">
        <v>624</v>
      </c>
      <c r="C22" s="798" t="s">
        <v>1625</v>
      </c>
      <c r="D22" s="778">
        <v>59</v>
      </c>
      <c r="E22" s="183"/>
      <c r="F22" s="444">
        <f t="shared" si="0"/>
        <v>59</v>
      </c>
    </row>
    <row r="23" spans="1:6">
      <c r="A23" s="444">
        <f t="shared" si="1"/>
        <v>9</v>
      </c>
      <c r="B23" s="445" t="s">
        <v>624</v>
      </c>
      <c r="C23" s="798" t="s">
        <v>1625</v>
      </c>
      <c r="D23" s="778">
        <v>100</v>
      </c>
      <c r="E23" s="183"/>
      <c r="F23" s="444">
        <f t="shared" si="0"/>
        <v>100</v>
      </c>
    </row>
    <row r="24" spans="1:6">
      <c r="A24" s="444">
        <f t="shared" si="1"/>
        <v>10</v>
      </c>
      <c r="B24" s="445" t="s">
        <v>624</v>
      </c>
      <c r="C24" s="798" t="s">
        <v>1582</v>
      </c>
      <c r="D24" s="778">
        <v>200</v>
      </c>
      <c r="E24" s="183"/>
      <c r="F24" s="444">
        <f t="shared" si="0"/>
        <v>200</v>
      </c>
    </row>
    <row r="25" spans="1:6">
      <c r="A25" s="444">
        <f t="shared" si="1"/>
        <v>11</v>
      </c>
      <c r="B25" s="445" t="s">
        <v>624</v>
      </c>
      <c r="C25" s="798" t="s">
        <v>1709</v>
      </c>
      <c r="D25" s="778">
        <v>2500</v>
      </c>
      <c r="E25" s="183"/>
      <c r="F25" s="444">
        <f t="shared" si="0"/>
        <v>2500</v>
      </c>
    </row>
    <row r="26" spans="1:6">
      <c r="A26" s="444">
        <f t="shared" si="1"/>
        <v>12</v>
      </c>
      <c r="B26" s="445" t="s">
        <v>624</v>
      </c>
      <c r="C26" s="798" t="s">
        <v>1709</v>
      </c>
      <c r="D26" s="778">
        <v>1250</v>
      </c>
      <c r="E26" s="183"/>
      <c r="F26" s="444">
        <f t="shared" si="0"/>
        <v>1250</v>
      </c>
    </row>
    <row r="27" spans="1:6">
      <c r="A27" s="444">
        <f t="shared" si="1"/>
        <v>13</v>
      </c>
      <c r="B27" s="445" t="s">
        <v>624</v>
      </c>
      <c r="C27" s="798" t="s">
        <v>1709</v>
      </c>
      <c r="D27" s="778">
        <v>75</v>
      </c>
      <c r="E27" s="183"/>
      <c r="F27" s="444">
        <f t="shared" si="0"/>
        <v>75</v>
      </c>
    </row>
    <row r="28" spans="1:6">
      <c r="A28" s="444">
        <f t="shared" si="1"/>
        <v>14</v>
      </c>
      <c r="B28" s="445" t="s">
        <v>624</v>
      </c>
      <c r="C28" s="798" t="s">
        <v>1710</v>
      </c>
      <c r="D28" s="778">
        <v>100</v>
      </c>
      <c r="E28" s="183"/>
      <c r="F28" s="444">
        <f t="shared" si="0"/>
        <v>100</v>
      </c>
    </row>
    <row r="29" spans="1:6">
      <c r="A29" s="444">
        <f t="shared" si="1"/>
        <v>15</v>
      </c>
      <c r="B29" s="445" t="s">
        <v>624</v>
      </c>
      <c r="C29" s="798" t="s">
        <v>1243</v>
      </c>
      <c r="D29" s="778">
        <v>200</v>
      </c>
      <c r="E29" s="183"/>
      <c r="F29" s="444">
        <f t="shared" si="0"/>
        <v>200</v>
      </c>
    </row>
    <row r="30" spans="1:6">
      <c r="A30" s="444">
        <f t="shared" si="1"/>
        <v>16</v>
      </c>
      <c r="B30" s="445" t="s">
        <v>624</v>
      </c>
      <c r="C30" s="798" t="s">
        <v>1577</v>
      </c>
      <c r="D30" s="778">
        <v>1000</v>
      </c>
      <c r="E30" s="183"/>
      <c r="F30" s="444">
        <f t="shared" si="0"/>
        <v>1000</v>
      </c>
    </row>
    <row r="31" spans="1:6">
      <c r="A31" s="444">
        <f t="shared" si="1"/>
        <v>17</v>
      </c>
      <c r="B31" s="445" t="s">
        <v>624</v>
      </c>
      <c r="C31" s="798" t="s">
        <v>1580</v>
      </c>
      <c r="D31" s="778">
        <v>150</v>
      </c>
      <c r="E31" s="183"/>
      <c r="F31" s="444">
        <f t="shared" si="0"/>
        <v>150</v>
      </c>
    </row>
    <row r="32" spans="1:6">
      <c r="A32" s="444">
        <f t="shared" si="1"/>
        <v>18</v>
      </c>
      <c r="B32" s="445" t="s">
        <v>624</v>
      </c>
      <c r="C32" s="798" t="s">
        <v>1585</v>
      </c>
      <c r="D32" s="778">
        <v>510</v>
      </c>
      <c r="E32" s="183"/>
      <c r="F32" s="444">
        <f t="shared" si="0"/>
        <v>510</v>
      </c>
    </row>
    <row r="33" spans="1:6">
      <c r="A33" s="444">
        <f t="shared" si="1"/>
        <v>19</v>
      </c>
      <c r="B33" s="445" t="s">
        <v>624</v>
      </c>
      <c r="C33" s="798" t="s">
        <v>1252</v>
      </c>
      <c r="D33" s="778">
        <v>820</v>
      </c>
      <c r="E33" s="183"/>
      <c r="F33" s="444">
        <f t="shared" si="0"/>
        <v>820</v>
      </c>
    </row>
    <row r="34" spans="1:6">
      <c r="A34" s="444">
        <f t="shared" si="1"/>
        <v>20</v>
      </c>
      <c r="B34" s="445" t="s">
        <v>624</v>
      </c>
      <c r="C34" s="798" t="s">
        <v>1579</v>
      </c>
      <c r="D34" s="778">
        <v>400</v>
      </c>
      <c r="E34" s="183"/>
      <c r="F34" s="444">
        <f t="shared" si="0"/>
        <v>400</v>
      </c>
    </row>
    <row r="35" spans="1:6">
      <c r="A35" s="444">
        <f t="shared" si="1"/>
        <v>21</v>
      </c>
      <c r="B35" s="445" t="s">
        <v>624</v>
      </c>
      <c r="C35" s="798" t="s">
        <v>1243</v>
      </c>
      <c r="D35" s="778">
        <v>150</v>
      </c>
      <c r="E35" s="183"/>
      <c r="F35" s="444">
        <f t="shared" si="0"/>
        <v>150</v>
      </c>
    </row>
    <row r="36" spans="1:6">
      <c r="A36" s="444">
        <f t="shared" si="1"/>
        <v>22</v>
      </c>
      <c r="B36" s="445" t="s">
        <v>624</v>
      </c>
      <c r="C36" s="798" t="s">
        <v>1711</v>
      </c>
      <c r="D36" s="778">
        <v>235</v>
      </c>
      <c r="E36" s="183"/>
      <c r="F36" s="444">
        <f t="shared" si="0"/>
        <v>235</v>
      </c>
    </row>
    <row r="37" spans="1:6">
      <c r="A37" s="444">
        <f t="shared" si="1"/>
        <v>23</v>
      </c>
      <c r="B37" s="445" t="s">
        <v>624</v>
      </c>
      <c r="C37" s="798" t="s">
        <v>1251</v>
      </c>
      <c r="D37" s="778">
        <v>425</v>
      </c>
      <c r="E37" s="183"/>
      <c r="F37" s="444">
        <f t="shared" si="0"/>
        <v>425</v>
      </c>
    </row>
    <row r="38" spans="1:6">
      <c r="A38" s="444">
        <f t="shared" si="1"/>
        <v>24</v>
      </c>
      <c r="B38" s="445" t="s">
        <v>624</v>
      </c>
      <c r="C38" s="798" t="s">
        <v>1581</v>
      </c>
      <c r="D38" s="778">
        <v>15105</v>
      </c>
      <c r="E38" s="446"/>
      <c r="F38" s="444">
        <f t="shared" ref="F38:F59" si="2">D38</f>
        <v>15105</v>
      </c>
    </row>
    <row r="39" spans="1:6">
      <c r="A39" s="444">
        <f t="shared" si="1"/>
        <v>25</v>
      </c>
      <c r="B39" s="445" t="s">
        <v>624</v>
      </c>
      <c r="C39" s="798" t="s">
        <v>1248</v>
      </c>
      <c r="D39" s="778">
        <v>10300</v>
      </c>
      <c r="F39" s="444">
        <f t="shared" si="2"/>
        <v>10300</v>
      </c>
    </row>
    <row r="40" spans="1:6">
      <c r="A40" s="444">
        <f t="shared" si="1"/>
        <v>26</v>
      </c>
      <c r="B40" s="445" t="s">
        <v>624</v>
      </c>
      <c r="C40" s="798" t="s">
        <v>1712</v>
      </c>
      <c r="D40" s="778">
        <v>432.8</v>
      </c>
      <c r="F40" s="444">
        <f t="shared" si="2"/>
        <v>432.8</v>
      </c>
    </row>
    <row r="41" spans="1:6">
      <c r="A41" s="444">
        <f t="shared" si="1"/>
        <v>27</v>
      </c>
      <c r="B41" s="445" t="s">
        <v>624</v>
      </c>
      <c r="C41" s="798" t="s">
        <v>1712</v>
      </c>
      <c r="D41" s="778">
        <v>594.25</v>
      </c>
      <c r="F41" s="444">
        <f t="shared" si="2"/>
        <v>594.25</v>
      </c>
    </row>
    <row r="42" spans="1:6">
      <c r="A42" s="444">
        <f t="shared" si="1"/>
        <v>28</v>
      </c>
      <c r="B42" s="445" t="s">
        <v>624</v>
      </c>
      <c r="C42" s="798" t="s">
        <v>1713</v>
      </c>
      <c r="D42" s="778">
        <v>150</v>
      </c>
      <c r="E42" s="438" t="s">
        <v>323</v>
      </c>
      <c r="F42" s="444">
        <f t="shared" si="2"/>
        <v>150</v>
      </c>
    </row>
    <row r="43" spans="1:6">
      <c r="A43" s="444">
        <f t="shared" si="1"/>
        <v>29</v>
      </c>
      <c r="B43" s="445" t="s">
        <v>624</v>
      </c>
      <c r="C43" s="798" t="s">
        <v>1399</v>
      </c>
      <c r="D43" s="778">
        <v>400</v>
      </c>
      <c r="F43" s="444">
        <f t="shared" si="2"/>
        <v>400</v>
      </c>
    </row>
    <row r="44" spans="1:6">
      <c r="A44" s="444">
        <f t="shared" si="1"/>
        <v>30</v>
      </c>
      <c r="B44" s="445" t="s">
        <v>624</v>
      </c>
      <c r="C44" s="798" t="s">
        <v>1397</v>
      </c>
      <c r="D44" s="778">
        <v>10000</v>
      </c>
      <c r="F44" s="444">
        <f t="shared" si="2"/>
        <v>10000</v>
      </c>
    </row>
    <row r="45" spans="1:6">
      <c r="A45" s="444">
        <f t="shared" si="1"/>
        <v>31</v>
      </c>
      <c r="B45" s="445" t="s">
        <v>624</v>
      </c>
      <c r="C45" s="798" t="s">
        <v>1246</v>
      </c>
      <c r="D45" s="778">
        <v>760</v>
      </c>
      <c r="F45" s="444">
        <f t="shared" si="2"/>
        <v>760</v>
      </c>
    </row>
    <row r="46" spans="1:6">
      <c r="A46" s="444">
        <f t="shared" si="1"/>
        <v>32</v>
      </c>
      <c r="B46" s="445" t="s">
        <v>624</v>
      </c>
      <c r="C46" s="798" t="s">
        <v>1714</v>
      </c>
      <c r="D46" s="778">
        <v>200</v>
      </c>
      <c r="F46" s="444">
        <f t="shared" si="2"/>
        <v>200</v>
      </c>
    </row>
    <row r="47" spans="1:6">
      <c r="A47" s="444">
        <f t="shared" si="1"/>
        <v>33</v>
      </c>
      <c r="B47" s="445" t="s">
        <v>624</v>
      </c>
      <c r="C47" s="798" t="s">
        <v>1715</v>
      </c>
      <c r="D47" s="778">
        <v>775</v>
      </c>
      <c r="E47" s="438" t="s">
        <v>323</v>
      </c>
      <c r="F47" s="444">
        <f t="shared" si="2"/>
        <v>775</v>
      </c>
    </row>
    <row r="48" spans="1:6">
      <c r="A48" s="444">
        <f t="shared" si="1"/>
        <v>34</v>
      </c>
      <c r="B48" s="445" t="s">
        <v>624</v>
      </c>
      <c r="C48" s="798" t="s">
        <v>1247</v>
      </c>
      <c r="D48" s="778">
        <v>250</v>
      </c>
      <c r="F48" s="444">
        <f t="shared" si="2"/>
        <v>250</v>
      </c>
    </row>
    <row r="49" spans="1:6">
      <c r="A49" s="444">
        <f t="shared" si="1"/>
        <v>35</v>
      </c>
      <c r="B49" s="445" t="s">
        <v>624</v>
      </c>
      <c r="C49" s="798" t="s">
        <v>1626</v>
      </c>
      <c r="D49" s="778">
        <v>2500</v>
      </c>
      <c r="F49" s="444">
        <f t="shared" si="2"/>
        <v>2500</v>
      </c>
    </row>
    <row r="50" spans="1:6">
      <c r="A50" s="444">
        <f t="shared" si="1"/>
        <v>36</v>
      </c>
      <c r="B50" s="445" t="s">
        <v>624</v>
      </c>
      <c r="C50" s="798" t="s">
        <v>1247</v>
      </c>
      <c r="D50" s="778">
        <v>295</v>
      </c>
      <c r="F50" s="444">
        <f t="shared" si="2"/>
        <v>295</v>
      </c>
    </row>
    <row r="51" spans="1:6">
      <c r="A51" s="444">
        <f t="shared" si="1"/>
        <v>37</v>
      </c>
      <c r="B51" s="445" t="s">
        <v>624</v>
      </c>
      <c r="C51" s="798" t="s">
        <v>1242</v>
      </c>
      <c r="D51" s="778">
        <v>300</v>
      </c>
      <c r="F51" s="444">
        <f t="shared" si="2"/>
        <v>300</v>
      </c>
    </row>
    <row r="52" spans="1:6">
      <c r="A52" s="444">
        <f t="shared" si="1"/>
        <v>38</v>
      </c>
      <c r="B52" s="445" t="s">
        <v>624</v>
      </c>
      <c r="C52" s="798" t="s">
        <v>1242</v>
      </c>
      <c r="D52" s="778">
        <v>3000</v>
      </c>
      <c r="F52" s="444">
        <f t="shared" si="2"/>
        <v>3000</v>
      </c>
    </row>
    <row r="53" spans="1:6">
      <c r="A53" s="444">
        <f t="shared" si="1"/>
        <v>39</v>
      </c>
      <c r="B53" s="445" t="s">
        <v>624</v>
      </c>
      <c r="C53" s="798" t="s">
        <v>1245</v>
      </c>
      <c r="D53" s="778">
        <v>187</v>
      </c>
      <c r="F53" s="444">
        <f t="shared" si="2"/>
        <v>187</v>
      </c>
    </row>
    <row r="54" spans="1:6">
      <c r="A54" s="444">
        <f t="shared" si="1"/>
        <v>40</v>
      </c>
      <c r="B54" s="445" t="s">
        <v>624</v>
      </c>
      <c r="C54" s="798" t="s">
        <v>1716</v>
      </c>
      <c r="D54" s="778">
        <v>11000</v>
      </c>
      <c r="F54" s="444">
        <f t="shared" si="2"/>
        <v>11000</v>
      </c>
    </row>
    <row r="55" spans="1:6">
      <c r="A55" s="444">
        <f t="shared" si="1"/>
        <v>41</v>
      </c>
      <c r="B55" s="445" t="s">
        <v>624</v>
      </c>
      <c r="C55" s="798" t="s">
        <v>1396</v>
      </c>
      <c r="D55" s="778">
        <v>1348.08</v>
      </c>
      <c r="F55" s="444">
        <f t="shared" si="2"/>
        <v>1348.08</v>
      </c>
    </row>
    <row r="56" spans="1:6">
      <c r="A56" s="444">
        <f t="shared" si="1"/>
        <v>42</v>
      </c>
      <c r="B56" s="445" t="s">
        <v>624</v>
      </c>
      <c r="C56" s="798" t="s">
        <v>1716</v>
      </c>
      <c r="D56" s="778">
        <v>11000</v>
      </c>
      <c r="F56" s="444">
        <f t="shared" si="2"/>
        <v>11000</v>
      </c>
    </row>
    <row r="57" spans="1:6">
      <c r="A57" s="444">
        <f t="shared" si="1"/>
        <v>43</v>
      </c>
      <c r="B57" s="445" t="s">
        <v>624</v>
      </c>
      <c r="C57" s="798" t="s">
        <v>1716</v>
      </c>
      <c r="D57" s="778">
        <v>1000</v>
      </c>
      <c r="F57" s="444">
        <f t="shared" si="2"/>
        <v>1000</v>
      </c>
    </row>
    <row r="58" spans="1:6">
      <c r="A58" s="444">
        <f t="shared" si="1"/>
        <v>44</v>
      </c>
      <c r="B58" s="445" t="s">
        <v>624</v>
      </c>
      <c r="C58" s="798" t="s">
        <v>1627</v>
      </c>
      <c r="D58" s="778">
        <v>395</v>
      </c>
      <c r="F58" s="444">
        <f t="shared" si="2"/>
        <v>395</v>
      </c>
    </row>
    <row r="59" spans="1:6">
      <c r="A59" s="444">
        <f t="shared" si="1"/>
        <v>45</v>
      </c>
      <c r="B59" s="445" t="s">
        <v>624</v>
      </c>
      <c r="C59" s="798" t="s">
        <v>1628</v>
      </c>
      <c r="D59" s="778">
        <v>7500</v>
      </c>
      <c r="F59" s="444">
        <f t="shared" si="2"/>
        <v>7500</v>
      </c>
    </row>
    <row r="60" spans="1:6">
      <c r="A60" s="444">
        <f t="shared" si="1"/>
        <v>46</v>
      </c>
      <c r="B60" s="445" t="s">
        <v>624</v>
      </c>
      <c r="C60" s="798" t="s">
        <v>1629</v>
      </c>
      <c r="D60" s="778">
        <v>275</v>
      </c>
      <c r="E60" s="446"/>
      <c r="F60" s="444">
        <f t="shared" ref="F60:F94" si="3">D60</f>
        <v>275</v>
      </c>
    </row>
    <row r="61" spans="1:6">
      <c r="A61" s="444">
        <f t="shared" si="1"/>
        <v>47</v>
      </c>
      <c r="B61" s="445" t="s">
        <v>624</v>
      </c>
      <c r="C61" s="798" t="s">
        <v>1717</v>
      </c>
      <c r="D61" s="778">
        <v>445</v>
      </c>
      <c r="F61" s="444">
        <f t="shared" si="3"/>
        <v>445</v>
      </c>
    </row>
    <row r="62" spans="1:6">
      <c r="A62" s="444">
        <f t="shared" si="1"/>
        <v>48</v>
      </c>
      <c r="B62" s="445" t="s">
        <v>624</v>
      </c>
      <c r="C62" s="798" t="s">
        <v>1718</v>
      </c>
      <c r="D62" s="778">
        <v>421</v>
      </c>
      <c r="F62" s="444">
        <f t="shared" si="3"/>
        <v>421</v>
      </c>
    </row>
    <row r="63" spans="1:6">
      <c r="A63" s="444">
        <f t="shared" si="1"/>
        <v>49</v>
      </c>
      <c r="B63" s="449" t="s">
        <v>624</v>
      </c>
      <c r="C63" s="798" t="s">
        <v>1578</v>
      </c>
      <c r="D63" s="778">
        <v>256</v>
      </c>
      <c r="F63" s="444">
        <f t="shared" si="3"/>
        <v>256</v>
      </c>
    </row>
    <row r="64" spans="1:6">
      <c r="A64" s="444">
        <f t="shared" si="1"/>
        <v>50</v>
      </c>
      <c r="B64" s="445" t="s">
        <v>624</v>
      </c>
      <c r="C64" s="798" t="s">
        <v>1630</v>
      </c>
      <c r="D64" s="778">
        <v>500</v>
      </c>
      <c r="F64" s="444">
        <f t="shared" si="3"/>
        <v>500</v>
      </c>
    </row>
    <row r="65" spans="1:6">
      <c r="A65" s="444">
        <f t="shared" si="1"/>
        <v>51</v>
      </c>
      <c r="B65" s="445" t="s">
        <v>624</v>
      </c>
      <c r="C65" s="798" t="s">
        <v>1244</v>
      </c>
      <c r="D65" s="778">
        <v>100</v>
      </c>
      <c r="F65" s="444">
        <f t="shared" si="3"/>
        <v>100</v>
      </c>
    </row>
    <row r="66" spans="1:6">
      <c r="A66" s="444">
        <f t="shared" si="1"/>
        <v>52</v>
      </c>
      <c r="B66" s="445" t="s">
        <v>624</v>
      </c>
      <c r="C66" s="798" t="s">
        <v>1576</v>
      </c>
      <c r="D66" s="778">
        <v>100</v>
      </c>
      <c r="F66" s="444">
        <f t="shared" si="3"/>
        <v>100</v>
      </c>
    </row>
    <row r="67" spans="1:6">
      <c r="A67" s="444">
        <f t="shared" si="1"/>
        <v>53</v>
      </c>
      <c r="B67" s="445" t="s">
        <v>624</v>
      </c>
      <c r="C67" s="798" t="s">
        <v>1719</v>
      </c>
      <c r="D67" s="778">
        <v>75</v>
      </c>
      <c r="F67" s="444">
        <f t="shared" si="3"/>
        <v>75</v>
      </c>
    </row>
    <row r="68" spans="1:6">
      <c r="A68" s="444">
        <f t="shared" si="1"/>
        <v>54</v>
      </c>
      <c r="B68" s="445" t="s">
        <v>624</v>
      </c>
      <c r="C68" s="798" t="s">
        <v>1720</v>
      </c>
      <c r="D68" s="778">
        <v>450</v>
      </c>
      <c r="F68" s="444">
        <f t="shared" si="3"/>
        <v>450</v>
      </c>
    </row>
    <row r="69" spans="1:6">
      <c r="A69" s="444">
        <f t="shared" si="1"/>
        <v>55</v>
      </c>
      <c r="B69" s="445" t="s">
        <v>624</v>
      </c>
      <c r="C69" s="798" t="s">
        <v>1631</v>
      </c>
      <c r="D69" s="778">
        <v>100</v>
      </c>
      <c r="F69" s="444">
        <f t="shared" si="3"/>
        <v>100</v>
      </c>
    </row>
    <row r="70" spans="1:6">
      <c r="A70" s="444">
        <f t="shared" si="1"/>
        <v>56</v>
      </c>
      <c r="B70" s="445" t="s">
        <v>624</v>
      </c>
      <c r="C70" s="798" t="s">
        <v>1721</v>
      </c>
      <c r="D70" s="778">
        <v>500</v>
      </c>
      <c r="F70" s="444">
        <f t="shared" si="3"/>
        <v>500</v>
      </c>
    </row>
    <row r="71" spans="1:6">
      <c r="A71" s="444">
        <f t="shared" si="1"/>
        <v>57</v>
      </c>
      <c r="B71" s="445" t="s">
        <v>624</v>
      </c>
      <c r="C71" s="798" t="s">
        <v>1632</v>
      </c>
      <c r="D71" s="778">
        <v>742</v>
      </c>
      <c r="F71" s="444">
        <f t="shared" si="3"/>
        <v>742</v>
      </c>
    </row>
    <row r="72" spans="1:6">
      <c r="A72" s="444">
        <f t="shared" si="1"/>
        <v>58</v>
      </c>
      <c r="B72" s="445" t="s">
        <v>624</v>
      </c>
      <c r="C72" s="798" t="s">
        <v>1579</v>
      </c>
      <c r="D72" s="778">
        <v>440</v>
      </c>
      <c r="F72" s="444">
        <f t="shared" si="3"/>
        <v>440</v>
      </c>
    </row>
    <row r="73" spans="1:6">
      <c r="A73" s="444">
        <f t="shared" si="1"/>
        <v>59</v>
      </c>
      <c r="B73" s="445" t="s">
        <v>624</v>
      </c>
      <c r="C73" s="798" t="s">
        <v>1633</v>
      </c>
      <c r="D73" s="778">
        <v>140</v>
      </c>
      <c r="F73" s="444">
        <f t="shared" si="3"/>
        <v>140</v>
      </c>
    </row>
    <row r="74" spans="1:6">
      <c r="A74" s="444">
        <f t="shared" si="1"/>
        <v>60</v>
      </c>
      <c r="B74" s="445" t="s">
        <v>624</v>
      </c>
      <c r="C74" s="798" t="s">
        <v>1722</v>
      </c>
      <c r="D74" s="778">
        <v>50</v>
      </c>
      <c r="F74" s="444">
        <f t="shared" si="3"/>
        <v>50</v>
      </c>
    </row>
    <row r="75" spans="1:6">
      <c r="A75" s="444">
        <f t="shared" si="1"/>
        <v>61</v>
      </c>
      <c r="B75" s="445" t="s">
        <v>624</v>
      </c>
      <c r="C75" s="798" t="s">
        <v>1634</v>
      </c>
      <c r="D75" s="778">
        <v>50</v>
      </c>
      <c r="F75" s="444">
        <f t="shared" si="3"/>
        <v>50</v>
      </c>
    </row>
    <row r="76" spans="1:6">
      <c r="A76" s="444">
        <f t="shared" si="1"/>
        <v>62</v>
      </c>
      <c r="B76" s="445" t="s">
        <v>624</v>
      </c>
      <c r="C76" s="798" t="s">
        <v>1722</v>
      </c>
      <c r="D76" s="778">
        <v>20</v>
      </c>
      <c r="E76" s="455"/>
      <c r="F76" s="444">
        <f t="shared" si="3"/>
        <v>20</v>
      </c>
    </row>
    <row r="77" spans="1:6">
      <c r="A77" s="444">
        <f t="shared" si="1"/>
        <v>63</v>
      </c>
      <c r="B77" s="445" t="s">
        <v>624</v>
      </c>
      <c r="C77" s="798" t="s">
        <v>1723</v>
      </c>
      <c r="D77" s="778">
        <v>70</v>
      </c>
      <c r="E77" s="455"/>
      <c r="F77" s="444">
        <f t="shared" si="3"/>
        <v>70</v>
      </c>
    </row>
    <row r="78" spans="1:6">
      <c r="A78" s="444">
        <f t="shared" si="1"/>
        <v>64</v>
      </c>
      <c r="B78" s="445" t="s">
        <v>624</v>
      </c>
      <c r="C78" s="798" t="s">
        <v>1635</v>
      </c>
      <c r="D78" s="778">
        <v>38</v>
      </c>
      <c r="E78" s="455"/>
      <c r="F78" s="444">
        <f t="shared" si="3"/>
        <v>38</v>
      </c>
    </row>
    <row r="79" spans="1:6">
      <c r="A79" s="444">
        <f t="shared" si="1"/>
        <v>65</v>
      </c>
      <c r="B79" s="445" t="s">
        <v>624</v>
      </c>
      <c r="C79" s="798" t="s">
        <v>1724</v>
      </c>
      <c r="D79" s="778">
        <v>264</v>
      </c>
      <c r="E79" s="455"/>
      <c r="F79" s="444">
        <f t="shared" si="3"/>
        <v>264</v>
      </c>
    </row>
    <row r="80" spans="1:6">
      <c r="A80" s="444">
        <f t="shared" si="1"/>
        <v>66</v>
      </c>
      <c r="B80" s="445" t="s">
        <v>624</v>
      </c>
      <c r="C80" s="798" t="s">
        <v>1725</v>
      </c>
      <c r="D80" s="778">
        <v>409.4</v>
      </c>
      <c r="E80" s="455"/>
      <c r="F80" s="444">
        <f t="shared" si="3"/>
        <v>409.4</v>
      </c>
    </row>
    <row r="81" spans="1:6">
      <c r="A81" s="444">
        <f t="shared" ref="A81:A94" si="4">A80+1</f>
        <v>67</v>
      </c>
      <c r="B81" s="445" t="s">
        <v>624</v>
      </c>
      <c r="C81" s="798" t="s">
        <v>1726</v>
      </c>
      <c r="D81" s="778">
        <v>125</v>
      </c>
      <c r="E81" s="455"/>
      <c r="F81" s="444">
        <f t="shared" si="3"/>
        <v>125</v>
      </c>
    </row>
    <row r="82" spans="1:6">
      <c r="A82" s="444">
        <f t="shared" si="4"/>
        <v>68</v>
      </c>
      <c r="B82" s="445" t="s">
        <v>624</v>
      </c>
      <c r="C82" s="798" t="s">
        <v>1722</v>
      </c>
      <c r="D82" s="778">
        <v>20</v>
      </c>
      <c r="E82" s="455"/>
      <c r="F82" s="444">
        <f t="shared" si="3"/>
        <v>20</v>
      </c>
    </row>
    <row r="83" spans="1:6">
      <c r="A83" s="444">
        <f t="shared" si="4"/>
        <v>69</v>
      </c>
      <c r="B83" s="445" t="s">
        <v>624</v>
      </c>
      <c r="C83" s="798" t="s">
        <v>1727</v>
      </c>
      <c r="D83" s="778">
        <v>158</v>
      </c>
      <c r="E83" s="455"/>
      <c r="F83" s="444">
        <f t="shared" si="3"/>
        <v>158</v>
      </c>
    </row>
    <row r="84" spans="1:6">
      <c r="A84" s="444">
        <f t="shared" si="4"/>
        <v>70</v>
      </c>
      <c r="B84" s="445" t="s">
        <v>624</v>
      </c>
      <c r="C84" s="798" t="s">
        <v>1728</v>
      </c>
      <c r="D84" s="778">
        <v>110</v>
      </c>
      <c r="E84" s="455"/>
      <c r="F84" s="444">
        <f t="shared" si="3"/>
        <v>110</v>
      </c>
    </row>
    <row r="85" spans="1:6">
      <c r="A85" s="444">
        <f t="shared" si="4"/>
        <v>71</v>
      </c>
      <c r="B85" s="445" t="s">
        <v>624</v>
      </c>
      <c r="C85" s="798" t="s">
        <v>1729</v>
      </c>
      <c r="D85" s="778">
        <v>25</v>
      </c>
      <c r="E85" s="455"/>
      <c r="F85" s="444"/>
    </row>
    <row r="86" spans="1:6">
      <c r="A86" s="444">
        <f t="shared" si="4"/>
        <v>72</v>
      </c>
      <c r="B86" s="445" t="s">
        <v>624</v>
      </c>
      <c r="C86" s="798" t="s">
        <v>1398</v>
      </c>
      <c r="D86" s="778">
        <v>1000</v>
      </c>
      <c r="E86" s="455"/>
      <c r="F86" s="444"/>
    </row>
    <row r="87" spans="1:6">
      <c r="A87" s="444">
        <f t="shared" si="4"/>
        <v>73</v>
      </c>
      <c r="B87" s="445" t="s">
        <v>624</v>
      </c>
      <c r="C87" s="798" t="s">
        <v>1583</v>
      </c>
      <c r="D87" s="778">
        <v>350</v>
      </c>
      <c r="E87" s="455"/>
      <c r="F87" s="444"/>
    </row>
    <row r="88" spans="1:6">
      <c r="A88" s="444">
        <f t="shared" si="4"/>
        <v>74</v>
      </c>
      <c r="B88" s="445" t="s">
        <v>624</v>
      </c>
      <c r="C88" s="798" t="s">
        <v>1250</v>
      </c>
      <c r="D88" s="778">
        <v>140</v>
      </c>
      <c r="E88" s="455"/>
      <c r="F88" s="444"/>
    </row>
    <row r="89" spans="1:6">
      <c r="A89" s="444">
        <f t="shared" si="4"/>
        <v>75</v>
      </c>
      <c r="B89" s="445" t="s">
        <v>624</v>
      </c>
      <c r="C89" s="798" t="s">
        <v>1253</v>
      </c>
      <c r="D89" s="778">
        <v>420</v>
      </c>
      <c r="E89" s="455"/>
      <c r="F89" s="444"/>
    </row>
    <row r="90" spans="1:6">
      <c r="A90" s="444">
        <f t="shared" si="4"/>
        <v>76</v>
      </c>
      <c r="B90" s="445" t="s">
        <v>624</v>
      </c>
      <c r="C90" s="798" t="s">
        <v>1730</v>
      </c>
      <c r="D90" s="778">
        <v>250</v>
      </c>
      <c r="E90" s="455"/>
      <c r="F90" s="444"/>
    </row>
    <row r="91" spans="1:6">
      <c r="A91" s="444">
        <f t="shared" si="4"/>
        <v>77</v>
      </c>
      <c r="B91" s="445" t="s">
        <v>624</v>
      </c>
      <c r="C91" s="798" t="s">
        <v>1731</v>
      </c>
      <c r="D91" s="778">
        <v>335</v>
      </c>
      <c r="E91" s="455"/>
      <c r="F91" s="444"/>
    </row>
    <row r="92" spans="1:6">
      <c r="A92" s="444">
        <f t="shared" si="4"/>
        <v>78</v>
      </c>
      <c r="B92" s="445" t="s">
        <v>624</v>
      </c>
      <c r="C92" s="798" t="s">
        <v>1244</v>
      </c>
      <c r="D92" s="778">
        <v>100</v>
      </c>
      <c r="E92" s="455"/>
      <c r="F92" s="444"/>
    </row>
    <row r="93" spans="1:6">
      <c r="A93" s="444">
        <f t="shared" si="4"/>
        <v>79</v>
      </c>
      <c r="B93" s="445" t="s">
        <v>624</v>
      </c>
      <c r="C93" s="798" t="s">
        <v>1732</v>
      </c>
      <c r="D93" s="778">
        <v>40.28</v>
      </c>
      <c r="E93" s="455"/>
      <c r="F93" s="444"/>
    </row>
    <row r="94" spans="1:6">
      <c r="A94" s="444">
        <f t="shared" si="4"/>
        <v>80</v>
      </c>
      <c r="B94" s="445" t="s">
        <v>624</v>
      </c>
      <c r="C94" s="798" t="s">
        <v>1733</v>
      </c>
      <c r="D94" s="778">
        <v>-138.44999999999999</v>
      </c>
      <c r="E94" s="455"/>
      <c r="F94" s="444">
        <f t="shared" si="3"/>
        <v>-138.44999999999999</v>
      </c>
    </row>
    <row r="95" spans="1:6">
      <c r="A95" s="444"/>
      <c r="B95" s="445"/>
    </row>
    <row r="96" spans="1:6" ht="15.75">
      <c r="C96" s="451" t="s">
        <v>804</v>
      </c>
      <c r="D96" s="447">
        <f>SUM(D15:D95)</f>
        <v>140191.50999999998</v>
      </c>
      <c r="F96" s="447">
        <f>SUM(F15:F95)</f>
        <v>137531.22999999998</v>
      </c>
    </row>
    <row r="98" spans="1:6" ht="15.75">
      <c r="C98" s="454" t="s">
        <v>1374</v>
      </c>
    </row>
    <row r="99" spans="1:6" ht="15.75">
      <c r="C99" s="453"/>
    </row>
    <row r="100" spans="1:6">
      <c r="A100" s="444">
        <v>1</v>
      </c>
      <c r="B100" s="445" t="s">
        <v>624</v>
      </c>
      <c r="C100" s="798" t="s">
        <v>388</v>
      </c>
      <c r="D100" s="778">
        <v>48556.27</v>
      </c>
      <c r="E100" s="446" t="s">
        <v>1059</v>
      </c>
      <c r="F100" s="444">
        <f t="shared" ref="F100:F121" si="5">D100</f>
        <v>48556.27</v>
      </c>
    </row>
    <row r="101" spans="1:6">
      <c r="A101" s="444">
        <f t="shared" ref="A101:A116" si="6">A100+1</f>
        <v>2</v>
      </c>
      <c r="B101" s="445" t="s">
        <v>624</v>
      </c>
      <c r="C101" s="798" t="s">
        <v>1736</v>
      </c>
      <c r="D101" s="778">
        <v>155</v>
      </c>
      <c r="F101" s="444">
        <f t="shared" si="5"/>
        <v>155</v>
      </c>
    </row>
    <row r="102" spans="1:6">
      <c r="A102" s="444">
        <f t="shared" si="6"/>
        <v>3</v>
      </c>
      <c r="B102" s="445" t="s">
        <v>624</v>
      </c>
      <c r="C102" s="798" t="s">
        <v>1242</v>
      </c>
      <c r="D102" s="778">
        <v>3307</v>
      </c>
      <c r="F102" s="444">
        <f t="shared" si="5"/>
        <v>3307</v>
      </c>
    </row>
    <row r="103" spans="1:6">
      <c r="A103" s="444">
        <f t="shared" si="6"/>
        <v>4</v>
      </c>
      <c r="B103" s="445" t="s">
        <v>624</v>
      </c>
      <c r="C103" s="798" t="s">
        <v>1737</v>
      </c>
      <c r="D103" s="778">
        <v>7500</v>
      </c>
      <c r="F103" s="444">
        <f t="shared" si="5"/>
        <v>7500</v>
      </c>
    </row>
    <row r="104" spans="1:6">
      <c r="A104" s="444">
        <f t="shared" si="6"/>
        <v>5</v>
      </c>
      <c r="B104" s="445" t="s">
        <v>624</v>
      </c>
      <c r="C104" s="798" t="s">
        <v>1738</v>
      </c>
      <c r="D104" s="778">
        <v>421</v>
      </c>
      <c r="F104" s="444">
        <f t="shared" si="5"/>
        <v>421</v>
      </c>
    </row>
    <row r="105" spans="1:6">
      <c r="A105" s="444">
        <f t="shared" si="6"/>
        <v>6</v>
      </c>
      <c r="B105" s="445" t="s">
        <v>624</v>
      </c>
      <c r="C105" s="798" t="s">
        <v>1576</v>
      </c>
      <c r="D105" s="778">
        <v>100</v>
      </c>
      <c r="F105" s="444">
        <f t="shared" si="5"/>
        <v>100</v>
      </c>
    </row>
    <row r="106" spans="1:6">
      <c r="A106" s="444">
        <f t="shared" si="6"/>
        <v>7</v>
      </c>
      <c r="B106" s="445" t="s">
        <v>624</v>
      </c>
      <c r="C106" s="798" t="s">
        <v>1739</v>
      </c>
      <c r="D106" s="778">
        <v>500</v>
      </c>
      <c r="F106" s="444">
        <f t="shared" si="5"/>
        <v>500</v>
      </c>
    </row>
    <row r="107" spans="1:6">
      <c r="A107" s="444">
        <f t="shared" si="6"/>
        <v>8</v>
      </c>
      <c r="B107" s="445" t="s">
        <v>624</v>
      </c>
      <c r="C107" s="798" t="s">
        <v>1740</v>
      </c>
      <c r="D107" s="778">
        <v>100</v>
      </c>
      <c r="F107" s="444">
        <f t="shared" si="5"/>
        <v>100</v>
      </c>
    </row>
    <row r="108" spans="1:6">
      <c r="A108" s="444">
        <f t="shared" si="6"/>
        <v>9</v>
      </c>
      <c r="B108" s="445" t="s">
        <v>624</v>
      </c>
      <c r="C108" s="798" t="s">
        <v>1243</v>
      </c>
      <c r="D108" s="778">
        <v>150</v>
      </c>
      <c r="F108" s="444">
        <f t="shared" si="5"/>
        <v>150</v>
      </c>
    </row>
    <row r="109" spans="1:6">
      <c r="A109" s="444">
        <f t="shared" si="6"/>
        <v>10</v>
      </c>
      <c r="B109" s="445" t="s">
        <v>624</v>
      </c>
      <c r="C109" s="798" t="s">
        <v>1396</v>
      </c>
      <c r="D109" s="778">
        <v>1348.08</v>
      </c>
      <c r="F109" s="444">
        <f t="shared" si="5"/>
        <v>1348.08</v>
      </c>
    </row>
    <row r="110" spans="1:6">
      <c r="A110" s="444">
        <f t="shared" si="6"/>
        <v>11</v>
      </c>
      <c r="B110" s="445" t="s">
        <v>624</v>
      </c>
      <c r="C110" s="798" t="s">
        <v>1730</v>
      </c>
      <c r="D110" s="778">
        <v>250</v>
      </c>
      <c r="F110" s="444">
        <f t="shared" si="5"/>
        <v>250</v>
      </c>
    </row>
    <row r="111" spans="1:6">
      <c r="A111" s="444">
        <f t="shared" si="6"/>
        <v>12</v>
      </c>
      <c r="B111" s="445" t="s">
        <v>624</v>
      </c>
      <c r="C111" s="798" t="s">
        <v>1718</v>
      </c>
      <c r="D111" s="778">
        <v>791</v>
      </c>
      <c r="F111" s="444">
        <f t="shared" si="5"/>
        <v>791</v>
      </c>
    </row>
    <row r="112" spans="1:6">
      <c r="A112" s="444">
        <f t="shared" si="6"/>
        <v>13</v>
      </c>
      <c r="B112" s="445" t="s">
        <v>624</v>
      </c>
      <c r="C112" s="798" t="s">
        <v>1741</v>
      </c>
      <c r="D112" s="778">
        <v>1000</v>
      </c>
      <c r="F112" s="444">
        <f t="shared" si="5"/>
        <v>1000</v>
      </c>
    </row>
    <row r="113" spans="1:6">
      <c r="A113" s="444">
        <f t="shared" si="6"/>
        <v>14</v>
      </c>
      <c r="B113" s="445" t="s">
        <v>624</v>
      </c>
      <c r="C113" s="798" t="s">
        <v>1577</v>
      </c>
      <c r="D113" s="778">
        <v>800</v>
      </c>
      <c r="F113" s="444">
        <f t="shared" si="5"/>
        <v>800</v>
      </c>
    </row>
    <row r="114" spans="1:6">
      <c r="A114" s="444">
        <f t="shared" si="6"/>
        <v>15</v>
      </c>
      <c r="B114" s="445" t="s">
        <v>624</v>
      </c>
      <c r="C114" s="798" t="s">
        <v>1742</v>
      </c>
      <c r="D114" s="778">
        <v>300</v>
      </c>
      <c r="F114" s="444">
        <f t="shared" si="5"/>
        <v>300</v>
      </c>
    </row>
    <row r="115" spans="1:6">
      <c r="A115" s="444">
        <f t="shared" si="6"/>
        <v>16</v>
      </c>
      <c r="B115" s="445" t="s">
        <v>624</v>
      </c>
      <c r="C115" s="798" t="s">
        <v>1743</v>
      </c>
      <c r="D115" s="778">
        <v>300</v>
      </c>
      <c r="F115" s="444">
        <f t="shared" si="5"/>
        <v>300</v>
      </c>
    </row>
    <row r="116" spans="1:6">
      <c r="A116" s="444">
        <f t="shared" si="6"/>
        <v>17</v>
      </c>
      <c r="B116" s="445" t="s">
        <v>624</v>
      </c>
      <c r="C116" s="798" t="s">
        <v>1710</v>
      </c>
      <c r="D116" s="778">
        <v>3825</v>
      </c>
      <c r="F116" s="444">
        <f t="shared" si="5"/>
        <v>3825</v>
      </c>
    </row>
    <row r="117" spans="1:6">
      <c r="A117" s="444">
        <v>18</v>
      </c>
      <c r="B117" s="445" t="s">
        <v>624</v>
      </c>
      <c r="C117" s="798" t="s">
        <v>1744</v>
      </c>
      <c r="D117" s="778">
        <v>150</v>
      </c>
      <c r="F117" s="444">
        <f t="shared" si="5"/>
        <v>150</v>
      </c>
    </row>
    <row r="118" spans="1:6">
      <c r="A118" s="444">
        <f>A117+1</f>
        <v>19</v>
      </c>
      <c r="B118" s="445" t="s">
        <v>624</v>
      </c>
      <c r="C118" s="798" t="s">
        <v>1245</v>
      </c>
      <c r="D118" s="778">
        <v>175</v>
      </c>
      <c r="F118" s="444">
        <f t="shared" si="5"/>
        <v>175</v>
      </c>
    </row>
    <row r="119" spans="1:6">
      <c r="A119" s="444">
        <f>A118+1</f>
        <v>20</v>
      </c>
      <c r="B119" s="445" t="s">
        <v>624</v>
      </c>
      <c r="C119" s="798" t="s">
        <v>1246</v>
      </c>
      <c r="D119" s="778">
        <v>760</v>
      </c>
      <c r="F119" s="444">
        <f t="shared" si="5"/>
        <v>760</v>
      </c>
    </row>
    <row r="120" spans="1:6">
      <c r="A120" s="444">
        <f>A119+1</f>
        <v>21</v>
      </c>
      <c r="B120" s="445" t="s">
        <v>624</v>
      </c>
      <c r="C120" s="798" t="s">
        <v>1397</v>
      </c>
      <c r="D120" s="778">
        <v>10000</v>
      </c>
      <c r="F120" s="444">
        <f t="shared" si="5"/>
        <v>10000</v>
      </c>
    </row>
    <row r="121" spans="1:6">
      <c r="A121" s="444">
        <f>A120+1</f>
        <v>22</v>
      </c>
      <c r="B121" s="445" t="s">
        <v>624</v>
      </c>
      <c r="C121" s="798" t="s">
        <v>1578</v>
      </c>
      <c r="D121" s="778">
        <v>256</v>
      </c>
      <c r="F121" s="444">
        <f t="shared" si="5"/>
        <v>256</v>
      </c>
    </row>
    <row r="122" spans="1:6">
      <c r="A122" s="444">
        <v>23</v>
      </c>
      <c r="B122" s="445" t="s">
        <v>624</v>
      </c>
      <c r="C122" s="798" t="s">
        <v>1745</v>
      </c>
      <c r="D122" s="778">
        <v>200</v>
      </c>
      <c r="E122" s="446"/>
      <c r="F122" s="444">
        <f t="shared" ref="F122:F143" si="7">D122</f>
        <v>200</v>
      </c>
    </row>
    <row r="123" spans="1:6">
      <c r="A123" s="444">
        <f t="shared" ref="A123:A143" si="8">A122+1</f>
        <v>24</v>
      </c>
      <c r="B123" s="445" t="s">
        <v>624</v>
      </c>
      <c r="C123" s="798" t="s">
        <v>1746</v>
      </c>
      <c r="D123" s="778">
        <v>400</v>
      </c>
      <c r="F123" s="444">
        <f t="shared" si="7"/>
        <v>400</v>
      </c>
    </row>
    <row r="124" spans="1:6">
      <c r="A124" s="444">
        <f t="shared" si="8"/>
        <v>25</v>
      </c>
      <c r="B124" s="445" t="s">
        <v>624</v>
      </c>
      <c r="C124" s="798" t="s">
        <v>1747</v>
      </c>
      <c r="D124" s="778">
        <v>415</v>
      </c>
      <c r="F124" s="444">
        <f t="shared" si="7"/>
        <v>415</v>
      </c>
    </row>
    <row r="125" spans="1:6">
      <c r="A125" s="444">
        <f t="shared" si="8"/>
        <v>26</v>
      </c>
      <c r="B125" s="445" t="s">
        <v>624</v>
      </c>
      <c r="C125" s="798" t="s">
        <v>1579</v>
      </c>
      <c r="D125" s="778">
        <v>300</v>
      </c>
      <c r="F125" s="444">
        <f t="shared" si="7"/>
        <v>300</v>
      </c>
    </row>
    <row r="126" spans="1:6">
      <c r="A126" s="444">
        <f t="shared" si="8"/>
        <v>27</v>
      </c>
      <c r="B126" s="445" t="s">
        <v>624</v>
      </c>
      <c r="C126" s="798" t="s">
        <v>1748</v>
      </c>
      <c r="D126" s="778">
        <v>335</v>
      </c>
      <c r="E126" s="438" t="s">
        <v>323</v>
      </c>
      <c r="F126" s="444">
        <f t="shared" si="7"/>
        <v>335</v>
      </c>
    </row>
    <row r="127" spans="1:6">
      <c r="A127" s="444">
        <f t="shared" si="8"/>
        <v>28</v>
      </c>
      <c r="B127" s="445" t="s">
        <v>624</v>
      </c>
      <c r="C127" s="798" t="s">
        <v>1720</v>
      </c>
      <c r="D127" s="778">
        <v>800</v>
      </c>
      <c r="F127" s="444">
        <f t="shared" si="7"/>
        <v>800</v>
      </c>
    </row>
    <row r="128" spans="1:6">
      <c r="A128" s="444">
        <f t="shared" si="8"/>
        <v>29</v>
      </c>
      <c r="B128" s="445" t="s">
        <v>624</v>
      </c>
      <c r="C128" s="798" t="s">
        <v>1247</v>
      </c>
      <c r="D128" s="778">
        <v>295</v>
      </c>
      <c r="F128" s="444">
        <f t="shared" si="7"/>
        <v>295</v>
      </c>
    </row>
    <row r="129" spans="1:6">
      <c r="A129" s="444">
        <f t="shared" si="8"/>
        <v>30</v>
      </c>
      <c r="B129" s="445" t="s">
        <v>624</v>
      </c>
      <c r="C129" s="798" t="s">
        <v>1629</v>
      </c>
      <c r="D129" s="778">
        <v>305</v>
      </c>
      <c r="F129" s="444">
        <f t="shared" si="7"/>
        <v>305</v>
      </c>
    </row>
    <row r="130" spans="1:6">
      <c r="A130" s="444">
        <f t="shared" si="8"/>
        <v>31</v>
      </c>
      <c r="B130" s="445" t="s">
        <v>624</v>
      </c>
      <c r="C130" s="798" t="s">
        <v>1580</v>
      </c>
      <c r="D130" s="778">
        <v>150</v>
      </c>
      <c r="F130" s="444">
        <f t="shared" si="7"/>
        <v>150</v>
      </c>
    </row>
    <row r="131" spans="1:6">
      <c r="A131" s="444">
        <f t="shared" si="8"/>
        <v>32</v>
      </c>
      <c r="B131" s="445" t="s">
        <v>624</v>
      </c>
      <c r="C131" s="798" t="s">
        <v>1749</v>
      </c>
      <c r="D131" s="778">
        <v>5000</v>
      </c>
      <c r="E131" s="438" t="s">
        <v>323</v>
      </c>
      <c r="F131" s="444">
        <f t="shared" si="7"/>
        <v>5000</v>
      </c>
    </row>
    <row r="132" spans="1:6">
      <c r="A132" s="444">
        <f t="shared" si="8"/>
        <v>33</v>
      </c>
      <c r="B132" s="445" t="s">
        <v>624</v>
      </c>
      <c r="C132" s="798" t="s">
        <v>1729</v>
      </c>
      <c r="D132" s="778">
        <v>25</v>
      </c>
      <c r="F132" s="444">
        <f t="shared" si="7"/>
        <v>25</v>
      </c>
    </row>
    <row r="133" spans="1:6">
      <c r="A133" s="444">
        <f t="shared" si="8"/>
        <v>34</v>
      </c>
      <c r="B133" s="445" t="s">
        <v>624</v>
      </c>
      <c r="C133" s="798" t="s">
        <v>1581</v>
      </c>
      <c r="D133" s="778">
        <v>16735</v>
      </c>
      <c r="F133" s="444">
        <f t="shared" si="7"/>
        <v>16735</v>
      </c>
    </row>
    <row r="134" spans="1:6">
      <c r="A134" s="444">
        <f t="shared" si="8"/>
        <v>35</v>
      </c>
      <c r="B134" s="445" t="s">
        <v>624</v>
      </c>
      <c r="C134" s="798" t="s">
        <v>1582</v>
      </c>
      <c r="D134" s="778">
        <v>200</v>
      </c>
      <c r="F134" s="444">
        <f t="shared" si="7"/>
        <v>200</v>
      </c>
    </row>
    <row r="135" spans="1:6">
      <c r="A135" s="444">
        <f t="shared" si="8"/>
        <v>36</v>
      </c>
      <c r="B135" s="445" t="s">
        <v>624</v>
      </c>
      <c r="C135" s="798" t="s">
        <v>1248</v>
      </c>
      <c r="D135" s="778">
        <v>620.45000000000005</v>
      </c>
      <c r="F135" s="444">
        <f t="shared" si="7"/>
        <v>620.45000000000005</v>
      </c>
    </row>
    <row r="136" spans="1:6">
      <c r="A136" s="444">
        <f t="shared" si="8"/>
        <v>37</v>
      </c>
      <c r="B136" s="445" t="s">
        <v>624</v>
      </c>
      <c r="C136" s="798" t="s">
        <v>1398</v>
      </c>
      <c r="D136" s="778">
        <v>1000</v>
      </c>
      <c r="F136" s="444">
        <f t="shared" si="7"/>
        <v>1000</v>
      </c>
    </row>
    <row r="137" spans="1:6">
      <c r="A137" s="444">
        <f t="shared" si="8"/>
        <v>38</v>
      </c>
      <c r="B137" s="445" t="s">
        <v>624</v>
      </c>
      <c r="C137" s="798" t="s">
        <v>1627</v>
      </c>
      <c r="D137" s="778">
        <v>395</v>
      </c>
      <c r="F137" s="444">
        <f t="shared" si="7"/>
        <v>395</v>
      </c>
    </row>
    <row r="138" spans="1:6">
      <c r="A138" s="444">
        <f t="shared" si="8"/>
        <v>39</v>
      </c>
      <c r="B138" s="445" t="s">
        <v>624</v>
      </c>
      <c r="C138" s="798" t="s">
        <v>1249</v>
      </c>
      <c r="D138" s="778">
        <v>255</v>
      </c>
      <c r="F138" s="444">
        <f t="shared" si="7"/>
        <v>255</v>
      </c>
    </row>
    <row r="139" spans="1:6">
      <c r="A139" s="444">
        <f t="shared" si="8"/>
        <v>40</v>
      </c>
      <c r="B139" s="445" t="s">
        <v>624</v>
      </c>
      <c r="C139" s="798" t="s">
        <v>1750</v>
      </c>
      <c r="D139" s="778">
        <v>125</v>
      </c>
      <c r="F139" s="444">
        <f t="shared" si="7"/>
        <v>125</v>
      </c>
    </row>
    <row r="140" spans="1:6">
      <c r="A140" s="444">
        <f t="shared" si="8"/>
        <v>41</v>
      </c>
      <c r="B140" s="445" t="s">
        <v>624</v>
      </c>
      <c r="C140" s="798" t="s">
        <v>1751</v>
      </c>
      <c r="D140" s="778">
        <v>30</v>
      </c>
      <c r="F140" s="444">
        <f t="shared" si="7"/>
        <v>30</v>
      </c>
    </row>
    <row r="141" spans="1:6">
      <c r="A141" s="444">
        <f t="shared" si="8"/>
        <v>42</v>
      </c>
      <c r="B141" s="445" t="s">
        <v>624</v>
      </c>
      <c r="C141" s="798" t="s">
        <v>1250</v>
      </c>
      <c r="D141" s="778">
        <v>140</v>
      </c>
      <c r="F141" s="444">
        <f t="shared" si="7"/>
        <v>140</v>
      </c>
    </row>
    <row r="142" spans="1:6">
      <c r="A142" s="444">
        <f t="shared" si="8"/>
        <v>43</v>
      </c>
      <c r="B142" s="445" t="s">
        <v>624</v>
      </c>
      <c r="C142" s="798" t="s">
        <v>1712</v>
      </c>
      <c r="D142" s="778">
        <v>750</v>
      </c>
      <c r="F142" s="444">
        <f t="shared" si="7"/>
        <v>750</v>
      </c>
    </row>
    <row r="143" spans="1:6">
      <c r="A143" s="444">
        <f t="shared" si="8"/>
        <v>44</v>
      </c>
      <c r="B143" s="445" t="s">
        <v>624</v>
      </c>
      <c r="C143" s="798" t="s">
        <v>1583</v>
      </c>
      <c r="D143" s="778">
        <v>350</v>
      </c>
      <c r="F143" s="444">
        <f t="shared" si="7"/>
        <v>350</v>
      </c>
    </row>
    <row r="144" spans="1:6">
      <c r="A144" s="444">
        <f>A143+1</f>
        <v>45</v>
      </c>
      <c r="B144" s="445" t="s">
        <v>624</v>
      </c>
      <c r="C144" s="798" t="s">
        <v>1752</v>
      </c>
      <c r="D144" s="778">
        <v>1000</v>
      </c>
      <c r="E144" s="446"/>
      <c r="F144" s="444">
        <f t="shared" ref="F144:F165" si="9">D144</f>
        <v>1000</v>
      </c>
    </row>
    <row r="145" spans="1:6">
      <c r="A145" s="444">
        <f t="shared" ref="A145:A179" si="10">A144+1</f>
        <v>46</v>
      </c>
      <c r="B145" s="445" t="s">
        <v>624</v>
      </c>
      <c r="C145" s="798" t="s">
        <v>1753</v>
      </c>
      <c r="D145" s="778">
        <v>100</v>
      </c>
      <c r="F145" s="444">
        <f t="shared" si="9"/>
        <v>100</v>
      </c>
    </row>
    <row r="146" spans="1:6">
      <c r="A146" s="444">
        <f t="shared" si="10"/>
        <v>47</v>
      </c>
      <c r="B146" s="445" t="s">
        <v>624</v>
      </c>
      <c r="C146" s="798" t="s">
        <v>1399</v>
      </c>
      <c r="D146" s="778">
        <v>400</v>
      </c>
      <c r="F146" s="444">
        <f t="shared" si="9"/>
        <v>400</v>
      </c>
    </row>
    <row r="147" spans="1:6">
      <c r="A147" s="444">
        <f t="shared" si="10"/>
        <v>48</v>
      </c>
      <c r="B147" s="445" t="s">
        <v>624</v>
      </c>
      <c r="C147" s="798" t="s">
        <v>1754</v>
      </c>
      <c r="D147" s="778">
        <v>500</v>
      </c>
      <c r="F147" s="444">
        <f t="shared" si="9"/>
        <v>500</v>
      </c>
    </row>
    <row r="148" spans="1:6">
      <c r="A148" s="444">
        <f t="shared" si="10"/>
        <v>49</v>
      </c>
      <c r="B148" s="445" t="s">
        <v>624</v>
      </c>
      <c r="C148" s="798" t="s">
        <v>1755</v>
      </c>
      <c r="D148" s="778">
        <v>775</v>
      </c>
      <c r="F148" s="444">
        <f t="shared" si="9"/>
        <v>775</v>
      </c>
    </row>
    <row r="149" spans="1:6">
      <c r="A149" s="444">
        <f t="shared" si="10"/>
        <v>50</v>
      </c>
      <c r="B149" s="445" t="s">
        <v>624</v>
      </c>
      <c r="C149" s="798" t="s">
        <v>1756</v>
      </c>
      <c r="D149" s="778">
        <v>500</v>
      </c>
      <c r="F149" s="444">
        <f t="shared" si="9"/>
        <v>500</v>
      </c>
    </row>
    <row r="150" spans="1:6">
      <c r="A150" s="444">
        <f t="shared" si="10"/>
        <v>51</v>
      </c>
      <c r="B150" s="445" t="s">
        <v>624</v>
      </c>
      <c r="C150" s="798" t="s">
        <v>1584</v>
      </c>
      <c r="D150" s="778">
        <v>130</v>
      </c>
      <c r="F150" s="444">
        <f t="shared" si="9"/>
        <v>130</v>
      </c>
    </row>
    <row r="151" spans="1:6">
      <c r="A151" s="444">
        <f t="shared" si="10"/>
        <v>52</v>
      </c>
      <c r="B151" s="445" t="s">
        <v>624</v>
      </c>
      <c r="C151" s="798" t="s">
        <v>1251</v>
      </c>
      <c r="D151" s="778">
        <v>300</v>
      </c>
      <c r="F151" s="444">
        <f t="shared" si="9"/>
        <v>300</v>
      </c>
    </row>
    <row r="152" spans="1:6">
      <c r="A152" s="444">
        <f t="shared" si="10"/>
        <v>53</v>
      </c>
      <c r="B152" s="445" t="s">
        <v>624</v>
      </c>
      <c r="C152" s="798" t="s">
        <v>1757</v>
      </c>
      <c r="D152" s="778">
        <v>34.340000000000003</v>
      </c>
      <c r="F152" s="444">
        <f t="shared" si="9"/>
        <v>34.340000000000003</v>
      </c>
    </row>
    <row r="153" spans="1:6">
      <c r="A153" s="444">
        <f t="shared" si="10"/>
        <v>54</v>
      </c>
      <c r="B153" s="445" t="s">
        <v>624</v>
      </c>
      <c r="C153" s="798" t="s">
        <v>1758</v>
      </c>
      <c r="D153" s="778">
        <v>100</v>
      </c>
      <c r="F153" s="444">
        <f t="shared" si="9"/>
        <v>100</v>
      </c>
    </row>
    <row r="154" spans="1:6">
      <c r="A154" s="444">
        <f t="shared" si="10"/>
        <v>55</v>
      </c>
      <c r="B154" s="445" t="s">
        <v>624</v>
      </c>
      <c r="C154" s="798" t="s">
        <v>1252</v>
      </c>
      <c r="D154" s="778">
        <v>1325</v>
      </c>
      <c r="F154" s="444">
        <f t="shared" si="9"/>
        <v>1325</v>
      </c>
    </row>
    <row r="155" spans="1:6">
      <c r="A155" s="444">
        <f t="shared" si="10"/>
        <v>56</v>
      </c>
      <c r="B155" s="445" t="s">
        <v>624</v>
      </c>
      <c r="C155" s="798" t="s">
        <v>1632</v>
      </c>
      <c r="D155" s="778">
        <v>300</v>
      </c>
      <c r="F155" s="444">
        <f t="shared" si="9"/>
        <v>300</v>
      </c>
    </row>
    <row r="156" spans="1:6">
      <c r="A156" s="444">
        <f t="shared" si="10"/>
        <v>57</v>
      </c>
      <c r="B156" s="445" t="s">
        <v>624</v>
      </c>
      <c r="C156" s="798" t="s">
        <v>1759</v>
      </c>
      <c r="D156" s="778">
        <v>510</v>
      </c>
      <c r="F156" s="444">
        <f t="shared" si="9"/>
        <v>510</v>
      </c>
    </row>
    <row r="157" spans="1:6">
      <c r="A157" s="444">
        <f t="shared" si="10"/>
        <v>58</v>
      </c>
      <c r="B157" s="445" t="s">
        <v>624</v>
      </c>
      <c r="C157" s="798" t="s">
        <v>1760</v>
      </c>
      <c r="D157" s="778">
        <v>200</v>
      </c>
      <c r="F157" s="444">
        <f t="shared" si="9"/>
        <v>200</v>
      </c>
    </row>
    <row r="158" spans="1:6">
      <c r="A158" s="444">
        <f t="shared" si="10"/>
        <v>59</v>
      </c>
      <c r="B158" s="445" t="s">
        <v>624</v>
      </c>
      <c r="C158" s="798" t="s">
        <v>1761</v>
      </c>
      <c r="D158" s="778">
        <v>2999.4</v>
      </c>
      <c r="F158" s="444">
        <f t="shared" si="9"/>
        <v>2999.4</v>
      </c>
    </row>
    <row r="159" spans="1:6">
      <c r="A159" s="444">
        <f t="shared" si="10"/>
        <v>60</v>
      </c>
      <c r="B159" s="445" t="s">
        <v>624</v>
      </c>
      <c r="C159" s="798" t="s">
        <v>1253</v>
      </c>
      <c r="D159" s="778">
        <v>390</v>
      </c>
      <c r="F159" s="444">
        <f t="shared" si="9"/>
        <v>390</v>
      </c>
    </row>
    <row r="160" spans="1:6">
      <c r="A160" s="444">
        <f t="shared" si="10"/>
        <v>61</v>
      </c>
      <c r="B160" s="445" t="s">
        <v>624</v>
      </c>
      <c r="C160" s="798" t="s">
        <v>1762</v>
      </c>
      <c r="D160" s="778">
        <v>3000</v>
      </c>
      <c r="F160" s="444">
        <f t="shared" si="9"/>
        <v>3000</v>
      </c>
    </row>
    <row r="161" spans="1:6">
      <c r="A161" s="444">
        <f t="shared" si="10"/>
        <v>62</v>
      </c>
      <c r="B161" s="445" t="s">
        <v>624</v>
      </c>
      <c r="C161" s="798" t="s">
        <v>1763</v>
      </c>
      <c r="D161" s="778">
        <v>125</v>
      </c>
      <c r="E161" s="46"/>
      <c r="F161" s="444">
        <f t="shared" si="9"/>
        <v>125</v>
      </c>
    </row>
    <row r="162" spans="1:6">
      <c r="A162" s="444">
        <f t="shared" si="10"/>
        <v>63</v>
      </c>
      <c r="B162" s="445" t="s">
        <v>624</v>
      </c>
      <c r="C162" s="798" t="s">
        <v>1764</v>
      </c>
      <c r="D162" s="778">
        <v>26.95</v>
      </c>
      <c r="E162" s="46"/>
      <c r="F162" s="444">
        <f t="shared" si="9"/>
        <v>26.95</v>
      </c>
    </row>
    <row r="163" spans="1:6">
      <c r="A163" s="444">
        <f t="shared" si="10"/>
        <v>64</v>
      </c>
      <c r="B163" s="445" t="s">
        <v>624</v>
      </c>
      <c r="C163" s="798" t="s">
        <v>1765</v>
      </c>
      <c r="D163" s="778">
        <v>250</v>
      </c>
      <c r="E163" s="46"/>
      <c r="F163" s="444">
        <f t="shared" si="9"/>
        <v>250</v>
      </c>
    </row>
    <row r="164" spans="1:6">
      <c r="A164" s="444">
        <f t="shared" si="10"/>
        <v>65</v>
      </c>
      <c r="B164" s="445" t="s">
        <v>624</v>
      </c>
      <c r="C164" s="798" t="s">
        <v>1766</v>
      </c>
      <c r="D164" s="778">
        <v>235</v>
      </c>
      <c r="E164" s="46"/>
      <c r="F164" s="444">
        <f t="shared" si="9"/>
        <v>235</v>
      </c>
    </row>
    <row r="165" spans="1:6">
      <c r="A165" s="444">
        <f t="shared" si="10"/>
        <v>66</v>
      </c>
      <c r="B165" s="445" t="s">
        <v>624</v>
      </c>
      <c r="C165" s="798" t="s">
        <v>1767</v>
      </c>
      <c r="D165" s="778">
        <v>25</v>
      </c>
      <c r="E165" s="46"/>
      <c r="F165" s="444">
        <f t="shared" si="9"/>
        <v>25</v>
      </c>
    </row>
    <row r="166" spans="1:6">
      <c r="A166" s="444">
        <f t="shared" si="10"/>
        <v>67</v>
      </c>
      <c r="B166" s="445" t="s">
        <v>624</v>
      </c>
      <c r="C166" s="798"/>
      <c r="D166" s="778"/>
      <c r="E166" s="46"/>
      <c r="F166" s="444"/>
    </row>
    <row r="167" spans="1:6">
      <c r="A167" s="444">
        <f t="shared" si="10"/>
        <v>68</v>
      </c>
      <c r="B167" s="445" t="s">
        <v>624</v>
      </c>
      <c r="C167" s="798"/>
      <c r="D167" s="778"/>
      <c r="E167" s="46"/>
      <c r="F167" s="444"/>
    </row>
    <row r="168" spans="1:6">
      <c r="A168" s="444">
        <f t="shared" si="10"/>
        <v>69</v>
      </c>
      <c r="B168" s="445" t="s">
        <v>624</v>
      </c>
      <c r="C168" s="798"/>
      <c r="D168" s="778"/>
      <c r="E168" s="46"/>
      <c r="F168" s="444"/>
    </row>
    <row r="169" spans="1:6">
      <c r="A169" s="444">
        <f t="shared" si="10"/>
        <v>70</v>
      </c>
      <c r="B169" s="445" t="s">
        <v>624</v>
      </c>
      <c r="C169" s="798"/>
      <c r="D169" s="778"/>
      <c r="E169" s="46"/>
      <c r="F169" s="444"/>
    </row>
    <row r="170" spans="1:6">
      <c r="A170" s="444">
        <f t="shared" si="10"/>
        <v>71</v>
      </c>
      <c r="B170" s="445" t="s">
        <v>624</v>
      </c>
      <c r="C170" s="798"/>
      <c r="D170" s="778"/>
      <c r="E170" s="46"/>
      <c r="F170" s="444"/>
    </row>
    <row r="171" spans="1:6">
      <c r="A171" s="444">
        <f t="shared" si="10"/>
        <v>72</v>
      </c>
      <c r="B171" s="445" t="s">
        <v>624</v>
      </c>
      <c r="C171" s="798"/>
      <c r="D171" s="778"/>
      <c r="E171" s="46"/>
      <c r="F171" s="444"/>
    </row>
    <row r="172" spans="1:6">
      <c r="A172" s="444">
        <f t="shared" si="10"/>
        <v>73</v>
      </c>
      <c r="B172" s="445" t="s">
        <v>624</v>
      </c>
      <c r="C172" s="798"/>
      <c r="D172" s="778"/>
      <c r="E172" s="46"/>
      <c r="F172" s="444"/>
    </row>
    <row r="173" spans="1:6">
      <c r="A173" s="444">
        <f t="shared" si="10"/>
        <v>74</v>
      </c>
      <c r="B173" s="445" t="s">
        <v>624</v>
      </c>
      <c r="C173" s="798"/>
      <c r="D173" s="778"/>
      <c r="E173" s="46"/>
      <c r="F173" s="444"/>
    </row>
    <row r="174" spans="1:6">
      <c r="A174" s="444">
        <f t="shared" si="10"/>
        <v>75</v>
      </c>
      <c r="B174" s="445" t="s">
        <v>624</v>
      </c>
      <c r="C174" s="798"/>
      <c r="D174" s="778"/>
      <c r="E174" s="46"/>
      <c r="F174" s="444"/>
    </row>
    <row r="175" spans="1:6">
      <c r="A175" s="444">
        <f t="shared" si="10"/>
        <v>76</v>
      </c>
      <c r="B175" s="445" t="s">
        <v>624</v>
      </c>
      <c r="C175" s="798"/>
      <c r="D175" s="778"/>
      <c r="E175" s="46"/>
      <c r="F175" s="444"/>
    </row>
    <row r="176" spans="1:6">
      <c r="A176" s="444">
        <f t="shared" si="10"/>
        <v>77</v>
      </c>
      <c r="B176" s="445" t="s">
        <v>624</v>
      </c>
      <c r="C176" s="798"/>
      <c r="D176" s="778"/>
      <c r="E176" s="46"/>
      <c r="F176" s="444"/>
    </row>
    <row r="177" spans="1:8">
      <c r="A177" s="444">
        <f t="shared" si="10"/>
        <v>78</v>
      </c>
      <c r="B177" s="445" t="s">
        <v>624</v>
      </c>
      <c r="C177" s="798"/>
      <c r="D177" s="778"/>
      <c r="E177" s="46"/>
      <c r="F177" s="444"/>
    </row>
    <row r="178" spans="1:8">
      <c r="A178" s="444">
        <f t="shared" si="10"/>
        <v>79</v>
      </c>
      <c r="B178" s="445" t="s">
        <v>624</v>
      </c>
      <c r="C178" s="798"/>
      <c r="D178" s="778"/>
      <c r="E178" s="46"/>
      <c r="F178" s="444"/>
    </row>
    <row r="179" spans="1:8">
      <c r="A179" s="444">
        <f t="shared" si="10"/>
        <v>80</v>
      </c>
      <c r="B179" s="445" t="s">
        <v>624</v>
      </c>
      <c r="C179" s="798"/>
      <c r="D179" s="778"/>
      <c r="E179" s="455"/>
      <c r="F179" s="444"/>
    </row>
    <row r="180" spans="1:8">
      <c r="A180" s="444"/>
      <c r="B180" s="445"/>
      <c r="C180" s="439"/>
      <c r="D180" s="444"/>
      <c r="E180" s="450"/>
      <c r="F180" s="444"/>
    </row>
    <row r="181" spans="1:8" ht="15.75">
      <c r="C181" s="451" t="s">
        <v>1307</v>
      </c>
      <c r="D181" s="447">
        <f>SUM(D100:D180)</f>
        <v>122795.48999999999</v>
      </c>
      <c r="F181" s="447">
        <f>SUM(F100:F180)</f>
        <v>122795.48999999999</v>
      </c>
    </row>
    <row r="183" spans="1:8">
      <c r="A183" s="448"/>
      <c r="B183" s="448"/>
      <c r="C183" s="448"/>
      <c r="D183" s="448"/>
      <c r="E183" s="448"/>
      <c r="F183" s="448"/>
      <c r="G183" s="448"/>
      <c r="H183" s="448"/>
    </row>
    <row r="184" spans="1:8">
      <c r="A184" s="448"/>
      <c r="B184" s="448"/>
      <c r="C184" s="448"/>
      <c r="D184" s="448"/>
      <c r="E184" s="448"/>
      <c r="F184" s="448"/>
      <c r="G184" s="448"/>
      <c r="H184" s="448"/>
    </row>
    <row r="185" spans="1:8">
      <c r="A185" s="448"/>
      <c r="B185" s="448"/>
      <c r="C185" t="s">
        <v>518</v>
      </c>
      <c r="D185" s="448"/>
      <c r="E185" s="448"/>
      <c r="F185" s="448"/>
      <c r="G185" s="448"/>
      <c r="H185" s="448"/>
    </row>
    <row r="186" spans="1:8">
      <c r="A186" s="448"/>
      <c r="B186" s="448"/>
      <c r="C186" s="80" t="s">
        <v>1476</v>
      </c>
      <c r="D186" s="448"/>
      <c r="E186" s="448"/>
      <c r="F186" s="448"/>
      <c r="G186" s="448"/>
      <c r="H186" s="448"/>
    </row>
    <row r="187" spans="1:8">
      <c r="A187" s="448"/>
      <c r="B187" s="448"/>
      <c r="C187" s="448"/>
      <c r="D187" s="448"/>
      <c r="E187" s="448"/>
      <c r="F187" s="448"/>
      <c r="G187" s="448"/>
      <c r="H187" s="448"/>
    </row>
    <row r="188" spans="1:8">
      <c r="A188" s="448"/>
      <c r="B188" s="448"/>
      <c r="C188" s="448"/>
      <c r="D188" s="448"/>
      <c r="E188" s="448"/>
      <c r="F188" s="448"/>
      <c r="G188" s="448"/>
      <c r="H188" s="448"/>
    </row>
    <row r="189" spans="1:8">
      <c r="A189" s="448"/>
      <c r="B189" s="448"/>
      <c r="C189" s="448"/>
      <c r="D189" s="448"/>
      <c r="E189" s="448"/>
      <c r="F189" s="448"/>
      <c r="G189" s="448"/>
      <c r="H189" s="448"/>
    </row>
    <row r="190" spans="1:8">
      <c r="A190" s="448"/>
      <c r="B190" s="448"/>
      <c r="C190" s="448"/>
      <c r="D190" s="448"/>
      <c r="E190" s="448"/>
      <c r="F190" s="448"/>
      <c r="G190" s="448"/>
      <c r="H190" s="448"/>
    </row>
    <row r="191" spans="1:8">
      <c r="A191" s="448"/>
      <c r="B191" s="448"/>
      <c r="C191" s="448"/>
      <c r="D191" s="448"/>
      <c r="E191" s="448"/>
      <c r="F191" s="448"/>
      <c r="G191" s="448"/>
      <c r="H191" s="448"/>
    </row>
    <row r="192" spans="1:8">
      <c r="A192" s="448"/>
      <c r="B192" s="448"/>
      <c r="C192" s="448"/>
      <c r="D192" s="448"/>
      <c r="E192" s="448"/>
      <c r="F192" s="448"/>
      <c r="G192" s="448"/>
      <c r="H192" s="448"/>
    </row>
    <row r="193" spans="1:8">
      <c r="A193" s="448"/>
      <c r="B193" s="448"/>
      <c r="C193" s="448"/>
      <c r="D193" s="448"/>
      <c r="E193" s="448"/>
      <c r="F193" s="448"/>
      <c r="G193" s="448"/>
      <c r="H193" s="448"/>
    </row>
    <row r="194" spans="1:8">
      <c r="A194" s="448"/>
      <c r="B194" s="448"/>
      <c r="C194" s="448"/>
      <c r="D194" s="448"/>
      <c r="E194" s="448"/>
      <c r="F194" s="448"/>
      <c r="G194" s="448"/>
      <c r="H194" s="448"/>
    </row>
  </sheetData>
  <mergeCells count="5">
    <mergeCell ref="A5:F5"/>
    <mergeCell ref="A1:F1"/>
    <mergeCell ref="A2:F2"/>
    <mergeCell ref="A3:F3"/>
    <mergeCell ref="A4:F4"/>
  </mergeCells>
  <phoneticPr fontId="23" type="noConversion"/>
  <printOptions horizontalCentered="1"/>
  <pageMargins left="0.75" right="0.75" top="0.5" bottom="0.56999999999999995" header="0.5" footer="0.23"/>
  <pageSetup scale="49" fitToHeight="53" orientation="portrait" verticalDpi="300" r:id="rId1"/>
  <headerFooter alignWithMargins="0">
    <oddFooter>&amp;RSchedule &amp;A
Page &amp;P of &amp;N</oddFooter>
  </headerFooter>
  <rowBreaks count="1" manualBreakCount="1">
    <brk id="96" max="6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M84"/>
  <sheetViews>
    <sheetView view="pageBreakPreview" zoomScale="70" zoomScaleNormal="90" zoomScaleSheetLayoutView="70" workbookViewId="0">
      <selection activeCell="J154" sqref="J154"/>
    </sheetView>
  </sheetViews>
  <sheetFormatPr defaultRowHeight="15"/>
  <cols>
    <col min="2" max="2" width="11.44140625" customWidth="1"/>
    <col min="3" max="3" width="43.109375" customWidth="1"/>
    <col min="4" max="4" width="9.5546875" bestFit="1" customWidth="1"/>
    <col min="5" max="5" width="12.77734375" customWidth="1"/>
    <col min="6" max="6" width="15.77734375" customWidth="1"/>
  </cols>
  <sheetData>
    <row r="1" spans="1:13" ht="15.75">
      <c r="A1" s="1211" t="str">
        <f>'Table of Contents'!A1:C1</f>
        <v>Atmos Energy Corporation, Kentucky/Mid-States Division</v>
      </c>
      <c r="B1" s="1211"/>
      <c r="C1" s="1211"/>
      <c r="D1" s="1211"/>
      <c r="E1" s="1211"/>
      <c r="F1" s="1211"/>
      <c r="G1" s="92"/>
    </row>
    <row r="2" spans="1:13" ht="15.75">
      <c r="A2" s="1211" t="str">
        <f>'Table of Contents'!A2:C2</f>
        <v>Kentucky Jurisdiction Case No. 2018-00281</v>
      </c>
      <c r="B2" s="1211"/>
      <c r="C2" s="1211"/>
      <c r="D2" s="1211"/>
      <c r="E2" s="1211"/>
      <c r="F2" s="1211"/>
      <c r="G2" s="92"/>
    </row>
    <row r="3" spans="1:13" ht="15.75">
      <c r="A3" s="1211" t="s">
        <v>1373</v>
      </c>
      <c r="B3" s="1211"/>
      <c r="C3" s="1211"/>
      <c r="D3" s="1211"/>
      <c r="E3" s="1211"/>
      <c r="F3" s="1211"/>
      <c r="G3" s="92"/>
    </row>
    <row r="4" spans="1:13" ht="15.75">
      <c r="A4" s="1211" t="str">
        <f>'Table of Contents'!A3:C3</f>
        <v>Base Period: Twelve Months Ended December 31, 2018</v>
      </c>
      <c r="B4" s="1211"/>
      <c r="C4" s="1211"/>
      <c r="D4" s="1211"/>
      <c r="E4" s="1211"/>
      <c r="F4" s="1211"/>
      <c r="G4" s="92"/>
    </row>
    <row r="5" spans="1:13" ht="15.75">
      <c r="A5" s="1211" t="str">
        <f>'Table of Contents'!A4:C4</f>
        <v>Forecasted Test Period: Twelve Months Ended March 31, 2020</v>
      </c>
      <c r="B5" s="1211"/>
      <c r="C5" s="1211"/>
      <c r="D5" s="1211"/>
      <c r="E5" s="1211"/>
      <c r="F5" s="1211"/>
      <c r="G5" s="92"/>
    </row>
    <row r="6" spans="1:13" ht="15.75">
      <c r="A6" s="12"/>
      <c r="B6" s="12"/>
      <c r="C6" s="92"/>
      <c r="D6" s="92"/>
      <c r="F6" s="92"/>
      <c r="G6" s="92"/>
    </row>
    <row r="7" spans="1:13" ht="15.75">
      <c r="A7" s="66" t="s">
        <v>803</v>
      </c>
      <c r="B7" s="12"/>
      <c r="C7" s="12"/>
      <c r="D7" s="92"/>
      <c r="F7" s="375" t="s">
        <v>1407</v>
      </c>
      <c r="G7" s="92"/>
    </row>
    <row r="8" spans="1:13" ht="15.75">
      <c r="A8" s="66" t="s">
        <v>1122</v>
      </c>
      <c r="B8" s="12"/>
      <c r="C8" s="12"/>
      <c r="D8" s="92"/>
      <c r="F8" s="560" t="s">
        <v>143</v>
      </c>
      <c r="G8" s="92"/>
    </row>
    <row r="9" spans="1:13" ht="15.75">
      <c r="A9" s="66" t="s">
        <v>426</v>
      </c>
      <c r="B9" s="12"/>
      <c r="C9" s="12"/>
      <c r="D9" s="92"/>
      <c r="F9" s="561" t="str">
        <f>F.1!F9</f>
        <v>Witness: Waller</v>
      </c>
      <c r="G9" s="92"/>
    </row>
    <row r="10" spans="1:13">
      <c r="A10" s="120" t="s">
        <v>93</v>
      </c>
      <c r="B10" s="119"/>
      <c r="C10" s="119"/>
      <c r="D10" s="120" t="s">
        <v>96</v>
      </c>
      <c r="E10" s="119"/>
      <c r="F10" s="119"/>
      <c r="G10" s="92"/>
    </row>
    <row r="11" spans="1:13">
      <c r="A11" s="101" t="s">
        <v>99</v>
      </c>
      <c r="B11" s="101" t="s">
        <v>175</v>
      </c>
      <c r="C11" s="101" t="s">
        <v>90</v>
      </c>
      <c r="D11" s="101" t="s">
        <v>593</v>
      </c>
      <c r="E11" s="91" t="s">
        <v>177</v>
      </c>
      <c r="F11" s="101" t="s">
        <v>594</v>
      </c>
      <c r="G11" s="92"/>
    </row>
    <row r="12" spans="1:13">
      <c r="A12" s="92"/>
      <c r="B12" s="92"/>
      <c r="C12" s="92"/>
      <c r="D12" s="92"/>
      <c r="E12" s="92"/>
      <c r="F12" s="92"/>
      <c r="G12" s="92"/>
    </row>
    <row r="13" spans="1:13" ht="15.75">
      <c r="A13" s="92"/>
      <c r="B13" s="92"/>
      <c r="C13" s="454" t="s">
        <v>805</v>
      </c>
      <c r="D13" s="92"/>
      <c r="E13" s="92"/>
      <c r="F13" s="92"/>
      <c r="G13" s="92"/>
    </row>
    <row r="14" spans="1:13">
      <c r="A14" s="92"/>
      <c r="B14" s="92"/>
      <c r="C14" s="92"/>
      <c r="D14" s="92"/>
      <c r="E14" s="92"/>
      <c r="F14" s="92"/>
      <c r="G14" s="92"/>
    </row>
    <row r="15" spans="1:13">
      <c r="A15" s="104">
        <v>1</v>
      </c>
      <c r="B15" s="445" t="s">
        <v>624</v>
      </c>
      <c r="C15" s="776" t="s">
        <v>1034</v>
      </c>
      <c r="D15" s="777">
        <v>116126.77</v>
      </c>
      <c r="E15" s="445" t="s">
        <v>1059</v>
      </c>
      <c r="F15" s="468">
        <f>D15</f>
        <v>116126.77</v>
      </c>
      <c r="G15" s="80"/>
      <c r="H15" s="80"/>
      <c r="I15" s="80"/>
      <c r="J15" s="80"/>
      <c r="K15" s="80"/>
      <c r="L15" s="80"/>
      <c r="M15" s="80"/>
    </row>
    <row r="16" spans="1:13">
      <c r="A16" s="104">
        <f t="shared" ref="A16:A23" si="0">A15+1</f>
        <v>2</v>
      </c>
      <c r="B16" s="445" t="s">
        <v>624</v>
      </c>
      <c r="C16" s="776" t="s">
        <v>1032</v>
      </c>
      <c r="D16" s="777">
        <v>30285</v>
      </c>
      <c r="E16" s="436"/>
      <c r="F16" s="444">
        <f t="shared" ref="F16:F24" si="1">D16</f>
        <v>30285</v>
      </c>
      <c r="G16" s="80"/>
    </row>
    <row r="17" spans="1:13">
      <c r="A17" s="104">
        <f>A16+1</f>
        <v>3</v>
      </c>
      <c r="B17" s="445" t="s">
        <v>624</v>
      </c>
      <c r="C17" s="776" t="s">
        <v>958</v>
      </c>
      <c r="D17" s="777">
        <v>13466.92</v>
      </c>
      <c r="E17" s="436"/>
      <c r="F17" s="444">
        <f t="shared" si="1"/>
        <v>13466.92</v>
      </c>
      <c r="G17" s="80"/>
    </row>
    <row r="18" spans="1:13">
      <c r="A18" s="104">
        <f t="shared" si="0"/>
        <v>4</v>
      </c>
      <c r="B18" s="445" t="s">
        <v>624</v>
      </c>
      <c r="C18" s="776" t="s">
        <v>522</v>
      </c>
      <c r="D18" s="777">
        <v>51105.73</v>
      </c>
      <c r="E18" s="436"/>
      <c r="F18" s="444">
        <f t="shared" si="1"/>
        <v>51105.73</v>
      </c>
      <c r="G18" s="80"/>
      <c r="H18" s="80"/>
      <c r="I18" s="80"/>
      <c r="J18" s="80"/>
      <c r="K18" s="80"/>
      <c r="L18" s="80"/>
      <c r="M18" s="80"/>
    </row>
    <row r="19" spans="1:13">
      <c r="A19" s="104">
        <f t="shared" si="0"/>
        <v>5</v>
      </c>
      <c r="B19" s="445" t="s">
        <v>624</v>
      </c>
      <c r="C19" s="776" t="s">
        <v>1033</v>
      </c>
      <c r="D19" s="777">
        <v>7.06</v>
      </c>
      <c r="E19" s="436"/>
      <c r="F19" s="444">
        <f t="shared" si="1"/>
        <v>7.06</v>
      </c>
      <c r="G19" s="80"/>
      <c r="H19" s="80"/>
      <c r="I19" s="80"/>
      <c r="J19" s="80"/>
      <c r="K19" s="80"/>
      <c r="L19" s="80"/>
      <c r="M19" s="80"/>
    </row>
    <row r="20" spans="1:13">
      <c r="A20" s="104">
        <f t="shared" si="0"/>
        <v>6</v>
      </c>
      <c r="B20" s="445" t="s">
        <v>624</v>
      </c>
      <c r="C20" s="776" t="s">
        <v>959</v>
      </c>
      <c r="D20" s="777">
        <v>14200</v>
      </c>
      <c r="E20" s="436"/>
      <c r="F20" s="444">
        <f t="shared" si="1"/>
        <v>14200</v>
      </c>
      <c r="G20" s="80"/>
      <c r="H20" s="80"/>
      <c r="I20" s="80"/>
      <c r="J20" s="80"/>
      <c r="K20" s="80"/>
      <c r="L20" s="80"/>
      <c r="M20" s="80"/>
    </row>
    <row r="21" spans="1:13">
      <c r="A21" s="104">
        <f t="shared" si="0"/>
        <v>7</v>
      </c>
      <c r="B21" s="445" t="s">
        <v>624</v>
      </c>
      <c r="C21" s="776" t="s">
        <v>1734</v>
      </c>
      <c r="D21" s="777">
        <v>125621.64</v>
      </c>
      <c r="E21" s="436"/>
      <c r="F21" s="444">
        <f t="shared" si="1"/>
        <v>125621.64</v>
      </c>
      <c r="G21" s="80"/>
      <c r="H21" s="80"/>
      <c r="I21" s="80"/>
      <c r="J21" s="80"/>
      <c r="K21" s="80"/>
      <c r="L21" s="80"/>
      <c r="M21" s="80"/>
    </row>
    <row r="22" spans="1:13">
      <c r="A22" s="104">
        <f t="shared" si="0"/>
        <v>8</v>
      </c>
      <c r="B22" s="445" t="s">
        <v>624</v>
      </c>
      <c r="C22" s="776" t="s">
        <v>808</v>
      </c>
      <c r="D22" s="777">
        <v>5000</v>
      </c>
      <c r="E22" s="436"/>
      <c r="F22" s="444">
        <f t="shared" si="1"/>
        <v>5000</v>
      </c>
      <c r="G22" s="80"/>
      <c r="H22" s="80"/>
      <c r="I22" s="80"/>
      <c r="J22" s="80"/>
      <c r="K22" s="80"/>
      <c r="L22" s="80"/>
      <c r="M22" s="80"/>
    </row>
    <row r="23" spans="1:13">
      <c r="A23" s="104">
        <f t="shared" si="0"/>
        <v>9</v>
      </c>
      <c r="B23" s="445" t="s">
        <v>624</v>
      </c>
      <c r="C23" s="779"/>
      <c r="D23" s="777"/>
      <c r="E23" s="436"/>
      <c r="F23" s="444">
        <f t="shared" si="1"/>
        <v>0</v>
      </c>
      <c r="G23" s="80"/>
      <c r="H23" s="80"/>
      <c r="I23" s="80"/>
      <c r="J23" s="80"/>
      <c r="K23" s="80"/>
      <c r="L23" s="80"/>
      <c r="M23" s="80"/>
    </row>
    <row r="24" spans="1:13">
      <c r="A24" s="92"/>
      <c r="B24" s="436"/>
      <c r="C24" s="445" t="s">
        <v>96</v>
      </c>
      <c r="D24" s="559">
        <f>SUM(D15:D23,0)</f>
        <v>355813.12000000005</v>
      </c>
      <c r="E24" s="436"/>
      <c r="F24" s="559">
        <f t="shared" si="1"/>
        <v>355813.12000000005</v>
      </c>
      <c r="G24" s="92"/>
      <c r="H24" s="80"/>
      <c r="I24" s="80"/>
      <c r="J24" s="80"/>
      <c r="K24" s="80"/>
      <c r="L24" s="80"/>
      <c r="M24" s="80"/>
    </row>
    <row r="25" spans="1:13">
      <c r="A25" s="92"/>
      <c r="B25" s="92"/>
      <c r="C25" s="92"/>
      <c r="D25" s="92"/>
      <c r="E25" s="92"/>
      <c r="F25" s="92"/>
      <c r="G25" s="92"/>
      <c r="H25" s="80"/>
      <c r="I25" s="80"/>
      <c r="J25" s="80"/>
      <c r="K25" s="80"/>
      <c r="L25" s="80"/>
      <c r="M25" s="80"/>
    </row>
    <row r="26" spans="1:13" ht="15.75">
      <c r="A26" s="92"/>
      <c r="B26" s="436"/>
      <c r="C26" s="454" t="s">
        <v>1374</v>
      </c>
      <c r="D26" s="463"/>
      <c r="E26" s="436"/>
      <c r="F26" s="463"/>
      <c r="G26" s="92"/>
      <c r="H26" s="80"/>
      <c r="I26" s="80"/>
      <c r="J26" s="80"/>
      <c r="K26" s="80"/>
      <c r="L26" s="80"/>
      <c r="M26" s="80"/>
    </row>
    <row r="27" spans="1:13">
      <c r="A27" s="92"/>
      <c r="B27" s="436"/>
      <c r="C27" s="445"/>
      <c r="D27" s="463"/>
      <c r="E27" s="436"/>
      <c r="F27" s="463"/>
      <c r="G27" s="92"/>
      <c r="H27" s="80"/>
      <c r="I27" s="80"/>
      <c r="J27" s="80"/>
      <c r="K27" s="80"/>
      <c r="L27" s="80"/>
      <c r="M27" s="80"/>
    </row>
    <row r="28" spans="1:13">
      <c r="A28" s="104">
        <v>1</v>
      </c>
      <c r="B28" s="445" t="s">
        <v>624</v>
      </c>
      <c r="C28" s="776" t="s">
        <v>1032</v>
      </c>
      <c r="D28" s="777">
        <v>38687.5</v>
      </c>
      <c r="E28" s="445" t="s">
        <v>1059</v>
      </c>
      <c r="F28" s="468">
        <f t="shared" ref="F28:F37" si="2">D28</f>
        <v>38687.5</v>
      </c>
      <c r="G28" s="92"/>
      <c r="H28" s="80"/>
      <c r="I28" s="80"/>
      <c r="J28" s="80"/>
      <c r="K28" s="80"/>
      <c r="L28" s="80"/>
      <c r="M28" s="80"/>
    </row>
    <row r="29" spans="1:13">
      <c r="A29" s="104">
        <f t="shared" ref="A29:A36" si="3">A28+1</f>
        <v>2</v>
      </c>
      <c r="B29" s="445" t="s">
        <v>624</v>
      </c>
      <c r="C29" s="776" t="s">
        <v>1033</v>
      </c>
      <c r="D29" s="777">
        <v>0</v>
      </c>
      <c r="E29" s="436"/>
      <c r="F29" s="444">
        <f t="shared" si="2"/>
        <v>0</v>
      </c>
      <c r="G29" s="92"/>
      <c r="H29" s="80"/>
      <c r="I29" s="80"/>
      <c r="J29" s="80"/>
      <c r="K29" s="80"/>
      <c r="L29" s="80"/>
      <c r="M29" s="80"/>
    </row>
    <row r="30" spans="1:13">
      <c r="A30" s="104">
        <f t="shared" si="3"/>
        <v>3</v>
      </c>
      <c r="B30" s="445" t="s">
        <v>624</v>
      </c>
      <c r="C30" s="776" t="s">
        <v>435</v>
      </c>
      <c r="D30" s="777">
        <v>0</v>
      </c>
      <c r="E30" s="436"/>
      <c r="F30" s="444">
        <f t="shared" si="2"/>
        <v>0</v>
      </c>
      <c r="G30" s="92"/>
      <c r="H30" s="80"/>
      <c r="I30" s="80"/>
      <c r="J30" s="80"/>
      <c r="K30" s="80"/>
      <c r="L30" s="80"/>
      <c r="M30" s="80"/>
    </row>
    <row r="31" spans="1:13">
      <c r="A31" s="104">
        <f t="shared" si="3"/>
        <v>4</v>
      </c>
      <c r="B31" s="445" t="s">
        <v>624</v>
      </c>
      <c r="C31" s="776" t="s">
        <v>958</v>
      </c>
      <c r="D31" s="777">
        <v>18015.12</v>
      </c>
      <c r="E31" s="436"/>
      <c r="F31" s="444">
        <f t="shared" si="2"/>
        <v>18015.12</v>
      </c>
      <c r="G31" s="92"/>
      <c r="H31" s="80"/>
      <c r="I31" s="80"/>
      <c r="J31" s="80"/>
      <c r="K31" s="80"/>
      <c r="L31" s="80"/>
      <c r="M31" s="80"/>
    </row>
    <row r="32" spans="1:13">
      <c r="A32" s="104">
        <f t="shared" si="3"/>
        <v>5</v>
      </c>
      <c r="B32" s="445" t="s">
        <v>624</v>
      </c>
      <c r="C32" s="776" t="s">
        <v>959</v>
      </c>
      <c r="D32" s="777">
        <v>10575</v>
      </c>
      <c r="E32" s="436"/>
      <c r="F32" s="444">
        <f t="shared" si="2"/>
        <v>10575</v>
      </c>
      <c r="G32" s="92"/>
      <c r="H32" s="80"/>
      <c r="I32" s="80"/>
      <c r="J32" s="80"/>
      <c r="K32" s="80"/>
      <c r="L32" s="80"/>
      <c r="M32" s="80"/>
    </row>
    <row r="33" spans="1:13">
      <c r="A33" s="104">
        <f t="shared" si="3"/>
        <v>6</v>
      </c>
      <c r="B33" s="445" t="s">
        <v>624</v>
      </c>
      <c r="C33" s="776" t="s">
        <v>1034</v>
      </c>
      <c r="D33" s="777">
        <v>89016</v>
      </c>
      <c r="E33" s="436"/>
      <c r="F33" s="444">
        <f t="shared" si="2"/>
        <v>89016</v>
      </c>
      <c r="G33" s="92"/>
      <c r="H33" s="80"/>
      <c r="I33" s="80"/>
      <c r="J33" s="80"/>
      <c r="K33" s="80"/>
      <c r="L33" s="80"/>
      <c r="M33" s="80"/>
    </row>
    <row r="34" spans="1:13">
      <c r="A34" s="104">
        <f t="shared" si="3"/>
        <v>7</v>
      </c>
      <c r="B34" s="445" t="s">
        <v>624</v>
      </c>
      <c r="C34" s="779" t="s">
        <v>808</v>
      </c>
      <c r="D34" s="777">
        <v>0</v>
      </c>
      <c r="E34" s="436"/>
      <c r="F34" s="444">
        <f t="shared" si="2"/>
        <v>0</v>
      </c>
      <c r="G34" s="92"/>
      <c r="H34" s="80"/>
      <c r="I34" s="80"/>
      <c r="J34" s="80"/>
      <c r="K34" s="80"/>
      <c r="L34" s="80"/>
      <c r="M34" s="80"/>
    </row>
    <row r="35" spans="1:13">
      <c r="A35" s="104">
        <f t="shared" si="3"/>
        <v>8</v>
      </c>
      <c r="B35" s="445" t="s">
        <v>624</v>
      </c>
      <c r="C35" s="779" t="s">
        <v>522</v>
      </c>
      <c r="D35" s="777">
        <v>0</v>
      </c>
      <c r="E35" s="436"/>
      <c r="F35" s="444">
        <f t="shared" si="2"/>
        <v>0</v>
      </c>
      <c r="G35" s="92"/>
      <c r="H35" s="80"/>
      <c r="I35" s="80"/>
      <c r="J35" s="80"/>
      <c r="K35" s="80"/>
      <c r="L35" s="80"/>
      <c r="M35" s="80"/>
    </row>
    <row r="36" spans="1:13">
      <c r="A36" s="104">
        <f t="shared" si="3"/>
        <v>9</v>
      </c>
      <c r="B36" s="445"/>
      <c r="C36" s="779" t="s">
        <v>1735</v>
      </c>
      <c r="D36" s="777">
        <v>115000</v>
      </c>
      <c r="E36" s="436"/>
      <c r="F36" s="444">
        <f t="shared" si="2"/>
        <v>115000</v>
      </c>
      <c r="G36" s="92"/>
      <c r="H36" s="80"/>
      <c r="I36" s="80"/>
      <c r="J36" s="80"/>
      <c r="K36" s="80"/>
      <c r="L36" s="80"/>
      <c r="M36" s="80"/>
    </row>
    <row r="37" spans="1:13">
      <c r="A37" s="92"/>
      <c r="B37" s="436"/>
      <c r="C37" s="445" t="s">
        <v>96</v>
      </c>
      <c r="D37" s="559">
        <f>SUM(D28:D36,0)</f>
        <v>271293.62</v>
      </c>
      <c r="E37" s="436"/>
      <c r="F37" s="559">
        <f t="shared" si="2"/>
        <v>271293.62</v>
      </c>
      <c r="G37" s="92"/>
      <c r="H37" s="80"/>
      <c r="I37" s="80"/>
      <c r="J37" s="80"/>
      <c r="K37" s="80"/>
      <c r="L37" s="80"/>
      <c r="M37" s="80"/>
    </row>
    <row r="38" spans="1:13">
      <c r="A38" s="92"/>
      <c r="B38" s="92"/>
      <c r="C38" s="92"/>
      <c r="D38" s="92"/>
      <c r="E38" s="92"/>
      <c r="F38" s="92"/>
      <c r="G38" s="92"/>
      <c r="H38" s="80"/>
      <c r="I38" s="80"/>
      <c r="J38" s="80"/>
      <c r="K38" s="80"/>
      <c r="L38" s="80"/>
      <c r="M38" s="80"/>
    </row>
    <row r="39" spans="1:13" ht="15.75">
      <c r="A39" s="12"/>
      <c r="B39" s="92"/>
      <c r="C39" s="92"/>
      <c r="D39" s="92"/>
      <c r="E39" s="92"/>
      <c r="F39" s="92"/>
      <c r="G39" s="92"/>
      <c r="H39" s="80"/>
      <c r="I39" s="80"/>
      <c r="J39" s="80"/>
      <c r="K39" s="80"/>
      <c r="L39" s="80"/>
      <c r="M39" s="80"/>
    </row>
    <row r="40" spans="1:13">
      <c r="B40" s="96" t="s">
        <v>409</v>
      </c>
      <c r="G40" s="92"/>
      <c r="H40" s="80"/>
      <c r="I40" s="80"/>
      <c r="J40" s="80"/>
      <c r="K40" s="80"/>
      <c r="L40" s="80"/>
      <c r="M40" s="80"/>
    </row>
    <row r="41" spans="1:13">
      <c r="A41" s="92"/>
      <c r="B41" s="92"/>
      <c r="C41" s="92"/>
      <c r="D41" s="92"/>
      <c r="E41" s="92"/>
      <c r="F41" s="92"/>
      <c r="G41" s="92"/>
      <c r="H41" s="80"/>
      <c r="I41" s="80"/>
      <c r="J41" s="80"/>
      <c r="K41" s="80"/>
      <c r="L41" s="80"/>
      <c r="M41" s="80"/>
    </row>
    <row r="42" spans="1:13">
      <c r="H42" s="80"/>
      <c r="I42" s="80"/>
      <c r="J42" s="80"/>
      <c r="K42" s="80"/>
      <c r="L42" s="80"/>
      <c r="M42" s="80"/>
    </row>
    <row r="43" spans="1:13">
      <c r="B43" t="s">
        <v>518</v>
      </c>
      <c r="H43" s="80"/>
      <c r="I43" s="80"/>
      <c r="J43" s="80"/>
      <c r="K43" s="80"/>
      <c r="L43" s="80"/>
      <c r="M43" s="80"/>
    </row>
    <row r="44" spans="1:13">
      <c r="B44" t="s">
        <v>1475</v>
      </c>
      <c r="H44" s="80"/>
      <c r="I44" s="80"/>
      <c r="J44" s="80"/>
      <c r="K44" s="80"/>
      <c r="L44" s="80"/>
      <c r="M44" s="80"/>
    </row>
    <row r="45" spans="1:13">
      <c r="H45" s="80"/>
      <c r="I45" s="80"/>
      <c r="J45" s="80"/>
      <c r="K45" s="80"/>
      <c r="L45" s="80"/>
      <c r="M45" s="80"/>
    </row>
    <row r="46" spans="1:13">
      <c r="H46" s="80"/>
      <c r="I46" s="80"/>
      <c r="J46" s="80"/>
      <c r="K46" s="80"/>
      <c r="L46" s="80"/>
      <c r="M46" s="80"/>
    </row>
    <row r="47" spans="1:13">
      <c r="H47" s="80"/>
      <c r="I47" s="80"/>
      <c r="J47" s="80"/>
      <c r="K47" s="80"/>
      <c r="L47" s="80"/>
      <c r="M47" s="80"/>
    </row>
    <row r="48" spans="1:13">
      <c r="H48" s="80"/>
      <c r="I48" s="80"/>
      <c r="J48" s="80"/>
      <c r="K48" s="80"/>
      <c r="L48" s="80"/>
      <c r="M48" s="80"/>
    </row>
    <row r="49" spans="8:13">
      <c r="H49" s="80"/>
      <c r="I49" s="80"/>
      <c r="J49" s="80"/>
      <c r="K49" s="80"/>
      <c r="L49" s="80"/>
      <c r="M49" s="80"/>
    </row>
    <row r="50" spans="8:13">
      <c r="H50" s="80"/>
      <c r="I50" s="80"/>
      <c r="J50" s="80"/>
      <c r="K50" s="80"/>
      <c r="L50" s="80"/>
      <c r="M50" s="80"/>
    </row>
    <row r="51" spans="8:13">
      <c r="H51" s="80"/>
      <c r="I51" s="80"/>
      <c r="J51" s="80"/>
      <c r="K51" s="80"/>
      <c r="L51" s="80"/>
      <c r="M51" s="80"/>
    </row>
    <row r="52" spans="8:13">
      <c r="H52" s="80"/>
      <c r="I52" s="80"/>
      <c r="J52" s="80"/>
      <c r="K52" s="80"/>
      <c r="L52" s="80"/>
      <c r="M52" s="80"/>
    </row>
    <row r="53" spans="8:13">
      <c r="H53" s="80"/>
      <c r="I53" s="80"/>
      <c r="J53" s="80"/>
      <c r="K53" s="80"/>
      <c r="L53" s="80"/>
      <c r="M53" s="80"/>
    </row>
    <row r="54" spans="8:13">
      <c r="H54" s="80"/>
      <c r="I54" s="80"/>
      <c r="J54" s="80"/>
      <c r="K54" s="80"/>
      <c r="L54" s="80"/>
      <c r="M54" s="80"/>
    </row>
    <row r="55" spans="8:13">
      <c r="H55" s="80"/>
      <c r="I55" s="80"/>
      <c r="J55" s="80"/>
      <c r="K55" s="80"/>
      <c r="L55" s="80"/>
      <c r="M55" s="80"/>
    </row>
    <row r="56" spans="8:13">
      <c r="H56" s="80"/>
      <c r="I56" s="80"/>
      <c r="J56" s="80"/>
      <c r="K56" s="80"/>
      <c r="L56" s="80"/>
      <c r="M56" s="80"/>
    </row>
    <row r="57" spans="8:13">
      <c r="H57" s="80"/>
      <c r="I57" s="80"/>
      <c r="J57" s="80"/>
      <c r="K57" s="80"/>
      <c r="L57" s="80"/>
      <c r="M57" s="80"/>
    </row>
    <row r="58" spans="8:13">
      <c r="H58" s="80"/>
      <c r="I58" s="80"/>
      <c r="J58" s="80"/>
      <c r="K58" s="80"/>
      <c r="L58" s="80"/>
      <c r="M58" s="80"/>
    </row>
    <row r="59" spans="8:13">
      <c r="H59" s="80"/>
      <c r="I59" s="80"/>
      <c r="J59" s="80"/>
      <c r="K59" s="80"/>
      <c r="L59" s="80"/>
      <c r="M59" s="80"/>
    </row>
    <row r="60" spans="8:13">
      <c r="H60" s="80"/>
      <c r="I60" s="80"/>
      <c r="J60" s="80"/>
      <c r="K60" s="80"/>
      <c r="L60" s="80"/>
      <c r="M60" s="80"/>
    </row>
    <row r="61" spans="8:13">
      <c r="H61" s="80"/>
      <c r="I61" s="80"/>
      <c r="J61" s="80"/>
      <c r="K61" s="80"/>
      <c r="L61" s="80"/>
      <c r="M61" s="80"/>
    </row>
    <row r="62" spans="8:13">
      <c r="H62" s="80"/>
      <c r="I62" s="80"/>
      <c r="J62" s="80"/>
      <c r="K62" s="80"/>
      <c r="L62" s="80"/>
      <c r="M62" s="80"/>
    </row>
    <row r="63" spans="8:13">
      <c r="H63" s="80"/>
      <c r="I63" s="80"/>
      <c r="J63" s="80"/>
      <c r="K63" s="80"/>
      <c r="L63" s="80"/>
      <c r="M63" s="80"/>
    </row>
    <row r="64" spans="8:13">
      <c r="H64" s="80"/>
      <c r="I64" s="80"/>
      <c r="J64" s="80"/>
      <c r="K64" s="80"/>
      <c r="L64" s="80"/>
      <c r="M64" s="80"/>
    </row>
    <row r="65" spans="8:13">
      <c r="H65" s="80"/>
      <c r="I65" s="80"/>
      <c r="J65" s="80"/>
      <c r="K65" s="80"/>
      <c r="L65" s="80"/>
      <c r="M65" s="80"/>
    </row>
    <row r="66" spans="8:13">
      <c r="H66" s="80"/>
      <c r="I66" s="80"/>
      <c r="J66" s="80"/>
      <c r="K66" s="80"/>
      <c r="L66" s="80"/>
      <c r="M66" s="80"/>
    </row>
    <row r="67" spans="8:13">
      <c r="H67" s="80"/>
      <c r="I67" s="80"/>
      <c r="J67" s="80"/>
      <c r="K67" s="80"/>
      <c r="L67" s="80"/>
      <c r="M67" s="80"/>
    </row>
    <row r="68" spans="8:13">
      <c r="H68" s="80"/>
      <c r="I68" s="80"/>
      <c r="J68" s="80"/>
      <c r="K68" s="80"/>
      <c r="L68" s="80"/>
      <c r="M68" s="80"/>
    </row>
    <row r="69" spans="8:13">
      <c r="H69" s="80"/>
      <c r="I69" s="80"/>
      <c r="J69" s="80"/>
      <c r="K69" s="80"/>
      <c r="L69" s="80"/>
      <c r="M69" s="80"/>
    </row>
    <row r="70" spans="8:13">
      <c r="H70" s="80"/>
      <c r="I70" s="80"/>
      <c r="J70" s="80"/>
      <c r="K70" s="80"/>
      <c r="L70" s="80"/>
      <c r="M70" s="80"/>
    </row>
    <row r="71" spans="8:13">
      <c r="H71" s="80"/>
      <c r="I71" s="80"/>
      <c r="J71" s="80"/>
      <c r="K71" s="80"/>
      <c r="L71" s="80"/>
      <c r="M71" s="80"/>
    </row>
    <row r="72" spans="8:13">
      <c r="H72" s="80"/>
      <c r="I72" s="80"/>
      <c r="J72" s="80"/>
      <c r="K72" s="80"/>
      <c r="L72" s="80"/>
      <c r="M72" s="80"/>
    </row>
    <row r="73" spans="8:13">
      <c r="H73" s="80"/>
      <c r="I73" s="80"/>
      <c r="J73" s="80"/>
      <c r="K73" s="80"/>
      <c r="L73" s="80"/>
      <c r="M73" s="80"/>
    </row>
    <row r="74" spans="8:13">
      <c r="H74" s="80"/>
      <c r="I74" s="80"/>
      <c r="J74" s="80"/>
      <c r="K74" s="80"/>
      <c r="L74" s="80"/>
      <c r="M74" s="80"/>
    </row>
    <row r="75" spans="8:13">
      <c r="H75" s="80"/>
      <c r="I75" s="80"/>
      <c r="J75" s="80"/>
      <c r="K75" s="80"/>
      <c r="L75" s="80"/>
      <c r="M75" s="80"/>
    </row>
    <row r="76" spans="8:13">
      <c r="H76" s="80"/>
      <c r="I76" s="80"/>
      <c r="J76" s="80"/>
      <c r="K76" s="80"/>
      <c r="L76" s="80"/>
      <c r="M76" s="80"/>
    </row>
    <row r="77" spans="8:13">
      <c r="H77" s="80"/>
      <c r="I77" s="80"/>
      <c r="J77" s="80"/>
      <c r="K77" s="80"/>
      <c r="L77" s="80"/>
      <c r="M77" s="80"/>
    </row>
    <row r="78" spans="8:13">
      <c r="H78" s="80"/>
      <c r="I78" s="80"/>
      <c r="J78" s="80"/>
      <c r="K78" s="80"/>
      <c r="L78" s="80"/>
      <c r="M78" s="80"/>
    </row>
    <row r="79" spans="8:13">
      <c r="H79" s="80"/>
      <c r="I79" s="80"/>
      <c r="J79" s="80"/>
      <c r="K79" s="80"/>
      <c r="L79" s="80"/>
      <c r="M79" s="80"/>
    </row>
    <row r="80" spans="8:13">
      <c r="H80" s="80"/>
      <c r="I80" s="80"/>
      <c r="J80" s="80"/>
      <c r="K80" s="80"/>
      <c r="L80" s="80"/>
      <c r="M80" s="80"/>
    </row>
    <row r="81" spans="8:13">
      <c r="H81" s="80"/>
      <c r="I81" s="80"/>
      <c r="J81" s="80"/>
      <c r="K81" s="80"/>
      <c r="L81" s="80"/>
      <c r="M81" s="80"/>
    </row>
    <row r="82" spans="8:13">
      <c r="H82" s="80"/>
      <c r="I82" s="80"/>
      <c r="J82" s="80"/>
      <c r="K82" s="80"/>
      <c r="L82" s="80"/>
      <c r="M82" s="80"/>
    </row>
    <row r="83" spans="8:13">
      <c r="H83" s="80"/>
      <c r="I83" s="80"/>
      <c r="J83" s="80"/>
      <c r="K83" s="80"/>
      <c r="L83" s="80"/>
      <c r="M83" s="80"/>
    </row>
    <row r="84" spans="8:13">
      <c r="H84" s="80"/>
      <c r="I84" s="80"/>
      <c r="J84" s="80"/>
      <c r="K84" s="80"/>
      <c r="L84" s="80"/>
      <c r="M84" s="80"/>
    </row>
  </sheetData>
  <mergeCells count="5">
    <mergeCell ref="A5:F5"/>
    <mergeCell ref="A1:F1"/>
    <mergeCell ref="A2:F2"/>
    <mergeCell ref="A3:F3"/>
    <mergeCell ref="A4:F4"/>
  </mergeCells>
  <phoneticPr fontId="23" type="noConversion"/>
  <printOptions horizontalCentered="1"/>
  <pageMargins left="1" right="1" top="1" bottom="1" header="1" footer="0.5"/>
  <pageSetup scale="74" orientation="landscape" verticalDpi="300" r:id="rId1"/>
  <headerFooter alignWithMargins="0">
    <oddFooter>&amp;RSchedule &amp;A
Page &amp;P of &amp;N</oddFooter>
  </headerFooter>
  <rowBreaks count="3" manualBreakCount="3">
    <brk id="61" max="6" man="1"/>
    <brk id="103" max="6" man="1"/>
    <brk id="143" max="6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N35"/>
  <sheetViews>
    <sheetView view="pageBreakPreview" zoomScale="60" zoomScaleNormal="90" workbookViewId="0">
      <selection activeCell="J154" sqref="J154"/>
    </sheetView>
  </sheetViews>
  <sheetFormatPr defaultRowHeight="15"/>
  <cols>
    <col min="1" max="1" width="5.5546875" customWidth="1"/>
    <col min="2" max="2" width="9.6640625" customWidth="1"/>
    <col min="3" max="3" width="23.77734375" customWidth="1"/>
    <col min="5" max="5" width="13.44140625" customWidth="1"/>
    <col min="7" max="7" width="3.88671875" customWidth="1"/>
    <col min="9" max="9" width="13.88671875" customWidth="1"/>
  </cols>
  <sheetData>
    <row r="1" spans="1:14" ht="15.75" customHeight="1">
      <c r="A1" s="1191" t="str">
        <f>'Table of Contents'!A1:C1</f>
        <v>Atmos Energy Corporation, Kentucky/Mid-States Division</v>
      </c>
      <c r="B1" s="1191"/>
      <c r="C1" s="1191"/>
      <c r="D1" s="1191"/>
      <c r="E1" s="1191"/>
      <c r="F1" s="1191"/>
      <c r="G1" s="1191"/>
      <c r="H1" s="1191"/>
      <c r="I1" s="1191"/>
      <c r="J1" s="1191"/>
    </row>
    <row r="2" spans="1:14" ht="15.75">
      <c r="A2" s="1191" t="str">
        <f>'Table of Contents'!A2:C2</f>
        <v>Kentucky Jurisdiction Case No. 2018-00281</v>
      </c>
      <c r="B2" s="1191"/>
      <c r="C2" s="1191"/>
      <c r="D2" s="1191"/>
      <c r="E2" s="1191"/>
      <c r="F2" s="1191"/>
      <c r="G2" s="1191"/>
      <c r="H2" s="1191"/>
      <c r="I2" s="1191"/>
      <c r="J2" s="1191"/>
    </row>
    <row r="3" spans="1:14" ht="15.75">
      <c r="A3" s="1191" t="s">
        <v>777</v>
      </c>
      <c r="B3" s="1191"/>
      <c r="C3" s="1191"/>
      <c r="D3" s="1191"/>
      <c r="E3" s="1191"/>
      <c r="F3" s="1191"/>
      <c r="G3" s="1191"/>
      <c r="H3" s="1191"/>
      <c r="I3" s="1191"/>
      <c r="J3" s="1191"/>
    </row>
    <row r="4" spans="1:14" ht="15.75">
      <c r="A4" s="1191" t="str">
        <f>'Table of Contents'!A3:C3</f>
        <v>Base Period: Twelve Months Ended December 31, 2018</v>
      </c>
      <c r="B4" s="1191"/>
      <c r="C4" s="1191"/>
      <c r="D4" s="1191"/>
      <c r="E4" s="1191"/>
      <c r="F4" s="1191"/>
      <c r="G4" s="1191"/>
      <c r="H4" s="1191"/>
      <c r="I4" s="1191"/>
      <c r="J4" s="1191"/>
    </row>
    <row r="5" spans="1:14" ht="15.75">
      <c r="A5" s="1191" t="str">
        <f>'Table of Contents'!A4:C4</f>
        <v>Forecasted Test Period: Twelve Months Ended March 31, 2020</v>
      </c>
      <c r="B5" s="1191"/>
      <c r="C5" s="1191"/>
      <c r="D5" s="1191"/>
      <c r="E5" s="1191"/>
      <c r="F5" s="1191"/>
      <c r="G5" s="1191"/>
      <c r="H5" s="1191"/>
      <c r="I5" s="1191"/>
      <c r="J5" s="1191"/>
    </row>
    <row r="6" spans="1:14" ht="15.75">
      <c r="A6" s="92"/>
      <c r="B6" s="12"/>
      <c r="C6" s="92"/>
      <c r="D6" s="92"/>
      <c r="E6" s="92"/>
      <c r="F6" s="92"/>
      <c r="G6" s="92"/>
      <c r="H6" s="92"/>
      <c r="I6" s="92"/>
      <c r="J6" s="92"/>
    </row>
    <row r="7" spans="1:14" ht="15.75">
      <c r="A7" s="92"/>
      <c r="B7" s="12"/>
      <c r="C7" s="12"/>
      <c r="D7" s="92"/>
      <c r="E7" s="92"/>
      <c r="F7" s="92"/>
      <c r="G7" s="92"/>
      <c r="H7" s="92"/>
      <c r="J7" s="92"/>
    </row>
    <row r="8" spans="1:14" ht="15.75">
      <c r="A8" s="66" t="s">
        <v>480</v>
      </c>
      <c r="B8" s="12"/>
      <c r="C8" s="92"/>
      <c r="D8" s="92"/>
      <c r="E8" s="92"/>
      <c r="F8" s="92"/>
      <c r="G8" s="92"/>
      <c r="H8" s="92"/>
      <c r="J8" s="375" t="s">
        <v>1407</v>
      </c>
    </row>
    <row r="9" spans="1:14" ht="15.75">
      <c r="A9" s="66" t="s">
        <v>1122</v>
      </c>
      <c r="B9" s="12"/>
      <c r="C9" s="92"/>
      <c r="D9" s="92"/>
      <c r="E9" s="92"/>
      <c r="F9" s="92"/>
      <c r="G9" s="92"/>
      <c r="H9" s="92"/>
      <c r="J9" s="560" t="s">
        <v>481</v>
      </c>
    </row>
    <row r="10" spans="1:14" ht="15.75">
      <c r="A10" s="66" t="s">
        <v>426</v>
      </c>
      <c r="B10" s="12"/>
      <c r="C10" s="92"/>
      <c r="D10" s="92"/>
      <c r="E10" s="92"/>
      <c r="F10" s="92"/>
      <c r="G10" s="92"/>
      <c r="H10" s="92"/>
      <c r="I10" s="57"/>
      <c r="J10" s="561" t="str">
        <f>F.1!F9</f>
        <v>Witness: Waller</v>
      </c>
    </row>
    <row r="11" spans="1:14" ht="15.75">
      <c r="A11" s="119"/>
      <c r="B11" s="119"/>
      <c r="C11" s="119"/>
      <c r="D11" s="564"/>
      <c r="E11" s="565" t="s">
        <v>324</v>
      </c>
      <c r="F11" s="566"/>
      <c r="G11" s="119"/>
      <c r="H11" s="564"/>
      <c r="I11" s="565" t="s">
        <v>325</v>
      </c>
      <c r="J11" s="566"/>
    </row>
    <row r="12" spans="1:14">
      <c r="A12" s="90" t="s">
        <v>93</v>
      </c>
      <c r="B12" s="92"/>
      <c r="C12" s="100" t="s">
        <v>482</v>
      </c>
      <c r="D12" s="100" t="s">
        <v>96</v>
      </c>
      <c r="E12" s="92"/>
      <c r="F12" s="92"/>
      <c r="G12" s="92"/>
      <c r="H12" s="100" t="s">
        <v>96</v>
      </c>
      <c r="I12" s="92"/>
      <c r="J12" s="92"/>
    </row>
    <row r="13" spans="1:14">
      <c r="A13" s="91" t="s">
        <v>99</v>
      </c>
      <c r="B13" s="101" t="s">
        <v>175</v>
      </c>
      <c r="C13" s="101" t="s">
        <v>291</v>
      </c>
      <c r="D13" s="101" t="s">
        <v>593</v>
      </c>
      <c r="E13" s="101" t="s">
        <v>177</v>
      </c>
      <c r="F13" s="101" t="s">
        <v>594</v>
      </c>
      <c r="G13" s="97"/>
      <c r="H13" s="101" t="s">
        <v>593</v>
      </c>
      <c r="I13" s="101" t="s">
        <v>177</v>
      </c>
      <c r="J13" s="91" t="s">
        <v>594</v>
      </c>
    </row>
    <row r="14" spans="1:14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4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80"/>
      <c r="L15" s="80"/>
      <c r="M15" s="80"/>
      <c r="N15" s="80"/>
    </row>
    <row r="16" spans="1:14">
      <c r="A16" s="90">
        <v>1</v>
      </c>
      <c r="B16" s="90" t="s">
        <v>624</v>
      </c>
      <c r="C16" s="780" t="s">
        <v>73</v>
      </c>
      <c r="D16" s="781">
        <v>0</v>
      </c>
      <c r="E16" s="2" t="s">
        <v>1059</v>
      </c>
      <c r="F16" s="562">
        <f>D16</f>
        <v>0</v>
      </c>
      <c r="G16" s="92"/>
      <c r="H16" s="562">
        <f>D16</f>
        <v>0</v>
      </c>
      <c r="I16" s="117" t="s">
        <v>1059</v>
      </c>
      <c r="J16" s="562">
        <f>H16</f>
        <v>0</v>
      </c>
      <c r="K16" s="80"/>
      <c r="L16" s="80"/>
      <c r="M16" s="80"/>
      <c r="N16" s="80"/>
    </row>
    <row r="17" spans="1:14">
      <c r="A17" s="92"/>
      <c r="B17" s="92"/>
      <c r="C17" s="92" t="s">
        <v>74</v>
      </c>
      <c r="D17" s="92"/>
      <c r="E17" s="92"/>
      <c r="F17" s="92"/>
      <c r="G17" s="92"/>
      <c r="H17" s="92"/>
      <c r="I17" s="92"/>
      <c r="J17" s="92"/>
      <c r="K17" s="80"/>
      <c r="L17" s="80"/>
      <c r="M17" s="80"/>
      <c r="N17" s="80"/>
    </row>
    <row r="18" spans="1:14">
      <c r="A18" s="122">
        <v>2</v>
      </c>
      <c r="B18" s="90" t="s">
        <v>624</v>
      </c>
      <c r="C18" s="780" t="s">
        <v>75</v>
      </c>
      <c r="D18" s="782">
        <v>0</v>
      </c>
      <c r="E18" s="92"/>
      <c r="F18" s="104">
        <f>D18</f>
        <v>0</v>
      </c>
      <c r="G18" s="92"/>
      <c r="H18" s="104">
        <v>0</v>
      </c>
      <c r="I18" s="92"/>
      <c r="J18" s="104">
        <f>H18</f>
        <v>0</v>
      </c>
      <c r="K18" s="80"/>
      <c r="L18" s="80"/>
      <c r="M18" s="80"/>
      <c r="N18" s="80"/>
    </row>
    <row r="19" spans="1:14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80"/>
      <c r="L19" s="80"/>
      <c r="M19" s="80"/>
      <c r="N19" s="80"/>
    </row>
    <row r="20" spans="1:14" ht="15.75" thickBot="1">
      <c r="A20" s="123">
        <v>3</v>
      </c>
      <c r="B20" s="92"/>
      <c r="C20" s="90" t="s">
        <v>397</v>
      </c>
      <c r="D20" s="563">
        <f>SUM(D16:D18)</f>
        <v>0</v>
      </c>
      <c r="E20" s="92"/>
      <c r="F20" s="563">
        <f>SUM(F16:F18)</f>
        <v>0</v>
      </c>
      <c r="G20" s="92"/>
      <c r="H20" s="563">
        <f>SUM(H16:H18)</f>
        <v>0</v>
      </c>
      <c r="I20" s="92"/>
      <c r="J20" s="563">
        <f>SUM(J16:J18)</f>
        <v>0</v>
      </c>
      <c r="K20" s="80"/>
      <c r="L20" s="80"/>
      <c r="M20" s="80"/>
      <c r="N20" s="80"/>
    </row>
    <row r="21" spans="1:14" ht="15.75" thickTop="1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4">
      <c r="A22" s="90" t="s">
        <v>323</v>
      </c>
      <c r="B22" s="92"/>
      <c r="C22" s="92"/>
      <c r="D22" s="92"/>
      <c r="E22" s="92"/>
      <c r="F22" s="92"/>
      <c r="G22" s="92"/>
      <c r="H22" s="92"/>
      <c r="I22" s="92"/>
      <c r="J22" s="92"/>
    </row>
    <row r="23" spans="1:14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4">
      <c r="A24" s="66" t="s">
        <v>1230</v>
      </c>
      <c r="B24" s="92"/>
      <c r="C24" s="92"/>
      <c r="D24" s="92"/>
      <c r="E24" s="92"/>
      <c r="F24" s="92"/>
      <c r="G24" s="92"/>
      <c r="H24" s="92"/>
      <c r="I24" s="92"/>
      <c r="J24" s="92"/>
    </row>
    <row r="25" spans="1:14">
      <c r="A25" s="66" t="s">
        <v>1522</v>
      </c>
      <c r="B25" s="92"/>
      <c r="C25" s="92"/>
      <c r="D25" s="92"/>
      <c r="E25" s="92"/>
      <c r="F25" s="92"/>
      <c r="G25" s="92"/>
      <c r="H25" s="92"/>
      <c r="I25" s="92"/>
      <c r="J25" s="92"/>
    </row>
    <row r="26" spans="1:14">
      <c r="A26" s="92"/>
      <c r="B26" s="92"/>
      <c r="C26" s="92"/>
      <c r="D26" s="92"/>
      <c r="E26" s="92"/>
      <c r="F26" s="92"/>
      <c r="G26" s="92"/>
      <c r="H26" s="92"/>
      <c r="I26" s="92"/>
      <c r="J26" s="92"/>
    </row>
    <row r="27" spans="1:14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4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30" spans="1:14">
      <c r="B30" t="s">
        <v>518</v>
      </c>
    </row>
    <row r="31" spans="1:14">
      <c r="B31" t="s">
        <v>1477</v>
      </c>
    </row>
    <row r="35" spans="2:2">
      <c r="B35" s="591"/>
    </row>
  </sheetData>
  <mergeCells count="5">
    <mergeCell ref="A5:J5"/>
    <mergeCell ref="A1:J1"/>
    <mergeCell ref="A2:J2"/>
    <mergeCell ref="A3:J3"/>
    <mergeCell ref="A4:J4"/>
  </mergeCells>
  <phoneticPr fontId="23" type="noConversion"/>
  <pageMargins left="0.8" right="0.62" top="1" bottom="0.5" header="0.5" footer="0.5"/>
  <pageSetup scale="96" orientation="landscape" verticalDpi="300" r:id="rId1"/>
  <headerFooter alignWithMargins="0">
    <oddFooter>&amp;RSchedule &amp;A
Page &amp;P of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L40"/>
  <sheetViews>
    <sheetView view="pageBreakPreview" zoomScale="70" zoomScaleNormal="90" zoomScaleSheetLayoutView="70" workbookViewId="0">
      <selection activeCell="J154" sqref="J154"/>
    </sheetView>
  </sheetViews>
  <sheetFormatPr defaultRowHeight="15"/>
  <cols>
    <col min="1" max="1" width="4.44140625" style="80" customWidth="1"/>
    <col min="2" max="2" width="10.6640625" style="80" customWidth="1"/>
    <col min="3" max="3" width="35.77734375" style="80" customWidth="1"/>
    <col min="4" max="6" width="12" style="80" bestFit="1" customWidth="1"/>
    <col min="7" max="7" width="4.5546875" style="80" customWidth="1"/>
    <col min="8" max="8" width="11" style="80" bestFit="1" customWidth="1"/>
    <col min="9" max="9" width="11.6640625" style="80" customWidth="1"/>
    <col min="10" max="10" width="12" style="80" bestFit="1" customWidth="1"/>
    <col min="11" max="16384" width="8.88671875" style="80"/>
  </cols>
  <sheetData>
    <row r="1" spans="1:12" ht="15.75">
      <c r="A1" s="1191" t="str">
        <f>'Table of Contents'!A1:C1</f>
        <v>Atmos Energy Corporation, Kentucky/Mid-States Division</v>
      </c>
      <c r="B1" s="1191"/>
      <c r="C1" s="1191"/>
      <c r="D1" s="1191"/>
      <c r="E1" s="1191"/>
      <c r="F1" s="1191"/>
      <c r="G1" s="1191"/>
      <c r="H1" s="1191"/>
      <c r="I1" s="1191"/>
      <c r="J1" s="1191"/>
    </row>
    <row r="2" spans="1:12" ht="15.75">
      <c r="A2" s="1191" t="str">
        <f>'Table of Contents'!A2:C2</f>
        <v>Kentucky Jurisdiction Case No. 2018-00281</v>
      </c>
      <c r="B2" s="1191"/>
      <c r="C2" s="1191"/>
      <c r="D2" s="1191"/>
      <c r="E2" s="1191"/>
      <c r="F2" s="1191"/>
      <c r="G2" s="1191"/>
      <c r="H2" s="1191"/>
      <c r="I2" s="1191"/>
      <c r="J2" s="1191"/>
    </row>
    <row r="3" spans="1:12" ht="15.75">
      <c r="A3" s="1191" t="s">
        <v>610</v>
      </c>
      <c r="B3" s="1191"/>
      <c r="C3" s="1191"/>
      <c r="D3" s="1191"/>
      <c r="E3" s="1191"/>
      <c r="F3" s="1191"/>
      <c r="G3" s="1191"/>
      <c r="H3" s="1191"/>
      <c r="I3" s="1191"/>
      <c r="J3" s="1191"/>
    </row>
    <row r="4" spans="1:12" ht="15.75">
      <c r="A4" s="1191" t="str">
        <f>'Table of Contents'!A3:C3</f>
        <v>Base Period: Twelve Months Ended December 31, 2018</v>
      </c>
      <c r="B4" s="1191"/>
      <c r="C4" s="1191"/>
      <c r="D4" s="1191"/>
      <c r="E4" s="1191"/>
      <c r="F4" s="1191"/>
      <c r="G4" s="1191"/>
      <c r="H4" s="1191"/>
      <c r="I4" s="1191"/>
      <c r="J4" s="1191"/>
    </row>
    <row r="5" spans="1:12" ht="15.75">
      <c r="A5" s="1191" t="str">
        <f>'Table of Contents'!A4:C4</f>
        <v>Forecasted Test Period: Twelve Months Ended March 31, 2020</v>
      </c>
      <c r="B5" s="1191"/>
      <c r="C5" s="1191"/>
      <c r="D5" s="1191"/>
      <c r="E5" s="1191"/>
      <c r="F5" s="1191"/>
      <c r="G5" s="1191"/>
      <c r="H5" s="1191"/>
      <c r="I5" s="1191"/>
      <c r="J5" s="1191"/>
    </row>
    <row r="6" spans="1:12" ht="15.75">
      <c r="A6" s="103"/>
      <c r="B6" s="920"/>
      <c r="C6" s="103"/>
      <c r="D6" s="103"/>
      <c r="E6" s="103"/>
      <c r="F6" s="103"/>
      <c r="G6" s="103"/>
      <c r="H6" s="103"/>
      <c r="I6" s="103"/>
      <c r="J6" s="103"/>
    </row>
    <row r="7" spans="1:12" ht="15.75">
      <c r="A7" s="103"/>
      <c r="B7" s="920"/>
      <c r="C7" s="920"/>
      <c r="D7" s="103"/>
      <c r="E7" s="103"/>
      <c r="F7" s="103"/>
      <c r="G7" s="103"/>
      <c r="H7" s="103"/>
      <c r="J7" s="103"/>
    </row>
    <row r="8" spans="1:12" ht="15.75">
      <c r="A8" s="694" t="s">
        <v>483</v>
      </c>
      <c r="B8" s="920"/>
      <c r="C8" s="103"/>
      <c r="D8" s="103"/>
      <c r="E8" s="103"/>
      <c r="F8" s="103"/>
      <c r="G8" s="103"/>
      <c r="H8" s="103"/>
      <c r="J8" s="170" t="s">
        <v>1407</v>
      </c>
    </row>
    <row r="9" spans="1:12" ht="15.75">
      <c r="A9" s="694" t="s">
        <v>1125</v>
      </c>
      <c r="B9" s="920"/>
      <c r="C9" s="103"/>
      <c r="D9" s="103"/>
      <c r="E9" s="103"/>
      <c r="F9" s="103"/>
      <c r="G9" s="103"/>
      <c r="H9" s="103"/>
      <c r="J9" s="921" t="s">
        <v>484</v>
      </c>
    </row>
    <row r="10" spans="1:12" ht="15.75">
      <c r="A10" s="694" t="s">
        <v>365</v>
      </c>
      <c r="B10" s="920"/>
      <c r="C10" s="103"/>
      <c r="D10" s="103"/>
      <c r="E10" s="103"/>
      <c r="F10" s="103"/>
      <c r="G10" s="103"/>
      <c r="H10" s="103"/>
      <c r="I10" s="922"/>
      <c r="J10" s="923" t="str">
        <f>F.1!$F$9</f>
        <v>Witness: Waller</v>
      </c>
    </row>
    <row r="11" spans="1:12" ht="15.75">
      <c r="A11" s="924"/>
      <c r="B11" s="924"/>
      <c r="C11" s="924"/>
      <c r="D11" s="925"/>
      <c r="E11" s="926" t="s">
        <v>324</v>
      </c>
      <c r="F11" s="927"/>
      <c r="G11" s="924"/>
      <c r="H11" s="925"/>
      <c r="I11" s="926" t="s">
        <v>325</v>
      </c>
      <c r="J11" s="927"/>
    </row>
    <row r="12" spans="1:12">
      <c r="A12" s="121" t="s">
        <v>93</v>
      </c>
      <c r="B12" s="103"/>
      <c r="C12" s="121"/>
      <c r="D12" s="121" t="s">
        <v>96</v>
      </c>
      <c r="E12" s="847" t="s">
        <v>11</v>
      </c>
      <c r="F12" s="764" t="s">
        <v>12</v>
      </c>
      <c r="G12" s="103"/>
      <c r="H12" s="121" t="s">
        <v>96</v>
      </c>
      <c r="I12" s="847" t="s">
        <v>11</v>
      </c>
      <c r="J12" s="764" t="s">
        <v>12</v>
      </c>
    </row>
    <row r="13" spans="1:12">
      <c r="A13" s="648" t="s">
        <v>99</v>
      </c>
      <c r="B13" s="648" t="s">
        <v>175</v>
      </c>
      <c r="C13" s="648" t="s">
        <v>477</v>
      </c>
      <c r="D13" s="648" t="s">
        <v>593</v>
      </c>
      <c r="E13" s="928" t="s">
        <v>97</v>
      </c>
      <c r="F13" s="648" t="s">
        <v>104</v>
      </c>
      <c r="G13" s="929"/>
      <c r="H13" s="648" t="s">
        <v>593</v>
      </c>
      <c r="I13" s="928" t="s">
        <v>97</v>
      </c>
      <c r="J13" s="648" t="s">
        <v>104</v>
      </c>
    </row>
    <row r="14" spans="1:12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2" ht="15.75">
      <c r="A15" s="428">
        <v>1</v>
      </c>
      <c r="C15" s="930" t="s">
        <v>193</v>
      </c>
      <c r="D15" s="690"/>
      <c r="E15" s="428"/>
      <c r="F15" s="400"/>
      <c r="G15" s="801"/>
      <c r="H15" s="931"/>
      <c r="I15" s="428"/>
      <c r="J15" s="400"/>
    </row>
    <row r="16" spans="1:12">
      <c r="A16" s="932">
        <v>2</v>
      </c>
      <c r="B16" s="835" t="s">
        <v>624</v>
      </c>
      <c r="C16" s="933" t="s">
        <v>933</v>
      </c>
      <c r="D16" s="328">
        <v>0</v>
      </c>
      <c r="E16" s="615">
        <v>1</v>
      </c>
      <c r="F16" s="328">
        <f>D16*E16</f>
        <v>0</v>
      </c>
      <c r="G16" s="801"/>
      <c r="H16" s="328">
        <v>0</v>
      </c>
      <c r="I16" s="615">
        <v>1</v>
      </c>
      <c r="J16" s="328">
        <v>0</v>
      </c>
      <c r="L16" s="934"/>
    </row>
    <row r="17" spans="1:12">
      <c r="A17" s="428">
        <v>3</v>
      </c>
      <c r="B17" s="835"/>
      <c r="C17" s="933"/>
      <c r="D17" s="419"/>
      <c r="E17" s="935"/>
      <c r="F17" s="419"/>
      <c r="G17" s="801"/>
      <c r="H17" s="419"/>
      <c r="I17" s="615"/>
      <c r="J17" s="419"/>
    </row>
    <row r="18" spans="1:12">
      <c r="A18" s="932">
        <v>4</v>
      </c>
      <c r="B18" s="835"/>
      <c r="C18" s="404" t="s">
        <v>96</v>
      </c>
      <c r="D18" s="328">
        <f>SUM(D16:D17)</f>
        <v>0</v>
      </c>
      <c r="E18" s="801"/>
      <c r="F18" s="328">
        <f>SUM(F16:F17)</f>
        <v>0</v>
      </c>
      <c r="G18" s="801"/>
      <c r="H18" s="328">
        <v>0</v>
      </c>
      <c r="I18" s="615"/>
      <c r="J18" s="328">
        <v>0</v>
      </c>
    </row>
    <row r="19" spans="1:12">
      <c r="A19" s="428">
        <v>5</v>
      </c>
      <c r="B19" s="801"/>
      <c r="C19" s="801"/>
      <c r="D19" s="380"/>
      <c r="E19" s="801"/>
      <c r="F19" s="380"/>
      <c r="G19" s="801"/>
      <c r="H19" s="380"/>
      <c r="I19" s="615"/>
      <c r="J19" s="380"/>
    </row>
    <row r="20" spans="1:12" ht="15.75">
      <c r="A20" s="932">
        <v>6</v>
      </c>
      <c r="C20" s="930" t="s">
        <v>78</v>
      </c>
      <c r="D20" s="936"/>
      <c r="E20" s="937"/>
      <c r="F20" s="938"/>
      <c r="G20" s="939"/>
      <c r="H20" s="936"/>
      <c r="I20" s="615"/>
      <c r="J20" s="938"/>
    </row>
    <row r="21" spans="1:12">
      <c r="A21" s="428">
        <v>7</v>
      </c>
      <c r="B21" s="835" t="s">
        <v>624</v>
      </c>
      <c r="C21" s="933" t="s">
        <v>933</v>
      </c>
      <c r="D21" s="328">
        <v>85251.65</v>
      </c>
      <c r="E21" s="940">
        <f>Allocation!$I$17</f>
        <v>0.49780000000000002</v>
      </c>
      <c r="F21" s="328">
        <f>D21*E21</f>
        <v>42438.271370000002</v>
      </c>
      <c r="G21" s="801"/>
      <c r="H21" s="328">
        <v>37359.421786418738</v>
      </c>
      <c r="I21" s="940">
        <v>0.49780000000000002</v>
      </c>
      <c r="J21" s="328">
        <v>18597.520165279249</v>
      </c>
      <c r="L21" s="690"/>
    </row>
    <row r="22" spans="1:12">
      <c r="A22" s="932">
        <v>8</v>
      </c>
      <c r="B22" s="835"/>
      <c r="C22" s="933"/>
      <c r="D22" s="419"/>
      <c r="E22" s="324"/>
      <c r="F22" s="419"/>
      <c r="G22" s="103"/>
      <c r="H22" s="419"/>
      <c r="I22" s="940"/>
      <c r="J22" s="419"/>
    </row>
    <row r="23" spans="1:12">
      <c r="A23" s="428">
        <v>9</v>
      </c>
      <c r="B23" s="835"/>
      <c r="C23" s="404" t="s">
        <v>96</v>
      </c>
      <c r="D23" s="328">
        <f>SUM(D21:D22)</f>
        <v>85251.65</v>
      </c>
      <c r="E23" s="103"/>
      <c r="F23" s="328">
        <f>SUM(F21:F22)</f>
        <v>42438.271370000002</v>
      </c>
      <c r="G23" s="103"/>
      <c r="H23" s="328">
        <v>37359.421786418738</v>
      </c>
      <c r="I23" s="940"/>
      <c r="J23" s="328">
        <v>18597.520165279249</v>
      </c>
    </row>
    <row r="24" spans="1:12">
      <c r="A24" s="932">
        <v>10</v>
      </c>
      <c r="B24" s="103"/>
      <c r="C24" s="103"/>
      <c r="D24" s="512"/>
      <c r="E24" s="103"/>
      <c r="F24" s="103"/>
      <c r="G24" s="103"/>
      <c r="H24" s="512"/>
      <c r="I24" s="940"/>
      <c r="J24" s="103"/>
    </row>
    <row r="25" spans="1:12" ht="15.75">
      <c r="A25" s="428">
        <v>11</v>
      </c>
      <c r="C25" s="930" t="s">
        <v>76</v>
      </c>
      <c r="D25" s="512"/>
      <c r="E25" s="103"/>
      <c r="F25" s="103"/>
      <c r="G25" s="103"/>
      <c r="H25" s="512"/>
      <c r="I25" s="940"/>
      <c r="J25" s="103"/>
    </row>
    <row r="26" spans="1:12">
      <c r="A26" s="932">
        <v>12</v>
      </c>
      <c r="B26" s="835" t="s">
        <v>624</v>
      </c>
      <c r="C26" s="933" t="s">
        <v>933</v>
      </c>
      <c r="D26" s="328">
        <v>1242.32</v>
      </c>
      <c r="E26" s="940">
        <f>Allocation!$I$14</f>
        <v>5.1771199999999996E-2</v>
      </c>
      <c r="F26" s="328">
        <f>D26*E26</f>
        <v>64.316397183999996</v>
      </c>
      <c r="H26" s="328">
        <v>0</v>
      </c>
      <c r="I26" s="940">
        <v>5.1771199999999996E-2</v>
      </c>
      <c r="J26" s="328">
        <v>0</v>
      </c>
      <c r="L26" s="690"/>
    </row>
    <row r="27" spans="1:12">
      <c r="A27" s="428">
        <v>13</v>
      </c>
      <c r="B27" s="835"/>
      <c r="C27" s="933"/>
      <c r="D27" s="419"/>
      <c r="E27" s="324"/>
      <c r="F27" s="419"/>
      <c r="H27" s="419"/>
      <c r="I27" s="940"/>
      <c r="J27" s="419"/>
    </row>
    <row r="28" spans="1:12">
      <c r="A28" s="932">
        <v>14</v>
      </c>
      <c r="B28" s="835"/>
      <c r="C28" s="404" t="s">
        <v>96</v>
      </c>
      <c r="D28" s="328">
        <f>SUM(D26:D27)</f>
        <v>1242.32</v>
      </c>
      <c r="E28" s="324"/>
      <c r="F28" s="328">
        <f>SUM(F26:F27)</f>
        <v>64.316397183999996</v>
      </c>
      <c r="H28" s="328">
        <v>0</v>
      </c>
      <c r="I28" s="940"/>
      <c r="J28" s="328">
        <v>0</v>
      </c>
    </row>
    <row r="29" spans="1:12">
      <c r="A29" s="428">
        <v>15</v>
      </c>
      <c r="D29" s="512"/>
      <c r="E29" s="324"/>
      <c r="H29" s="512"/>
      <c r="I29" s="940"/>
    </row>
    <row r="30" spans="1:12" ht="15.75">
      <c r="A30" s="932">
        <v>16</v>
      </c>
      <c r="C30" s="930" t="s">
        <v>77</v>
      </c>
      <c r="D30" s="512"/>
      <c r="E30" s="324"/>
      <c r="H30" s="512"/>
      <c r="I30" s="940"/>
    </row>
    <row r="31" spans="1:12">
      <c r="A31" s="428">
        <v>17</v>
      </c>
      <c r="B31" s="835" t="s">
        <v>624</v>
      </c>
      <c r="C31" s="933" t="s">
        <v>933</v>
      </c>
      <c r="D31" s="328">
        <v>151952.06</v>
      </c>
      <c r="E31" s="940">
        <f>Allocation!$I$15</f>
        <v>5.6412179785543033E-2</v>
      </c>
      <c r="F31" s="328">
        <f>D31*E31</f>
        <v>8571.9469275036226</v>
      </c>
      <c r="H31" s="328">
        <v>300931.40557907586</v>
      </c>
      <c r="I31" s="940">
        <v>5.6412179785543033E-2</v>
      </c>
      <c r="J31" s="328">
        <v>16976.196554642996</v>
      </c>
      <c r="L31" s="690"/>
    </row>
    <row r="32" spans="1:12">
      <c r="A32" s="932">
        <v>18</v>
      </c>
      <c r="B32" s="835"/>
      <c r="C32" s="933"/>
      <c r="D32" s="419"/>
      <c r="E32" s="324"/>
      <c r="F32" s="419"/>
      <c r="H32" s="419"/>
      <c r="I32" s="940"/>
      <c r="J32" s="419"/>
    </row>
    <row r="33" spans="1:10">
      <c r="A33" s="428">
        <v>19</v>
      </c>
      <c r="B33" s="835"/>
      <c r="C33" s="404" t="s">
        <v>96</v>
      </c>
      <c r="D33" s="328">
        <f>SUM(D31:D32)</f>
        <v>151952.06</v>
      </c>
      <c r="F33" s="328">
        <f>SUM(F31:F32)</f>
        <v>8571.9469275036226</v>
      </c>
      <c r="H33" s="328">
        <v>300931.40557907586</v>
      </c>
      <c r="J33" s="328">
        <v>16976.196554642996</v>
      </c>
    </row>
    <row r="34" spans="1:10">
      <c r="A34" s="932">
        <v>20</v>
      </c>
      <c r="D34" s="512"/>
    </row>
    <row r="35" spans="1:10" ht="16.5" thickBot="1">
      <c r="A35" s="428">
        <v>21</v>
      </c>
      <c r="C35" s="941" t="s">
        <v>934</v>
      </c>
      <c r="D35" s="511">
        <f>D33+D28+D23+D18</f>
        <v>238446.03</v>
      </c>
      <c r="F35" s="511">
        <f>F33+F28+F23+F18</f>
        <v>51074.534694687623</v>
      </c>
      <c r="H35" s="511">
        <v>338290.82736549457</v>
      </c>
      <c r="J35" s="511">
        <v>35573.716719922246</v>
      </c>
    </row>
    <row r="36" spans="1:10" ht="16.5" thickTop="1">
      <c r="A36" s="428"/>
      <c r="C36" s="941"/>
      <c r="D36" s="322"/>
      <c r="F36" s="322"/>
      <c r="H36" s="322"/>
      <c r="J36" s="322"/>
    </row>
    <row r="37" spans="1:10" ht="15.75">
      <c r="C37" s="941"/>
    </row>
    <row r="39" spans="1:10">
      <c r="B39" s="80" t="s">
        <v>518</v>
      </c>
    </row>
    <row r="40" spans="1:10">
      <c r="B40" s="80" t="s">
        <v>1677</v>
      </c>
    </row>
  </sheetData>
  <mergeCells count="5">
    <mergeCell ref="A5:J5"/>
    <mergeCell ref="A1:J1"/>
    <mergeCell ref="A2:J2"/>
    <mergeCell ref="A3:J3"/>
    <mergeCell ref="A4:J4"/>
  </mergeCells>
  <phoneticPr fontId="23" type="noConversion"/>
  <pageMargins left="0.75" right="0.75" top="1" bottom="1" header="0.5" footer="0.5"/>
  <pageSetup scale="80" orientation="landscape" verticalDpi="300" r:id="rId1"/>
  <headerFooter alignWithMargins="0">
    <oddFooter>&amp;RSchedule &amp;A
Page &amp;P of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N79"/>
  <sheetViews>
    <sheetView view="pageBreakPreview" zoomScale="70" zoomScaleNormal="90" zoomScaleSheetLayoutView="70" workbookViewId="0">
      <pane ySplit="13" topLeftCell="A29" activePane="bottomLeft" state="frozen"/>
      <selection activeCell="J154" sqref="J154"/>
      <selection pane="bottomLeft" activeCell="J154" sqref="J154"/>
    </sheetView>
  </sheetViews>
  <sheetFormatPr defaultRowHeight="15"/>
  <cols>
    <col min="1" max="1" width="4.109375" style="80" customWidth="1"/>
    <col min="2" max="2" width="8.88671875" style="80"/>
    <col min="3" max="3" width="50.6640625" style="80" customWidth="1"/>
    <col min="4" max="4" width="9.5546875" style="80" bestFit="1" customWidth="1"/>
    <col min="5" max="5" width="11.33203125" style="80" bestFit="1" customWidth="1"/>
    <col min="6" max="6" width="9.5546875" style="80" bestFit="1" customWidth="1"/>
    <col min="7" max="7" width="3.109375" style="80" customWidth="1"/>
    <col min="8" max="8" width="9.5546875" style="80" customWidth="1"/>
    <col min="9" max="9" width="11.21875" style="80" customWidth="1"/>
    <col min="10" max="10" width="9.5546875" style="80" customWidth="1"/>
    <col min="11" max="16384" width="8.88671875" style="80"/>
  </cols>
  <sheetData>
    <row r="1" spans="1:10" ht="15.75">
      <c r="A1" s="1211" t="str">
        <f>'Table of Contents'!A1:C1</f>
        <v>Atmos Energy Corporation, Kentucky/Mid-States Division</v>
      </c>
      <c r="B1" s="1211"/>
      <c r="C1" s="1211"/>
      <c r="D1" s="1211"/>
      <c r="E1" s="1211"/>
      <c r="F1" s="1211"/>
      <c r="G1" s="1211"/>
      <c r="H1" s="1211"/>
      <c r="I1" s="1211"/>
      <c r="J1" s="1211"/>
    </row>
    <row r="2" spans="1:10" ht="15.75">
      <c r="A2" s="1211" t="str">
        <f>'Table of Contents'!A2:C2</f>
        <v>Kentucky Jurisdiction Case No. 2018-00281</v>
      </c>
      <c r="B2" s="1211"/>
      <c r="C2" s="1211"/>
      <c r="D2" s="1211"/>
      <c r="E2" s="1211"/>
      <c r="F2" s="1211"/>
      <c r="G2" s="1211"/>
      <c r="H2" s="1211"/>
      <c r="I2" s="1211"/>
      <c r="J2" s="1211"/>
    </row>
    <row r="3" spans="1:10" ht="15.75">
      <c r="A3" s="1211" t="s">
        <v>1057</v>
      </c>
      <c r="B3" s="1211"/>
      <c r="C3" s="1211"/>
      <c r="D3" s="1211"/>
      <c r="E3" s="1211"/>
      <c r="F3" s="1211"/>
      <c r="G3" s="1211"/>
      <c r="H3" s="1211"/>
      <c r="I3" s="1211"/>
      <c r="J3" s="1211"/>
    </row>
    <row r="4" spans="1:10" ht="15.75">
      <c r="A4" s="1211" t="str">
        <f>'Table of Contents'!A3:C3</f>
        <v>Base Period: Twelve Months Ended December 31, 2018</v>
      </c>
      <c r="B4" s="1211"/>
      <c r="C4" s="1211"/>
      <c r="D4" s="1211"/>
      <c r="E4" s="1211"/>
      <c r="F4" s="1211"/>
      <c r="G4" s="1211"/>
      <c r="H4" s="1211"/>
      <c r="I4" s="1211"/>
      <c r="J4" s="1211"/>
    </row>
    <row r="5" spans="1:10" ht="15.75">
      <c r="A5" s="1211" t="str">
        <f>'Table of Contents'!A4:C4</f>
        <v>Forecasted Test Period: Twelve Months Ended March 31, 2020</v>
      </c>
      <c r="B5" s="1211"/>
      <c r="C5" s="1211"/>
      <c r="D5" s="1211"/>
      <c r="E5" s="1211"/>
      <c r="F5" s="1211"/>
      <c r="G5" s="1211"/>
      <c r="H5" s="1211"/>
      <c r="I5" s="1211"/>
      <c r="J5" s="1211"/>
    </row>
    <row r="6" spans="1:10" ht="15.75">
      <c r="A6" s="103"/>
      <c r="B6" s="920"/>
      <c r="C6" s="103"/>
      <c r="D6" s="1099"/>
      <c r="E6" s="103"/>
      <c r="F6" s="103"/>
      <c r="G6" s="103"/>
      <c r="H6" s="103"/>
      <c r="I6" s="103"/>
      <c r="J6" s="103"/>
    </row>
    <row r="7" spans="1:10" ht="15.75">
      <c r="A7" s="103"/>
      <c r="B7" s="920"/>
      <c r="C7" s="920"/>
      <c r="D7" s="103"/>
      <c r="E7" s="103"/>
      <c r="F7" s="103"/>
      <c r="G7" s="103"/>
      <c r="H7" s="103"/>
      <c r="J7" s="103"/>
    </row>
    <row r="8" spans="1:10" ht="15.75">
      <c r="A8" s="694" t="s">
        <v>136</v>
      </c>
      <c r="B8" s="920"/>
      <c r="C8" s="103"/>
      <c r="D8" s="103"/>
      <c r="E8" s="103"/>
      <c r="F8" s="103"/>
      <c r="G8" s="103"/>
      <c r="H8" s="103"/>
      <c r="J8" s="170" t="s">
        <v>1407</v>
      </c>
    </row>
    <row r="9" spans="1:10" ht="15.75">
      <c r="A9" s="694" t="s">
        <v>1124</v>
      </c>
      <c r="B9" s="920"/>
      <c r="C9" s="103"/>
      <c r="D9" s="103"/>
      <c r="E9" s="103"/>
      <c r="F9" s="103"/>
      <c r="G9" s="103"/>
      <c r="H9" s="103"/>
      <c r="J9" s="921" t="s">
        <v>137</v>
      </c>
    </row>
    <row r="10" spans="1:10" ht="15.75">
      <c r="A10" s="694" t="s">
        <v>365</v>
      </c>
      <c r="B10" s="920"/>
      <c r="C10" s="103"/>
      <c r="D10" s="103"/>
      <c r="E10" s="103"/>
      <c r="F10" s="103"/>
      <c r="G10" s="103"/>
      <c r="H10" s="103"/>
      <c r="J10" s="923" t="str">
        <f>F.1!$F$9</f>
        <v>Witness: Waller</v>
      </c>
    </row>
    <row r="11" spans="1:10" ht="15.75">
      <c r="A11" s="924"/>
      <c r="B11" s="924"/>
      <c r="C11" s="924"/>
      <c r="D11" s="925"/>
      <c r="E11" s="926" t="s">
        <v>324</v>
      </c>
      <c r="F11" s="927"/>
      <c r="G11" s="924"/>
      <c r="H11" s="925"/>
      <c r="I11" s="926" t="s">
        <v>325</v>
      </c>
      <c r="J11" s="927"/>
    </row>
    <row r="12" spans="1:10">
      <c r="A12" s="121" t="s">
        <v>93</v>
      </c>
      <c r="B12" s="121" t="s">
        <v>338</v>
      </c>
      <c r="C12" s="103"/>
      <c r="D12" s="121" t="s">
        <v>96</v>
      </c>
      <c r="E12" s="853" t="s">
        <v>11</v>
      </c>
      <c r="F12" s="955" t="s">
        <v>12</v>
      </c>
      <c r="G12" s="103"/>
      <c r="H12" s="121" t="s">
        <v>96</v>
      </c>
      <c r="I12" s="955" t="str">
        <f>E12</f>
        <v xml:space="preserve">Kentucky </v>
      </c>
      <c r="J12" s="955" t="s">
        <v>981</v>
      </c>
    </row>
    <row r="13" spans="1:10">
      <c r="A13" s="648" t="s">
        <v>99</v>
      </c>
      <c r="B13" s="648" t="s">
        <v>138</v>
      </c>
      <c r="C13" s="648" t="s">
        <v>477</v>
      </c>
      <c r="D13" s="648" t="s">
        <v>593</v>
      </c>
      <c r="E13" s="928" t="s">
        <v>97</v>
      </c>
      <c r="F13" s="648" t="s">
        <v>104</v>
      </c>
      <c r="G13" s="929"/>
      <c r="H13" s="648" t="s">
        <v>593</v>
      </c>
      <c r="I13" s="648" t="str">
        <f>E13</f>
        <v>Jurisdictional</v>
      </c>
      <c r="J13" s="648" t="s">
        <v>104</v>
      </c>
    </row>
    <row r="14" spans="1:10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0" ht="15.75">
      <c r="A15" s="583">
        <v>1</v>
      </c>
      <c r="B15" s="103"/>
      <c r="C15" s="1100" t="s">
        <v>568</v>
      </c>
      <c r="D15" s="103"/>
      <c r="E15" s="103"/>
      <c r="F15" s="103"/>
      <c r="G15" s="103"/>
      <c r="H15" s="103"/>
      <c r="I15" s="103"/>
      <c r="J15" s="103"/>
    </row>
    <row r="16" spans="1:10">
      <c r="A16" s="583">
        <v>2</v>
      </c>
      <c r="B16" s="103"/>
      <c r="D16" s="103"/>
      <c r="E16" s="1101"/>
      <c r="F16" s="103"/>
      <c r="G16" s="103"/>
      <c r="H16" s="103"/>
      <c r="I16" s="1101"/>
      <c r="J16" s="103"/>
    </row>
    <row r="17" spans="1:14" ht="15.75">
      <c r="A17" s="583">
        <v>3</v>
      </c>
      <c r="B17" s="103"/>
      <c r="C17" s="930" t="s">
        <v>193</v>
      </c>
      <c r="D17" s="103"/>
      <c r="E17" s="1101"/>
      <c r="F17" s="103"/>
      <c r="G17" s="103"/>
      <c r="H17" s="103"/>
      <c r="I17" s="1101"/>
      <c r="J17" s="103"/>
    </row>
    <row r="18" spans="1:14">
      <c r="A18" s="583">
        <v>4</v>
      </c>
      <c r="B18" s="121">
        <v>907</v>
      </c>
      <c r="C18" s="1102" t="s">
        <v>977</v>
      </c>
      <c r="D18" s="571">
        <v>0</v>
      </c>
      <c r="E18" s="1103">
        <v>1</v>
      </c>
      <c r="F18" s="571">
        <f>D18*E18</f>
        <v>0</v>
      </c>
      <c r="G18" s="103"/>
      <c r="H18" s="571">
        <v>0</v>
      </c>
      <c r="I18" s="1103">
        <v>1</v>
      </c>
      <c r="J18" s="571">
        <v>0</v>
      </c>
    </row>
    <row r="19" spans="1:14">
      <c r="A19" s="583">
        <v>5</v>
      </c>
      <c r="B19" s="121">
        <v>908</v>
      </c>
      <c r="C19" s="1102" t="s">
        <v>479</v>
      </c>
      <c r="D19" s="627">
        <v>0</v>
      </c>
      <c r="E19" s="336">
        <f>$E$18</f>
        <v>1</v>
      </c>
      <c r="F19" s="627">
        <f>D19*E19</f>
        <v>0</v>
      </c>
      <c r="G19" s="103"/>
      <c r="H19" s="627">
        <v>0</v>
      </c>
      <c r="I19" s="1103">
        <v>1</v>
      </c>
      <c r="J19" s="627">
        <v>0</v>
      </c>
    </row>
    <row r="20" spans="1:14">
      <c r="A20" s="583">
        <v>6</v>
      </c>
      <c r="B20" s="121">
        <v>909</v>
      </c>
      <c r="C20" s="1102" t="s">
        <v>978</v>
      </c>
      <c r="D20" s="627">
        <f>'C.2.2 B 09'!P95</f>
        <v>113640.03</v>
      </c>
      <c r="E20" s="336">
        <f>$E$18</f>
        <v>1</v>
      </c>
      <c r="F20" s="627">
        <f>D20*E20</f>
        <v>113640.03</v>
      </c>
      <c r="G20" s="103"/>
      <c r="H20" s="627">
        <v>128271.64717990512</v>
      </c>
      <c r="I20" s="1103">
        <v>1</v>
      </c>
      <c r="J20" s="627">
        <v>128271.64717990512</v>
      </c>
    </row>
    <row r="21" spans="1:14">
      <c r="A21" s="583">
        <v>7</v>
      </c>
      <c r="B21" s="1104">
        <v>910</v>
      </c>
      <c r="C21" s="1102" t="s">
        <v>979</v>
      </c>
      <c r="D21" s="628">
        <v>0</v>
      </c>
      <c r="E21" s="336">
        <f>$E$18</f>
        <v>1</v>
      </c>
      <c r="F21" s="628">
        <f>D21*E21</f>
        <v>0</v>
      </c>
      <c r="G21" s="103"/>
      <c r="H21" s="628">
        <v>0</v>
      </c>
      <c r="I21" s="1103">
        <v>1</v>
      </c>
      <c r="J21" s="628">
        <v>0</v>
      </c>
    </row>
    <row r="22" spans="1:14">
      <c r="A22" s="583">
        <v>8</v>
      </c>
      <c r="B22" s="955"/>
      <c r="C22" s="1105" t="s">
        <v>96</v>
      </c>
      <c r="D22" s="360">
        <f>SUM(D18:D21)</f>
        <v>113640.03</v>
      </c>
      <c r="E22" s="1101"/>
      <c r="F22" s="360">
        <f>SUM(F18:F21)</f>
        <v>113640.03</v>
      </c>
      <c r="G22" s="103"/>
      <c r="H22" s="360">
        <v>128271.64717990512</v>
      </c>
      <c r="I22" s="1101"/>
      <c r="J22" s="360">
        <v>128271.64717990512</v>
      </c>
    </row>
    <row r="23" spans="1:14">
      <c r="A23" s="583">
        <v>9</v>
      </c>
      <c r="B23" s="955"/>
      <c r="C23" s="1105"/>
      <c r="D23" s="616"/>
      <c r="E23" s="1101"/>
      <c r="F23" s="616"/>
      <c r="G23" s="103"/>
      <c r="H23" s="616"/>
      <c r="I23" s="1101"/>
      <c r="J23" s="616"/>
    </row>
    <row r="24" spans="1:14" ht="15.75">
      <c r="A24" s="583">
        <v>10</v>
      </c>
      <c r="B24" s="955"/>
      <c r="C24" s="930" t="s">
        <v>78</v>
      </c>
      <c r="D24" s="616"/>
      <c r="E24" s="1101"/>
      <c r="F24" s="616"/>
      <c r="G24" s="103"/>
      <c r="H24" s="616"/>
      <c r="I24" s="1101"/>
      <c r="J24" s="616"/>
    </row>
    <row r="25" spans="1:14">
      <c r="A25" s="583">
        <v>11</v>
      </c>
      <c r="B25" s="121">
        <v>907</v>
      </c>
      <c r="C25" s="1102" t="s">
        <v>977</v>
      </c>
      <c r="D25" s="571">
        <v>0</v>
      </c>
      <c r="E25" s="1106">
        <f>Allocation!$I$17</f>
        <v>0.49780000000000002</v>
      </c>
      <c r="F25" s="360">
        <f>D25*E25</f>
        <v>0</v>
      </c>
      <c r="G25" s="103"/>
      <c r="H25" s="571">
        <v>0</v>
      </c>
      <c r="I25" s="1106">
        <v>0.49780000000000002</v>
      </c>
      <c r="J25" s="360">
        <v>0</v>
      </c>
    </row>
    <row r="26" spans="1:14">
      <c r="A26" s="583">
        <v>12</v>
      </c>
      <c r="B26" s="121">
        <v>908</v>
      </c>
      <c r="C26" s="1102" t="s">
        <v>479</v>
      </c>
      <c r="D26" s="627">
        <v>0</v>
      </c>
      <c r="E26" s="324">
        <f>$E$25</f>
        <v>0.49780000000000002</v>
      </c>
      <c r="F26" s="616">
        <f>D26*E26</f>
        <v>0</v>
      </c>
      <c r="H26" s="627">
        <v>0</v>
      </c>
      <c r="I26" s="1106">
        <v>0.49780000000000002</v>
      </c>
      <c r="J26" s="616">
        <v>0</v>
      </c>
      <c r="N26" s="884"/>
    </row>
    <row r="27" spans="1:14">
      <c r="A27" s="583">
        <v>13</v>
      </c>
      <c r="B27" s="121">
        <v>909</v>
      </c>
      <c r="C27" s="1102" t="s">
        <v>978</v>
      </c>
      <c r="D27" s="627">
        <v>0</v>
      </c>
      <c r="E27" s="324">
        <f>$E$25</f>
        <v>0.49780000000000002</v>
      </c>
      <c r="F27" s="616">
        <f>D27*E27</f>
        <v>0</v>
      </c>
      <c r="H27" s="627">
        <v>0</v>
      </c>
      <c r="I27" s="1106">
        <v>0.49780000000000002</v>
      </c>
      <c r="J27" s="616">
        <v>0</v>
      </c>
    </row>
    <row r="28" spans="1:14">
      <c r="A28" s="583">
        <v>14</v>
      </c>
      <c r="B28" s="1104">
        <v>910</v>
      </c>
      <c r="C28" s="1102" t="s">
        <v>979</v>
      </c>
      <c r="D28" s="628">
        <f>'C.2.2 B 91'!P39</f>
        <v>970.26</v>
      </c>
      <c r="E28" s="324">
        <f>$E$25</f>
        <v>0.49780000000000002</v>
      </c>
      <c r="F28" s="1045">
        <f>D28*E28</f>
        <v>482.995428</v>
      </c>
      <c r="H28" s="628">
        <v>1616.0048710250735</v>
      </c>
      <c r="I28" s="1106">
        <v>0.49780000000000002</v>
      </c>
      <c r="J28" s="1045">
        <v>804.4472247962816</v>
      </c>
    </row>
    <row r="29" spans="1:14">
      <c r="A29" s="583">
        <v>15</v>
      </c>
      <c r="B29" s="853"/>
      <c r="C29" s="1105" t="s">
        <v>96</v>
      </c>
      <c r="D29" s="360">
        <f>SUM(D25:D28)</f>
        <v>970.26</v>
      </c>
      <c r="E29" s="1101"/>
      <c r="F29" s="360">
        <f>SUM(F25:F28)</f>
        <v>482.995428</v>
      </c>
      <c r="G29" s="103"/>
      <c r="H29" s="360">
        <v>1616.0048710250735</v>
      </c>
      <c r="I29" s="1101"/>
      <c r="J29" s="360">
        <v>804.4472247962816</v>
      </c>
    </row>
    <row r="30" spans="1:14">
      <c r="A30" s="583">
        <v>16</v>
      </c>
      <c r="B30" s="853"/>
      <c r="C30" s="1105"/>
      <c r="D30" s="616"/>
      <c r="E30" s="1101"/>
      <c r="F30" s="616"/>
      <c r="G30" s="103"/>
      <c r="H30" s="616"/>
      <c r="I30" s="1101"/>
      <c r="J30" s="616"/>
    </row>
    <row r="31" spans="1:14" ht="15.75">
      <c r="A31" s="583">
        <v>17</v>
      </c>
      <c r="B31" s="955"/>
      <c r="C31" s="930" t="s">
        <v>76</v>
      </c>
      <c r="D31" s="616"/>
      <c r="F31" s="616"/>
      <c r="H31" s="616"/>
      <c r="I31" s="1106"/>
      <c r="J31" s="616"/>
    </row>
    <row r="32" spans="1:14">
      <c r="A32" s="583">
        <v>18</v>
      </c>
      <c r="B32" s="121">
        <v>907</v>
      </c>
      <c r="C32" s="1102" t="s">
        <v>977</v>
      </c>
      <c r="D32" s="571">
        <v>0</v>
      </c>
      <c r="E32" s="324">
        <f>Allocation!$I$14</f>
        <v>5.1771199999999996E-2</v>
      </c>
      <c r="F32" s="360">
        <f>D32*E32</f>
        <v>0</v>
      </c>
      <c r="H32" s="571">
        <v>0</v>
      </c>
      <c r="I32" s="324">
        <v>5.1771199999999996E-2</v>
      </c>
      <c r="J32" s="360">
        <v>0</v>
      </c>
    </row>
    <row r="33" spans="1:10">
      <c r="A33" s="583">
        <v>19</v>
      </c>
      <c r="B33" s="121">
        <v>908</v>
      </c>
      <c r="C33" s="1102" t="s">
        <v>479</v>
      </c>
      <c r="D33" s="627">
        <v>0</v>
      </c>
      <c r="E33" s="324">
        <f>$E$32</f>
        <v>5.1771199999999996E-2</v>
      </c>
      <c r="F33" s="616">
        <f>D33*E33</f>
        <v>0</v>
      </c>
      <c r="H33" s="627">
        <v>0</v>
      </c>
      <c r="I33" s="1106">
        <v>5.1771199999999996E-2</v>
      </c>
      <c r="J33" s="616">
        <v>0</v>
      </c>
    </row>
    <row r="34" spans="1:10">
      <c r="A34" s="583">
        <v>20</v>
      </c>
      <c r="B34" s="121">
        <v>909</v>
      </c>
      <c r="C34" s="1102" t="s">
        <v>978</v>
      </c>
      <c r="D34" s="627">
        <v>0</v>
      </c>
      <c r="E34" s="324">
        <f>$E$32</f>
        <v>5.1771199999999996E-2</v>
      </c>
      <c r="F34" s="616">
        <f>D34*E34</f>
        <v>0</v>
      </c>
      <c r="H34" s="627">
        <v>0</v>
      </c>
      <c r="I34" s="1106">
        <v>5.1771199999999996E-2</v>
      </c>
      <c r="J34" s="616">
        <v>0</v>
      </c>
    </row>
    <row r="35" spans="1:10">
      <c r="A35" s="583">
        <v>21</v>
      </c>
      <c r="B35" s="1104">
        <v>910</v>
      </c>
      <c r="C35" s="1102" t="s">
        <v>979</v>
      </c>
      <c r="D35" s="628">
        <f>'C.2.2 B 02'!P28</f>
        <v>5125.6099999999997</v>
      </c>
      <c r="E35" s="324">
        <f>$E$32</f>
        <v>5.1771199999999996E-2</v>
      </c>
      <c r="F35" s="1045">
        <f>D35*E35</f>
        <v>265.35898043199995</v>
      </c>
      <c r="G35" s="103"/>
      <c r="H35" s="628">
        <v>0</v>
      </c>
      <c r="I35" s="1106">
        <v>5.1771199999999996E-2</v>
      </c>
      <c r="J35" s="1045">
        <v>0</v>
      </c>
    </row>
    <row r="36" spans="1:10">
      <c r="A36" s="583">
        <v>22</v>
      </c>
      <c r="B36" s="121"/>
      <c r="C36" s="1105" t="s">
        <v>96</v>
      </c>
      <c r="D36" s="360">
        <f>SUM(D32:D35)</f>
        <v>5125.6099999999997</v>
      </c>
      <c r="E36" s="1101"/>
      <c r="F36" s="360">
        <f>SUM(F32:F35)</f>
        <v>265.35898043199995</v>
      </c>
      <c r="G36" s="103"/>
      <c r="H36" s="360">
        <v>0</v>
      </c>
      <c r="I36" s="1101"/>
      <c r="J36" s="360">
        <v>0</v>
      </c>
    </row>
    <row r="37" spans="1:10">
      <c r="A37" s="583">
        <v>23</v>
      </c>
      <c r="B37" s="121"/>
      <c r="C37" s="1105"/>
      <c r="D37" s="616"/>
      <c r="E37" s="1101"/>
      <c r="F37" s="616"/>
      <c r="G37" s="103"/>
      <c r="H37" s="616"/>
      <c r="I37" s="1101"/>
      <c r="J37" s="616"/>
    </row>
    <row r="38" spans="1:10" ht="15.75">
      <c r="A38" s="583">
        <v>24</v>
      </c>
      <c r="B38" s="955"/>
      <c r="C38" s="930" t="s">
        <v>77</v>
      </c>
      <c r="D38" s="616"/>
      <c r="E38" s="103"/>
      <c r="F38" s="616"/>
      <c r="G38" s="103"/>
      <c r="H38" s="616"/>
      <c r="I38" s="1106"/>
      <c r="J38" s="616"/>
    </row>
    <row r="39" spans="1:10">
      <c r="A39" s="583">
        <v>25</v>
      </c>
      <c r="B39" s="121">
        <v>907</v>
      </c>
      <c r="C39" s="1102" t="s">
        <v>977</v>
      </c>
      <c r="D39" s="571">
        <v>0</v>
      </c>
      <c r="E39" s="324">
        <f>Allocation!$I$15</f>
        <v>5.6412179785543033E-2</v>
      </c>
      <c r="F39" s="360">
        <f>D39*E39</f>
        <v>0</v>
      </c>
      <c r="G39" s="103"/>
      <c r="H39" s="571">
        <v>0</v>
      </c>
      <c r="I39" s="324">
        <v>5.6412179785543033E-2</v>
      </c>
      <c r="J39" s="360">
        <v>0</v>
      </c>
    </row>
    <row r="40" spans="1:10">
      <c r="A40" s="583">
        <v>26</v>
      </c>
      <c r="B40" s="121">
        <v>908</v>
      </c>
      <c r="C40" s="1102" t="s">
        <v>479</v>
      </c>
      <c r="D40" s="627">
        <v>0</v>
      </c>
      <c r="E40" s="324">
        <f>$E$39</f>
        <v>5.6412179785543033E-2</v>
      </c>
      <c r="F40" s="616">
        <f>D40*E40</f>
        <v>0</v>
      </c>
      <c r="G40" s="103"/>
      <c r="H40" s="627">
        <v>0</v>
      </c>
      <c r="I40" s="1106">
        <v>5.6412179785543033E-2</v>
      </c>
      <c r="J40" s="616">
        <v>0</v>
      </c>
    </row>
    <row r="41" spans="1:10">
      <c r="A41" s="583">
        <v>27</v>
      </c>
      <c r="B41" s="121">
        <v>909</v>
      </c>
      <c r="C41" s="1102" t="s">
        <v>978</v>
      </c>
      <c r="D41" s="627">
        <v>0</v>
      </c>
      <c r="E41" s="324">
        <f>$E$39</f>
        <v>5.6412179785543033E-2</v>
      </c>
      <c r="F41" s="616">
        <f>D41*E41</f>
        <v>0</v>
      </c>
      <c r="G41" s="103"/>
      <c r="H41" s="627">
        <v>0</v>
      </c>
      <c r="I41" s="1106">
        <v>5.6412179785543033E-2</v>
      </c>
      <c r="J41" s="616">
        <v>0</v>
      </c>
    </row>
    <row r="42" spans="1:10">
      <c r="A42" s="583">
        <v>28</v>
      </c>
      <c r="B42" s="1104">
        <v>910</v>
      </c>
      <c r="C42" s="1102" t="s">
        <v>979</v>
      </c>
      <c r="D42" s="627">
        <v>0</v>
      </c>
      <c r="E42" s="324">
        <f>$E$39</f>
        <v>5.6412179785543033E-2</v>
      </c>
      <c r="F42" s="1045">
        <f>D42*E42</f>
        <v>0</v>
      </c>
      <c r="G42" s="103"/>
      <c r="H42" s="627">
        <v>0</v>
      </c>
      <c r="I42" s="1106">
        <v>5.6412179785543033E-2</v>
      </c>
      <c r="J42" s="1045">
        <v>0</v>
      </c>
    </row>
    <row r="43" spans="1:10">
      <c r="A43" s="583">
        <v>29</v>
      </c>
      <c r="B43" s="121"/>
      <c r="C43" s="1105" t="s">
        <v>96</v>
      </c>
      <c r="D43" s="360">
        <f>SUM(D39:D42)</f>
        <v>0</v>
      </c>
      <c r="E43" s="1101"/>
      <c r="F43" s="360">
        <f>SUM(F39:F42)</f>
        <v>0</v>
      </c>
      <c r="G43" s="103"/>
      <c r="H43" s="360">
        <v>0</v>
      </c>
      <c r="I43" s="1101"/>
      <c r="J43" s="360">
        <v>0</v>
      </c>
    </row>
    <row r="44" spans="1:10">
      <c r="A44" s="583">
        <v>30</v>
      </c>
      <c r="B44" s="121"/>
      <c r="C44" s="1105"/>
      <c r="D44" s="616"/>
      <c r="E44" s="1101"/>
      <c r="F44" s="616"/>
      <c r="G44" s="103"/>
      <c r="H44" s="616"/>
      <c r="I44" s="1101"/>
      <c r="J44" s="616"/>
    </row>
    <row r="45" spans="1:10" ht="15.75">
      <c r="A45" s="583">
        <v>31</v>
      </c>
      <c r="B45" s="121"/>
      <c r="C45" s="1100" t="s">
        <v>494</v>
      </c>
      <c r="D45" s="616"/>
      <c r="E45" s="1101"/>
      <c r="F45" s="616"/>
      <c r="G45" s="103"/>
      <c r="H45" s="616"/>
      <c r="I45" s="1101"/>
      <c r="J45" s="616"/>
    </row>
    <row r="46" spans="1:10">
      <c r="A46" s="583">
        <v>32</v>
      </c>
      <c r="B46" s="955"/>
      <c r="D46" s="616"/>
      <c r="E46" s="103"/>
      <c r="F46" s="616" t="s">
        <v>323</v>
      </c>
      <c r="G46" s="103"/>
      <c r="H46" s="616"/>
      <c r="I46" s="103"/>
      <c r="J46" s="616" t="s">
        <v>323</v>
      </c>
    </row>
    <row r="47" spans="1:10" ht="15.75">
      <c r="A47" s="583">
        <v>33</v>
      </c>
      <c r="B47" s="955"/>
      <c r="C47" s="930" t="s">
        <v>193</v>
      </c>
      <c r="D47" s="616"/>
      <c r="E47" s="103"/>
      <c r="F47" s="616"/>
      <c r="G47" s="103"/>
      <c r="H47" s="616"/>
      <c r="I47" s="103"/>
      <c r="J47" s="616"/>
    </row>
    <row r="48" spans="1:10">
      <c r="A48" s="583">
        <v>34</v>
      </c>
      <c r="B48" s="121">
        <v>911</v>
      </c>
      <c r="C48" s="1102" t="s">
        <v>478</v>
      </c>
      <c r="D48" s="571">
        <f>'C.2.2 B 09'!P97</f>
        <v>263258.08</v>
      </c>
      <c r="E48" s="336">
        <f>E18</f>
        <v>1</v>
      </c>
      <c r="F48" s="571">
        <f>D48*E48</f>
        <v>263258.08</v>
      </c>
      <c r="G48" s="103"/>
      <c r="H48" s="571">
        <v>253467.52409467613</v>
      </c>
      <c r="I48" s="336">
        <v>1</v>
      </c>
      <c r="J48" s="571">
        <v>253467.52409467613</v>
      </c>
    </row>
    <row r="49" spans="1:10">
      <c r="A49" s="583">
        <v>35</v>
      </c>
      <c r="B49" s="121">
        <v>912</v>
      </c>
      <c r="C49" s="1102" t="s">
        <v>980</v>
      </c>
      <c r="D49" s="627">
        <f>'C.2.2 B 09'!P98</f>
        <v>123584.46</v>
      </c>
      <c r="E49" s="336">
        <f t="shared" ref="E49:E72" si="0">E19</f>
        <v>1</v>
      </c>
      <c r="F49" s="627">
        <f>D49*E49</f>
        <v>123584.46</v>
      </c>
      <c r="G49" s="103"/>
      <c r="H49" s="627">
        <v>115937.25847628263</v>
      </c>
      <c r="I49" s="336">
        <v>1</v>
      </c>
      <c r="J49" s="627">
        <v>115937.25847628263</v>
      </c>
    </row>
    <row r="50" spans="1:10">
      <c r="A50" s="583">
        <v>36</v>
      </c>
      <c r="B50" s="121">
        <v>913</v>
      </c>
      <c r="C50" s="1102" t="s">
        <v>954</v>
      </c>
      <c r="D50" s="627">
        <f>'C.2.2 B 09'!P99</f>
        <v>30070.690000000002</v>
      </c>
      <c r="E50" s="336">
        <f t="shared" si="0"/>
        <v>1</v>
      </c>
      <c r="F50" s="627">
        <f>D50*E50</f>
        <v>30070.690000000002</v>
      </c>
      <c r="G50" s="103"/>
      <c r="H50" s="627">
        <v>35170.346903187507</v>
      </c>
      <c r="I50" s="336">
        <v>1</v>
      </c>
      <c r="J50" s="627">
        <v>35170.346903187507</v>
      </c>
    </row>
    <row r="51" spans="1:10">
      <c r="A51" s="583">
        <v>37</v>
      </c>
      <c r="B51" s="1104">
        <v>916</v>
      </c>
      <c r="C51" s="1102" t="s">
        <v>955</v>
      </c>
      <c r="D51" s="628">
        <v>0</v>
      </c>
      <c r="E51" s="336">
        <f t="shared" si="0"/>
        <v>1</v>
      </c>
      <c r="F51" s="628">
        <f>D51*E51</f>
        <v>0</v>
      </c>
      <c r="G51" s="103"/>
      <c r="H51" s="628">
        <v>0</v>
      </c>
      <c r="I51" s="336">
        <v>1</v>
      </c>
      <c r="J51" s="628">
        <v>0</v>
      </c>
    </row>
    <row r="52" spans="1:10">
      <c r="A52" s="583">
        <v>38</v>
      </c>
      <c r="B52" s="955"/>
      <c r="C52" s="1107" t="s">
        <v>96</v>
      </c>
      <c r="D52" s="360">
        <f>SUM(D48:D51)</f>
        <v>416913.23000000004</v>
      </c>
      <c r="E52" s="336"/>
      <c r="F52" s="360">
        <f>SUM(F48:F51)</f>
        <v>416913.23000000004</v>
      </c>
      <c r="G52" s="103"/>
      <c r="H52" s="360">
        <v>404575.12947414629</v>
      </c>
      <c r="I52" s="336"/>
      <c r="J52" s="360">
        <v>404575.12947414629</v>
      </c>
    </row>
    <row r="53" spans="1:10">
      <c r="A53" s="583">
        <v>39</v>
      </c>
      <c r="B53" s="955"/>
      <c r="C53" s="103"/>
      <c r="D53" s="103"/>
      <c r="E53" s="336"/>
      <c r="F53" s="103"/>
      <c r="G53" s="103"/>
      <c r="H53" s="103"/>
      <c r="I53" s="336"/>
      <c r="J53" s="103"/>
    </row>
    <row r="54" spans="1:10" ht="15.75">
      <c r="A54" s="583">
        <v>40</v>
      </c>
      <c r="B54" s="955"/>
      <c r="C54" s="930" t="s">
        <v>78</v>
      </c>
      <c r="D54" s="103"/>
      <c r="E54" s="336"/>
      <c r="F54" s="103"/>
      <c r="G54" s="103"/>
      <c r="H54" s="103"/>
      <c r="I54" s="336"/>
      <c r="J54" s="103"/>
    </row>
    <row r="55" spans="1:10">
      <c r="A55" s="583">
        <v>41</v>
      </c>
      <c r="B55" s="121">
        <v>911</v>
      </c>
      <c r="C55" s="1102" t="s">
        <v>478</v>
      </c>
      <c r="D55" s="360">
        <f>'C.2.2 B 91'!P40</f>
        <v>162843.71</v>
      </c>
      <c r="E55" s="324">
        <f t="shared" si="0"/>
        <v>0.49780000000000002</v>
      </c>
      <c r="F55" s="360">
        <f>D55*E55</f>
        <v>81063.598838000005</v>
      </c>
      <c r="G55" s="103"/>
      <c r="H55" s="360">
        <v>210010.51048266279</v>
      </c>
      <c r="I55" s="324">
        <v>0.49780000000000002</v>
      </c>
      <c r="J55" s="360">
        <v>104543.23211826955</v>
      </c>
    </row>
    <row r="56" spans="1:10">
      <c r="A56" s="583">
        <v>42</v>
      </c>
      <c r="B56" s="121">
        <v>912</v>
      </c>
      <c r="C56" s="1102" t="s">
        <v>980</v>
      </c>
      <c r="D56" s="103">
        <f>'C.2.2 B 91'!P41</f>
        <v>2638.03</v>
      </c>
      <c r="E56" s="324">
        <f t="shared" si="0"/>
        <v>0.49780000000000002</v>
      </c>
      <c r="F56" s="103">
        <f>D56*E56</f>
        <v>1313.2113340000001</v>
      </c>
      <c r="G56" s="103"/>
      <c r="H56" s="103">
        <v>0</v>
      </c>
      <c r="I56" s="324">
        <v>0.49780000000000002</v>
      </c>
      <c r="J56" s="103">
        <v>0</v>
      </c>
    </row>
    <row r="57" spans="1:10">
      <c r="A57" s="583">
        <v>43</v>
      </c>
      <c r="B57" s="121">
        <v>913</v>
      </c>
      <c r="C57" s="1102" t="s">
        <v>954</v>
      </c>
      <c r="D57" s="103">
        <f>'C.2.2 B 91'!P42</f>
        <v>7274.67</v>
      </c>
      <c r="E57" s="324">
        <f t="shared" si="0"/>
        <v>0.49780000000000002</v>
      </c>
      <c r="F57" s="103">
        <f>D57*E57</f>
        <v>3621.3307260000001</v>
      </c>
      <c r="G57" s="103"/>
      <c r="H57" s="103">
        <v>1457.8606591001817</v>
      </c>
      <c r="I57" s="324">
        <v>0.49780000000000002</v>
      </c>
      <c r="J57" s="103">
        <v>725.72303610007043</v>
      </c>
    </row>
    <row r="58" spans="1:10">
      <c r="A58" s="583">
        <v>44</v>
      </c>
      <c r="B58" s="1104">
        <v>916</v>
      </c>
      <c r="C58" s="1102" t="s">
        <v>955</v>
      </c>
      <c r="D58" s="957">
        <v>0</v>
      </c>
      <c r="E58" s="324">
        <f t="shared" si="0"/>
        <v>0.49780000000000002</v>
      </c>
      <c r="F58" s="957">
        <f>D58*E58</f>
        <v>0</v>
      </c>
      <c r="G58" s="103"/>
      <c r="H58" s="957">
        <v>0</v>
      </c>
      <c r="I58" s="324">
        <v>0.49780000000000002</v>
      </c>
      <c r="J58" s="957">
        <v>0</v>
      </c>
    </row>
    <row r="59" spans="1:10">
      <c r="A59" s="583">
        <v>45</v>
      </c>
      <c r="B59" s="955"/>
      <c r="C59" s="1107" t="s">
        <v>96</v>
      </c>
      <c r="D59" s="360">
        <f>SUM(D55:D58)</f>
        <v>172756.41</v>
      </c>
      <c r="E59" s="336"/>
      <c r="F59" s="360">
        <f>SUM(F55:F58)</f>
        <v>85998.140898000012</v>
      </c>
      <c r="G59" s="103"/>
      <c r="H59" s="360">
        <v>211468.37114176297</v>
      </c>
      <c r="I59" s="324"/>
      <c r="J59" s="360">
        <v>105268.95515436961</v>
      </c>
    </row>
    <row r="60" spans="1:10">
      <c r="A60" s="583">
        <v>46</v>
      </c>
      <c r="B60" s="1108"/>
      <c r="C60" s="103"/>
      <c r="D60" s="103"/>
      <c r="E60" s="324"/>
      <c r="F60" s="103"/>
      <c r="G60" s="103"/>
      <c r="H60" s="103"/>
      <c r="I60" s="324"/>
      <c r="J60" s="103"/>
    </row>
    <row r="61" spans="1:10" ht="15.75">
      <c r="A61" s="583">
        <v>47</v>
      </c>
      <c r="B61" s="955"/>
      <c r="C61" s="930" t="s">
        <v>76</v>
      </c>
      <c r="D61" s="103"/>
      <c r="E61" s="324"/>
      <c r="F61" s="103"/>
      <c r="G61" s="103"/>
      <c r="H61" s="103"/>
      <c r="I61" s="324"/>
      <c r="J61" s="103"/>
    </row>
    <row r="62" spans="1:10">
      <c r="A62" s="583">
        <v>48</v>
      </c>
      <c r="B62" s="121">
        <v>911</v>
      </c>
      <c r="C62" s="1102" t="s">
        <v>478</v>
      </c>
      <c r="D62" s="360">
        <v>0</v>
      </c>
      <c r="E62" s="324">
        <f t="shared" si="0"/>
        <v>5.1771199999999996E-2</v>
      </c>
      <c r="F62" s="360">
        <f>D62*E62</f>
        <v>0</v>
      </c>
      <c r="G62" s="103"/>
      <c r="H62" s="360">
        <v>0</v>
      </c>
      <c r="I62" s="324">
        <v>5.1771199999999996E-2</v>
      </c>
      <c r="J62" s="360">
        <v>0</v>
      </c>
    </row>
    <row r="63" spans="1:10">
      <c r="A63" s="583">
        <v>49</v>
      </c>
      <c r="B63" s="121">
        <v>912</v>
      </c>
      <c r="C63" s="1102" t="s">
        <v>980</v>
      </c>
      <c r="D63" s="616">
        <f>'C.2.2 B 02'!P29</f>
        <v>9377.3000000000011</v>
      </c>
      <c r="E63" s="324">
        <f t="shared" si="0"/>
        <v>5.1771199999999996E-2</v>
      </c>
      <c r="F63" s="616">
        <f>D63*E63</f>
        <v>485.47407376000001</v>
      </c>
      <c r="G63" s="103"/>
      <c r="H63" s="616">
        <v>22686.298950468012</v>
      </c>
      <c r="I63" s="324">
        <v>5.1771199999999996E-2</v>
      </c>
      <c r="J63" s="616">
        <v>1174.4969202244695</v>
      </c>
    </row>
    <row r="64" spans="1:10">
      <c r="A64" s="583">
        <v>50</v>
      </c>
      <c r="B64" s="121">
        <v>913</v>
      </c>
      <c r="C64" s="1102" t="s">
        <v>954</v>
      </c>
      <c r="D64" s="616">
        <v>0</v>
      </c>
      <c r="E64" s="324">
        <f t="shared" si="0"/>
        <v>5.1771199999999996E-2</v>
      </c>
      <c r="F64" s="616">
        <f>D64*E64</f>
        <v>0</v>
      </c>
      <c r="G64" s="103"/>
      <c r="H64" s="616">
        <v>0</v>
      </c>
      <c r="I64" s="324">
        <v>5.1771199999999996E-2</v>
      </c>
      <c r="J64" s="616">
        <v>0</v>
      </c>
    </row>
    <row r="65" spans="1:10">
      <c r="A65" s="583">
        <v>51</v>
      </c>
      <c r="B65" s="1104">
        <v>916</v>
      </c>
      <c r="C65" s="1102" t="s">
        <v>955</v>
      </c>
      <c r="D65" s="1045">
        <v>0</v>
      </c>
      <c r="E65" s="324">
        <f t="shared" si="0"/>
        <v>5.1771199999999996E-2</v>
      </c>
      <c r="F65" s="1045">
        <f>D65*E65</f>
        <v>0</v>
      </c>
      <c r="G65" s="103"/>
      <c r="H65" s="1045">
        <v>0</v>
      </c>
      <c r="I65" s="324">
        <v>5.1771199999999996E-2</v>
      </c>
      <c r="J65" s="1045">
        <v>0</v>
      </c>
    </row>
    <row r="66" spans="1:10">
      <c r="A66" s="583">
        <v>52</v>
      </c>
      <c r="B66" s="955"/>
      <c r="C66" s="1107" t="s">
        <v>96</v>
      </c>
      <c r="D66" s="360">
        <f>SUM(D62:D65)</f>
        <v>9377.3000000000011</v>
      </c>
      <c r="E66" s="336"/>
      <c r="F66" s="360">
        <f>SUM(F62:F65)</f>
        <v>485.47407376000001</v>
      </c>
      <c r="G66" s="103"/>
      <c r="H66" s="360">
        <v>22686.298950468012</v>
      </c>
      <c r="I66" s="324"/>
      <c r="J66" s="360">
        <v>1174.4969202244695</v>
      </c>
    </row>
    <row r="67" spans="1:10">
      <c r="A67" s="583">
        <v>53</v>
      </c>
      <c r="B67" s="1108"/>
      <c r="C67" s="103"/>
      <c r="D67" s="103"/>
      <c r="E67" s="324"/>
      <c r="F67" s="103"/>
      <c r="G67" s="103"/>
      <c r="H67" s="103"/>
      <c r="I67" s="324"/>
      <c r="J67" s="103"/>
    </row>
    <row r="68" spans="1:10" ht="15.75">
      <c r="A68" s="583">
        <v>54</v>
      </c>
      <c r="B68" s="955"/>
      <c r="C68" s="930" t="s">
        <v>77</v>
      </c>
      <c r="D68" s="103"/>
      <c r="E68" s="324"/>
      <c r="F68" s="103"/>
      <c r="G68" s="103"/>
      <c r="H68" s="103"/>
      <c r="I68" s="324"/>
      <c r="J68" s="103"/>
    </row>
    <row r="69" spans="1:10">
      <c r="A69" s="583">
        <v>55</v>
      </c>
      <c r="B69" s="121">
        <v>911</v>
      </c>
      <c r="C69" s="1102" t="s">
        <v>478</v>
      </c>
      <c r="D69" s="360">
        <v>0</v>
      </c>
      <c r="E69" s="324">
        <f t="shared" si="0"/>
        <v>5.6412179785543033E-2</v>
      </c>
      <c r="F69" s="360">
        <f>D69*E69</f>
        <v>0</v>
      </c>
      <c r="G69" s="103"/>
      <c r="H69" s="360">
        <v>0</v>
      </c>
      <c r="I69" s="324">
        <v>5.6412179785543033E-2</v>
      </c>
      <c r="J69" s="360">
        <v>0</v>
      </c>
    </row>
    <row r="70" spans="1:10">
      <c r="A70" s="583">
        <v>56</v>
      </c>
      <c r="B70" s="121">
        <v>912</v>
      </c>
      <c r="C70" s="1102" t="s">
        <v>980</v>
      </c>
      <c r="D70" s="616">
        <v>0</v>
      </c>
      <c r="E70" s="324">
        <f t="shared" si="0"/>
        <v>5.6412179785543033E-2</v>
      </c>
      <c r="F70" s="616">
        <f>D70*E70</f>
        <v>0</v>
      </c>
      <c r="G70" s="103"/>
      <c r="H70" s="616">
        <v>0</v>
      </c>
      <c r="I70" s="324">
        <v>5.6412179785543033E-2</v>
      </c>
      <c r="J70" s="616">
        <v>0</v>
      </c>
    </row>
    <row r="71" spans="1:10">
      <c r="A71" s="583">
        <v>57</v>
      </c>
      <c r="B71" s="121">
        <v>913</v>
      </c>
      <c r="C71" s="1102" t="s">
        <v>954</v>
      </c>
      <c r="D71" s="616">
        <v>0</v>
      </c>
      <c r="E71" s="324">
        <f t="shared" si="0"/>
        <v>5.6412179785543033E-2</v>
      </c>
      <c r="F71" s="616">
        <f>D71*E71</f>
        <v>0</v>
      </c>
      <c r="G71" s="103"/>
      <c r="H71" s="616">
        <v>0</v>
      </c>
      <c r="I71" s="324">
        <v>5.6412179785543033E-2</v>
      </c>
      <c r="J71" s="616">
        <v>0</v>
      </c>
    </row>
    <row r="72" spans="1:10">
      <c r="A72" s="583">
        <v>58</v>
      </c>
      <c r="B72" s="1104">
        <v>916</v>
      </c>
      <c r="C72" s="1102" t="s">
        <v>955</v>
      </c>
      <c r="D72" s="1045">
        <v>0</v>
      </c>
      <c r="E72" s="324">
        <f t="shared" si="0"/>
        <v>5.6412179785543033E-2</v>
      </c>
      <c r="F72" s="1045">
        <f>D72*E72</f>
        <v>0</v>
      </c>
      <c r="G72" s="103"/>
      <c r="H72" s="1045">
        <v>0</v>
      </c>
      <c r="I72" s="324">
        <v>5.6412179785543033E-2</v>
      </c>
      <c r="J72" s="1045">
        <v>0</v>
      </c>
    </row>
    <row r="73" spans="1:10">
      <c r="A73" s="583">
        <v>59</v>
      </c>
      <c r="B73" s="103"/>
      <c r="C73" s="1107" t="s">
        <v>96</v>
      </c>
      <c r="D73" s="360">
        <f>SUM(D69:D72)</f>
        <v>0</v>
      </c>
      <c r="E73" s="336"/>
      <c r="F73" s="360">
        <f>SUM(F69:F72)</f>
        <v>0</v>
      </c>
      <c r="G73" s="103"/>
      <c r="H73" s="360">
        <v>0</v>
      </c>
      <c r="I73" s="336"/>
      <c r="J73" s="360">
        <v>0</v>
      </c>
    </row>
    <row r="76" spans="1:10">
      <c r="B76" s="631" t="s">
        <v>1085</v>
      </c>
    </row>
    <row r="77" spans="1:10">
      <c r="B77" s="631" t="s">
        <v>1227</v>
      </c>
    </row>
    <row r="79" spans="1:10">
      <c r="C79" s="670"/>
    </row>
  </sheetData>
  <mergeCells count="5">
    <mergeCell ref="A5:J5"/>
    <mergeCell ref="A1:J1"/>
    <mergeCell ref="A2:J2"/>
    <mergeCell ref="A3:J3"/>
    <mergeCell ref="A4:J4"/>
  </mergeCells>
  <phoneticPr fontId="23" type="noConversion"/>
  <pageMargins left="0.75" right="0.67" top="0.76" bottom="0.82" header="0.5" footer="0.33"/>
  <pageSetup scale="58" orientation="portrait" verticalDpi="300" r:id="rId1"/>
  <headerFooter alignWithMargins="0">
    <oddFooter>&amp;RSchedule &amp;A
Page &amp;P of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pageSetUpPr fitToPage="1"/>
  </sheetPr>
  <dimension ref="A1:L41"/>
  <sheetViews>
    <sheetView view="pageBreakPreview" zoomScale="90" zoomScaleNormal="90" zoomScaleSheetLayoutView="90" workbookViewId="0">
      <selection activeCell="J154" sqref="J154"/>
    </sheetView>
  </sheetViews>
  <sheetFormatPr defaultRowHeight="15"/>
  <cols>
    <col min="1" max="1" width="4.109375" style="80" customWidth="1"/>
    <col min="2" max="2" width="38.33203125" style="80" customWidth="1"/>
    <col min="3" max="6" width="11.6640625" style="80" customWidth="1"/>
    <col min="7" max="7" width="10.109375" style="80" customWidth="1"/>
    <col min="8" max="8" width="4.109375" style="80" customWidth="1"/>
    <col min="9" max="9" width="11.33203125" style="80" customWidth="1"/>
    <col min="10" max="10" width="10.77734375" style="80" customWidth="1"/>
    <col min="11" max="11" width="12.44140625" style="80" bestFit="1" customWidth="1"/>
    <col min="12" max="16384" width="8.88671875" style="80"/>
  </cols>
  <sheetData>
    <row r="1" spans="1:12" ht="15.75">
      <c r="A1" s="1211" t="str">
        <f>'Table of Contents'!A1:C1</f>
        <v>Atmos Energy Corporation, Kentucky/Mid-States Division</v>
      </c>
      <c r="B1" s="1211"/>
      <c r="C1" s="1211"/>
      <c r="D1" s="1211"/>
      <c r="E1" s="1211"/>
      <c r="F1" s="1211"/>
      <c r="G1" s="1211"/>
      <c r="H1" s="1211"/>
      <c r="I1" s="1211"/>
      <c r="J1" s="1211"/>
      <c r="K1" s="1211"/>
      <c r="L1" s="103"/>
    </row>
    <row r="2" spans="1:12" ht="15.75">
      <c r="A2" s="1211" t="str">
        <f>'Table of Contents'!A2:C2</f>
        <v>Kentucky Jurisdiction Case No. 2018-00281</v>
      </c>
      <c r="B2" s="1211"/>
      <c r="C2" s="1211"/>
      <c r="D2" s="1211"/>
      <c r="E2" s="1211"/>
      <c r="F2" s="1211"/>
      <c r="G2" s="1211"/>
      <c r="H2" s="1211"/>
      <c r="I2" s="1211"/>
      <c r="J2" s="1211"/>
      <c r="K2" s="1211"/>
      <c r="L2" s="103"/>
    </row>
    <row r="3" spans="1:12" ht="15.75">
      <c r="A3" s="1211" t="s">
        <v>1228</v>
      </c>
      <c r="B3" s="1211"/>
      <c r="C3" s="1211"/>
      <c r="D3" s="1211"/>
      <c r="E3" s="1211"/>
      <c r="F3" s="1211"/>
      <c r="G3" s="1211"/>
      <c r="H3" s="1211"/>
      <c r="I3" s="1211"/>
      <c r="J3" s="1211"/>
      <c r="K3" s="1211"/>
      <c r="L3" s="670"/>
    </row>
    <row r="4" spans="1:12" ht="15.75">
      <c r="A4" s="1211" t="str">
        <f>'Table of Contents'!A4:C4</f>
        <v>Forecasted Test Period: Twelve Months Ended March 31, 2020</v>
      </c>
      <c r="B4" s="1211"/>
      <c r="C4" s="1211"/>
      <c r="D4" s="1211"/>
      <c r="E4" s="1211"/>
      <c r="F4" s="1211"/>
      <c r="G4" s="1211"/>
      <c r="H4" s="1211"/>
      <c r="I4" s="1211"/>
      <c r="J4" s="1211"/>
      <c r="K4" s="1211"/>
      <c r="L4" s="670"/>
    </row>
    <row r="5" spans="1:12" ht="15.75">
      <c r="A5" s="1211"/>
      <c r="B5" s="1211"/>
      <c r="C5" s="1211"/>
      <c r="D5" s="1211"/>
      <c r="E5" s="1211"/>
      <c r="F5" s="1211"/>
      <c r="G5" s="1211"/>
      <c r="H5" s="1211"/>
      <c r="I5" s="1211"/>
      <c r="J5" s="1211"/>
      <c r="K5" s="1211"/>
      <c r="L5" s="103"/>
    </row>
    <row r="6" spans="1:12" ht="15.75">
      <c r="A6" s="920"/>
      <c r="B6" s="920"/>
      <c r="C6" s="103"/>
      <c r="D6" s="103"/>
      <c r="E6" s="901"/>
      <c r="F6" s="103"/>
      <c r="G6" s="103"/>
      <c r="H6" s="103"/>
      <c r="I6" s="103"/>
      <c r="J6" s="103"/>
      <c r="K6" s="103"/>
      <c r="L6" s="103"/>
    </row>
    <row r="7" spans="1:12" ht="15.75">
      <c r="A7" s="920"/>
      <c r="B7" s="920"/>
      <c r="C7" s="103"/>
      <c r="D7" s="103"/>
      <c r="E7" s="103"/>
      <c r="F7" s="103"/>
      <c r="G7" s="103"/>
      <c r="H7" s="103"/>
      <c r="I7" s="103"/>
      <c r="K7" s="103"/>
      <c r="L7" s="103"/>
    </row>
    <row r="8" spans="1:12">
      <c r="A8" s="694" t="s">
        <v>136</v>
      </c>
      <c r="B8" s="103"/>
      <c r="C8" s="103"/>
      <c r="D8" s="103"/>
      <c r="E8" s="103"/>
      <c r="F8" s="103"/>
      <c r="G8" s="103"/>
      <c r="H8" s="103"/>
      <c r="I8" s="103"/>
      <c r="K8" s="170" t="s">
        <v>1407</v>
      </c>
      <c r="L8" s="103"/>
    </row>
    <row r="9" spans="1:12">
      <c r="A9" s="694" t="s">
        <v>1122</v>
      </c>
      <c r="B9" s="103"/>
      <c r="C9" s="103"/>
      <c r="D9" s="103"/>
      <c r="E9" s="103"/>
      <c r="F9" s="103"/>
      <c r="G9" s="103"/>
      <c r="H9" s="103"/>
      <c r="I9" s="103"/>
      <c r="K9" s="921" t="s">
        <v>1295</v>
      </c>
      <c r="L9" s="103"/>
    </row>
    <row r="10" spans="1:12">
      <c r="A10" s="694" t="s">
        <v>426</v>
      </c>
      <c r="B10" s="103"/>
      <c r="C10" s="103"/>
      <c r="D10" s="103"/>
      <c r="E10" s="103"/>
      <c r="F10" s="103"/>
      <c r="G10" s="103"/>
      <c r="H10" s="103"/>
      <c r="I10" s="103"/>
      <c r="J10" s="806"/>
      <c r="K10" s="923" t="str">
        <f>F.1!$F$9</f>
        <v>Witness: Waller</v>
      </c>
      <c r="L10" s="103"/>
    </row>
    <row r="11" spans="1:12" ht="15.75">
      <c r="A11" s="924"/>
      <c r="B11" s="924"/>
      <c r="C11" s="1212" t="s">
        <v>324</v>
      </c>
      <c r="D11" s="1213"/>
      <c r="E11" s="1213"/>
      <c r="F11" s="1213"/>
      <c r="G11" s="1214"/>
      <c r="H11" s="924"/>
      <c r="I11" s="925"/>
      <c r="J11" s="926" t="s">
        <v>325</v>
      </c>
      <c r="K11" s="927"/>
      <c r="L11" s="103"/>
    </row>
    <row r="12" spans="1:12" ht="15.75">
      <c r="A12" s="801"/>
      <c r="B12" s="801"/>
      <c r="C12" s="428" t="s">
        <v>21</v>
      </c>
      <c r="D12" s="428" t="s">
        <v>1175</v>
      </c>
      <c r="E12" s="801"/>
      <c r="F12" s="1109"/>
      <c r="G12" s="801"/>
      <c r="H12" s="801"/>
      <c r="I12" s="428" t="s">
        <v>21</v>
      </c>
      <c r="J12" s="1109"/>
      <c r="K12" s="801"/>
      <c r="L12" s="103"/>
    </row>
    <row r="13" spans="1:12">
      <c r="A13" s="121" t="s">
        <v>93</v>
      </c>
      <c r="B13" s="121" t="s">
        <v>571</v>
      </c>
      <c r="C13" s="121" t="s">
        <v>607</v>
      </c>
      <c r="D13" s="121" t="s">
        <v>1176</v>
      </c>
      <c r="E13" s="121" t="s">
        <v>96</v>
      </c>
      <c r="F13" s="853" t="s">
        <v>11</v>
      </c>
      <c r="G13" s="955" t="s">
        <v>12</v>
      </c>
      <c r="H13" s="955"/>
      <c r="I13" s="121" t="s">
        <v>607</v>
      </c>
      <c r="J13" s="955" t="str">
        <f>F13</f>
        <v xml:space="preserve">Kentucky </v>
      </c>
      <c r="K13" s="955" t="s">
        <v>981</v>
      </c>
      <c r="L13" s="103"/>
    </row>
    <row r="14" spans="1:12">
      <c r="A14" s="648" t="s">
        <v>99</v>
      </c>
      <c r="B14" s="648" t="s">
        <v>1081</v>
      </c>
      <c r="C14" s="433" t="s">
        <v>954</v>
      </c>
      <c r="D14" s="433" t="s">
        <v>954</v>
      </c>
      <c r="E14" s="648" t="s">
        <v>593</v>
      </c>
      <c r="F14" s="928" t="s">
        <v>97</v>
      </c>
      <c r="G14" s="648" t="s">
        <v>104</v>
      </c>
      <c r="H14" s="648"/>
      <c r="I14" s="433" t="s">
        <v>954</v>
      </c>
      <c r="J14" s="648" t="str">
        <f>F14</f>
        <v>Jurisdictional</v>
      </c>
      <c r="K14" s="648" t="s">
        <v>104</v>
      </c>
      <c r="L14" s="103"/>
    </row>
    <row r="15" spans="1:12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1:12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807"/>
    </row>
    <row r="17" spans="1:12" ht="15.75">
      <c r="A17" s="583">
        <v>1</v>
      </c>
      <c r="B17" s="1110" t="s">
        <v>193</v>
      </c>
      <c r="C17" s="376"/>
      <c r="D17" s="376"/>
      <c r="E17" s="376"/>
      <c r="F17" s="74"/>
      <c r="G17" s="380"/>
      <c r="H17" s="74"/>
      <c r="I17" s="376"/>
      <c r="J17" s="74"/>
      <c r="K17" s="380"/>
      <c r="L17" s="1067"/>
    </row>
    <row r="18" spans="1:12">
      <c r="A18" s="583">
        <v>2</v>
      </c>
      <c r="B18" s="417" t="s">
        <v>801</v>
      </c>
      <c r="C18" s="328">
        <v>166096.66</v>
      </c>
      <c r="D18" s="328">
        <v>5132.99</v>
      </c>
      <c r="E18" s="328">
        <f>SUM(C18:D18)</f>
        <v>171229.65</v>
      </c>
      <c r="F18" s="421">
        <v>1</v>
      </c>
      <c r="G18" s="328">
        <f>E18*F18</f>
        <v>171229.65</v>
      </c>
      <c r="H18" s="74"/>
      <c r="I18" s="328">
        <v>184692.89006689138</v>
      </c>
      <c r="J18" s="421">
        <v>1</v>
      </c>
      <c r="K18" s="328">
        <v>184692.89006689138</v>
      </c>
      <c r="L18" s="1067"/>
    </row>
    <row r="19" spans="1:12">
      <c r="A19" s="583">
        <v>3</v>
      </c>
      <c r="C19" s="376"/>
      <c r="D19" s="376"/>
      <c r="E19" s="376"/>
      <c r="F19" s="74"/>
      <c r="G19" s="380"/>
      <c r="H19" s="74"/>
      <c r="I19" s="376"/>
      <c r="J19" s="74"/>
      <c r="K19" s="380"/>
      <c r="L19" s="807"/>
    </row>
    <row r="20" spans="1:12" ht="15.75">
      <c r="A20" s="583">
        <v>4</v>
      </c>
      <c r="B20" s="1110" t="s">
        <v>78</v>
      </c>
      <c r="C20" s="380"/>
      <c r="D20" s="380"/>
      <c r="E20" s="380"/>
      <c r="F20" s="74"/>
      <c r="G20" s="380"/>
      <c r="H20" s="74"/>
      <c r="I20" s="380"/>
      <c r="J20" s="74"/>
      <c r="K20" s="380"/>
      <c r="L20" s="1067"/>
    </row>
    <row r="21" spans="1:12">
      <c r="A21" s="583">
        <v>5</v>
      </c>
      <c r="B21" s="417" t="s">
        <v>801</v>
      </c>
      <c r="C21" s="380">
        <v>19012.550000000003</v>
      </c>
      <c r="D21" s="380">
        <v>266020.77</v>
      </c>
      <c r="E21" s="380">
        <f>SUM(C21:D21)</f>
        <v>285033.32</v>
      </c>
      <c r="F21" s="466">
        <f>Allocation!$I$17</f>
        <v>0.49780000000000002</v>
      </c>
      <c r="G21" s="380">
        <f>E21*F21</f>
        <v>141889.58669600001</v>
      </c>
      <c r="H21" s="74"/>
      <c r="I21" s="380">
        <v>1363.2409973177885</v>
      </c>
      <c r="J21" s="466">
        <v>0.49780000000000002</v>
      </c>
      <c r="K21" s="380">
        <v>678.62136846479518</v>
      </c>
      <c r="L21" s="1067"/>
    </row>
    <row r="22" spans="1:12">
      <c r="A22" s="583">
        <v>6</v>
      </c>
      <c r="B22" s="1067"/>
      <c r="C22" s="616"/>
      <c r="D22" s="616"/>
      <c r="E22" s="616"/>
      <c r="F22" s="103"/>
      <c r="G22" s="616"/>
      <c r="H22" s="103"/>
      <c r="I22" s="616"/>
      <c r="J22" s="103"/>
      <c r="K22" s="103"/>
      <c r="L22" s="1067"/>
    </row>
    <row r="23" spans="1:12" ht="15.75">
      <c r="A23" s="583">
        <v>7</v>
      </c>
      <c r="B23" s="1110" t="s">
        <v>76</v>
      </c>
      <c r="C23" s="616"/>
      <c r="D23" s="616"/>
      <c r="E23" s="616"/>
      <c r="F23" s="103"/>
      <c r="G23" s="616"/>
      <c r="H23" s="103"/>
      <c r="I23" s="616"/>
      <c r="J23" s="103"/>
      <c r="K23" s="103"/>
      <c r="L23" s="1111"/>
    </row>
    <row r="24" spans="1:12">
      <c r="A24" s="583">
        <v>8</v>
      </c>
      <c r="B24" s="417" t="s">
        <v>801</v>
      </c>
      <c r="C24" s="380">
        <v>241302.83000000002</v>
      </c>
      <c r="D24" s="380">
        <v>28874.030000000002</v>
      </c>
      <c r="E24" s="380">
        <f>SUM(C24:D24)</f>
        <v>270176.86000000004</v>
      </c>
      <c r="F24" s="466">
        <f>Allocation!$I$14</f>
        <v>5.1771199999999996E-2</v>
      </c>
      <c r="G24" s="380">
        <f>E24*F24</f>
        <v>13987.380254432001</v>
      </c>
      <c r="H24" s="103"/>
      <c r="I24" s="380">
        <v>209133.11833171119</v>
      </c>
      <c r="J24" s="466">
        <v>5.1771199999999996E-2</v>
      </c>
      <c r="K24" s="380">
        <v>10827.072495774686</v>
      </c>
      <c r="L24" s="1112"/>
    </row>
    <row r="25" spans="1:12">
      <c r="A25" s="583">
        <v>9</v>
      </c>
      <c r="B25" s="1111"/>
      <c r="C25" s="616"/>
      <c r="D25" s="616"/>
      <c r="E25" s="616"/>
      <c r="F25" s="103"/>
      <c r="G25" s="616"/>
      <c r="H25" s="103"/>
      <c r="I25" s="616"/>
      <c r="J25" s="103"/>
      <c r="K25" s="103"/>
      <c r="L25" s="103"/>
    </row>
    <row r="26" spans="1:12" ht="15.75">
      <c r="A26" s="583">
        <v>10</v>
      </c>
      <c r="B26" s="1110" t="s">
        <v>77</v>
      </c>
      <c r="C26" s="616"/>
      <c r="D26" s="616"/>
      <c r="E26" s="616"/>
      <c r="F26" s="103"/>
      <c r="G26" s="616"/>
      <c r="H26" s="103"/>
      <c r="I26" s="616"/>
      <c r="J26" s="103"/>
      <c r="K26" s="103"/>
      <c r="L26" s="103"/>
    </row>
    <row r="27" spans="1:12">
      <c r="A27" s="583">
        <v>11</v>
      </c>
      <c r="B27" s="417" t="s">
        <v>801</v>
      </c>
      <c r="C27" s="380">
        <v>12802.96</v>
      </c>
      <c r="D27" s="380">
        <v>0</v>
      </c>
      <c r="E27" s="380">
        <f>SUM(C27:D27)</f>
        <v>12802.96</v>
      </c>
      <c r="F27" s="466">
        <f>Allocation!$I$15</f>
        <v>5.6412179785543033E-2</v>
      </c>
      <c r="G27" s="380">
        <f>E27*F27</f>
        <v>722.24288130711602</v>
      </c>
      <c r="H27" s="103"/>
      <c r="I27" s="380">
        <v>1752.1399999999999</v>
      </c>
      <c r="J27" s="466">
        <v>5.6412179785543033E-2</v>
      </c>
      <c r="K27" s="380">
        <v>98.842036689441358</v>
      </c>
      <c r="L27" s="103"/>
    </row>
    <row r="28" spans="1:12">
      <c r="A28" s="583">
        <v>12</v>
      </c>
      <c r="G28" s="616"/>
    </row>
    <row r="29" spans="1:12" ht="16.5" thickBot="1">
      <c r="A29" s="583">
        <v>13</v>
      </c>
      <c r="B29" s="420" t="s">
        <v>934</v>
      </c>
      <c r="C29" s="329">
        <f>SUM(C18:C27)</f>
        <v>439215.00000000006</v>
      </c>
      <c r="D29" s="329">
        <f>SUM(D18:D27)</f>
        <v>300027.79000000004</v>
      </c>
      <c r="E29" s="329">
        <f>SUM(E18:E27)</f>
        <v>739242.79</v>
      </c>
      <c r="G29" s="329">
        <f>SUM(G18:G27)</f>
        <v>327828.85983173904</v>
      </c>
      <c r="I29" s="329">
        <v>396941.38939592039</v>
      </c>
      <c r="K29" s="329">
        <v>196297.42596782028</v>
      </c>
    </row>
    <row r="30" spans="1:12" ht="15.75" thickTop="1"/>
    <row r="32" spans="1:12">
      <c r="B32" s="1113"/>
    </row>
    <row r="33" spans="2:2">
      <c r="B33" s="1113"/>
    </row>
    <row r="34" spans="2:2">
      <c r="B34" s="80" t="s">
        <v>518</v>
      </c>
    </row>
    <row r="35" spans="2:2">
      <c r="B35" s="80" t="s">
        <v>1652</v>
      </c>
    </row>
    <row r="36" spans="2:2">
      <c r="B36" s="80" t="s">
        <v>1620</v>
      </c>
    </row>
    <row r="39" spans="2:2">
      <c r="B39" s="670"/>
    </row>
    <row r="40" spans="2:2">
      <c r="B40" s="670"/>
    </row>
    <row r="41" spans="2:2">
      <c r="B41" s="670"/>
    </row>
  </sheetData>
  <mergeCells count="6">
    <mergeCell ref="C11:G11"/>
    <mergeCell ref="A5:K5"/>
    <mergeCell ref="A1:K1"/>
    <mergeCell ref="A2:K2"/>
    <mergeCell ref="A3:K3"/>
    <mergeCell ref="A4:K4"/>
  </mergeCells>
  <phoneticPr fontId="23" type="noConversion"/>
  <printOptions horizontalCentered="1"/>
  <pageMargins left="0.83" right="0.73" top="0.81" bottom="0.5" header="0.5" footer="0.5"/>
  <pageSetup scale="73" orientation="landscape" verticalDpi="300" r:id="rId1"/>
  <headerFooter alignWithMargins="0">
    <oddFooter>&amp;RSchedule &amp;A
Page &amp;P of &amp;N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L43"/>
  <sheetViews>
    <sheetView view="pageBreakPreview" zoomScale="70" zoomScaleNormal="90" zoomScaleSheetLayoutView="70" workbookViewId="0">
      <selection activeCell="J154" sqref="J154"/>
    </sheetView>
  </sheetViews>
  <sheetFormatPr defaultRowHeight="15"/>
  <cols>
    <col min="1" max="1" width="5.88671875" style="80" customWidth="1"/>
    <col min="2" max="2" width="34.6640625" style="80" customWidth="1"/>
    <col min="3" max="3" width="13.5546875" style="80" bestFit="1" customWidth="1"/>
    <col min="4" max="4" width="11.109375" style="80" customWidth="1"/>
    <col min="5" max="5" width="10.88671875" style="80" customWidth="1"/>
    <col min="6" max="6" width="4.21875" style="80" customWidth="1"/>
    <col min="7" max="7" width="12" style="80" bestFit="1" customWidth="1"/>
    <col min="8" max="8" width="12" style="80" customWidth="1"/>
    <col min="9" max="9" width="9.88671875" style="80" customWidth="1"/>
    <col min="10" max="16384" width="8.88671875" style="80"/>
  </cols>
  <sheetData>
    <row r="1" spans="1:12" ht="15.75">
      <c r="A1" s="1191" t="str">
        <f>'Table of Contents'!A1:C1</f>
        <v>Atmos Energy Corporation, Kentucky/Mid-States Division</v>
      </c>
      <c r="B1" s="1191"/>
      <c r="C1" s="1191"/>
      <c r="D1" s="1191"/>
      <c r="E1" s="1191"/>
      <c r="F1" s="1191"/>
      <c r="G1" s="1191"/>
      <c r="H1" s="1191"/>
      <c r="I1" s="1191"/>
    </row>
    <row r="2" spans="1:12" ht="15.75">
      <c r="A2" s="1191" t="str">
        <f>'Table of Contents'!A2:C2</f>
        <v>Kentucky Jurisdiction Case No. 2018-00281</v>
      </c>
      <c r="B2" s="1191" t="s">
        <v>323</v>
      </c>
      <c r="C2" s="1191"/>
      <c r="D2" s="1191"/>
      <c r="E2" s="1191"/>
      <c r="F2" s="1191"/>
      <c r="G2" s="1191"/>
      <c r="H2" s="1191"/>
      <c r="I2" s="1191"/>
      <c r="J2" s="103"/>
    </row>
    <row r="3" spans="1:12" ht="15.75">
      <c r="A3" s="1191" t="s">
        <v>420</v>
      </c>
      <c r="B3" s="1191"/>
      <c r="C3" s="1191"/>
      <c r="D3" s="1191"/>
      <c r="E3" s="1191"/>
      <c r="F3" s="1191"/>
      <c r="G3" s="1191"/>
      <c r="H3" s="1191"/>
      <c r="I3" s="1191"/>
      <c r="J3" s="103"/>
    </row>
    <row r="4" spans="1:12" ht="15.75">
      <c r="A4" s="1191" t="str">
        <f>'Table of Contents'!A3:C3</f>
        <v>Base Period: Twelve Months Ended December 31, 2018</v>
      </c>
      <c r="B4" s="1191"/>
      <c r="C4" s="1191"/>
      <c r="D4" s="1191"/>
      <c r="E4" s="1191"/>
      <c r="F4" s="1191"/>
      <c r="G4" s="1191"/>
      <c r="H4" s="1191"/>
      <c r="I4" s="1191"/>
      <c r="J4" s="103"/>
    </row>
    <row r="5" spans="1:12" ht="15.75">
      <c r="A5" s="1191" t="str">
        <f>'Table of Contents'!A4:C4</f>
        <v>Forecasted Test Period: Twelve Months Ended March 31, 2020</v>
      </c>
      <c r="B5" s="1191"/>
      <c r="C5" s="1191"/>
      <c r="D5" s="1191"/>
      <c r="E5" s="1191"/>
      <c r="F5" s="1191"/>
      <c r="G5" s="1191"/>
      <c r="H5" s="1191"/>
      <c r="I5" s="1191"/>
      <c r="J5" s="103"/>
    </row>
    <row r="6" spans="1:12" ht="15.75">
      <c r="A6" s="103"/>
      <c r="B6" s="920"/>
      <c r="C6" s="920"/>
      <c r="D6" s="103"/>
      <c r="E6" s="103"/>
      <c r="F6" s="103"/>
      <c r="G6" s="103"/>
      <c r="H6" s="103"/>
      <c r="I6" s="103"/>
      <c r="J6" s="103"/>
    </row>
    <row r="7" spans="1:12" ht="15.75">
      <c r="A7" s="694" t="s">
        <v>136</v>
      </c>
      <c r="B7" s="103"/>
      <c r="C7" s="920"/>
      <c r="D7" s="103"/>
      <c r="E7" s="103"/>
      <c r="F7" s="103"/>
      <c r="G7" s="103"/>
      <c r="I7" s="170" t="s">
        <v>1407</v>
      </c>
      <c r="J7" s="103"/>
    </row>
    <row r="8" spans="1:12" ht="15.75">
      <c r="A8" s="694" t="s">
        <v>1123</v>
      </c>
      <c r="B8" s="103"/>
      <c r="C8" s="920"/>
      <c r="D8" s="103"/>
      <c r="E8" s="103"/>
      <c r="F8" s="103"/>
      <c r="G8" s="103"/>
      <c r="I8" s="921" t="s">
        <v>572</v>
      </c>
      <c r="J8" s="103"/>
    </row>
    <row r="9" spans="1:12" ht="15.75">
      <c r="A9" s="694" t="s">
        <v>365</v>
      </c>
      <c r="B9" s="103"/>
      <c r="C9" s="920"/>
      <c r="D9" s="103"/>
      <c r="E9" s="103"/>
      <c r="F9" s="103"/>
      <c r="G9" s="103"/>
      <c r="I9" s="923" t="str">
        <f>F.1!$F$9</f>
        <v>Witness: Waller</v>
      </c>
      <c r="J9" s="103"/>
    </row>
    <row r="10" spans="1:12" ht="15.75">
      <c r="A10" s="924"/>
      <c r="B10" s="924"/>
      <c r="C10" s="925"/>
      <c r="D10" s="926" t="s">
        <v>324</v>
      </c>
      <c r="E10" s="927"/>
      <c r="F10" s="924"/>
      <c r="G10" s="925"/>
      <c r="H10" s="926" t="s">
        <v>325</v>
      </c>
      <c r="I10" s="927"/>
      <c r="J10" s="103"/>
    </row>
    <row r="11" spans="1:12">
      <c r="A11" s="121" t="s">
        <v>93</v>
      </c>
      <c r="B11" s="103"/>
      <c r="C11" s="121" t="s">
        <v>96</v>
      </c>
      <c r="D11" s="853" t="s">
        <v>11</v>
      </c>
      <c r="E11" s="955" t="s">
        <v>12</v>
      </c>
      <c r="F11" s="103"/>
      <c r="G11" s="121" t="s">
        <v>96</v>
      </c>
      <c r="H11" s="955" t="str">
        <f>D11</f>
        <v xml:space="preserve">Kentucky </v>
      </c>
      <c r="I11" s="955" t="s">
        <v>981</v>
      </c>
      <c r="J11" s="103"/>
    </row>
    <row r="12" spans="1:12">
      <c r="A12" s="648" t="s">
        <v>99</v>
      </c>
      <c r="B12" s="648" t="s">
        <v>985</v>
      </c>
      <c r="C12" s="648" t="s">
        <v>593</v>
      </c>
      <c r="D12" s="928" t="s">
        <v>97</v>
      </c>
      <c r="E12" s="648" t="s">
        <v>104</v>
      </c>
      <c r="F12" s="929"/>
      <c r="G12" s="648" t="s">
        <v>593</v>
      </c>
      <c r="H12" s="648" t="str">
        <f>D12</f>
        <v>Jurisdictional</v>
      </c>
      <c r="I12" s="648" t="s">
        <v>104</v>
      </c>
      <c r="J12" s="103"/>
    </row>
    <row r="13" spans="1:12">
      <c r="A13" s="103"/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2" ht="15.75">
      <c r="A14" s="955"/>
      <c r="B14" s="969" t="s">
        <v>1235</v>
      </c>
      <c r="C14" s="901"/>
      <c r="D14" s="103"/>
      <c r="E14" s="103"/>
      <c r="F14" s="103"/>
      <c r="G14" s="103"/>
      <c r="H14" s="103"/>
      <c r="I14" s="103"/>
      <c r="J14" s="103"/>
    </row>
    <row r="15" spans="1:12" ht="15.75">
      <c r="A15" s="121">
        <v>1</v>
      </c>
      <c r="B15" s="583"/>
      <c r="C15" s="1114"/>
      <c r="D15" s="583"/>
      <c r="E15" s="583"/>
      <c r="F15" s="583"/>
      <c r="G15" s="103"/>
      <c r="H15" s="953"/>
      <c r="I15" s="583"/>
      <c r="J15" s="103"/>
    </row>
    <row r="16" spans="1:12">
      <c r="A16" s="955">
        <f>A15+1</f>
        <v>2</v>
      </c>
      <c r="B16" s="807" t="s">
        <v>193</v>
      </c>
      <c r="D16" s="935"/>
      <c r="F16" s="400"/>
      <c r="G16" s="428"/>
      <c r="H16" s="400"/>
      <c r="I16" s="400"/>
      <c r="L16" s="670"/>
    </row>
    <row r="17" spans="1:10">
      <c r="A17" s="955">
        <f t="shared" ref="A17:A34" si="0">A16+1</f>
        <v>3</v>
      </c>
      <c r="B17" s="1067" t="s">
        <v>982</v>
      </c>
      <c r="C17" s="1115">
        <v>67056.709999999992</v>
      </c>
      <c r="D17" s="935">
        <v>1</v>
      </c>
      <c r="E17" s="1115">
        <f>C17*D17</f>
        <v>67056.709999999992</v>
      </c>
      <c r="F17" s="400"/>
      <c r="G17" s="1115">
        <v>-21192.266564911708</v>
      </c>
      <c r="H17" s="935">
        <v>1</v>
      </c>
      <c r="I17" s="1115">
        <v>-21192.266564911708</v>
      </c>
    </row>
    <row r="18" spans="1:10">
      <c r="A18" s="955">
        <f t="shared" si="0"/>
        <v>4</v>
      </c>
      <c r="B18" s="1067" t="s">
        <v>983</v>
      </c>
      <c r="C18" s="1115">
        <v>265240.38</v>
      </c>
      <c r="D18" s="935">
        <f>D17</f>
        <v>1</v>
      </c>
      <c r="E18" s="1116">
        <f>C18*D18</f>
        <v>265240.38</v>
      </c>
      <c r="F18" s="400"/>
      <c r="G18" s="1115">
        <v>360889.10742876708</v>
      </c>
      <c r="H18" s="935">
        <v>1</v>
      </c>
      <c r="I18" s="1116">
        <v>360889.10742876708</v>
      </c>
    </row>
    <row r="19" spans="1:10">
      <c r="A19" s="955">
        <f t="shared" si="0"/>
        <v>5</v>
      </c>
      <c r="B19" s="1111" t="s">
        <v>488</v>
      </c>
      <c r="C19" s="1117">
        <f>SUM(C16:C18)</f>
        <v>332297.08999999997</v>
      </c>
      <c r="D19" s="935"/>
      <c r="E19" s="1115">
        <f>SUM(E16:E18)</f>
        <v>332297.08999999997</v>
      </c>
      <c r="F19" s="400"/>
      <c r="G19" s="1117">
        <v>339696.84086385538</v>
      </c>
      <c r="H19" s="400"/>
      <c r="I19" s="1115">
        <v>339696.84086385538</v>
      </c>
    </row>
    <row r="20" spans="1:10">
      <c r="A20" s="955">
        <f t="shared" si="0"/>
        <v>6</v>
      </c>
      <c r="B20" s="1112"/>
      <c r="C20" s="1118"/>
      <c r="D20" s="615"/>
      <c r="E20" s="1118"/>
      <c r="F20" s="801"/>
      <c r="G20" s="1118"/>
      <c r="H20" s="801"/>
      <c r="I20" s="1118"/>
      <c r="J20" s="103"/>
    </row>
    <row r="21" spans="1:10">
      <c r="A21" s="955">
        <f t="shared" si="0"/>
        <v>7</v>
      </c>
      <c r="B21" s="807" t="s">
        <v>78</v>
      </c>
      <c r="C21" s="381"/>
      <c r="D21" s="1119"/>
      <c r="E21" s="381"/>
      <c r="F21" s="938"/>
      <c r="G21" s="381"/>
      <c r="H21" s="938"/>
      <c r="I21" s="381"/>
      <c r="J21" s="103"/>
    </row>
    <row r="22" spans="1:10">
      <c r="A22" s="955">
        <f t="shared" si="0"/>
        <v>8</v>
      </c>
      <c r="B22" s="1067" t="s">
        <v>982</v>
      </c>
      <c r="C22" s="1115">
        <v>34264.03</v>
      </c>
      <c r="D22" s="1119">
        <f>Allocation!$I$17</f>
        <v>0.49780000000000002</v>
      </c>
      <c r="E22" s="1120">
        <f>C22*D22</f>
        <v>17056.634134</v>
      </c>
      <c r="F22" s="938"/>
      <c r="G22" s="1115">
        <v>56217.927930362355</v>
      </c>
      <c r="H22" s="1119">
        <v>0.49780000000000002</v>
      </c>
      <c r="I22" s="1120">
        <v>27985.284523734383</v>
      </c>
      <c r="J22" s="103"/>
    </row>
    <row r="23" spans="1:10">
      <c r="A23" s="955">
        <f t="shared" si="0"/>
        <v>9</v>
      </c>
      <c r="B23" s="1067" t="s">
        <v>983</v>
      </c>
      <c r="C23" s="1115">
        <v>106975.26999999999</v>
      </c>
      <c r="D23" s="1119">
        <f>D22</f>
        <v>0.49780000000000002</v>
      </c>
      <c r="E23" s="1121">
        <f>C23*D23</f>
        <v>53252.289405999996</v>
      </c>
      <c r="F23" s="938"/>
      <c r="G23" s="1115">
        <v>268745.64735167573</v>
      </c>
      <c r="H23" s="1122">
        <v>0.49780000000000002</v>
      </c>
      <c r="I23" s="1121">
        <v>133781.58325166418</v>
      </c>
      <c r="J23" s="103"/>
    </row>
    <row r="24" spans="1:10">
      <c r="A24" s="955">
        <f t="shared" si="0"/>
        <v>10</v>
      </c>
      <c r="B24" s="1111" t="s">
        <v>488</v>
      </c>
      <c r="C24" s="1117">
        <f>SUM(C22:C23)</f>
        <v>141239.29999999999</v>
      </c>
      <c r="D24" s="1119"/>
      <c r="E24" s="1115">
        <f>SUM(E22:E23)</f>
        <v>70308.923539999989</v>
      </c>
      <c r="F24" s="938"/>
      <c r="G24" s="1117">
        <v>324963.57528203807</v>
      </c>
      <c r="H24" s="1123"/>
      <c r="I24" s="1115">
        <v>161766.86777539857</v>
      </c>
      <c r="J24" s="103"/>
    </row>
    <row r="25" spans="1:10">
      <c r="A25" s="955">
        <f t="shared" si="0"/>
        <v>11</v>
      </c>
      <c r="B25" s="1112"/>
      <c r="C25" s="1118"/>
      <c r="D25" s="940"/>
      <c r="E25" s="1118"/>
      <c r="F25" s="801"/>
      <c r="G25" s="1118"/>
      <c r="H25" s="1124"/>
      <c r="I25" s="1118"/>
      <c r="J25" s="103"/>
    </row>
    <row r="26" spans="1:10">
      <c r="A26" s="955">
        <f t="shared" si="0"/>
        <v>12</v>
      </c>
      <c r="B26" s="1112" t="s">
        <v>76</v>
      </c>
      <c r="C26" s="1118"/>
      <c r="D26" s="324"/>
      <c r="E26" s="1118"/>
      <c r="F26" s="103"/>
      <c r="G26" s="1118"/>
      <c r="H26" s="1002"/>
      <c r="I26" s="1118"/>
      <c r="J26" s="103"/>
    </row>
    <row r="27" spans="1:10">
      <c r="A27" s="955">
        <f t="shared" si="0"/>
        <v>13</v>
      </c>
      <c r="B27" s="1067" t="s">
        <v>982</v>
      </c>
      <c r="C27" s="1115">
        <v>12487066.140000001</v>
      </c>
      <c r="D27" s="324">
        <f>Allocation!$I$14</f>
        <v>5.1771199999999996E-2</v>
      </c>
      <c r="E27" s="1120">
        <f>C27*D27</f>
        <v>646470.39854716801</v>
      </c>
      <c r="F27" s="103"/>
      <c r="G27" s="1115">
        <v>10595303.058656182</v>
      </c>
      <c r="H27" s="324">
        <v>5.1771199999999996E-2</v>
      </c>
      <c r="I27" s="1120">
        <v>548531.55371030094</v>
      </c>
      <c r="J27" s="103"/>
    </row>
    <row r="28" spans="1:10">
      <c r="A28" s="955">
        <f t="shared" si="0"/>
        <v>14</v>
      </c>
      <c r="B28" s="1067" t="s">
        <v>983</v>
      </c>
      <c r="C28" s="1115">
        <v>620109.59</v>
      </c>
      <c r="D28" s="940">
        <f>D27</f>
        <v>5.1771199999999996E-2</v>
      </c>
      <c r="E28" s="1125">
        <f>C28*D28</f>
        <v>32103.817605807995</v>
      </c>
      <c r="F28" s="103"/>
      <c r="G28" s="1115">
        <v>454990.23085686349</v>
      </c>
      <c r="H28" s="1122">
        <v>5.1771199999999996E-2</v>
      </c>
      <c r="I28" s="1125">
        <v>23555.390239736851</v>
      </c>
      <c r="J28" s="103"/>
    </row>
    <row r="29" spans="1:10">
      <c r="A29" s="955">
        <f t="shared" si="0"/>
        <v>15</v>
      </c>
      <c r="B29" s="1111" t="s">
        <v>488</v>
      </c>
      <c r="C29" s="1117">
        <f>SUM(C27:C28)</f>
        <v>13107175.73</v>
      </c>
      <c r="D29" s="324"/>
      <c r="E29" s="1115">
        <f>SUM(E27:E28)</f>
        <v>678574.21615297603</v>
      </c>
      <c r="F29" s="103"/>
      <c r="G29" s="1117">
        <v>11050293.289513046</v>
      </c>
      <c r="H29" s="1002"/>
      <c r="I29" s="1115">
        <v>572086.94395003782</v>
      </c>
      <c r="J29" s="103"/>
    </row>
    <row r="30" spans="1:10">
      <c r="A30" s="955">
        <f t="shared" si="0"/>
        <v>16</v>
      </c>
      <c r="B30" s="1112"/>
      <c r="C30" s="1118"/>
      <c r="D30" s="324"/>
      <c r="E30" s="1118"/>
      <c r="F30" s="103"/>
      <c r="G30" s="1118"/>
      <c r="H30" s="1002"/>
      <c r="I30" s="1118"/>
      <c r="J30" s="103"/>
    </row>
    <row r="31" spans="1:10">
      <c r="A31" s="955">
        <f t="shared" si="0"/>
        <v>17</v>
      </c>
      <c r="B31" s="1112" t="s">
        <v>77</v>
      </c>
      <c r="C31" s="1118"/>
      <c r="D31" s="324"/>
      <c r="E31" s="1118"/>
      <c r="G31" s="1118"/>
      <c r="H31" s="1126"/>
      <c r="I31" s="1118"/>
    </row>
    <row r="32" spans="1:10">
      <c r="A32" s="955">
        <f t="shared" si="0"/>
        <v>18</v>
      </c>
      <c r="B32" s="1067" t="s">
        <v>982</v>
      </c>
      <c r="C32" s="360">
        <v>1016906.3999999998</v>
      </c>
      <c r="D32" s="324">
        <f>Allocation!$I$15</f>
        <v>5.6412179785543033E-2</v>
      </c>
      <c r="E32" s="360">
        <f>C32*D32</f>
        <v>57365.906661869325</v>
      </c>
      <c r="G32" s="360">
        <v>448998.44983708468</v>
      </c>
      <c r="H32" s="324">
        <v>5.6412179785543033E-2</v>
      </c>
      <c r="I32" s="360">
        <v>25328.981275639748</v>
      </c>
    </row>
    <row r="33" spans="1:11">
      <c r="A33" s="955">
        <f t="shared" si="0"/>
        <v>19</v>
      </c>
      <c r="B33" s="1067" t="s">
        <v>983</v>
      </c>
      <c r="C33" s="360">
        <v>30651.14</v>
      </c>
      <c r="D33" s="324">
        <f>D32</f>
        <v>5.6412179785543033E-2</v>
      </c>
      <c r="E33" s="1127">
        <f>C33*D33</f>
        <v>1729.0976203118494</v>
      </c>
      <c r="G33" s="360">
        <v>35349.601670407654</v>
      </c>
      <c r="H33" s="1122">
        <v>5.6412179785543033E-2</v>
      </c>
      <c r="I33" s="1127">
        <v>1994.1480847783689</v>
      </c>
      <c r="K33" s="690"/>
    </row>
    <row r="34" spans="1:11">
      <c r="A34" s="955">
        <f t="shared" si="0"/>
        <v>20</v>
      </c>
      <c r="B34" s="1111" t="s">
        <v>488</v>
      </c>
      <c r="C34" s="723">
        <f>SUM(C32:C33)</f>
        <v>1047557.5399999998</v>
      </c>
      <c r="E34" s="360">
        <f>SUM(E32:E33)</f>
        <v>59095.004282181173</v>
      </c>
      <c r="G34" s="723">
        <v>484348.05150749232</v>
      </c>
      <c r="H34" s="1126"/>
      <c r="I34" s="360">
        <v>27323.129360418116</v>
      </c>
    </row>
    <row r="37" spans="1:11">
      <c r="A37" s="96" t="s">
        <v>405</v>
      </c>
    </row>
    <row r="40" spans="1:11" ht="15.75">
      <c r="C40" s="901"/>
    </row>
    <row r="42" spans="1:11">
      <c r="B42" s="80" t="s">
        <v>518</v>
      </c>
      <c r="D42" s="80" t="s">
        <v>323</v>
      </c>
    </row>
    <row r="43" spans="1:11">
      <c r="B43" s="80" t="s">
        <v>1620</v>
      </c>
    </row>
  </sheetData>
  <mergeCells count="5">
    <mergeCell ref="A5:I5"/>
    <mergeCell ref="A1:I1"/>
    <mergeCell ref="A2:I2"/>
    <mergeCell ref="A3:I3"/>
    <mergeCell ref="A4:I4"/>
  </mergeCells>
  <phoneticPr fontId="23" type="noConversion"/>
  <pageMargins left="0.89" right="0.71" top="0.76" bottom="0.5" header="0.57999999999999996" footer="0.5"/>
  <pageSetup scale="88" orientation="landscape" verticalDpi="300" r:id="rId1"/>
  <headerFooter alignWithMargins="0">
    <oddFooter>&amp;RSchedule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1"/>
  <sheetViews>
    <sheetView view="pageBreakPreview" zoomScale="90" zoomScaleNormal="100" zoomScaleSheetLayoutView="90" workbookViewId="0">
      <selection activeCell="B35" sqref="B35"/>
    </sheetView>
  </sheetViews>
  <sheetFormatPr defaultColWidth="8" defaultRowHeight="15"/>
  <cols>
    <col min="1" max="1" width="7.21875" style="1" customWidth="1"/>
    <col min="2" max="2" width="45.88671875" style="1" customWidth="1"/>
    <col min="3" max="3" width="14.33203125" style="1" customWidth="1"/>
    <col min="4" max="4" width="22.77734375" style="1" customWidth="1"/>
    <col min="5" max="5" width="3.88671875" style="1" customWidth="1"/>
    <col min="6" max="6" width="26.6640625" style="1" customWidth="1"/>
    <col min="7" max="7" width="4.21875" style="1" customWidth="1"/>
    <col min="8" max="8" width="3.77734375" style="1" customWidth="1"/>
    <col min="9" max="9" width="13.109375" style="1" bestFit="1" customWidth="1"/>
    <col min="10" max="10" width="2.77734375" style="1" customWidth="1"/>
    <col min="11" max="11" width="13.109375" style="1" bestFit="1" customWidth="1"/>
    <col min="12" max="12" width="4.33203125" style="1" customWidth="1"/>
    <col min="13" max="13" width="12" style="1" bestFit="1" customWidth="1"/>
    <col min="14" max="14" width="2.109375" style="1" customWidth="1"/>
    <col min="15" max="15" width="12" style="1" bestFit="1" customWidth="1"/>
    <col min="16" max="16384" width="8" style="1"/>
  </cols>
  <sheetData>
    <row r="1" spans="1:15">
      <c r="A1" s="167" t="str">
        <f>'Table of Contents'!A1:C1</f>
        <v>Atmos Energy Corporation, Kentucky/Mid-States Division</v>
      </c>
      <c r="B1" s="30"/>
      <c r="C1" s="30"/>
      <c r="D1" s="30"/>
      <c r="E1" s="30"/>
      <c r="F1" s="30"/>
    </row>
    <row r="2" spans="1:15">
      <c r="A2" s="167" t="str">
        <f>'Table of Contents'!A2:C2</f>
        <v>Kentucky Jurisdiction Case No. 2018-00281</v>
      </c>
      <c r="B2" s="30"/>
      <c r="C2" s="30"/>
      <c r="D2" s="30"/>
      <c r="E2" s="30"/>
      <c r="F2" s="30"/>
    </row>
    <row r="3" spans="1:15">
      <c r="A3" s="31" t="s">
        <v>1110</v>
      </c>
      <c r="B3" s="30"/>
      <c r="C3" s="30"/>
      <c r="D3" s="30"/>
      <c r="E3" s="30"/>
      <c r="F3" s="30"/>
    </row>
    <row r="4" spans="1:15">
      <c r="A4" s="31" t="s">
        <v>1614</v>
      </c>
      <c r="B4" s="30"/>
      <c r="C4" s="30"/>
      <c r="D4" s="30"/>
      <c r="E4" s="30"/>
      <c r="F4" s="30"/>
    </row>
    <row r="6" spans="1:15">
      <c r="A6" s="4" t="s">
        <v>379</v>
      </c>
      <c r="F6" s="1" t="s">
        <v>1414</v>
      </c>
    </row>
    <row r="7" spans="1:15">
      <c r="A7" s="4" t="str">
        <f>A.1!A8</f>
        <v>Type of Filing:___X____Original________Updated ________Revised</v>
      </c>
      <c r="F7" s="4" t="s">
        <v>746</v>
      </c>
    </row>
    <row r="8" spans="1:15">
      <c r="A8" s="5" t="s">
        <v>426</v>
      </c>
      <c r="B8" s="6"/>
      <c r="C8" s="6"/>
      <c r="D8" s="6"/>
      <c r="E8" s="33"/>
      <c r="F8" s="432" t="s">
        <v>1681</v>
      </c>
    </row>
    <row r="9" spans="1:15">
      <c r="F9" s="2"/>
    </row>
    <row r="10" spans="1:15">
      <c r="C10" s="2" t="s">
        <v>1185</v>
      </c>
      <c r="D10" s="2" t="s">
        <v>44</v>
      </c>
      <c r="F10" s="2" t="s">
        <v>44</v>
      </c>
      <c r="I10" s="726"/>
      <c r="J10" s="665"/>
      <c r="K10" s="665"/>
      <c r="L10" s="665"/>
      <c r="M10" s="734"/>
      <c r="N10" s="665"/>
      <c r="O10" s="665"/>
    </row>
    <row r="11" spans="1:15">
      <c r="A11" s="2" t="s">
        <v>93</v>
      </c>
      <c r="C11" s="2" t="s">
        <v>58</v>
      </c>
      <c r="D11" s="34" t="s">
        <v>538</v>
      </c>
      <c r="F11" s="2" t="s">
        <v>538</v>
      </c>
      <c r="I11" s="665"/>
      <c r="J11" s="665"/>
      <c r="K11" s="665"/>
      <c r="L11" s="665"/>
      <c r="M11" s="665"/>
      <c r="N11" s="665"/>
      <c r="O11" s="665"/>
    </row>
    <row r="12" spans="1:15">
      <c r="A12" s="9" t="s">
        <v>99</v>
      </c>
      <c r="B12" s="5" t="s">
        <v>1188</v>
      </c>
      <c r="C12" s="9" t="s">
        <v>101</v>
      </c>
      <c r="D12" s="9" t="s">
        <v>317</v>
      </c>
      <c r="E12" s="6"/>
      <c r="F12" s="9" t="s">
        <v>512</v>
      </c>
      <c r="I12" s="726"/>
      <c r="J12" s="665"/>
      <c r="K12" s="665"/>
      <c r="L12" s="665"/>
      <c r="M12" s="665"/>
      <c r="N12" s="665"/>
      <c r="O12" s="665"/>
    </row>
    <row r="13" spans="1:15">
      <c r="D13" s="2"/>
      <c r="F13" s="2"/>
      <c r="I13" s="726"/>
      <c r="J13" s="665"/>
      <c r="K13" s="665"/>
      <c r="L13" s="665"/>
      <c r="M13" s="665"/>
      <c r="N13" s="665"/>
      <c r="O13" s="665"/>
    </row>
    <row r="14" spans="1:15">
      <c r="I14" s="726"/>
      <c r="J14" s="665"/>
      <c r="K14" s="665"/>
      <c r="L14" s="665"/>
      <c r="M14" s="665"/>
      <c r="N14" s="665"/>
      <c r="O14" s="665"/>
    </row>
    <row r="15" spans="1:15">
      <c r="A15" s="2">
        <v>1</v>
      </c>
      <c r="B15" s="4" t="s">
        <v>167</v>
      </c>
      <c r="C15" s="2" t="s">
        <v>686</v>
      </c>
      <c r="D15" s="306">
        <f>'B.2 B'!I266</f>
        <v>661176597.94117761</v>
      </c>
      <c r="E15" s="73"/>
      <c r="F15" s="306">
        <f>'B.2 B'!N266</f>
        <v>631399612.56163836</v>
      </c>
      <c r="G15" s="81"/>
      <c r="H15" s="81"/>
      <c r="I15" s="726"/>
      <c r="J15" s="665"/>
      <c r="K15" s="665"/>
      <c r="L15" s="665"/>
      <c r="M15" s="665"/>
      <c r="N15" s="665"/>
      <c r="O15" s="665"/>
    </row>
    <row r="16" spans="1:15">
      <c r="A16" s="2">
        <f>A15+1</f>
        <v>2</v>
      </c>
      <c r="B16" s="4" t="s">
        <v>491</v>
      </c>
      <c r="C16" s="2" t="s">
        <v>686</v>
      </c>
      <c r="D16" s="356">
        <f>'B.2 B'!I268</f>
        <v>41269538.631500937</v>
      </c>
      <c r="E16" s="73"/>
      <c r="F16" s="73">
        <f>'B.2 B'!N268</f>
        <v>35044203.05914177</v>
      </c>
      <c r="G16" s="81"/>
      <c r="H16" s="81"/>
      <c r="I16" s="726"/>
      <c r="J16" s="665"/>
      <c r="K16" s="665"/>
      <c r="L16" s="665"/>
      <c r="M16" s="665"/>
      <c r="N16" s="665"/>
      <c r="O16" s="665"/>
    </row>
    <row r="17" spans="1:15">
      <c r="A17" s="2">
        <f>A16+1</f>
        <v>3</v>
      </c>
      <c r="B17" s="4" t="s">
        <v>529</v>
      </c>
      <c r="C17" s="2" t="s">
        <v>687</v>
      </c>
      <c r="D17" s="85">
        <f>-'B.3 B'!I264</f>
        <v>-183543128.53202301</v>
      </c>
      <c r="E17" s="73"/>
      <c r="F17" s="85">
        <f>-'B.3 B'!N264</f>
        <v>-182513708.95212862</v>
      </c>
      <c r="G17" s="81"/>
      <c r="H17" s="81"/>
      <c r="I17" s="726"/>
      <c r="J17" s="665"/>
      <c r="K17" s="665"/>
      <c r="L17" s="665"/>
      <c r="M17" s="665"/>
      <c r="N17" s="665"/>
      <c r="O17" s="665"/>
    </row>
    <row r="18" spans="1:15">
      <c r="A18" s="721"/>
      <c r="B18" s="4"/>
      <c r="C18" s="721"/>
      <c r="D18" s="77"/>
      <c r="E18" s="73"/>
      <c r="F18" s="77"/>
      <c r="G18" s="81"/>
      <c r="H18" s="81"/>
      <c r="I18" s="726"/>
      <c r="J18" s="665"/>
      <c r="K18" s="665"/>
      <c r="L18" s="665"/>
      <c r="M18" s="665"/>
      <c r="N18" s="665"/>
      <c r="O18" s="665"/>
    </row>
    <row r="19" spans="1:15">
      <c r="A19" s="2">
        <f>+A17+1</f>
        <v>4</v>
      </c>
      <c r="B19" s="4" t="s">
        <v>156</v>
      </c>
      <c r="D19" s="306">
        <f>SUM(D15:D17)</f>
        <v>518903008.04065555</v>
      </c>
      <c r="E19" s="73"/>
      <c r="F19" s="306">
        <f>SUM(F15:F17)</f>
        <v>483930106.66865146</v>
      </c>
      <c r="G19" s="81"/>
      <c r="H19" s="81"/>
      <c r="I19" s="726"/>
      <c r="J19" s="665"/>
      <c r="K19" s="665"/>
      <c r="L19" s="665"/>
      <c r="M19" s="665"/>
      <c r="N19" s="665"/>
      <c r="O19" s="665"/>
    </row>
    <row r="20" spans="1:15">
      <c r="A20" s="2"/>
      <c r="B20" s="4"/>
      <c r="D20" s="73"/>
      <c r="E20" s="73"/>
      <c r="F20" s="73"/>
      <c r="G20" s="81"/>
      <c r="H20" s="81"/>
      <c r="I20" s="726"/>
      <c r="J20" s="665"/>
      <c r="K20" s="665"/>
      <c r="L20" s="665"/>
      <c r="M20" s="665"/>
      <c r="N20" s="665"/>
      <c r="O20" s="665"/>
    </row>
    <row r="21" spans="1:15">
      <c r="A21" s="2">
        <f>A19+1</f>
        <v>5</v>
      </c>
      <c r="B21" s="4" t="s">
        <v>786</v>
      </c>
      <c r="C21" s="2" t="s">
        <v>688</v>
      </c>
      <c r="D21" s="306">
        <f>+'B.4 B'!E14</f>
        <v>2678216.8007644988</v>
      </c>
      <c r="E21" s="73"/>
      <c r="F21" s="306">
        <f>+D21</f>
        <v>2678216.8007644988</v>
      </c>
      <c r="G21" s="670"/>
      <c r="H21" s="670"/>
      <c r="I21" s="726"/>
      <c r="J21" s="665"/>
      <c r="K21" s="665"/>
      <c r="L21" s="665"/>
      <c r="M21" s="665"/>
      <c r="N21" s="665"/>
      <c r="O21" s="665"/>
    </row>
    <row r="22" spans="1:15">
      <c r="A22" s="2">
        <f>+A21+1</f>
        <v>6</v>
      </c>
      <c r="B22" s="4" t="s">
        <v>1058</v>
      </c>
      <c r="C22" s="2" t="s">
        <v>689</v>
      </c>
      <c r="D22" s="356">
        <f>+'B.4.1 B'!F37</f>
        <v>16964342.744696286</v>
      </c>
      <c r="E22" s="73"/>
      <c r="F22" s="356">
        <f>+'B.4.1 B'!K37</f>
        <v>14260300.390453627</v>
      </c>
      <c r="G22" s="81"/>
      <c r="H22" s="81"/>
      <c r="I22" s="726"/>
      <c r="J22" s="665"/>
      <c r="K22" s="665"/>
      <c r="L22" s="665"/>
      <c r="M22" s="665"/>
      <c r="N22" s="665"/>
      <c r="O22" s="665"/>
    </row>
    <row r="23" spans="1:15">
      <c r="A23" s="2">
        <f>+A22+1</f>
        <v>7</v>
      </c>
      <c r="B23" s="4" t="s">
        <v>633</v>
      </c>
      <c r="C23" s="2" t="s">
        <v>690</v>
      </c>
      <c r="D23" s="73">
        <f>'B.6 B'!G24</f>
        <v>-662754.81999999995</v>
      </c>
      <c r="E23" s="81"/>
      <c r="F23" s="73">
        <f>'B.6 B'!L24</f>
        <v>-716319.53</v>
      </c>
      <c r="G23" s="81"/>
      <c r="H23" s="81"/>
      <c r="I23" s="726"/>
      <c r="J23" s="665"/>
      <c r="K23" s="665"/>
      <c r="L23" s="665"/>
      <c r="M23" s="665"/>
      <c r="N23" s="665"/>
      <c r="O23" s="665"/>
    </row>
    <row r="24" spans="1:15">
      <c r="A24" s="802">
        <f t="shared" ref="A24:A25" si="0">+A23+1</f>
        <v>8</v>
      </c>
      <c r="B24" s="4" t="s">
        <v>1611</v>
      </c>
      <c r="C24" s="802" t="s">
        <v>1610</v>
      </c>
      <c r="D24" s="356">
        <v>-34046195.741111107</v>
      </c>
      <c r="E24" s="622"/>
      <c r="F24" s="356">
        <v>-34757594.167873926</v>
      </c>
      <c r="G24" s="81"/>
      <c r="H24" s="81"/>
      <c r="I24" s="726"/>
      <c r="J24" s="665"/>
      <c r="K24" s="665"/>
      <c r="L24" s="665"/>
      <c r="M24" s="665"/>
      <c r="N24" s="665"/>
      <c r="O24" s="665"/>
    </row>
    <row r="25" spans="1:15">
      <c r="A25" s="802">
        <f t="shared" si="0"/>
        <v>9</v>
      </c>
      <c r="B25" s="88" t="s">
        <v>1132</v>
      </c>
      <c r="C25" s="117" t="s">
        <v>691</v>
      </c>
      <c r="D25" s="83">
        <f>'B.5 B'!G49</f>
        <v>-23443799.169957578</v>
      </c>
      <c r="E25" s="81"/>
      <c r="F25" s="83">
        <f>'B.5 B'!L49</f>
        <v>-31090171.074011769</v>
      </c>
      <c r="G25" s="81"/>
      <c r="H25" s="81"/>
      <c r="I25" s="726"/>
      <c r="J25" s="665"/>
      <c r="K25" s="665"/>
      <c r="L25" s="665"/>
      <c r="M25" s="665"/>
      <c r="N25" s="665"/>
      <c r="O25" s="665"/>
    </row>
    <row r="26" spans="1:15">
      <c r="A26" s="802"/>
      <c r="E26" s="81"/>
      <c r="G26" s="81"/>
      <c r="H26" s="81"/>
      <c r="I26" s="726"/>
      <c r="J26" s="665"/>
      <c r="K26" s="665"/>
      <c r="L26" s="665"/>
      <c r="M26" s="665"/>
      <c r="N26" s="665"/>
      <c r="O26" s="665"/>
    </row>
    <row r="27" spans="1:15" ht="15.75" thickBot="1">
      <c r="A27" s="802">
        <f>+A25+1</f>
        <v>10</v>
      </c>
      <c r="B27" s="4" t="s">
        <v>157</v>
      </c>
      <c r="D27" s="308">
        <f>SUM(D19:D25)</f>
        <v>480392817.85504758</v>
      </c>
      <c r="E27" s="10"/>
      <c r="F27" s="308">
        <f>SUM(F19:F25)</f>
        <v>434304539.08798397</v>
      </c>
      <c r="G27" s="81"/>
      <c r="H27" s="81"/>
      <c r="I27" s="726"/>
      <c r="J27" s="665"/>
      <c r="K27" s="665"/>
      <c r="L27" s="665"/>
      <c r="M27" s="665"/>
      <c r="N27" s="665"/>
      <c r="O27" s="665"/>
    </row>
    <row r="28" spans="1:15" ht="15.75" thickTop="1">
      <c r="A28" s="2"/>
      <c r="D28" s="10"/>
      <c r="E28" s="10"/>
      <c r="F28" s="10"/>
      <c r="G28" s="81"/>
      <c r="H28" s="81"/>
    </row>
    <row r="29" spans="1:15">
      <c r="B29" s="90"/>
      <c r="D29" s="81"/>
      <c r="E29" s="81"/>
      <c r="F29" s="81"/>
      <c r="G29" s="81"/>
      <c r="H29" s="81"/>
    </row>
    <row r="30" spans="1:15">
      <c r="D30" s="73"/>
      <c r="E30" s="81"/>
      <c r="F30" s="73"/>
      <c r="G30" s="81"/>
      <c r="H30" s="81"/>
    </row>
    <row r="31" spans="1:15">
      <c r="D31" s="73"/>
      <c r="E31" s="73"/>
      <c r="F31" s="73"/>
      <c r="G31" s="81"/>
      <c r="H31" s="81"/>
    </row>
  </sheetData>
  <phoneticPr fontId="23" type="noConversion"/>
  <printOptions horizontalCentered="1"/>
  <pageMargins left="0.5" right="0.5" top="0.79" bottom="0.5" header="0.5" footer="0.5"/>
  <pageSetup scale="86" orientation="landscape" verticalDpi="300" r:id="rId1"/>
  <headerFooter alignWithMargins="0">
    <oddFooter>&amp;RSchedule &amp;A
Page &amp;P of &amp;N</oddFooter>
  </headerFooter>
  <colBreaks count="1" manualBreakCount="1">
    <brk id="6" max="54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R64"/>
  <sheetViews>
    <sheetView view="pageBreakPreview" zoomScale="70" zoomScaleNormal="90" zoomScaleSheetLayoutView="70" workbookViewId="0">
      <selection activeCell="J154" sqref="J154"/>
    </sheetView>
  </sheetViews>
  <sheetFormatPr defaultRowHeight="15"/>
  <cols>
    <col min="1" max="1" width="6.33203125" customWidth="1"/>
    <col min="2" max="2" width="44.21875" customWidth="1"/>
    <col min="3" max="3" width="6.77734375" customWidth="1"/>
    <col min="4" max="4" width="11.6640625" customWidth="1"/>
    <col min="5" max="5" width="12.44140625" bestFit="1" customWidth="1"/>
    <col min="7" max="7" width="9.6640625" customWidth="1"/>
    <col min="8" max="8" width="9" customWidth="1"/>
    <col min="9" max="9" width="20.33203125" customWidth="1"/>
    <col min="10" max="10" width="20.21875" customWidth="1"/>
    <col min="12" max="12" width="13.33203125" customWidth="1"/>
    <col min="13" max="13" width="23.109375" customWidth="1"/>
    <col min="14" max="14" width="23.33203125" customWidth="1"/>
    <col min="15" max="15" width="8.21875" customWidth="1"/>
    <col min="16" max="16" width="8.21875" style="792" customWidth="1"/>
    <col min="17" max="17" width="11.5546875" bestFit="1" customWidth="1"/>
    <col min="18" max="18" width="15" bestFit="1" customWidth="1"/>
  </cols>
  <sheetData>
    <row r="1" spans="1:18" ht="15.75">
      <c r="A1" s="1211" t="str">
        <f>'Table of Contents'!A1:C1</f>
        <v>Atmos Energy Corporation, Kentucky/Mid-States Division</v>
      </c>
      <c r="B1" s="1211"/>
      <c r="C1" s="1211"/>
      <c r="D1" s="1211"/>
      <c r="E1" s="1211"/>
      <c r="F1" s="698"/>
      <c r="G1" s="1"/>
      <c r="H1" s="1"/>
      <c r="I1" s="1"/>
      <c r="J1" s="1"/>
    </row>
    <row r="2" spans="1:18" ht="15.75">
      <c r="A2" s="1211" t="str">
        <f>'Table of Contents'!A2:C2</f>
        <v>Kentucky Jurisdiction Case No. 2018-00281</v>
      </c>
      <c r="B2" s="1211"/>
      <c r="C2" s="1211"/>
      <c r="D2" s="1211"/>
      <c r="E2" s="1211"/>
      <c r="F2" s="755"/>
      <c r="G2" s="81"/>
      <c r="H2" s="81"/>
      <c r="I2" s="81"/>
      <c r="J2" s="1"/>
    </row>
    <row r="3" spans="1:18" ht="15.75">
      <c r="A3" s="1211" t="s">
        <v>220</v>
      </c>
      <c r="B3" s="1211"/>
      <c r="C3" s="1211"/>
      <c r="D3" s="1211"/>
      <c r="E3" s="1211"/>
      <c r="F3" s="698"/>
      <c r="G3" s="757"/>
      <c r="H3" s="81"/>
      <c r="I3" s="81"/>
      <c r="J3" s="1"/>
    </row>
    <row r="4" spans="1:18" ht="15.75">
      <c r="A4" s="12"/>
      <c r="B4" s="1"/>
      <c r="C4" s="1"/>
      <c r="D4" s="1"/>
      <c r="E4" s="1"/>
      <c r="F4" s="81"/>
      <c r="G4" s="670"/>
      <c r="H4" s="670"/>
      <c r="I4" s="670"/>
      <c r="J4" s="1"/>
    </row>
    <row r="5" spans="1:18" ht="15.75">
      <c r="A5" s="12"/>
      <c r="B5" s="1"/>
      <c r="C5" s="1"/>
      <c r="D5" s="1"/>
      <c r="E5" s="1"/>
      <c r="F5" s="81"/>
      <c r="G5" s="670"/>
      <c r="H5" s="670"/>
      <c r="I5" s="670"/>
    </row>
    <row r="6" spans="1:18" ht="15.75">
      <c r="A6" s="12"/>
      <c r="B6" s="1"/>
      <c r="C6" s="1"/>
      <c r="D6" s="1"/>
      <c r="F6" s="81"/>
      <c r="G6" s="670"/>
      <c r="H6" s="670"/>
      <c r="I6" s="670"/>
    </row>
    <row r="7" spans="1:18">
      <c r="A7" s="66" t="s">
        <v>565</v>
      </c>
      <c r="C7" s="1"/>
      <c r="D7" s="1"/>
      <c r="E7" s="567" t="s">
        <v>1407</v>
      </c>
      <c r="F7" s="1"/>
      <c r="G7" s="591"/>
      <c r="H7" s="591"/>
      <c r="I7" s="591"/>
    </row>
    <row r="8" spans="1:18">
      <c r="A8" s="66" t="s">
        <v>615</v>
      </c>
      <c r="C8" s="1"/>
      <c r="D8" s="1"/>
      <c r="E8" s="488" t="s">
        <v>72</v>
      </c>
      <c r="F8" s="1"/>
      <c r="G8" s="756"/>
      <c r="H8" s="591"/>
      <c r="I8" s="591"/>
    </row>
    <row r="9" spans="1:18">
      <c r="A9" s="568" t="s">
        <v>426</v>
      </c>
      <c r="B9" s="52"/>
      <c r="C9" s="33"/>
      <c r="D9" s="33"/>
      <c r="E9" s="605" t="str">
        <f>F.1!$F$9</f>
        <v>Witness: Waller</v>
      </c>
      <c r="F9" s="1"/>
      <c r="G9" s="591"/>
      <c r="H9" s="591"/>
      <c r="I9" s="591"/>
      <c r="J9" s="1"/>
    </row>
    <row r="10" spans="1:18" ht="15.75">
      <c r="B10" s="27"/>
      <c r="C10" s="1"/>
      <c r="D10" s="1"/>
      <c r="E10" s="126"/>
      <c r="F10" s="1"/>
      <c r="H10" s="102" t="s">
        <v>1659</v>
      </c>
      <c r="I10" s="1"/>
      <c r="J10" s="1"/>
    </row>
    <row r="11" spans="1:18">
      <c r="A11" s="100" t="s">
        <v>93</v>
      </c>
      <c r="B11" s="92"/>
      <c r="C11" s="1"/>
      <c r="D11" s="1"/>
      <c r="E11" s="126"/>
      <c r="F11" s="1"/>
      <c r="G11" s="591"/>
      <c r="J11" s="1"/>
    </row>
    <row r="12" spans="1:18" ht="15.75">
      <c r="A12" s="101" t="s">
        <v>99</v>
      </c>
      <c r="B12" s="101" t="s">
        <v>985</v>
      </c>
      <c r="C12" s="33"/>
      <c r="D12" s="33"/>
      <c r="E12" s="403" t="s">
        <v>104</v>
      </c>
      <c r="F12" s="1"/>
      <c r="I12" s="102" t="s">
        <v>1657</v>
      </c>
      <c r="J12" s="1"/>
      <c r="M12" s="102" t="s">
        <v>1658</v>
      </c>
    </row>
    <row r="13" spans="1:18">
      <c r="A13" s="399"/>
      <c r="B13" s="399"/>
      <c r="C13" s="1"/>
      <c r="D13" s="1"/>
      <c r="E13" s="1"/>
      <c r="F13" s="1"/>
      <c r="H13" s="792"/>
      <c r="I13" s="803" t="s">
        <v>1440</v>
      </c>
      <c r="J13" s="804" t="s">
        <v>1441</v>
      </c>
      <c r="L13" s="792"/>
      <c r="M13" s="803" t="s">
        <v>1440</v>
      </c>
      <c r="N13" s="804" t="s">
        <v>1441</v>
      </c>
      <c r="Q13" s="803" t="s">
        <v>1660</v>
      </c>
      <c r="R13" s="804" t="s">
        <v>1661</v>
      </c>
    </row>
    <row r="14" spans="1:18" ht="15.75">
      <c r="A14" s="53">
        <v>1</v>
      </c>
      <c r="B14" s="147" t="s">
        <v>221</v>
      </c>
      <c r="H14" s="846">
        <v>43190</v>
      </c>
      <c r="I14" s="792">
        <f>0</f>
        <v>0</v>
      </c>
      <c r="J14" s="1">
        <f>0</f>
        <v>0</v>
      </c>
      <c r="L14" s="846">
        <v>43555</v>
      </c>
      <c r="M14" s="792">
        <f>0</f>
        <v>0</v>
      </c>
      <c r="N14" s="1">
        <f>0</f>
        <v>0</v>
      </c>
      <c r="P14" s="846">
        <v>43190</v>
      </c>
      <c r="Q14">
        <f>I14+J14</f>
        <v>0</v>
      </c>
      <c r="R14" s="792">
        <f>J14+K14</f>
        <v>0</v>
      </c>
    </row>
    <row r="15" spans="1:18">
      <c r="A15" s="53">
        <f t="shared" ref="A15:A31" si="0">A14+1</f>
        <v>2</v>
      </c>
      <c r="B15" s="316" t="s">
        <v>935</v>
      </c>
      <c r="D15" s="144">
        <v>13650</v>
      </c>
      <c r="E15" s="141"/>
      <c r="F15" s="137"/>
      <c r="H15" s="846">
        <v>43220</v>
      </c>
      <c r="I15" s="792">
        <v>0</v>
      </c>
      <c r="J15" s="1">
        <v>0</v>
      </c>
      <c r="L15" s="846">
        <v>43585</v>
      </c>
      <c r="M15" s="792">
        <f>E29-N15</f>
        <v>327934.12361111108</v>
      </c>
      <c r="N15" s="1">
        <f>E29/36</f>
        <v>9369.546388888888</v>
      </c>
      <c r="P15" s="846">
        <v>43220</v>
      </c>
      <c r="Q15" s="792">
        <f t="shared" ref="Q15" si="1">I15+J15</f>
        <v>0</v>
      </c>
      <c r="R15" s="792">
        <f t="shared" ref="R15:R25" si="2">J15+K15</f>
        <v>0</v>
      </c>
    </row>
    <row r="16" spans="1:18">
      <c r="A16" s="656">
        <f t="shared" si="0"/>
        <v>3</v>
      </c>
      <c r="B16" s="758" t="s">
        <v>936</v>
      </c>
      <c r="D16" s="142">
        <v>16200</v>
      </c>
      <c r="E16" s="141"/>
      <c r="F16" s="137"/>
      <c r="G16" s="92"/>
      <c r="H16" s="846">
        <v>43221</v>
      </c>
      <c r="I16" s="792">
        <f>173120.12-J16</f>
        <v>164401.12</v>
      </c>
      <c r="J16" s="1">
        <f t="shared" ref="J16:J26" si="3">313884/36</f>
        <v>8719</v>
      </c>
      <c r="L16" s="846">
        <v>43616</v>
      </c>
      <c r="M16" s="792">
        <f t="shared" ref="M16:M26" si="4">M15-N16</f>
        <v>318564.57722222217</v>
      </c>
      <c r="N16" s="1">
        <f>$N$15</f>
        <v>9369.546388888888</v>
      </c>
      <c r="P16" s="846">
        <v>43221</v>
      </c>
      <c r="Q16" s="792">
        <f>I16</f>
        <v>164401.12</v>
      </c>
      <c r="R16" s="792">
        <f t="shared" si="2"/>
        <v>8719</v>
      </c>
    </row>
    <row r="17" spans="1:18">
      <c r="A17" s="656">
        <f t="shared" si="0"/>
        <v>4</v>
      </c>
      <c r="B17" s="316" t="s">
        <v>1254</v>
      </c>
      <c r="D17" s="145">
        <v>23063.65</v>
      </c>
      <c r="E17" s="141"/>
      <c r="F17" s="136"/>
      <c r="H17" s="846">
        <v>43252</v>
      </c>
      <c r="I17" s="792">
        <f t="shared" ref="I17:I26" si="5">I16-J17</f>
        <v>155682.12</v>
      </c>
      <c r="J17" s="1">
        <f t="shared" si="3"/>
        <v>8719</v>
      </c>
      <c r="L17" s="846">
        <v>43646</v>
      </c>
      <c r="M17" s="792">
        <f t="shared" si="4"/>
        <v>309195.03083333327</v>
      </c>
      <c r="N17" s="1">
        <f t="shared" ref="N17:N26" si="6">$N$15</f>
        <v>9369.546388888888</v>
      </c>
      <c r="P17" s="846">
        <v>43252</v>
      </c>
      <c r="Q17" s="792">
        <f t="shared" ref="Q17:Q25" si="7">I17</f>
        <v>155682.12</v>
      </c>
      <c r="R17" s="792">
        <f t="shared" si="2"/>
        <v>8719</v>
      </c>
    </row>
    <row r="18" spans="1:18">
      <c r="A18" s="656">
        <f t="shared" si="0"/>
        <v>5</v>
      </c>
      <c r="B18" s="148" t="s">
        <v>401</v>
      </c>
      <c r="D18" s="141"/>
      <c r="E18" s="144">
        <f>SUM(D15:D17)</f>
        <v>52913.65</v>
      </c>
      <c r="G18" s="137"/>
      <c r="H18" s="846">
        <v>43282</v>
      </c>
      <c r="I18" s="792">
        <f t="shared" si="5"/>
        <v>146963.12</v>
      </c>
      <c r="J18" s="1">
        <f t="shared" si="3"/>
        <v>8719</v>
      </c>
      <c r="L18" s="846">
        <v>43677</v>
      </c>
      <c r="M18" s="792">
        <f t="shared" si="4"/>
        <v>299825.48444444436</v>
      </c>
      <c r="N18" s="1">
        <f t="shared" si="6"/>
        <v>9369.546388888888</v>
      </c>
      <c r="P18" s="846">
        <v>43282</v>
      </c>
      <c r="Q18" s="792">
        <f t="shared" si="7"/>
        <v>146963.12</v>
      </c>
      <c r="R18" s="792">
        <f t="shared" si="2"/>
        <v>8719</v>
      </c>
    </row>
    <row r="19" spans="1:18">
      <c r="A19" s="656">
        <f t="shared" si="0"/>
        <v>6</v>
      </c>
      <c r="B19" s="148"/>
      <c r="D19" s="141"/>
      <c r="E19" s="141"/>
      <c r="H19" s="846">
        <v>43313</v>
      </c>
      <c r="I19" s="792">
        <f t="shared" si="5"/>
        <v>138244.12</v>
      </c>
      <c r="J19" s="1">
        <f t="shared" si="3"/>
        <v>8719</v>
      </c>
      <c r="L19" s="846">
        <v>43708</v>
      </c>
      <c r="M19" s="792">
        <f t="shared" si="4"/>
        <v>290455.93805555545</v>
      </c>
      <c r="N19" s="1">
        <f t="shared" si="6"/>
        <v>9369.546388888888</v>
      </c>
      <c r="P19" s="846">
        <v>43313</v>
      </c>
      <c r="Q19" s="792">
        <f t="shared" si="7"/>
        <v>138244.12</v>
      </c>
      <c r="R19" s="792">
        <f t="shared" si="2"/>
        <v>8719</v>
      </c>
    </row>
    <row r="20" spans="1:18" ht="15.75">
      <c r="A20" s="656">
        <f t="shared" si="0"/>
        <v>7</v>
      </c>
      <c r="B20" s="147" t="s">
        <v>402</v>
      </c>
      <c r="D20" s="141"/>
      <c r="G20" s="136"/>
      <c r="H20" s="846">
        <v>43344</v>
      </c>
      <c r="I20" s="792">
        <f t="shared" si="5"/>
        <v>129525.12</v>
      </c>
      <c r="J20" s="1">
        <f t="shared" si="3"/>
        <v>8719</v>
      </c>
      <c r="L20" s="846">
        <v>43738</v>
      </c>
      <c r="M20" s="792">
        <f t="shared" si="4"/>
        <v>281086.39166666655</v>
      </c>
      <c r="N20" s="1">
        <f t="shared" si="6"/>
        <v>9369.546388888888</v>
      </c>
      <c r="P20" s="846">
        <v>43344</v>
      </c>
      <c r="Q20" s="792">
        <f t="shared" si="7"/>
        <v>129525.12</v>
      </c>
      <c r="R20" s="792">
        <f t="shared" si="2"/>
        <v>8719</v>
      </c>
    </row>
    <row r="21" spans="1:18">
      <c r="A21" s="656">
        <f t="shared" si="0"/>
        <v>8</v>
      </c>
      <c r="B21" s="148" t="s">
        <v>403</v>
      </c>
      <c r="D21" s="141"/>
      <c r="E21" s="141">
        <v>164183.54999999999</v>
      </c>
      <c r="G21" s="136"/>
      <c r="H21" s="846">
        <v>43374</v>
      </c>
      <c r="I21" s="792">
        <f t="shared" si="5"/>
        <v>120806.12</v>
      </c>
      <c r="J21" s="1">
        <f t="shared" si="3"/>
        <v>8719</v>
      </c>
      <c r="L21" s="846">
        <v>43769</v>
      </c>
      <c r="M21" s="792">
        <f t="shared" si="4"/>
        <v>271716.84527777764</v>
      </c>
      <c r="N21" s="1">
        <f t="shared" si="6"/>
        <v>9369.546388888888</v>
      </c>
      <c r="P21" s="846">
        <v>43374</v>
      </c>
      <c r="Q21" s="792">
        <f t="shared" si="7"/>
        <v>120806.12</v>
      </c>
      <c r="R21" s="792">
        <f t="shared" si="2"/>
        <v>8719</v>
      </c>
    </row>
    <row r="22" spans="1:18">
      <c r="A22" s="656">
        <f t="shared" si="0"/>
        <v>9</v>
      </c>
      <c r="B22" s="148" t="s">
        <v>323</v>
      </c>
      <c r="D22" s="141"/>
      <c r="E22" s="141"/>
      <c r="G22" s="136"/>
      <c r="H22" s="846">
        <v>43405</v>
      </c>
      <c r="I22" s="792">
        <f t="shared" si="5"/>
        <v>112087.12</v>
      </c>
      <c r="J22" s="1">
        <f t="shared" si="3"/>
        <v>8719</v>
      </c>
      <c r="L22" s="846">
        <v>43799</v>
      </c>
      <c r="M22" s="792">
        <f t="shared" si="4"/>
        <v>262347.29888888873</v>
      </c>
      <c r="N22" s="1">
        <f t="shared" si="6"/>
        <v>9369.546388888888</v>
      </c>
      <c r="P22" s="846">
        <v>43405</v>
      </c>
      <c r="Q22" s="792">
        <f t="shared" si="7"/>
        <v>112087.12</v>
      </c>
      <c r="R22" s="792">
        <f t="shared" si="2"/>
        <v>8719</v>
      </c>
    </row>
    <row r="23" spans="1:18" ht="15.75">
      <c r="A23" s="656">
        <f t="shared" si="0"/>
        <v>10</v>
      </c>
      <c r="B23" s="147" t="s">
        <v>404</v>
      </c>
      <c r="D23" s="141"/>
      <c r="E23" s="141"/>
      <c r="G23" s="136"/>
      <c r="H23" s="846">
        <v>43435</v>
      </c>
      <c r="I23" s="792">
        <f t="shared" si="5"/>
        <v>103368.12</v>
      </c>
      <c r="J23" s="1">
        <f t="shared" si="3"/>
        <v>8719</v>
      </c>
      <c r="L23" s="846">
        <v>43830</v>
      </c>
      <c r="M23" s="792">
        <f t="shared" si="4"/>
        <v>252977.75249999986</v>
      </c>
      <c r="N23" s="1">
        <f t="shared" si="6"/>
        <v>9369.546388888888</v>
      </c>
      <c r="P23" s="846">
        <v>43435</v>
      </c>
      <c r="Q23" s="792">
        <f t="shared" si="7"/>
        <v>103368.12</v>
      </c>
      <c r="R23" s="792">
        <f t="shared" si="2"/>
        <v>8719</v>
      </c>
    </row>
    <row r="24" spans="1:18">
      <c r="A24" s="656">
        <f t="shared" si="0"/>
        <v>11</v>
      </c>
      <c r="B24" s="148" t="s">
        <v>406</v>
      </c>
      <c r="D24" s="141"/>
      <c r="E24" s="142">
        <v>23813.300000000003</v>
      </c>
      <c r="G24" s="139"/>
      <c r="H24" s="846">
        <v>43466</v>
      </c>
      <c r="I24" s="792">
        <f t="shared" si="5"/>
        <v>94649.12</v>
      </c>
      <c r="J24" s="1">
        <f t="shared" si="3"/>
        <v>8719</v>
      </c>
      <c r="L24" s="846">
        <v>43861</v>
      </c>
      <c r="M24" s="792">
        <f t="shared" si="4"/>
        <v>243608.20611111098</v>
      </c>
      <c r="N24" s="1">
        <f t="shared" si="6"/>
        <v>9369.546388888888</v>
      </c>
      <c r="P24" s="846">
        <v>43466</v>
      </c>
      <c r="Q24" s="792">
        <f t="shared" si="7"/>
        <v>94649.12</v>
      </c>
      <c r="R24" s="792">
        <f t="shared" si="2"/>
        <v>8719</v>
      </c>
    </row>
    <row r="25" spans="1:18">
      <c r="A25" s="656">
        <f t="shared" si="0"/>
        <v>12</v>
      </c>
      <c r="B25" s="148"/>
      <c r="D25" s="141"/>
      <c r="E25" s="141"/>
      <c r="H25" s="846">
        <v>43497</v>
      </c>
      <c r="I25" s="792">
        <f t="shared" si="5"/>
        <v>85930.12</v>
      </c>
      <c r="J25" s="1">
        <f t="shared" si="3"/>
        <v>8719</v>
      </c>
      <c r="L25" s="846">
        <v>43890</v>
      </c>
      <c r="M25" s="792">
        <f t="shared" si="4"/>
        <v>234238.6597222221</v>
      </c>
      <c r="N25" s="1">
        <f t="shared" si="6"/>
        <v>9369.546388888888</v>
      </c>
      <c r="P25" s="846">
        <v>43497</v>
      </c>
      <c r="Q25" s="792">
        <f t="shared" si="7"/>
        <v>85930.12</v>
      </c>
      <c r="R25" s="792">
        <f t="shared" si="2"/>
        <v>8719</v>
      </c>
    </row>
    <row r="26" spans="1:18" ht="15.75">
      <c r="A26" s="656">
        <f t="shared" si="0"/>
        <v>13</v>
      </c>
      <c r="B26" s="147" t="s">
        <v>407</v>
      </c>
      <c r="D26" s="141"/>
      <c r="E26" s="141"/>
      <c r="H26" s="846">
        <v>43525</v>
      </c>
      <c r="I26" s="803">
        <f t="shared" si="5"/>
        <v>77211.12</v>
      </c>
      <c r="J26" s="803">
        <f t="shared" si="3"/>
        <v>8719</v>
      </c>
      <c r="L26" s="846">
        <v>43921</v>
      </c>
      <c r="M26" s="803">
        <f t="shared" si="4"/>
        <v>224869.11333333323</v>
      </c>
      <c r="N26" s="803">
        <f t="shared" si="6"/>
        <v>9369.546388888888</v>
      </c>
      <c r="P26" s="846">
        <v>43525</v>
      </c>
      <c r="Q26" s="792">
        <f>I26+M14</f>
        <v>77211.12</v>
      </c>
      <c r="R26" s="792">
        <f>J26+N14</f>
        <v>8719</v>
      </c>
    </row>
    <row r="27" spans="1:18">
      <c r="A27" s="656">
        <f t="shared" si="0"/>
        <v>14</v>
      </c>
      <c r="B27" s="148" t="s">
        <v>408</v>
      </c>
      <c r="D27" s="141"/>
      <c r="E27" s="145">
        <v>96393.17</v>
      </c>
      <c r="G27" s="138"/>
      <c r="H27" s="846"/>
      <c r="I27" s="806">
        <f>AVERAGE(I14:I26)</f>
        <v>102220.56307692311</v>
      </c>
      <c r="J27" s="806">
        <f>SUM(J14:J26)</f>
        <v>95909</v>
      </c>
      <c r="M27" s="806">
        <f>AVERAGE(M14:M26)</f>
        <v>255139.95551282039</v>
      </c>
      <c r="N27" s="801">
        <f>SUM(N14:N26)</f>
        <v>112434.55666666669</v>
      </c>
      <c r="P27" s="846">
        <v>43585</v>
      </c>
      <c r="Q27" s="806">
        <f>I31+M15</f>
        <v>396426.24361111107</v>
      </c>
      <c r="R27" s="806">
        <f>J31+N15</f>
        <v>18088.546388888888</v>
      </c>
    </row>
    <row r="28" spans="1:18">
      <c r="A28" s="656">
        <f t="shared" si="0"/>
        <v>15</v>
      </c>
      <c r="B28" s="148"/>
      <c r="D28" s="141"/>
      <c r="E28" s="141"/>
      <c r="I28" t="s">
        <v>1442</v>
      </c>
      <c r="P28" s="846">
        <v>43616</v>
      </c>
      <c r="Q28" s="806">
        <f t="shared" ref="Q28:R28" si="8">I32+M16</f>
        <v>378337.69722222217</v>
      </c>
      <c r="R28" s="806">
        <f t="shared" si="8"/>
        <v>18088.546388888888</v>
      </c>
    </row>
    <row r="29" spans="1:18" ht="16.5" thickBot="1">
      <c r="A29" s="656">
        <f t="shared" si="0"/>
        <v>16</v>
      </c>
      <c r="B29" s="147" t="s">
        <v>957</v>
      </c>
      <c r="D29" s="141"/>
      <c r="E29" s="146">
        <f>SUM(E14:E27)</f>
        <v>337303.67</v>
      </c>
      <c r="G29" s="140"/>
      <c r="J29" s="1"/>
      <c r="P29" s="846">
        <v>43646</v>
      </c>
      <c r="Q29" s="806">
        <f t="shared" ref="Q29:R29" si="9">I33+M17</f>
        <v>360249.15083333326</v>
      </c>
      <c r="R29" s="806">
        <f t="shared" si="9"/>
        <v>18088.546388888888</v>
      </c>
    </row>
    <row r="30" spans="1:18" ht="15.75" thickTop="1">
      <c r="A30" s="656">
        <f t="shared" si="0"/>
        <v>17</v>
      </c>
      <c r="D30" s="141"/>
      <c r="E30" s="141"/>
      <c r="J30" s="1"/>
      <c r="P30" s="846">
        <v>43677</v>
      </c>
      <c r="Q30" s="806">
        <f t="shared" ref="Q30:R30" si="10">I34+M18</f>
        <v>342160.60444444435</v>
      </c>
      <c r="R30" s="806">
        <f t="shared" si="10"/>
        <v>18088.546388888888</v>
      </c>
    </row>
    <row r="31" spans="1:18" ht="16.5" thickBot="1">
      <c r="A31" s="656">
        <f t="shared" si="0"/>
        <v>18</v>
      </c>
      <c r="B31" s="147" t="s">
        <v>1670</v>
      </c>
      <c r="D31" s="118"/>
      <c r="E31" s="1169">
        <f>E29/3</f>
        <v>112434.55666666666</v>
      </c>
      <c r="H31" s="846">
        <v>43556</v>
      </c>
      <c r="I31" s="792">
        <f>I26-J31</f>
        <v>68492.12</v>
      </c>
      <c r="J31" s="1">
        <f t="shared" ref="J31:J37" si="11">313884/36</f>
        <v>8719</v>
      </c>
      <c r="L31" s="846">
        <v>43922</v>
      </c>
      <c r="M31" s="792">
        <f>M26-N31</f>
        <v>215499.56694444435</v>
      </c>
      <c r="N31" s="57">
        <f>$N$15</f>
        <v>9369.546388888888</v>
      </c>
      <c r="P31" s="846">
        <v>43708</v>
      </c>
      <c r="Q31" s="806">
        <f t="shared" ref="Q31:R31" si="12">I35+M19</f>
        <v>324072.05805555545</v>
      </c>
      <c r="R31" s="806">
        <f t="shared" si="12"/>
        <v>18088.546388888888</v>
      </c>
    </row>
    <row r="32" spans="1:18" ht="15.75" thickTop="1">
      <c r="A32" s="143"/>
      <c r="D32" s="118"/>
      <c r="H32" s="846">
        <v>43586</v>
      </c>
      <c r="I32" s="792">
        <f t="shared" ref="I32:I54" si="13">I31-J31</f>
        <v>59773.119999999995</v>
      </c>
      <c r="J32" s="1">
        <f t="shared" si="11"/>
        <v>8719</v>
      </c>
      <c r="L32" s="846">
        <v>43952</v>
      </c>
      <c r="M32" s="792">
        <f t="shared" ref="M32:M42" si="14">M31-N31</f>
        <v>206130.02055555547</v>
      </c>
      <c r="N32" s="57">
        <f t="shared" ref="N32:N54" si="15">$N$15</f>
        <v>9369.546388888888</v>
      </c>
      <c r="P32" s="846">
        <v>43738</v>
      </c>
      <c r="Q32" s="806">
        <f t="shared" ref="Q32:R32" si="16">I36+M20</f>
        <v>305983.51166666654</v>
      </c>
      <c r="R32" s="806">
        <f t="shared" si="16"/>
        <v>18088.546388888888</v>
      </c>
    </row>
    <row r="33" spans="1:18">
      <c r="A33" s="149"/>
      <c r="H33" s="846">
        <v>43617</v>
      </c>
      <c r="I33" s="792">
        <f t="shared" si="13"/>
        <v>51054.119999999995</v>
      </c>
      <c r="J33" s="1">
        <f t="shared" si="11"/>
        <v>8719</v>
      </c>
      <c r="L33" s="846">
        <v>43983</v>
      </c>
      <c r="M33" s="792">
        <f t="shared" si="14"/>
        <v>196760.47416666659</v>
      </c>
      <c r="N33" s="57">
        <f t="shared" si="15"/>
        <v>9369.546388888888</v>
      </c>
      <c r="P33" s="846">
        <v>43769</v>
      </c>
      <c r="Q33" s="806">
        <f t="shared" ref="Q33:R33" si="17">I37+M21</f>
        <v>287894.96527777764</v>
      </c>
      <c r="R33" s="806">
        <f t="shared" si="17"/>
        <v>18088.546388888888</v>
      </c>
    </row>
    <row r="34" spans="1:18">
      <c r="A34" s="148"/>
      <c r="H34" s="846">
        <v>43647</v>
      </c>
      <c r="I34" s="792">
        <f t="shared" si="13"/>
        <v>42335.119999999995</v>
      </c>
      <c r="J34" s="1">
        <f t="shared" si="11"/>
        <v>8719</v>
      </c>
      <c r="L34" s="846">
        <v>44013</v>
      </c>
      <c r="M34" s="792">
        <f t="shared" si="14"/>
        <v>187390.92777777772</v>
      </c>
      <c r="N34" s="57">
        <f t="shared" si="15"/>
        <v>9369.546388888888</v>
      </c>
      <c r="P34" s="846">
        <v>43799</v>
      </c>
      <c r="Q34" s="806">
        <f t="shared" ref="Q34:R34" si="18">I38+M22</f>
        <v>269806.41888888873</v>
      </c>
      <c r="R34" s="806">
        <f t="shared" si="18"/>
        <v>16828.546388888888</v>
      </c>
    </row>
    <row r="35" spans="1:18">
      <c r="B35" t="s">
        <v>518</v>
      </c>
      <c r="H35" s="846">
        <v>43678</v>
      </c>
      <c r="I35" s="792">
        <f t="shared" si="13"/>
        <v>33616.119999999995</v>
      </c>
      <c r="J35" s="1">
        <f t="shared" si="11"/>
        <v>8719</v>
      </c>
      <c r="L35" s="846">
        <v>44044</v>
      </c>
      <c r="M35" s="792">
        <f t="shared" si="14"/>
        <v>178021.38138888884</v>
      </c>
      <c r="N35" s="57">
        <f t="shared" si="15"/>
        <v>9369.546388888888</v>
      </c>
      <c r="P35" s="846">
        <v>43830</v>
      </c>
      <c r="Q35" s="806">
        <f t="shared" ref="Q35:R35" si="19">I39+M23</f>
        <v>252977.87249999985</v>
      </c>
      <c r="R35" s="806">
        <f t="shared" si="19"/>
        <v>9369.546388888888</v>
      </c>
    </row>
    <row r="36" spans="1:18">
      <c r="B36" t="s">
        <v>1590</v>
      </c>
      <c r="H36" s="846">
        <v>43709</v>
      </c>
      <c r="I36" s="792">
        <f t="shared" si="13"/>
        <v>24897.119999999995</v>
      </c>
      <c r="J36" s="1">
        <f t="shared" si="11"/>
        <v>8719</v>
      </c>
      <c r="L36" s="846">
        <v>44075</v>
      </c>
      <c r="M36" s="792">
        <f t="shared" si="14"/>
        <v>168651.83499999996</v>
      </c>
      <c r="N36" s="57">
        <f t="shared" si="15"/>
        <v>9369.546388888888</v>
      </c>
      <c r="P36" s="846">
        <v>43861</v>
      </c>
      <c r="Q36" s="806">
        <f t="shared" ref="Q36:R36" si="20">I40+M24</f>
        <v>243608.32611111098</v>
      </c>
      <c r="R36" s="806">
        <f t="shared" si="20"/>
        <v>9369.546388888888</v>
      </c>
    </row>
    <row r="37" spans="1:18">
      <c r="H37" s="846">
        <v>43739</v>
      </c>
      <c r="I37" s="792">
        <f t="shared" ref="I37" si="21">I36-J36</f>
        <v>16178.119999999995</v>
      </c>
      <c r="J37" s="1">
        <f t="shared" si="11"/>
        <v>8719</v>
      </c>
      <c r="L37" s="846">
        <v>44105</v>
      </c>
      <c r="M37" s="792">
        <f t="shared" si="14"/>
        <v>159282.28861111109</v>
      </c>
      <c r="N37" s="57">
        <f t="shared" si="15"/>
        <v>9369.546388888888</v>
      </c>
      <c r="P37" s="846">
        <v>43890</v>
      </c>
      <c r="Q37" s="806">
        <f t="shared" ref="Q37:R37" si="22">I41+M25</f>
        <v>234238.7797222221</v>
      </c>
      <c r="R37" s="806">
        <f t="shared" si="22"/>
        <v>9369.546388888888</v>
      </c>
    </row>
    <row r="38" spans="1:18">
      <c r="H38" s="846">
        <v>43770</v>
      </c>
      <c r="I38" s="792">
        <f t="shared" si="13"/>
        <v>7459.1199999999953</v>
      </c>
      <c r="J38" s="1">
        <f>7459</f>
        <v>7459</v>
      </c>
      <c r="L38" s="846">
        <v>44136</v>
      </c>
      <c r="M38" s="792">
        <f t="shared" si="14"/>
        <v>149912.74222222221</v>
      </c>
      <c r="N38" s="57">
        <f t="shared" si="15"/>
        <v>9369.546388888888</v>
      </c>
      <c r="P38" s="846">
        <v>43921</v>
      </c>
      <c r="Q38" s="1161">
        <f t="shared" ref="Q38:R38" si="23">I42+M26</f>
        <v>224869.23333333322</v>
      </c>
      <c r="R38" s="1161">
        <f t="shared" si="23"/>
        <v>9369.546388888888</v>
      </c>
    </row>
    <row r="39" spans="1:18">
      <c r="H39" s="846">
        <v>43800</v>
      </c>
      <c r="I39" s="792">
        <f t="shared" si="13"/>
        <v>0.11999999999534339</v>
      </c>
      <c r="J39" s="1">
        <f>0</f>
        <v>0</v>
      </c>
      <c r="L39" s="846">
        <v>44166</v>
      </c>
      <c r="M39" s="792">
        <f t="shared" si="14"/>
        <v>140543.19583333333</v>
      </c>
      <c r="N39" s="57">
        <f t="shared" si="15"/>
        <v>9369.546388888888</v>
      </c>
      <c r="Q39" s="806">
        <f>AVERAGE(Q26:Q38)</f>
        <v>284448.92166666657</v>
      </c>
      <c r="R39" s="801">
        <f>SUM(R27:R38)</f>
        <v>180926.55666666661</v>
      </c>
    </row>
    <row r="40" spans="1:18">
      <c r="B40" s="591"/>
      <c r="H40" s="846">
        <v>43831</v>
      </c>
      <c r="I40" s="792">
        <f t="shared" si="13"/>
        <v>0.11999999999534339</v>
      </c>
      <c r="J40" s="1">
        <f>0</f>
        <v>0</v>
      </c>
      <c r="L40" s="846">
        <v>44197</v>
      </c>
      <c r="M40" s="792">
        <f t="shared" si="14"/>
        <v>131173.64944444445</v>
      </c>
      <c r="N40" s="57">
        <f t="shared" si="15"/>
        <v>9369.546388888888</v>
      </c>
      <c r="Q40" s="792" t="s">
        <v>1442</v>
      </c>
    </row>
    <row r="41" spans="1:18">
      <c r="H41" s="846">
        <v>43862</v>
      </c>
      <c r="I41" s="792">
        <f t="shared" si="13"/>
        <v>0.11999999999534339</v>
      </c>
      <c r="J41" s="1">
        <f>0</f>
        <v>0</v>
      </c>
      <c r="L41" s="846">
        <v>44228</v>
      </c>
      <c r="M41" s="792">
        <f t="shared" si="14"/>
        <v>121804.10305555556</v>
      </c>
      <c r="N41" s="57">
        <f t="shared" si="15"/>
        <v>9369.546388888888</v>
      </c>
      <c r="P41" s="846">
        <v>43922</v>
      </c>
      <c r="Q41" s="792">
        <f t="shared" ref="Q41:Q64" si="24">I43+M31</f>
        <v>215499.68694444434</v>
      </c>
      <c r="R41" s="792">
        <f t="shared" ref="R41:R64" si="25">J43+N31</f>
        <v>9369.546388888888</v>
      </c>
    </row>
    <row r="42" spans="1:18">
      <c r="H42" s="846">
        <v>43891</v>
      </c>
      <c r="I42" s="792">
        <f t="shared" si="13"/>
        <v>0.11999999999534339</v>
      </c>
      <c r="J42" s="1">
        <f>0</f>
        <v>0</v>
      </c>
      <c r="L42" s="846">
        <v>44256</v>
      </c>
      <c r="M42" s="792">
        <f t="shared" si="14"/>
        <v>112434.55666666667</v>
      </c>
      <c r="N42" s="57">
        <f t="shared" si="15"/>
        <v>9369.546388888888</v>
      </c>
      <c r="P42" s="846">
        <v>43952</v>
      </c>
      <c r="Q42" s="792">
        <f t="shared" si="24"/>
        <v>206130.14055555547</v>
      </c>
      <c r="R42" s="792">
        <f t="shared" si="25"/>
        <v>9369.546388888888</v>
      </c>
    </row>
    <row r="43" spans="1:18">
      <c r="A43" s="399"/>
      <c r="B43" s="835"/>
      <c r="C43" s="81"/>
      <c r="D43" s="81"/>
      <c r="E43" s="81"/>
      <c r="F43" s="1"/>
      <c r="H43" s="846">
        <v>43922</v>
      </c>
      <c r="I43" s="792">
        <f t="shared" si="13"/>
        <v>0.11999999999534339</v>
      </c>
      <c r="J43" s="1">
        <f>0</f>
        <v>0</v>
      </c>
      <c r="L43" s="846">
        <v>44287</v>
      </c>
      <c r="M43" s="792">
        <f t="shared" ref="M43:M54" si="26">M42-N42</f>
        <v>103065.01027777778</v>
      </c>
      <c r="N43" s="57">
        <f t="shared" si="15"/>
        <v>9369.546388888888</v>
      </c>
      <c r="P43" s="846">
        <v>43983</v>
      </c>
      <c r="Q43" s="792">
        <f t="shared" si="24"/>
        <v>196760.59416666659</v>
      </c>
      <c r="R43" s="792">
        <f t="shared" si="25"/>
        <v>9369.546388888888</v>
      </c>
    </row>
    <row r="44" spans="1:18">
      <c r="A44" s="399"/>
      <c r="B44" s="836"/>
      <c r="C44" s="81"/>
      <c r="D44" s="81"/>
      <c r="E44" s="81"/>
      <c r="F44" s="1"/>
      <c r="H44" s="846">
        <v>43952</v>
      </c>
      <c r="I44" s="792">
        <f t="shared" si="13"/>
        <v>0.11999999999534339</v>
      </c>
      <c r="J44" s="1">
        <f>0</f>
        <v>0</v>
      </c>
      <c r="L44" s="846">
        <v>44317</v>
      </c>
      <c r="M44" s="792">
        <f t="shared" si="26"/>
        <v>93695.463888888888</v>
      </c>
      <c r="N44" s="57">
        <f t="shared" si="15"/>
        <v>9369.546388888888</v>
      </c>
      <c r="P44" s="846">
        <v>44013</v>
      </c>
      <c r="Q44" s="792">
        <f t="shared" si="24"/>
        <v>187391.04777777771</v>
      </c>
      <c r="R44" s="792">
        <f t="shared" si="25"/>
        <v>9369.546388888888</v>
      </c>
    </row>
    <row r="45" spans="1:18">
      <c r="A45" s="399"/>
      <c r="B45" s="837"/>
      <c r="C45" s="81"/>
      <c r="D45" s="81"/>
      <c r="E45" s="80"/>
      <c r="F45" s="1"/>
      <c r="H45" s="846">
        <v>43983</v>
      </c>
      <c r="I45" s="792">
        <f t="shared" si="13"/>
        <v>0.11999999999534339</v>
      </c>
      <c r="J45" s="1">
        <f>0</f>
        <v>0</v>
      </c>
      <c r="L45" s="846">
        <v>44348</v>
      </c>
      <c r="M45" s="792">
        <f t="shared" si="26"/>
        <v>84325.917499999996</v>
      </c>
      <c r="N45" s="57">
        <f t="shared" si="15"/>
        <v>9369.546388888888</v>
      </c>
      <c r="P45" s="846">
        <v>44044</v>
      </c>
      <c r="Q45" s="792">
        <f t="shared" si="24"/>
        <v>178021.50138888884</v>
      </c>
      <c r="R45" s="792">
        <f t="shared" si="25"/>
        <v>9369.546388888888</v>
      </c>
    </row>
    <row r="46" spans="1:18">
      <c r="A46" s="399"/>
      <c r="B46" s="837"/>
      <c r="C46" s="81"/>
      <c r="D46" s="81"/>
      <c r="E46" s="80"/>
      <c r="F46" s="1"/>
      <c r="H46" s="846">
        <v>44013</v>
      </c>
      <c r="I46" s="792">
        <f t="shared" si="13"/>
        <v>0.11999999999534339</v>
      </c>
      <c r="J46" s="1">
        <f>0</f>
        <v>0</v>
      </c>
      <c r="L46" s="846">
        <v>44378</v>
      </c>
      <c r="M46" s="792">
        <f t="shared" si="26"/>
        <v>74956.371111111104</v>
      </c>
      <c r="N46" s="57">
        <f t="shared" si="15"/>
        <v>9369.546388888888</v>
      </c>
      <c r="P46" s="846">
        <v>44075</v>
      </c>
      <c r="Q46" s="792">
        <f t="shared" si="24"/>
        <v>168651.95499999996</v>
      </c>
      <c r="R46" s="792">
        <f t="shared" si="25"/>
        <v>9369.546388888888</v>
      </c>
    </row>
    <row r="47" spans="1:18">
      <c r="A47" s="399"/>
      <c r="B47" s="837"/>
      <c r="C47" s="81"/>
      <c r="D47" s="81"/>
      <c r="E47" s="80"/>
      <c r="F47" s="1"/>
      <c r="H47" s="846">
        <v>44044</v>
      </c>
      <c r="I47" s="792">
        <f t="shared" si="13"/>
        <v>0.11999999999534339</v>
      </c>
      <c r="J47" s="1">
        <f>0</f>
        <v>0</v>
      </c>
      <c r="L47" s="846">
        <v>44409</v>
      </c>
      <c r="M47" s="792">
        <f t="shared" si="26"/>
        <v>65586.824722222213</v>
      </c>
      <c r="N47" s="57">
        <f t="shared" si="15"/>
        <v>9369.546388888888</v>
      </c>
      <c r="P47" s="846">
        <v>44105</v>
      </c>
      <c r="Q47" s="792">
        <f t="shared" si="24"/>
        <v>159282.40861111108</v>
      </c>
      <c r="R47" s="792">
        <f t="shared" si="25"/>
        <v>9369.546388888888</v>
      </c>
    </row>
    <row r="48" spans="1:18">
      <c r="A48" s="399"/>
      <c r="B48" s="837"/>
      <c r="C48" s="81"/>
      <c r="D48" s="81"/>
      <c r="E48" s="74"/>
      <c r="F48" s="1"/>
      <c r="H48" s="846">
        <v>44075</v>
      </c>
      <c r="I48" s="792">
        <f t="shared" si="13"/>
        <v>0.11999999999534339</v>
      </c>
      <c r="J48" s="1">
        <f>0</f>
        <v>0</v>
      </c>
      <c r="L48" s="846">
        <v>44440</v>
      </c>
      <c r="M48" s="792">
        <f t="shared" si="26"/>
        <v>56217.278333333321</v>
      </c>
      <c r="N48" s="57">
        <f t="shared" si="15"/>
        <v>9369.546388888888</v>
      </c>
      <c r="P48" s="846">
        <v>44136</v>
      </c>
      <c r="Q48" s="792">
        <f t="shared" si="24"/>
        <v>149912.8622222222</v>
      </c>
      <c r="R48" s="792">
        <f t="shared" si="25"/>
        <v>9369.546388888888</v>
      </c>
    </row>
    <row r="49" spans="1:18">
      <c r="A49" s="399"/>
      <c r="B49" s="837"/>
      <c r="C49" s="81"/>
      <c r="D49" s="80"/>
      <c r="E49" s="74"/>
      <c r="F49" s="1"/>
      <c r="G49" s="591"/>
      <c r="H49" s="846">
        <v>44105</v>
      </c>
      <c r="I49" s="792">
        <f t="shared" si="13"/>
        <v>0.11999999999534339</v>
      </c>
      <c r="J49" s="1">
        <f>0</f>
        <v>0</v>
      </c>
      <c r="L49" s="846">
        <v>44470</v>
      </c>
      <c r="M49" s="792">
        <f t="shared" si="26"/>
        <v>46847.731944444429</v>
      </c>
      <c r="N49" s="57">
        <f t="shared" si="15"/>
        <v>9369.546388888888</v>
      </c>
      <c r="P49" s="846">
        <v>44166</v>
      </c>
      <c r="Q49" s="792">
        <f t="shared" si="24"/>
        <v>140543.31583333333</v>
      </c>
      <c r="R49" s="792">
        <f t="shared" si="25"/>
        <v>9369.546388888888</v>
      </c>
    </row>
    <row r="50" spans="1:18">
      <c r="A50" s="399"/>
      <c r="B50" s="399"/>
      <c r="C50" s="1"/>
      <c r="D50" s="1"/>
      <c r="E50" s="1"/>
      <c r="F50" s="1"/>
      <c r="H50" s="846">
        <v>44136</v>
      </c>
      <c r="I50" s="792">
        <f t="shared" si="13"/>
        <v>0.11999999999534339</v>
      </c>
      <c r="J50" s="1">
        <f>0</f>
        <v>0</v>
      </c>
      <c r="L50" s="846">
        <v>44501</v>
      </c>
      <c r="M50" s="792">
        <f t="shared" si="26"/>
        <v>37478.185555555538</v>
      </c>
      <c r="N50" s="57">
        <f t="shared" si="15"/>
        <v>9369.546388888888</v>
      </c>
      <c r="P50" s="846">
        <v>44197</v>
      </c>
      <c r="Q50" s="792">
        <f t="shared" si="24"/>
        <v>131173.76944444445</v>
      </c>
      <c r="R50" s="792">
        <f t="shared" si="25"/>
        <v>9369.546388888888</v>
      </c>
    </row>
    <row r="51" spans="1:18">
      <c r="H51" s="846">
        <v>44166</v>
      </c>
      <c r="I51" s="792">
        <f t="shared" si="13"/>
        <v>0.11999999999534339</v>
      </c>
      <c r="J51" s="1">
        <f>0</f>
        <v>0</v>
      </c>
      <c r="L51" s="846">
        <v>44531</v>
      </c>
      <c r="M51" s="792">
        <f t="shared" si="26"/>
        <v>28108.63916666665</v>
      </c>
      <c r="N51" s="57">
        <f t="shared" si="15"/>
        <v>9369.546388888888</v>
      </c>
      <c r="P51" s="846">
        <v>44228</v>
      </c>
      <c r="Q51" s="792">
        <f t="shared" si="24"/>
        <v>121804.22305555556</v>
      </c>
      <c r="R51" s="792">
        <f t="shared" si="25"/>
        <v>9369.546388888888</v>
      </c>
    </row>
    <row r="52" spans="1:18">
      <c r="H52" s="846">
        <v>44197</v>
      </c>
      <c r="I52" s="792">
        <f t="shared" si="13"/>
        <v>0.11999999999534339</v>
      </c>
      <c r="J52" s="1">
        <f>0</f>
        <v>0</v>
      </c>
      <c r="L52" s="846">
        <v>44562</v>
      </c>
      <c r="M52" s="792">
        <f t="shared" si="26"/>
        <v>18739.092777777762</v>
      </c>
      <c r="N52" s="57">
        <f t="shared" si="15"/>
        <v>9369.546388888888</v>
      </c>
      <c r="P52" s="846">
        <v>44256</v>
      </c>
      <c r="Q52" s="792">
        <f t="shared" si="24"/>
        <v>112434.67666666667</v>
      </c>
      <c r="R52" s="792">
        <f t="shared" si="25"/>
        <v>9369.546388888888</v>
      </c>
    </row>
    <row r="53" spans="1:18">
      <c r="H53" s="846">
        <v>44228</v>
      </c>
      <c r="I53" s="792">
        <f t="shared" si="13"/>
        <v>0.11999999999534339</v>
      </c>
      <c r="J53" s="1">
        <f>0</f>
        <v>0</v>
      </c>
      <c r="L53" s="846">
        <v>44593</v>
      </c>
      <c r="M53" s="792">
        <f t="shared" si="26"/>
        <v>9369.5463888888735</v>
      </c>
      <c r="N53" s="57">
        <f t="shared" si="15"/>
        <v>9369.546388888888</v>
      </c>
      <c r="P53" s="846">
        <v>44287</v>
      </c>
      <c r="Q53" s="792">
        <f t="shared" si="24"/>
        <v>103065.01027777778</v>
      </c>
      <c r="R53" s="792">
        <f t="shared" si="25"/>
        <v>9369.546388888888</v>
      </c>
    </row>
    <row r="54" spans="1:18">
      <c r="H54" s="846">
        <v>44256</v>
      </c>
      <c r="I54" s="792">
        <f t="shared" si="13"/>
        <v>0.11999999999534339</v>
      </c>
      <c r="J54" s="1">
        <f>0</f>
        <v>0</v>
      </c>
      <c r="L54" s="846">
        <v>44621</v>
      </c>
      <c r="M54" s="792">
        <f t="shared" si="26"/>
        <v>-1.4551915228366852E-11</v>
      </c>
      <c r="N54" s="57">
        <f t="shared" si="15"/>
        <v>9369.546388888888</v>
      </c>
      <c r="P54" s="846">
        <v>44317</v>
      </c>
      <c r="Q54" s="792">
        <f t="shared" si="24"/>
        <v>93695.463888888888</v>
      </c>
      <c r="R54" s="792">
        <f t="shared" si="25"/>
        <v>9369.546388888888</v>
      </c>
    </row>
    <row r="55" spans="1:18">
      <c r="I55" s="792"/>
      <c r="P55" s="846">
        <v>44348</v>
      </c>
      <c r="Q55" s="792">
        <f t="shared" si="24"/>
        <v>84325.917499999996</v>
      </c>
      <c r="R55" s="792">
        <f t="shared" si="25"/>
        <v>9369.546388888888</v>
      </c>
    </row>
    <row r="56" spans="1:18">
      <c r="P56" s="846">
        <v>44378</v>
      </c>
      <c r="Q56" s="792">
        <f t="shared" si="24"/>
        <v>74956.371111111104</v>
      </c>
      <c r="R56" s="792">
        <f t="shared" si="25"/>
        <v>9369.546388888888</v>
      </c>
    </row>
    <row r="57" spans="1:18">
      <c r="P57" s="846">
        <v>44409</v>
      </c>
      <c r="Q57" s="792">
        <f t="shared" si="24"/>
        <v>65586.824722222213</v>
      </c>
      <c r="R57" s="792">
        <f t="shared" si="25"/>
        <v>9369.546388888888</v>
      </c>
    </row>
    <row r="58" spans="1:18">
      <c r="P58" s="846">
        <v>44440</v>
      </c>
      <c r="Q58" s="792">
        <f t="shared" si="24"/>
        <v>56217.278333333321</v>
      </c>
      <c r="R58" s="792">
        <f t="shared" si="25"/>
        <v>9369.546388888888</v>
      </c>
    </row>
    <row r="59" spans="1:18">
      <c r="P59" s="846">
        <v>44470</v>
      </c>
      <c r="Q59" s="792">
        <f t="shared" si="24"/>
        <v>46847.731944444429</v>
      </c>
      <c r="R59" s="792">
        <f t="shared" si="25"/>
        <v>9369.546388888888</v>
      </c>
    </row>
    <row r="60" spans="1:18">
      <c r="P60" s="846">
        <v>44501</v>
      </c>
      <c r="Q60" s="792">
        <f t="shared" si="24"/>
        <v>37478.185555555538</v>
      </c>
      <c r="R60" s="792">
        <f t="shared" si="25"/>
        <v>9369.546388888888</v>
      </c>
    </row>
    <row r="61" spans="1:18">
      <c r="P61" s="846">
        <v>44531</v>
      </c>
      <c r="Q61" s="792">
        <f t="shared" si="24"/>
        <v>28108.63916666665</v>
      </c>
      <c r="R61" s="792">
        <f t="shared" si="25"/>
        <v>9369.546388888888</v>
      </c>
    </row>
    <row r="62" spans="1:18">
      <c r="P62" s="846">
        <v>44562</v>
      </c>
      <c r="Q62" s="792">
        <f t="shared" si="24"/>
        <v>18739.092777777762</v>
      </c>
      <c r="R62" s="792">
        <f t="shared" si="25"/>
        <v>9369.546388888888</v>
      </c>
    </row>
    <row r="63" spans="1:18">
      <c r="P63" s="846">
        <v>44593</v>
      </c>
      <c r="Q63" s="792">
        <f t="shared" si="24"/>
        <v>9369.5463888888735</v>
      </c>
      <c r="R63" s="792">
        <f t="shared" si="25"/>
        <v>9369.546388888888</v>
      </c>
    </row>
    <row r="64" spans="1:18">
      <c r="P64" s="846">
        <v>44621</v>
      </c>
      <c r="Q64" s="792">
        <f t="shared" si="24"/>
        <v>-1.4551915228366852E-11</v>
      </c>
      <c r="R64" s="792">
        <f t="shared" si="25"/>
        <v>9369.546388888888</v>
      </c>
    </row>
  </sheetData>
  <mergeCells count="3">
    <mergeCell ref="A1:E1"/>
    <mergeCell ref="A2:E2"/>
    <mergeCell ref="A3:E3"/>
  </mergeCells>
  <phoneticPr fontId="23" type="noConversion"/>
  <printOptions horizontalCentered="1"/>
  <pageMargins left="1" right="0.87" top="1" bottom="1" header="0.5" footer="0.5"/>
  <pageSetup scale="25" orientation="portrait" verticalDpi="300" r:id="rId1"/>
  <headerFooter alignWithMargins="0">
    <oddFooter>&amp;RSchedule &amp;A
Page &amp;P of 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L56"/>
  <sheetViews>
    <sheetView view="pageBreakPreview" zoomScale="80" zoomScaleNormal="90" zoomScaleSheetLayoutView="80" workbookViewId="0">
      <pane ySplit="13" topLeftCell="A23" activePane="bottomLeft" state="frozen"/>
      <selection activeCell="J154" sqref="J154"/>
      <selection pane="bottomLeft" activeCell="J154" sqref="J154"/>
    </sheetView>
  </sheetViews>
  <sheetFormatPr defaultRowHeight="15"/>
  <cols>
    <col min="1" max="1" width="5.21875" style="80" customWidth="1"/>
    <col min="2" max="2" width="24.6640625" style="80" customWidth="1"/>
    <col min="3" max="3" width="9.5546875" style="80" bestFit="1" customWidth="1"/>
    <col min="4" max="4" width="11.6640625" style="80" customWidth="1"/>
    <col min="5" max="5" width="9.44140625" style="80" customWidth="1"/>
    <col min="6" max="6" width="4.109375" style="80" customWidth="1"/>
    <col min="7" max="7" width="11" style="80" customWidth="1"/>
    <col min="8" max="8" width="10.77734375" style="80" customWidth="1"/>
    <col min="9" max="9" width="10.109375" style="80" customWidth="1"/>
    <col min="10" max="16384" width="8.88671875" style="80"/>
  </cols>
  <sheetData>
    <row r="1" spans="1:12" ht="15.75">
      <c r="A1" s="1211" t="str">
        <f>'Table of Contents'!A1:C1</f>
        <v>Atmos Energy Corporation, Kentucky/Mid-States Division</v>
      </c>
      <c r="B1" s="1211"/>
      <c r="C1" s="1211"/>
      <c r="D1" s="1211"/>
      <c r="E1" s="1211"/>
      <c r="F1" s="1211"/>
      <c r="G1" s="1211"/>
      <c r="H1" s="1211"/>
      <c r="I1" s="1211"/>
      <c r="J1" s="103"/>
    </row>
    <row r="2" spans="1:12" ht="15.75">
      <c r="A2" s="1211" t="str">
        <f>'Table of Contents'!A2:C2</f>
        <v>Kentucky Jurisdiction Case No. 2018-00281</v>
      </c>
      <c r="B2" s="1211"/>
      <c r="C2" s="1211"/>
      <c r="D2" s="1211"/>
      <c r="E2" s="1211"/>
      <c r="F2" s="1211"/>
      <c r="G2" s="1211"/>
      <c r="H2" s="1211"/>
      <c r="I2" s="1211"/>
      <c r="J2" s="103"/>
    </row>
    <row r="3" spans="1:12" ht="15.75">
      <c r="A3" s="1211" t="s">
        <v>40</v>
      </c>
      <c r="B3" s="1211"/>
      <c r="C3" s="1211"/>
      <c r="D3" s="1211"/>
      <c r="E3" s="1211"/>
      <c r="F3" s="1211"/>
      <c r="G3" s="1211"/>
      <c r="H3" s="1211"/>
      <c r="I3" s="1211"/>
      <c r="J3" s="103"/>
    </row>
    <row r="4" spans="1:12" ht="15.75">
      <c r="A4" s="1211" t="str">
        <f>'Table of Contents'!A3:C3</f>
        <v>Base Period: Twelve Months Ended December 31, 2018</v>
      </c>
      <c r="B4" s="1211"/>
      <c r="C4" s="1211"/>
      <c r="D4" s="1211"/>
      <c r="E4" s="1211"/>
      <c r="F4" s="1211"/>
      <c r="G4" s="1211"/>
      <c r="H4" s="1211"/>
      <c r="I4" s="1211"/>
      <c r="J4" s="103"/>
    </row>
    <row r="5" spans="1:12" ht="15.75">
      <c r="A5" s="1211" t="str">
        <f>'Table of Contents'!A4:C4</f>
        <v>Forecasted Test Period: Twelve Months Ended March 31, 2020</v>
      </c>
      <c r="B5" s="1211"/>
      <c r="C5" s="1211"/>
      <c r="D5" s="1211"/>
      <c r="E5" s="1211"/>
      <c r="F5" s="1211"/>
      <c r="G5" s="1211"/>
      <c r="H5" s="1211"/>
      <c r="I5" s="1211"/>
      <c r="J5" s="103"/>
    </row>
    <row r="6" spans="1:12" ht="15.75">
      <c r="A6" s="920"/>
      <c r="B6" s="920"/>
      <c r="C6" s="103"/>
      <c r="D6" s="103"/>
      <c r="E6" s="103"/>
      <c r="F6" s="103"/>
      <c r="G6" s="103"/>
      <c r="H6" s="103"/>
      <c r="I6" s="103"/>
      <c r="J6" s="103"/>
      <c r="L6" s="690"/>
    </row>
    <row r="7" spans="1:12" ht="15.75">
      <c r="A7" s="920"/>
      <c r="B7" s="920"/>
      <c r="C7" s="103"/>
      <c r="D7" s="901"/>
      <c r="F7" s="103"/>
      <c r="G7" s="103"/>
      <c r="I7" s="103"/>
      <c r="J7" s="103"/>
      <c r="L7" s="690"/>
    </row>
    <row r="8" spans="1:12">
      <c r="A8" s="694" t="s">
        <v>136</v>
      </c>
      <c r="B8" s="103"/>
      <c r="C8" s="103"/>
      <c r="D8" s="103"/>
      <c r="E8" s="103"/>
      <c r="F8" s="103"/>
      <c r="G8" s="103"/>
      <c r="I8" s="170" t="s">
        <v>1407</v>
      </c>
      <c r="J8" s="103"/>
    </row>
    <row r="9" spans="1:12">
      <c r="A9" s="694" t="s">
        <v>1122</v>
      </c>
      <c r="B9" s="103"/>
      <c r="C9" s="103"/>
      <c r="D9" s="103"/>
      <c r="E9" s="103"/>
      <c r="F9" s="103"/>
      <c r="G9" s="103"/>
      <c r="I9" s="921" t="s">
        <v>573</v>
      </c>
      <c r="J9" s="103"/>
    </row>
    <row r="10" spans="1:12">
      <c r="A10" s="694" t="s">
        <v>426</v>
      </c>
      <c r="B10" s="103"/>
      <c r="C10" s="103"/>
      <c r="D10" s="103"/>
      <c r="E10" s="103"/>
      <c r="F10" s="103"/>
      <c r="G10" s="103"/>
      <c r="H10" s="806"/>
      <c r="I10" s="923" t="str">
        <f>F.1!$F$9</f>
        <v>Witness: Waller</v>
      </c>
      <c r="J10" s="103"/>
    </row>
    <row r="11" spans="1:12" ht="15.75">
      <c r="A11" s="924"/>
      <c r="B11" s="924"/>
      <c r="C11" s="925"/>
      <c r="D11" s="926" t="s">
        <v>324</v>
      </c>
      <c r="E11" s="927"/>
      <c r="F11" s="924"/>
      <c r="G11" s="925"/>
      <c r="H11" s="926" t="s">
        <v>325</v>
      </c>
      <c r="I11" s="927"/>
      <c r="J11" s="103"/>
      <c r="L11" s="690"/>
    </row>
    <row r="12" spans="1:12">
      <c r="A12" s="121" t="s">
        <v>93</v>
      </c>
      <c r="B12" s="121" t="s">
        <v>571</v>
      </c>
      <c r="C12" s="121" t="s">
        <v>96</v>
      </c>
      <c r="D12" s="853" t="s">
        <v>11</v>
      </c>
      <c r="E12" s="955" t="s">
        <v>12</v>
      </c>
      <c r="F12" s="955"/>
      <c r="G12" s="121" t="s">
        <v>96</v>
      </c>
      <c r="H12" s="955" t="str">
        <f>D12</f>
        <v xml:space="preserve">Kentucky </v>
      </c>
      <c r="I12" s="955" t="s">
        <v>981</v>
      </c>
      <c r="J12" s="103"/>
    </row>
    <row r="13" spans="1:12">
      <c r="A13" s="648" t="s">
        <v>99</v>
      </c>
      <c r="B13" s="648" t="s">
        <v>1081</v>
      </c>
      <c r="C13" s="648" t="s">
        <v>593</v>
      </c>
      <c r="D13" s="928" t="s">
        <v>97</v>
      </c>
      <c r="E13" s="648" t="s">
        <v>104</v>
      </c>
      <c r="F13" s="648"/>
      <c r="G13" s="648" t="s">
        <v>593</v>
      </c>
      <c r="H13" s="648" t="str">
        <f>D13</f>
        <v>Jurisdictional</v>
      </c>
      <c r="I13" s="648" t="s">
        <v>104</v>
      </c>
      <c r="J13" s="103"/>
      <c r="L13" s="690"/>
    </row>
    <row r="14" spans="1:12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2" ht="15.75">
      <c r="A15" s="583">
        <v>1</v>
      </c>
      <c r="B15" s="1110" t="s">
        <v>193</v>
      </c>
      <c r="C15" s="376"/>
      <c r="D15" s="74"/>
      <c r="E15" s="380"/>
      <c r="F15" s="74"/>
      <c r="G15" s="376"/>
      <c r="H15" s="74"/>
      <c r="I15" s="380"/>
      <c r="J15" s="1067"/>
    </row>
    <row r="16" spans="1:12">
      <c r="A16" s="583">
        <v>2</v>
      </c>
      <c r="B16" s="417" t="s">
        <v>574</v>
      </c>
      <c r="C16" s="328">
        <v>0</v>
      </c>
      <c r="D16" s="421">
        <v>1</v>
      </c>
      <c r="E16" s="328">
        <f>C16*D16</f>
        <v>0</v>
      </c>
      <c r="F16" s="74"/>
      <c r="G16" s="328">
        <v>0</v>
      </c>
      <c r="H16" s="421">
        <v>1</v>
      </c>
      <c r="I16" s="328">
        <v>0</v>
      </c>
      <c r="J16" s="1067"/>
    </row>
    <row r="17" spans="1:10">
      <c r="A17" s="583">
        <v>3</v>
      </c>
      <c r="B17" s="417" t="s">
        <v>575</v>
      </c>
      <c r="C17" s="376">
        <v>0</v>
      </c>
      <c r="D17" s="421">
        <f>$D$16</f>
        <v>1</v>
      </c>
      <c r="E17" s="376">
        <f>C17*D17</f>
        <v>0</v>
      </c>
      <c r="F17" s="74"/>
      <c r="G17" s="376">
        <v>0</v>
      </c>
      <c r="H17" s="421">
        <v>1</v>
      </c>
      <c r="I17" s="376">
        <v>0</v>
      </c>
      <c r="J17" s="1111"/>
    </row>
    <row r="18" spans="1:10">
      <c r="A18" s="583">
        <v>4</v>
      </c>
      <c r="B18" s="417" t="s">
        <v>663</v>
      </c>
      <c r="C18" s="380">
        <v>75291.709999999992</v>
      </c>
      <c r="D18" s="421">
        <f>$D$16</f>
        <v>1</v>
      </c>
      <c r="E18" s="380">
        <f>C18*D18</f>
        <v>75291.709999999992</v>
      </c>
      <c r="F18" s="74"/>
      <c r="G18" s="380">
        <v>55500</v>
      </c>
      <c r="H18" s="421">
        <v>1</v>
      </c>
      <c r="I18" s="380">
        <v>55500</v>
      </c>
      <c r="J18" s="1112"/>
    </row>
    <row r="19" spans="1:10">
      <c r="A19" s="583">
        <v>5</v>
      </c>
      <c r="B19" s="417" t="s">
        <v>584</v>
      </c>
      <c r="C19" s="419">
        <v>0</v>
      </c>
      <c r="D19" s="421">
        <f>$D$16</f>
        <v>1</v>
      </c>
      <c r="E19" s="419">
        <f>C19*D19</f>
        <v>0</v>
      </c>
      <c r="F19" s="74"/>
      <c r="G19" s="419">
        <v>0</v>
      </c>
      <c r="H19" s="421">
        <v>1</v>
      </c>
      <c r="I19" s="419">
        <v>0</v>
      </c>
      <c r="J19" s="807"/>
    </row>
    <row r="20" spans="1:10">
      <c r="A20" s="583">
        <v>6</v>
      </c>
      <c r="B20" s="418" t="s">
        <v>96</v>
      </c>
      <c r="C20" s="500">
        <f>SUM(C16:C19)</f>
        <v>75291.709999999992</v>
      </c>
      <c r="D20" s="74"/>
      <c r="E20" s="500">
        <f>SUM(E16:E19)</f>
        <v>75291.709999999992</v>
      </c>
      <c r="F20" s="74"/>
      <c r="G20" s="500">
        <v>55500</v>
      </c>
      <c r="H20" s="74"/>
      <c r="I20" s="500">
        <v>55500</v>
      </c>
      <c r="J20" s="807"/>
    </row>
    <row r="21" spans="1:10">
      <c r="A21" s="583">
        <v>7</v>
      </c>
      <c r="C21" s="376"/>
      <c r="D21" s="74"/>
      <c r="E21" s="376"/>
      <c r="F21" s="74"/>
      <c r="G21" s="376"/>
      <c r="H21" s="74"/>
      <c r="I21" s="376"/>
      <c r="J21" s="807"/>
    </row>
    <row r="22" spans="1:10" ht="15.75">
      <c r="A22" s="583">
        <v>8</v>
      </c>
      <c r="B22" s="1110" t="s">
        <v>78</v>
      </c>
      <c r="C22" s="380"/>
      <c r="D22" s="74"/>
      <c r="E22" s="380"/>
      <c r="F22" s="74"/>
      <c r="G22" s="380"/>
      <c r="H22" s="74"/>
      <c r="I22" s="380"/>
      <c r="J22" s="1067"/>
    </row>
    <row r="23" spans="1:10">
      <c r="A23" s="583">
        <v>9</v>
      </c>
      <c r="B23" s="417" t="s">
        <v>574</v>
      </c>
      <c r="C23" s="328">
        <v>0</v>
      </c>
      <c r="D23" s="422">
        <f>Allocation!$I$17</f>
        <v>0.49780000000000002</v>
      </c>
      <c r="E23" s="328">
        <f>C23*D23</f>
        <v>0</v>
      </c>
      <c r="F23" s="74"/>
      <c r="G23" s="328">
        <v>0</v>
      </c>
      <c r="H23" s="422">
        <v>0.49780000000000002</v>
      </c>
      <c r="I23" s="328">
        <v>0</v>
      </c>
      <c r="J23" s="1067"/>
    </row>
    <row r="24" spans="1:10">
      <c r="A24" s="583">
        <v>10</v>
      </c>
      <c r="B24" s="417" t="s">
        <v>575</v>
      </c>
      <c r="C24" s="376">
        <v>0</v>
      </c>
      <c r="D24" s="422">
        <f>$D$23</f>
        <v>0.49780000000000002</v>
      </c>
      <c r="E24" s="376">
        <f>C24*D24</f>
        <v>0</v>
      </c>
      <c r="F24" s="74"/>
      <c r="G24" s="376">
        <v>0</v>
      </c>
      <c r="H24" s="422">
        <v>0.49780000000000002</v>
      </c>
      <c r="I24" s="376">
        <v>0</v>
      </c>
      <c r="J24" s="1111"/>
    </row>
    <row r="25" spans="1:10">
      <c r="A25" s="583">
        <v>11</v>
      </c>
      <c r="B25" s="417" t="s">
        <v>663</v>
      </c>
      <c r="C25" s="380">
        <v>0</v>
      </c>
      <c r="D25" s="422">
        <f>$D$23</f>
        <v>0.49780000000000002</v>
      </c>
      <c r="E25" s="380">
        <f>C25*D25</f>
        <v>0</v>
      </c>
      <c r="F25" s="74"/>
      <c r="G25" s="380">
        <v>2202</v>
      </c>
      <c r="H25" s="422">
        <v>0.49780000000000002</v>
      </c>
      <c r="I25" s="380">
        <v>1096.1556</v>
      </c>
      <c r="J25" s="1112"/>
    </row>
    <row r="26" spans="1:10">
      <c r="A26" s="583">
        <v>12</v>
      </c>
      <c r="B26" s="417" t="s">
        <v>584</v>
      </c>
      <c r="C26" s="419">
        <v>0</v>
      </c>
      <c r="D26" s="422">
        <f>$D$23</f>
        <v>0.49780000000000002</v>
      </c>
      <c r="E26" s="419">
        <f>C26*D26</f>
        <v>0</v>
      </c>
      <c r="F26" s="74"/>
      <c r="G26" s="419">
        <v>0</v>
      </c>
      <c r="H26" s="422">
        <v>0.49780000000000002</v>
      </c>
      <c r="I26" s="419">
        <v>0</v>
      </c>
      <c r="J26" s="1112"/>
    </row>
    <row r="27" spans="1:10">
      <c r="A27" s="583">
        <v>13</v>
      </c>
      <c r="B27" s="418" t="s">
        <v>96</v>
      </c>
      <c r="C27" s="500">
        <f>SUM(C23:C26)</f>
        <v>0</v>
      </c>
      <c r="D27" s="103"/>
      <c r="E27" s="500">
        <f>SUM(E23:E26)</f>
        <v>0</v>
      </c>
      <c r="F27" s="103"/>
      <c r="G27" s="500">
        <v>2202</v>
      </c>
      <c r="H27" s="103"/>
      <c r="I27" s="500">
        <v>1096.1556</v>
      </c>
      <c r="J27" s="1067"/>
    </row>
    <row r="28" spans="1:10">
      <c r="A28" s="583">
        <v>14</v>
      </c>
      <c r="B28" s="1067"/>
      <c r="C28" s="103"/>
      <c r="D28" s="103"/>
      <c r="E28" s="103"/>
      <c r="F28" s="103"/>
      <c r="G28" s="103"/>
      <c r="H28" s="103"/>
      <c r="I28" s="103"/>
      <c r="J28" s="1067"/>
    </row>
    <row r="29" spans="1:10" ht="15.75">
      <c r="A29" s="583">
        <v>15</v>
      </c>
      <c r="B29" s="1110" t="s">
        <v>76</v>
      </c>
      <c r="C29" s="103"/>
      <c r="D29" s="103"/>
      <c r="E29" s="103"/>
      <c r="F29" s="103"/>
      <c r="G29" s="103"/>
      <c r="H29" s="103"/>
      <c r="I29" s="103"/>
      <c r="J29" s="1111"/>
    </row>
    <row r="30" spans="1:10">
      <c r="A30" s="583">
        <v>16</v>
      </c>
      <c r="B30" s="417" t="s">
        <v>574</v>
      </c>
      <c r="C30" s="328">
        <v>0</v>
      </c>
      <c r="D30" s="324">
        <f>Allocation!$I$14</f>
        <v>5.1771199999999996E-2</v>
      </c>
      <c r="E30" s="328">
        <f>C30*D30</f>
        <v>0</v>
      </c>
      <c r="F30" s="103"/>
      <c r="G30" s="328">
        <v>0</v>
      </c>
      <c r="H30" s="324">
        <v>5.1771199999999996E-2</v>
      </c>
      <c r="I30" s="328">
        <v>0</v>
      </c>
      <c r="J30" s="1112"/>
    </row>
    <row r="31" spans="1:10">
      <c r="A31" s="583">
        <v>17</v>
      </c>
      <c r="B31" s="417" t="s">
        <v>575</v>
      </c>
      <c r="C31" s="376">
        <v>0</v>
      </c>
      <c r="D31" s="324">
        <f>$D$30</f>
        <v>5.1771199999999996E-2</v>
      </c>
      <c r="E31" s="376">
        <f>C31*D31</f>
        <v>0</v>
      </c>
      <c r="F31" s="103"/>
      <c r="G31" s="376">
        <v>0</v>
      </c>
      <c r="H31" s="422">
        <v>5.1771199999999996E-2</v>
      </c>
      <c r="I31" s="376">
        <v>0</v>
      </c>
      <c r="J31" s="1112"/>
    </row>
    <row r="32" spans="1:10">
      <c r="A32" s="583">
        <v>18</v>
      </c>
      <c r="B32" s="417" t="s">
        <v>663</v>
      </c>
      <c r="C32" s="380">
        <v>717843.37000000023</v>
      </c>
      <c r="D32" s="324">
        <f>$D$30</f>
        <v>5.1771199999999996E-2</v>
      </c>
      <c r="E32" s="380">
        <f>C32*D32</f>
        <v>37163.612676944009</v>
      </c>
      <c r="F32" s="103"/>
      <c r="G32" s="380">
        <v>562153.58890000009</v>
      </c>
      <c r="H32" s="422">
        <v>5.1771199999999996E-2</v>
      </c>
      <c r="I32" s="380">
        <v>29103.365881659684</v>
      </c>
      <c r="J32" s="1067"/>
    </row>
    <row r="33" spans="1:10">
      <c r="A33" s="583">
        <v>19</v>
      </c>
      <c r="B33" s="417" t="s">
        <v>584</v>
      </c>
      <c r="C33" s="419">
        <v>0</v>
      </c>
      <c r="D33" s="324">
        <f>$D$30</f>
        <v>5.1771199999999996E-2</v>
      </c>
      <c r="E33" s="419">
        <f>C33*D33</f>
        <v>0</v>
      </c>
      <c r="F33" s="103"/>
      <c r="G33" s="419">
        <v>0</v>
      </c>
      <c r="H33" s="422">
        <v>5.1771199999999996E-2</v>
      </c>
      <c r="I33" s="419">
        <v>0</v>
      </c>
      <c r="J33" s="1067"/>
    </row>
    <row r="34" spans="1:10">
      <c r="A34" s="583">
        <v>20</v>
      </c>
      <c r="B34" s="418" t="s">
        <v>96</v>
      </c>
      <c r="C34" s="500">
        <f>SUM(C30:C33)</f>
        <v>717843.37000000023</v>
      </c>
      <c r="D34" s="103"/>
      <c r="E34" s="500">
        <f>SUM(E30:E33)</f>
        <v>37163.612676944009</v>
      </c>
      <c r="F34" s="103"/>
      <c r="G34" s="500">
        <v>562153.58890000009</v>
      </c>
      <c r="H34" s="103"/>
      <c r="I34" s="500">
        <v>29103.365881659684</v>
      </c>
      <c r="J34" s="1111"/>
    </row>
    <row r="35" spans="1:10">
      <c r="A35" s="583">
        <v>21</v>
      </c>
      <c r="B35" s="1111"/>
      <c r="C35" s="103"/>
      <c r="D35" s="103"/>
      <c r="E35" s="103"/>
      <c r="F35" s="103"/>
      <c r="G35" s="103"/>
      <c r="H35" s="103"/>
      <c r="I35" s="103"/>
      <c r="J35" s="103"/>
    </row>
    <row r="36" spans="1:10" ht="15.75">
      <c r="A36" s="583">
        <v>22</v>
      </c>
      <c r="B36" s="1110" t="s">
        <v>77</v>
      </c>
      <c r="C36" s="103"/>
      <c r="D36" s="103"/>
      <c r="E36" s="103"/>
      <c r="F36" s="103"/>
      <c r="G36" s="103"/>
      <c r="H36" s="103"/>
      <c r="I36" s="103"/>
      <c r="J36" s="103"/>
    </row>
    <row r="37" spans="1:10">
      <c r="A37" s="583">
        <v>23</v>
      </c>
      <c r="B37" s="417" t="s">
        <v>574</v>
      </c>
      <c r="C37" s="328">
        <v>0</v>
      </c>
      <c r="D37" s="324">
        <f>Allocation!$I$15</f>
        <v>5.6412179785543033E-2</v>
      </c>
      <c r="E37" s="328">
        <f>C37*D37</f>
        <v>0</v>
      </c>
      <c r="F37" s="103"/>
      <c r="G37" s="328">
        <v>0</v>
      </c>
      <c r="H37" s="422">
        <v>5.6412179785543033E-2</v>
      </c>
      <c r="I37" s="328">
        <v>0</v>
      </c>
      <c r="J37" s="103"/>
    </row>
    <row r="38" spans="1:10">
      <c r="A38" s="583">
        <v>24</v>
      </c>
      <c r="B38" s="417" t="s">
        <v>575</v>
      </c>
      <c r="C38" s="376">
        <v>0</v>
      </c>
      <c r="D38" s="324">
        <f>$D$37</f>
        <v>5.6412179785543033E-2</v>
      </c>
      <c r="E38" s="376">
        <f>C38*D38</f>
        <v>0</v>
      </c>
      <c r="G38" s="376">
        <v>0</v>
      </c>
      <c r="H38" s="422">
        <v>5.6412179785543033E-2</v>
      </c>
      <c r="I38" s="376">
        <v>0</v>
      </c>
    </row>
    <row r="39" spans="1:10">
      <c r="A39" s="583">
        <v>25</v>
      </c>
      <c r="B39" s="417" t="s">
        <v>663</v>
      </c>
      <c r="C39" s="380">
        <v>0</v>
      </c>
      <c r="D39" s="324">
        <f>$D$37</f>
        <v>5.6412179785543033E-2</v>
      </c>
      <c r="E39" s="380">
        <f>C39*D39</f>
        <v>0</v>
      </c>
      <c r="G39" s="380">
        <v>0</v>
      </c>
      <c r="H39" s="422">
        <v>5.6412179785543033E-2</v>
      </c>
      <c r="I39" s="380">
        <v>0</v>
      </c>
    </row>
    <row r="40" spans="1:10">
      <c r="A40" s="583">
        <v>26</v>
      </c>
      <c r="B40" s="417" t="s">
        <v>584</v>
      </c>
      <c r="C40" s="419">
        <v>0</v>
      </c>
      <c r="D40" s="324">
        <f>$D$37</f>
        <v>5.6412179785543033E-2</v>
      </c>
      <c r="E40" s="419">
        <f>C40*D40</f>
        <v>0</v>
      </c>
      <c r="G40" s="419">
        <v>0</v>
      </c>
      <c r="H40" s="422">
        <v>5.6412179785543033E-2</v>
      </c>
      <c r="I40" s="419">
        <v>0</v>
      </c>
    </row>
    <row r="41" spans="1:10">
      <c r="A41" s="583">
        <v>27</v>
      </c>
      <c r="B41" s="418" t="s">
        <v>96</v>
      </c>
      <c r="C41" s="500">
        <f>SUM(C37:C40)</f>
        <v>0</v>
      </c>
      <c r="E41" s="500">
        <f>SUM(E37:E40)</f>
        <v>0</v>
      </c>
      <c r="G41" s="500">
        <v>0</v>
      </c>
      <c r="I41" s="500">
        <v>0</v>
      </c>
    </row>
    <row r="42" spans="1:10">
      <c r="A42" s="583">
        <v>28</v>
      </c>
    </row>
    <row r="43" spans="1:10" ht="16.5" thickBot="1">
      <c r="A43" s="583">
        <v>29</v>
      </c>
      <c r="B43" s="420" t="s">
        <v>934</v>
      </c>
      <c r="C43" s="511">
        <f>C41+C34+C27+C20</f>
        <v>793135.08000000019</v>
      </c>
      <c r="E43" s="511">
        <f>E41+E34+E27+E20</f>
        <v>112455.32267694399</v>
      </c>
      <c r="G43" s="511">
        <v>619855.58890000009</v>
      </c>
      <c r="I43" s="511">
        <v>85699.521481659685</v>
      </c>
    </row>
    <row r="44" spans="1:10" ht="15.75" thickTop="1"/>
    <row r="45" spans="1:10">
      <c r="B45" s="80" t="s">
        <v>802</v>
      </c>
    </row>
    <row r="46" spans="1:10">
      <c r="B46" s="88" t="s">
        <v>286</v>
      </c>
    </row>
    <row r="47" spans="1:10">
      <c r="B47" s="88" t="s">
        <v>389</v>
      </c>
    </row>
    <row r="48" spans="1:10">
      <c r="B48" s="81"/>
    </row>
    <row r="49" spans="2:2">
      <c r="B49" s="88" t="s">
        <v>425</v>
      </c>
    </row>
    <row r="51" spans="2:2">
      <c r="B51" s="88" t="s">
        <v>766</v>
      </c>
    </row>
    <row r="55" spans="2:2">
      <c r="B55" s="80" t="s">
        <v>518</v>
      </c>
    </row>
    <row r="56" spans="2:2">
      <c r="B56" s="80" t="s">
        <v>1652</v>
      </c>
    </row>
  </sheetData>
  <mergeCells count="5">
    <mergeCell ref="A5:I5"/>
    <mergeCell ref="A1:I1"/>
    <mergeCell ref="A2:I2"/>
    <mergeCell ref="A3:I3"/>
    <mergeCell ref="A4:I4"/>
  </mergeCells>
  <phoneticPr fontId="23" type="noConversion"/>
  <printOptions horizontalCentered="1"/>
  <pageMargins left="0.89" right="0.34" top="0.5" bottom="0.5" header="0.5" footer="0.5"/>
  <pageSetup scale="80" orientation="portrait" verticalDpi="300" r:id="rId1"/>
  <headerFooter alignWithMargins="0">
    <oddFooter>&amp;RSchedule &amp;A
Page &amp;P of &amp;N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P39"/>
  <sheetViews>
    <sheetView view="pageBreakPreview" zoomScale="80" zoomScaleNormal="90" zoomScaleSheetLayoutView="80" workbookViewId="0">
      <selection activeCell="J154" sqref="J154"/>
    </sheetView>
  </sheetViews>
  <sheetFormatPr defaultRowHeight="15"/>
  <cols>
    <col min="1" max="1" width="5.88671875" style="80" customWidth="1"/>
    <col min="2" max="2" width="32.44140625" style="80" customWidth="1"/>
    <col min="3" max="3" width="11.33203125" style="80" customWidth="1"/>
    <col min="4" max="4" width="11.109375" style="80" customWidth="1"/>
    <col min="5" max="5" width="9.6640625" style="80" customWidth="1"/>
    <col min="6" max="6" width="4.21875" style="80" customWidth="1"/>
    <col min="7" max="7" width="9.5546875" style="80" bestFit="1" customWidth="1"/>
    <col min="8" max="8" width="12" style="80" customWidth="1"/>
    <col min="9" max="9" width="10.77734375" style="80" customWidth="1"/>
    <col min="10" max="16384" width="8.88671875" style="80"/>
  </cols>
  <sheetData>
    <row r="1" spans="1:14" ht="15.75">
      <c r="A1" s="1191" t="str">
        <f>'Table of Contents'!A1:C1</f>
        <v>Atmos Energy Corporation, Kentucky/Mid-States Division</v>
      </c>
      <c r="B1" s="1191"/>
      <c r="C1" s="1191"/>
      <c r="D1" s="1191"/>
      <c r="E1" s="1191"/>
      <c r="F1" s="1191"/>
      <c r="G1" s="1191"/>
      <c r="H1" s="1191"/>
      <c r="I1" s="1191"/>
    </row>
    <row r="2" spans="1:14" ht="15.75">
      <c r="A2" s="1191" t="str">
        <f>'Table of Contents'!A2:C2</f>
        <v>Kentucky Jurisdiction Case No. 2018-00281</v>
      </c>
      <c r="B2" s="1191" t="s">
        <v>323</v>
      </c>
      <c r="C2" s="1191"/>
      <c r="D2" s="1191"/>
      <c r="E2" s="1191"/>
      <c r="F2" s="1191"/>
      <c r="G2" s="1191"/>
      <c r="H2" s="1191"/>
      <c r="I2" s="1191"/>
      <c r="J2" s="103"/>
    </row>
    <row r="3" spans="1:14" ht="15.75">
      <c r="A3" s="1191" t="s">
        <v>882</v>
      </c>
      <c r="B3" s="1191"/>
      <c r="C3" s="1191"/>
      <c r="D3" s="1191"/>
      <c r="E3" s="1191"/>
      <c r="F3" s="1191"/>
      <c r="G3" s="1191"/>
      <c r="H3" s="1191"/>
      <c r="I3" s="1191"/>
      <c r="J3" s="103"/>
    </row>
    <row r="4" spans="1:14" ht="15.75">
      <c r="A4" s="1191"/>
      <c r="B4" s="1191"/>
      <c r="C4" s="1191"/>
      <c r="D4" s="1191"/>
      <c r="E4" s="1191"/>
      <c r="F4" s="1191"/>
      <c r="G4" s="1191"/>
      <c r="H4" s="1191"/>
      <c r="I4" s="1191"/>
      <c r="J4" s="103"/>
    </row>
    <row r="5" spans="1:14" ht="15.75">
      <c r="A5" s="1191"/>
      <c r="B5" s="1191"/>
      <c r="C5" s="1191"/>
      <c r="D5" s="1191"/>
      <c r="E5" s="1191"/>
      <c r="F5" s="1191"/>
      <c r="G5" s="1191"/>
      <c r="H5" s="1191"/>
      <c r="I5" s="1191"/>
      <c r="J5" s="103"/>
    </row>
    <row r="6" spans="1:14" ht="15.75">
      <c r="A6" s="103"/>
      <c r="B6" s="920"/>
      <c r="C6" s="920"/>
      <c r="D6" s="103"/>
      <c r="E6" s="103"/>
      <c r="F6" s="103"/>
      <c r="G6" s="103"/>
      <c r="H6" s="103"/>
      <c r="I6" s="103"/>
      <c r="J6" s="103"/>
    </row>
    <row r="7" spans="1:14" ht="15.75">
      <c r="A7" s="694" t="s">
        <v>136</v>
      </c>
      <c r="B7" s="103"/>
      <c r="C7" s="920"/>
      <c r="D7" s="103"/>
      <c r="E7" s="103"/>
      <c r="F7" s="103"/>
      <c r="G7" s="103"/>
      <c r="I7" s="170" t="s">
        <v>1407</v>
      </c>
      <c r="J7" s="103"/>
    </row>
    <row r="8" spans="1:14" ht="15.75">
      <c r="A8" s="694" t="s">
        <v>1123</v>
      </c>
      <c r="B8" s="103"/>
      <c r="C8" s="920"/>
      <c r="D8" s="103"/>
      <c r="E8" s="103"/>
      <c r="F8" s="103"/>
      <c r="G8" s="103"/>
      <c r="I8" s="921" t="s">
        <v>715</v>
      </c>
      <c r="J8" s="103"/>
    </row>
    <row r="9" spans="1:14" ht="15.75">
      <c r="A9" s="694" t="s">
        <v>365</v>
      </c>
      <c r="B9" s="103"/>
      <c r="C9" s="920"/>
      <c r="D9" s="103"/>
      <c r="E9" s="103"/>
      <c r="F9" s="103"/>
      <c r="G9" s="103"/>
      <c r="H9" s="922"/>
      <c r="I9" s="923" t="str">
        <f>F.1!$F$9</f>
        <v>Witness: Waller</v>
      </c>
      <c r="J9" s="103"/>
    </row>
    <row r="10" spans="1:14" ht="15.75">
      <c r="A10" s="924"/>
      <c r="B10" s="924"/>
      <c r="C10" s="1128"/>
      <c r="D10" s="1129" t="s">
        <v>324</v>
      </c>
      <c r="E10" s="1128"/>
      <c r="F10" s="924"/>
      <c r="G10" s="1128"/>
      <c r="H10" s="1130" t="s">
        <v>325</v>
      </c>
      <c r="I10" s="1128"/>
      <c r="J10" s="103"/>
      <c r="K10" s="1131"/>
    </row>
    <row r="11" spans="1:14">
      <c r="A11" s="121" t="s">
        <v>93</v>
      </c>
      <c r="B11" s="103"/>
      <c r="C11" s="121"/>
      <c r="D11" s="853" t="s">
        <v>11</v>
      </c>
      <c r="E11" s="955" t="s">
        <v>12</v>
      </c>
      <c r="F11" s="103"/>
      <c r="G11" s="121"/>
      <c r="H11" s="955" t="str">
        <f>D11</f>
        <v xml:space="preserve">Kentucky </v>
      </c>
      <c r="I11" s="955" t="s">
        <v>981</v>
      </c>
      <c r="J11" s="103"/>
      <c r="K11" s="690"/>
    </row>
    <row r="12" spans="1:14">
      <c r="A12" s="648" t="s">
        <v>99</v>
      </c>
      <c r="B12" s="648" t="s">
        <v>985</v>
      </c>
      <c r="C12" s="648" t="s">
        <v>104</v>
      </c>
      <c r="D12" s="928" t="s">
        <v>97</v>
      </c>
      <c r="E12" s="648" t="s">
        <v>104</v>
      </c>
      <c r="F12" s="929"/>
      <c r="G12" s="648" t="s">
        <v>104</v>
      </c>
      <c r="H12" s="648" t="str">
        <f>D12</f>
        <v>Jurisdictional</v>
      </c>
      <c r="I12" s="648" t="s">
        <v>104</v>
      </c>
      <c r="J12" s="103"/>
    </row>
    <row r="13" spans="1:14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L13" s="670"/>
      <c r="N13" s="670"/>
    </row>
    <row r="14" spans="1:14" ht="15.75">
      <c r="A14" s="955"/>
      <c r="B14" s="1132"/>
      <c r="C14" s="1133"/>
      <c r="D14" s="1133"/>
      <c r="E14" s="1133"/>
      <c r="F14" s="1133"/>
      <c r="G14" s="1133"/>
      <c r="H14" s="1133"/>
      <c r="I14" s="1133"/>
      <c r="J14" s="1133"/>
      <c r="L14" s="670"/>
      <c r="N14" s="670"/>
    </row>
    <row r="15" spans="1:14">
      <c r="A15" s="121"/>
      <c r="B15" s="583"/>
      <c r="C15" s="583" t="s">
        <v>323</v>
      </c>
      <c r="D15" s="583" t="s">
        <v>323</v>
      </c>
      <c r="E15" s="583" t="s">
        <v>323</v>
      </c>
      <c r="F15" s="583" t="s">
        <v>323</v>
      </c>
      <c r="G15" s="103"/>
      <c r="H15" s="953" t="str">
        <f>F15</f>
        <v xml:space="preserve"> </v>
      </c>
      <c r="I15" s="583" t="s">
        <v>323</v>
      </c>
      <c r="J15" s="103"/>
    </row>
    <row r="16" spans="1:14">
      <c r="A16" s="955">
        <v>1</v>
      </c>
      <c r="B16" s="807" t="s">
        <v>193</v>
      </c>
      <c r="C16" s="360">
        <v>34312.65</v>
      </c>
      <c r="D16" s="1119">
        <v>1</v>
      </c>
      <c r="E16" s="360">
        <f>C16*D16</f>
        <v>34312.65</v>
      </c>
      <c r="F16" s="400"/>
      <c r="G16" s="360">
        <v>34635.56</v>
      </c>
      <c r="H16" s="935">
        <v>1</v>
      </c>
      <c r="I16" s="360">
        <v>34635.56</v>
      </c>
      <c r="L16" s="670"/>
      <c r="N16" s="670"/>
    </row>
    <row r="17" spans="1:16">
      <c r="A17" s="121">
        <v>2</v>
      </c>
      <c r="B17" s="1112"/>
      <c r="C17" s="382"/>
      <c r="D17" s="421"/>
      <c r="E17" s="382"/>
      <c r="F17" s="801"/>
      <c r="G17" s="382"/>
      <c r="H17" s="801"/>
      <c r="I17" s="382"/>
      <c r="J17" s="103"/>
      <c r="L17" s="670"/>
      <c r="N17" s="670"/>
    </row>
    <row r="18" spans="1:16">
      <c r="A18" s="955">
        <v>3</v>
      </c>
      <c r="B18" s="807" t="s">
        <v>78</v>
      </c>
      <c r="C18" s="382">
        <v>33863.07</v>
      </c>
      <c r="D18" s="1122">
        <f>Allocation!$I$17</f>
        <v>0.49780000000000002</v>
      </c>
      <c r="E18" s="381">
        <f>C18*D18</f>
        <v>16857.036246</v>
      </c>
      <c r="F18" s="938"/>
      <c r="G18" s="381">
        <v>45057.120000000003</v>
      </c>
      <c r="H18" s="1122">
        <v>0.49780000000000002</v>
      </c>
      <c r="I18" s="381">
        <v>22429.434336000002</v>
      </c>
      <c r="J18" s="103"/>
      <c r="L18" s="670"/>
      <c r="N18" s="670"/>
    </row>
    <row r="19" spans="1:16">
      <c r="A19" s="121">
        <v>4</v>
      </c>
      <c r="B19" s="1112"/>
      <c r="C19" s="382"/>
      <c r="D19" s="422"/>
      <c r="E19" s="382"/>
      <c r="F19" s="801"/>
      <c r="G19" s="382"/>
      <c r="H19" s="1124"/>
      <c r="I19" s="382"/>
      <c r="J19" s="103"/>
      <c r="L19" s="670"/>
    </row>
    <row r="20" spans="1:16">
      <c r="A20" s="955">
        <v>5</v>
      </c>
      <c r="B20" s="1112" t="s">
        <v>76</v>
      </c>
      <c r="C20" s="382">
        <v>75902.66</v>
      </c>
      <c r="D20" s="1122">
        <f>Allocation!$I$14</f>
        <v>5.1771199999999996E-2</v>
      </c>
      <c r="E20" s="382">
        <f>C20*D20</f>
        <v>3929.5717913919998</v>
      </c>
      <c r="F20" s="103"/>
      <c r="G20" s="382">
        <v>358331.55366850429</v>
      </c>
      <c r="H20" s="1122">
        <v>5.1771199999999996E-2</v>
      </c>
      <c r="I20" s="382">
        <v>18551.25453128287</v>
      </c>
      <c r="L20" s="670"/>
      <c r="N20" s="670"/>
      <c r="P20" s="690"/>
    </row>
    <row r="21" spans="1:16">
      <c r="A21" s="121">
        <v>6</v>
      </c>
      <c r="B21" s="1112"/>
      <c r="C21" s="382"/>
      <c r="D21" s="466"/>
      <c r="E21" s="382"/>
      <c r="F21" s="103"/>
      <c r="G21" s="382"/>
      <c r="H21" s="1002"/>
      <c r="I21" s="382"/>
      <c r="J21" s="103"/>
      <c r="L21" s="670"/>
      <c r="P21" s="690"/>
    </row>
    <row r="22" spans="1:16">
      <c r="A22" s="955">
        <v>7</v>
      </c>
      <c r="B22" s="1112" t="s">
        <v>77</v>
      </c>
      <c r="C22" s="1134">
        <v>9526.93</v>
      </c>
      <c r="D22" s="1122">
        <f>Allocation!$I$15</f>
        <v>5.6412179785543033E-2</v>
      </c>
      <c r="E22" s="1134">
        <f>C22*D22</f>
        <v>537.43488796428346</v>
      </c>
      <c r="G22" s="1134">
        <v>150085.10799999998</v>
      </c>
      <c r="H22" s="1122">
        <v>5.6412179785543033E-2</v>
      </c>
      <c r="I22" s="1134">
        <v>8466.6280956286409</v>
      </c>
      <c r="L22" s="670"/>
      <c r="N22" s="670"/>
    </row>
    <row r="23" spans="1:16">
      <c r="A23" s="955">
        <v>8</v>
      </c>
    </row>
    <row r="24" spans="1:16" ht="15.75" thickBot="1">
      <c r="A24" s="955">
        <v>9</v>
      </c>
      <c r="B24" s="80" t="s">
        <v>886</v>
      </c>
      <c r="C24" s="511">
        <f>SUM(C16:C22)</f>
        <v>153605.31</v>
      </c>
      <c r="E24" s="511">
        <f>SUM(E16:E22)</f>
        <v>55636.692925356285</v>
      </c>
      <c r="G24" s="511">
        <v>588109.34166850429</v>
      </c>
      <c r="I24" s="511">
        <v>84082.876962911512</v>
      </c>
    </row>
    <row r="25" spans="1:16" ht="15.75" thickTop="1">
      <c r="C25" s="322"/>
      <c r="E25" s="322"/>
      <c r="G25" s="322"/>
      <c r="I25" s="322"/>
    </row>
    <row r="27" spans="1:16">
      <c r="A27" s="694" t="s">
        <v>1305</v>
      </c>
    </row>
    <row r="31" spans="1:16">
      <c r="B31" s="80" t="s">
        <v>883</v>
      </c>
    </row>
    <row r="32" spans="1:16">
      <c r="B32" s="80" t="s">
        <v>884</v>
      </c>
    </row>
    <row r="33" spans="2:2">
      <c r="B33" s="80" t="s">
        <v>885</v>
      </c>
    </row>
    <row r="34" spans="2:2">
      <c r="B34" s="80" t="s">
        <v>1229</v>
      </c>
    </row>
    <row r="39" spans="2:2">
      <c r="B39" s="670"/>
    </row>
  </sheetData>
  <mergeCells count="5">
    <mergeCell ref="A5:I5"/>
    <mergeCell ref="A1:I1"/>
    <mergeCell ref="A2:I2"/>
    <mergeCell ref="A3:I3"/>
    <mergeCell ref="A4:I4"/>
  </mergeCells>
  <phoneticPr fontId="23" type="noConversion"/>
  <pageMargins left="0.8" right="0.61" top="1.05" bottom="0.5" header="0.8" footer="0.5"/>
  <pageSetup scale="95" orientation="landscape" verticalDpi="300" r:id="rId1"/>
  <headerFooter alignWithMargins="0">
    <oddFooter>&amp;RSchedule &amp;A
Page &amp;P of &amp;N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view="pageBreakPreview" zoomScale="80" zoomScaleNormal="80" zoomScaleSheetLayoutView="80" workbookViewId="0">
      <selection activeCell="J154" sqref="J154"/>
    </sheetView>
  </sheetViews>
  <sheetFormatPr defaultRowHeight="15"/>
  <cols>
    <col min="1" max="1" width="5.88671875" customWidth="1"/>
    <col min="2" max="2" width="13.5546875" customWidth="1"/>
    <col min="3" max="3" width="10.88671875" customWidth="1"/>
    <col min="4" max="4" width="15.44140625" customWidth="1"/>
    <col min="5" max="5" width="7.21875" customWidth="1"/>
    <col min="6" max="6" width="8.88671875" customWidth="1"/>
    <col min="7" max="7" width="11.44140625" customWidth="1"/>
  </cols>
  <sheetData>
    <row r="1" spans="1:10" ht="15.75">
      <c r="A1" s="1209" t="str">
        <f>'Table of Contents'!A1:C1</f>
        <v>Atmos Energy Corporation, Kentucky/Mid-States Division</v>
      </c>
      <c r="B1" s="1209"/>
      <c r="C1" s="1209"/>
      <c r="D1" s="1209"/>
      <c r="E1" s="1209"/>
      <c r="F1" s="1209"/>
      <c r="G1" s="1209"/>
    </row>
    <row r="2" spans="1:10" ht="15.75">
      <c r="A2" s="1209" t="str">
        <f>'Table of Contents'!A2:C2</f>
        <v>Kentucky Jurisdiction Case No. 2018-00281</v>
      </c>
      <c r="B2" s="1209" t="s">
        <v>323</v>
      </c>
      <c r="C2" s="1209"/>
      <c r="D2" s="1209"/>
      <c r="E2" s="1209"/>
      <c r="F2" s="1209"/>
      <c r="G2" s="1209"/>
      <c r="H2" s="92"/>
    </row>
    <row r="3" spans="1:10" ht="15.75">
      <c r="A3" s="1209" t="s">
        <v>1257</v>
      </c>
      <c r="B3" s="1209"/>
      <c r="C3" s="1209"/>
      <c r="D3" s="1209"/>
      <c r="E3" s="1209"/>
      <c r="F3" s="1209"/>
      <c r="G3" s="1209"/>
      <c r="H3" s="92"/>
    </row>
    <row r="4" spans="1:10" ht="15.75">
      <c r="A4" s="1209"/>
      <c r="B4" s="1209"/>
      <c r="C4" s="1209"/>
      <c r="D4" s="1209"/>
      <c r="E4" s="1209"/>
      <c r="F4" s="1209"/>
      <c r="G4" s="1209"/>
      <c r="H4" s="92"/>
    </row>
    <row r="5" spans="1:10" ht="15.75">
      <c r="A5" s="1209"/>
      <c r="B5" s="1209"/>
      <c r="C5" s="1209"/>
      <c r="D5" s="1209"/>
      <c r="E5" s="1209"/>
      <c r="F5" s="1209"/>
      <c r="G5" s="1209"/>
      <c r="H5" s="92"/>
    </row>
    <row r="6" spans="1:10" ht="15.75">
      <c r="A6" s="92"/>
      <c r="B6" s="12"/>
      <c r="C6" s="12"/>
      <c r="D6" s="12"/>
      <c r="E6" s="12"/>
      <c r="F6" s="92"/>
      <c r="G6" s="92"/>
      <c r="H6" s="92"/>
    </row>
    <row r="7" spans="1:10" ht="15.75">
      <c r="A7" s="66" t="s">
        <v>136</v>
      </c>
      <c r="B7" s="92"/>
      <c r="C7" s="92"/>
      <c r="D7" s="92"/>
      <c r="E7" s="12"/>
      <c r="F7" s="92"/>
      <c r="G7" s="375" t="s">
        <v>1407</v>
      </c>
      <c r="H7" s="92"/>
    </row>
    <row r="8" spans="1:10" ht="15.75">
      <c r="A8" s="66" t="s">
        <v>1123</v>
      </c>
      <c r="B8" s="92"/>
      <c r="C8" s="92"/>
      <c r="D8" s="92"/>
      <c r="E8" s="12"/>
      <c r="F8" s="92"/>
      <c r="G8" s="560" t="s">
        <v>1256</v>
      </c>
      <c r="H8" s="92"/>
    </row>
    <row r="9" spans="1:10" ht="15.75">
      <c r="A9" s="66" t="s">
        <v>365</v>
      </c>
      <c r="B9" s="92"/>
      <c r="C9" s="92"/>
      <c r="D9" s="92"/>
      <c r="E9" s="661"/>
      <c r="F9" s="95"/>
      <c r="G9" s="605" t="str">
        <f>F.1!$F$9</f>
        <v>Witness: Waller</v>
      </c>
      <c r="H9" s="92"/>
    </row>
    <row r="10" spans="1:10">
      <c r="A10" s="119"/>
      <c r="B10" s="119"/>
      <c r="C10" s="119"/>
      <c r="D10" s="119"/>
    </row>
    <row r="11" spans="1:10">
      <c r="A11" s="100" t="s">
        <v>93</v>
      </c>
      <c r="B11" s="92"/>
      <c r="C11" s="92"/>
      <c r="D11" s="92"/>
      <c r="F11" s="669" t="s">
        <v>1267</v>
      </c>
    </row>
    <row r="12" spans="1:10">
      <c r="A12" s="101" t="s">
        <v>99</v>
      </c>
      <c r="B12" s="101" t="s">
        <v>985</v>
      </c>
      <c r="C12" s="101" t="s">
        <v>1259</v>
      </c>
      <c r="D12" s="101" t="s">
        <v>1260</v>
      </c>
      <c r="E12" s="101" t="s">
        <v>1261</v>
      </c>
      <c r="F12" s="58" t="s">
        <v>1266</v>
      </c>
      <c r="G12" s="58" t="s">
        <v>1262</v>
      </c>
      <c r="H12" s="92"/>
      <c r="I12" s="632"/>
    </row>
    <row r="13" spans="1:10">
      <c r="A13" s="92"/>
      <c r="B13" s="92"/>
      <c r="C13" s="92"/>
      <c r="D13" s="92"/>
      <c r="E13" s="92"/>
      <c r="F13" s="92"/>
      <c r="G13" s="92"/>
      <c r="H13" s="92"/>
    </row>
    <row r="14" spans="1:10" ht="15.75">
      <c r="A14" s="320" t="s">
        <v>1258</v>
      </c>
      <c r="C14" s="320"/>
      <c r="D14" s="320"/>
      <c r="E14" s="415"/>
      <c r="F14" s="415"/>
      <c r="G14" s="415"/>
      <c r="H14" s="415"/>
      <c r="J14" s="591"/>
    </row>
    <row r="15" spans="1:10">
      <c r="A15" s="100"/>
      <c r="B15" s="90"/>
      <c r="C15" s="90"/>
      <c r="D15" s="90"/>
      <c r="E15" s="583" t="s">
        <v>323</v>
      </c>
      <c r="F15" s="583" t="s">
        <v>323</v>
      </c>
      <c r="G15" s="90" t="s">
        <v>323</v>
      </c>
      <c r="H15" s="92"/>
    </row>
    <row r="16" spans="1:10" s="792" customFormat="1">
      <c r="A16" s="100">
        <v>1</v>
      </c>
      <c r="B16" s="90" t="s">
        <v>1651</v>
      </c>
      <c r="C16" s="90"/>
      <c r="D16" s="90"/>
      <c r="E16" s="583"/>
      <c r="F16" s="583"/>
      <c r="G16" s="662">
        <v>19375.2</v>
      </c>
      <c r="H16" s="92"/>
    </row>
    <row r="17" spans="1:10">
      <c r="A17" s="100">
        <v>2</v>
      </c>
      <c r="E17" s="382"/>
      <c r="F17" s="80"/>
      <c r="G17" s="413"/>
      <c r="H17" s="92"/>
    </row>
    <row r="18" spans="1:10">
      <c r="A18" s="99">
        <v>3</v>
      </c>
      <c r="B18" s="401" t="s">
        <v>1264</v>
      </c>
      <c r="C18" s="401"/>
      <c r="D18" s="401"/>
      <c r="E18" s="382"/>
      <c r="G18" s="663">
        <v>19375.2</v>
      </c>
      <c r="J18" s="591"/>
    </row>
    <row r="19" spans="1:10">
      <c r="A19" s="100">
        <v>4</v>
      </c>
      <c r="B19" s="401"/>
      <c r="C19" s="401"/>
      <c r="D19" s="530"/>
      <c r="E19" s="382"/>
      <c r="G19" s="413"/>
      <c r="H19" s="92"/>
    </row>
    <row r="20" spans="1:10">
      <c r="A20" s="100">
        <v>5</v>
      </c>
      <c r="B20" s="401" t="s">
        <v>1263</v>
      </c>
      <c r="C20" s="401"/>
      <c r="D20" s="530"/>
      <c r="E20" s="382"/>
      <c r="G20" s="662">
        <f>-G18</f>
        <v>-19375.2</v>
      </c>
      <c r="J20" s="591"/>
    </row>
    <row r="21" spans="1:10">
      <c r="A21" s="99"/>
      <c r="E21" s="382"/>
      <c r="F21" s="413"/>
      <c r="G21" s="411"/>
    </row>
    <row r="22" spans="1:10">
      <c r="A22" s="99"/>
      <c r="E22" s="382"/>
      <c r="F22" s="416"/>
      <c r="G22" s="411"/>
    </row>
    <row r="23" spans="1:10">
      <c r="E23" s="321"/>
      <c r="G23" s="321"/>
    </row>
    <row r="25" spans="1:10">
      <c r="A25" s="664" t="s">
        <v>525</v>
      </c>
    </row>
    <row r="27" spans="1:10">
      <c r="A27" s="694" t="s">
        <v>1650</v>
      </c>
      <c r="B27" s="80"/>
      <c r="C27" s="80"/>
      <c r="D27" s="80"/>
      <c r="E27" s="80"/>
      <c r="F27" s="80"/>
      <c r="G27" s="80"/>
    </row>
    <row r="28" spans="1:10">
      <c r="A28" s="66"/>
    </row>
    <row r="29" spans="1:10">
      <c r="A29" s="66"/>
      <c r="B29" s="792"/>
      <c r="C29" s="792"/>
      <c r="D29" s="792"/>
      <c r="E29" s="792"/>
      <c r="F29" s="792"/>
      <c r="G29" s="792"/>
    </row>
    <row r="30" spans="1:10">
      <c r="A30" s="66"/>
      <c r="B30" s="792"/>
      <c r="C30" s="792"/>
      <c r="D30" s="792"/>
      <c r="E30" s="792"/>
      <c r="F30" s="792"/>
      <c r="G30" s="792"/>
    </row>
    <row r="31" spans="1:10">
      <c r="A31" s="66"/>
      <c r="B31" s="792"/>
      <c r="C31" s="792"/>
      <c r="D31" s="792"/>
      <c r="E31" s="792"/>
      <c r="F31" s="792"/>
      <c r="G31" s="792"/>
    </row>
    <row r="36" spans="2:4">
      <c r="B36" s="591"/>
      <c r="C36" s="591"/>
      <c r="D36" s="591"/>
    </row>
  </sheetData>
  <mergeCells count="5">
    <mergeCell ref="A1:G1"/>
    <mergeCell ref="A2:G2"/>
    <mergeCell ref="A3:G3"/>
    <mergeCell ref="A4:G4"/>
    <mergeCell ref="A5:G5"/>
  </mergeCells>
  <pageMargins left="0.95" right="0.72" top="1.05" bottom="0.5" header="0.8" footer="0.5"/>
  <pageSetup scale="99" orientation="portrait" verticalDpi="300" r:id="rId1"/>
  <headerFooter alignWithMargins="0">
    <oddFooter>&amp;RSchedule &amp;A
Page &amp;P of &amp;N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view="pageBreakPreview" zoomScale="80" zoomScaleNormal="90" zoomScaleSheetLayoutView="80" workbookViewId="0">
      <selection activeCell="J154" sqref="J154"/>
    </sheetView>
  </sheetViews>
  <sheetFormatPr defaultRowHeight="15"/>
  <cols>
    <col min="1" max="1" width="5.88671875" style="62" customWidth="1"/>
    <col min="2" max="2" width="7.109375" style="62" customWidth="1"/>
    <col min="3" max="3" width="31.109375" style="62" bestFit="1" customWidth="1"/>
    <col min="4" max="4" width="11.88671875" style="62" customWidth="1"/>
    <col min="5" max="5" width="10.6640625" style="62" customWidth="1"/>
    <col min="6" max="6" width="11.44140625" style="62" customWidth="1"/>
    <col min="7" max="16384" width="8.88671875" style="62"/>
  </cols>
  <sheetData>
    <row r="1" spans="1:9" ht="15.75">
      <c r="A1" s="1209" t="str">
        <f>'Table of Contents'!A1:C1</f>
        <v>Atmos Energy Corporation, Kentucky/Mid-States Division</v>
      </c>
      <c r="B1" s="1209"/>
      <c r="C1" s="1209"/>
      <c r="D1" s="1209"/>
      <c r="E1" s="1209"/>
      <c r="F1" s="1209"/>
    </row>
    <row r="2" spans="1:9" ht="15.75">
      <c r="A2" s="1209" t="str">
        <f>'Table of Contents'!A2:C2</f>
        <v>Kentucky Jurisdiction Case No. 2018-00281</v>
      </c>
      <c r="B2" s="1209" t="s">
        <v>323</v>
      </c>
      <c r="C2" s="1209"/>
      <c r="D2" s="1209"/>
      <c r="E2" s="1209"/>
      <c r="F2" s="1209"/>
    </row>
    <row r="3" spans="1:9" ht="15.75">
      <c r="A3" s="1209" t="s">
        <v>1370</v>
      </c>
      <c r="B3" s="1209"/>
      <c r="C3" s="1209"/>
      <c r="D3" s="1209"/>
      <c r="E3" s="1209"/>
      <c r="F3" s="1209"/>
    </row>
    <row r="4" spans="1:9" ht="15.75">
      <c r="A4" s="1209"/>
      <c r="B4" s="1209"/>
      <c r="C4" s="1209"/>
      <c r="D4" s="1209"/>
      <c r="E4" s="1209"/>
      <c r="F4" s="1209"/>
    </row>
    <row r="5" spans="1:9" ht="15.75">
      <c r="B5" s="102"/>
      <c r="C5" s="102"/>
      <c r="D5" s="102"/>
      <c r="E5" s="102"/>
    </row>
    <row r="6" spans="1:9" ht="15.75">
      <c r="A6" s="66" t="s">
        <v>136</v>
      </c>
      <c r="E6" s="102"/>
      <c r="F6" s="496" t="s">
        <v>1407</v>
      </c>
    </row>
    <row r="7" spans="1:9" ht="15.75">
      <c r="A7" s="66" t="s">
        <v>1123</v>
      </c>
      <c r="E7" s="102"/>
      <c r="F7" s="695" t="s">
        <v>1359</v>
      </c>
    </row>
    <row r="8" spans="1:9" ht="15.75">
      <c r="A8" s="66" t="s">
        <v>365</v>
      </c>
      <c r="E8" s="384"/>
      <c r="F8" s="1135" t="str">
        <f>F.1!$F$9</f>
        <v>Witness: Waller</v>
      </c>
    </row>
    <row r="9" spans="1:9">
      <c r="A9" s="1078"/>
      <c r="B9" s="1078"/>
      <c r="C9" s="1078"/>
      <c r="D9" s="1078"/>
    </row>
    <row r="10" spans="1:9">
      <c r="A10" s="94"/>
      <c r="B10" s="94"/>
      <c r="C10" s="94"/>
      <c r="D10" s="94"/>
    </row>
    <row r="11" spans="1:9">
      <c r="A11" s="241" t="s">
        <v>93</v>
      </c>
      <c r="E11" s="530" t="s">
        <v>627</v>
      </c>
      <c r="F11" s="530" t="s">
        <v>12</v>
      </c>
    </row>
    <row r="12" spans="1:9">
      <c r="A12" s="1082" t="s">
        <v>99</v>
      </c>
      <c r="B12" s="1082" t="s">
        <v>1360</v>
      </c>
      <c r="C12" s="1082" t="s">
        <v>1361</v>
      </c>
      <c r="D12" s="1082" t="s">
        <v>96</v>
      </c>
      <c r="E12" s="1082" t="s">
        <v>1002</v>
      </c>
      <c r="F12" s="1136" t="s">
        <v>1362</v>
      </c>
      <c r="H12" s="1137"/>
    </row>
    <row r="14" spans="1:9">
      <c r="A14" s="1138" t="s">
        <v>1363</v>
      </c>
      <c r="G14" s="96"/>
      <c r="H14" s="96"/>
      <c r="I14" s="96"/>
    </row>
    <row r="15" spans="1:9">
      <c r="A15" s="858">
        <v>1</v>
      </c>
      <c r="B15" s="530">
        <v>2</v>
      </c>
      <c r="C15" s="62" t="s">
        <v>1364</v>
      </c>
      <c r="D15" s="1139">
        <v>4619226.5692848982</v>
      </c>
      <c r="E15" s="1140">
        <v>5.1771199999999996E-2</v>
      </c>
      <c r="F15" s="1141">
        <v>239142.9025637623</v>
      </c>
      <c r="G15" s="96"/>
      <c r="H15" s="96"/>
      <c r="I15" s="96"/>
    </row>
    <row r="16" spans="1:9">
      <c r="B16" s="530"/>
      <c r="G16" s="96"/>
      <c r="H16" s="96"/>
      <c r="I16" s="96"/>
    </row>
    <row r="17" spans="1:10">
      <c r="A17" s="858">
        <f>A15+1</f>
        <v>2</v>
      </c>
      <c r="B17" s="530">
        <v>12</v>
      </c>
      <c r="C17" s="62" t="s">
        <v>1364</v>
      </c>
      <c r="D17" s="1139">
        <v>0</v>
      </c>
      <c r="E17" s="1140">
        <v>5.6412179785543033E-2</v>
      </c>
      <c r="F17" s="1141">
        <v>0</v>
      </c>
      <c r="G17" s="96"/>
      <c r="H17" s="96"/>
      <c r="I17" s="96"/>
    </row>
    <row r="18" spans="1:10">
      <c r="A18" s="858"/>
      <c r="B18" s="530"/>
      <c r="G18" s="96"/>
      <c r="H18" s="96"/>
      <c r="I18" s="96"/>
    </row>
    <row r="19" spans="1:10">
      <c r="A19" s="858">
        <f>A17+1</f>
        <v>3</v>
      </c>
      <c r="B19" s="530">
        <v>91</v>
      </c>
      <c r="C19" s="62" t="s">
        <v>1364</v>
      </c>
      <c r="D19" s="1139">
        <v>846073</v>
      </c>
      <c r="E19" s="1140">
        <v>0.49780000000000002</v>
      </c>
      <c r="F19" s="1141">
        <v>421175.13940000004</v>
      </c>
      <c r="G19" s="96"/>
      <c r="H19" s="96"/>
      <c r="I19" s="96"/>
    </row>
    <row r="20" spans="1:10">
      <c r="A20" s="858"/>
      <c r="B20" s="530"/>
      <c r="G20" s="96"/>
      <c r="H20" s="96"/>
      <c r="I20" s="96"/>
      <c r="J20" s="62" t="s">
        <v>323</v>
      </c>
    </row>
    <row r="21" spans="1:10">
      <c r="A21" s="858">
        <f>A19+1</f>
        <v>4</v>
      </c>
      <c r="B21" s="530">
        <v>9</v>
      </c>
      <c r="C21" s="62" t="s">
        <v>1364</v>
      </c>
      <c r="D21" s="62">
        <v>0</v>
      </c>
      <c r="E21" s="1140">
        <v>1</v>
      </c>
      <c r="F21" s="1141">
        <v>0</v>
      </c>
      <c r="G21" s="96"/>
      <c r="H21" s="96"/>
      <c r="I21" s="96"/>
    </row>
    <row r="22" spans="1:10">
      <c r="A22" s="858"/>
      <c r="G22" s="96"/>
      <c r="H22" s="96"/>
      <c r="I22" s="96"/>
    </row>
    <row r="23" spans="1:10">
      <c r="A23" s="858">
        <f>A21+1</f>
        <v>5</v>
      </c>
      <c r="C23" s="62" t="s">
        <v>1368</v>
      </c>
      <c r="F23" s="1142">
        <v>660318.04196376237</v>
      </c>
      <c r="G23" s="96"/>
      <c r="H23" s="96"/>
      <c r="I23" s="96"/>
    </row>
    <row r="24" spans="1:10">
      <c r="A24" s="858"/>
      <c r="F24" s="1139"/>
      <c r="G24" s="96"/>
      <c r="H24" s="96"/>
      <c r="I24" s="96"/>
    </row>
    <row r="25" spans="1:10">
      <c r="G25" s="96"/>
      <c r="H25" s="96"/>
      <c r="I25" s="96"/>
    </row>
    <row r="26" spans="1:10">
      <c r="A26" s="1138" t="s">
        <v>1365</v>
      </c>
      <c r="G26" s="96"/>
      <c r="H26" s="96"/>
      <c r="I26" s="96"/>
    </row>
    <row r="27" spans="1:10">
      <c r="A27" s="858">
        <f>A23+1</f>
        <v>6</v>
      </c>
      <c r="B27" s="530">
        <v>2</v>
      </c>
      <c r="C27" s="62" t="s">
        <v>1366</v>
      </c>
      <c r="D27" s="1139">
        <v>1992898.6133238107</v>
      </c>
      <c r="E27" s="1143">
        <v>5.1771199999999996E-2</v>
      </c>
      <c r="F27" s="1141">
        <v>103174.75269010966</v>
      </c>
      <c r="G27" s="96"/>
      <c r="H27" s="96"/>
      <c r="I27" s="96"/>
    </row>
    <row r="28" spans="1:10">
      <c r="A28" s="858">
        <f>A27+1</f>
        <v>7</v>
      </c>
      <c r="B28" s="530"/>
      <c r="C28" s="62" t="s">
        <v>1372</v>
      </c>
      <c r="D28" s="1139">
        <v>2176607.9147419627</v>
      </c>
      <c r="E28" s="1140">
        <v>5.1771199999999996E-2</v>
      </c>
      <c r="F28" s="1141">
        <v>112685.6036756891</v>
      </c>
      <c r="G28" s="96"/>
      <c r="H28" s="96"/>
      <c r="I28" s="96"/>
    </row>
    <row r="29" spans="1:10">
      <c r="A29" s="858"/>
      <c r="B29" s="530"/>
      <c r="G29" s="96"/>
      <c r="H29" s="96"/>
      <c r="I29" s="96"/>
    </row>
    <row r="30" spans="1:10">
      <c r="A30" s="858">
        <f>A28+1</f>
        <v>8</v>
      </c>
      <c r="B30" s="530">
        <v>12</v>
      </c>
      <c r="C30" s="62" t="s">
        <v>1366</v>
      </c>
      <c r="D30" s="1171">
        <v>51606.655958830859</v>
      </c>
      <c r="E30" s="1140">
        <v>5.6412179785543033E-2</v>
      </c>
      <c r="F30" s="1141">
        <v>2911.243954080232</v>
      </c>
      <c r="G30" s="96"/>
      <c r="H30" s="96"/>
      <c r="I30" s="96"/>
    </row>
    <row r="31" spans="1:10">
      <c r="A31" s="858">
        <f>A30+1</f>
        <v>9</v>
      </c>
      <c r="B31" s="530"/>
      <c r="C31" s="62" t="s">
        <v>1372</v>
      </c>
      <c r="D31" s="1171">
        <v>58920.900528394508</v>
      </c>
      <c r="E31" s="1140">
        <v>5.6412179785543033E-2</v>
      </c>
      <c r="F31" s="1141">
        <v>3323.8564337338885</v>
      </c>
      <c r="G31" s="96"/>
      <c r="H31" s="96"/>
      <c r="I31" s="96"/>
    </row>
    <row r="32" spans="1:10">
      <c r="A32" s="96"/>
      <c r="B32" s="530"/>
      <c r="G32" s="96"/>
      <c r="H32" s="96"/>
      <c r="I32" s="96"/>
    </row>
    <row r="33" spans="1:9">
      <c r="A33" s="858">
        <f>A31+1</f>
        <v>10</v>
      </c>
      <c r="B33" s="530">
        <v>91</v>
      </c>
      <c r="C33" s="62" t="s">
        <v>1687</v>
      </c>
      <c r="D33" s="1139">
        <v>161850.79771399999</v>
      </c>
      <c r="E33" s="1140">
        <v>0.49780000000000002</v>
      </c>
      <c r="F33" s="1141">
        <v>80569.327102029201</v>
      </c>
      <c r="G33" s="96"/>
      <c r="H33" s="96"/>
      <c r="I33" s="96"/>
    </row>
    <row r="34" spans="1:9">
      <c r="A34" s="858">
        <f>A33+1</f>
        <v>11</v>
      </c>
      <c r="B34" s="530"/>
      <c r="D34" s="1139"/>
      <c r="E34" s="1140"/>
      <c r="F34" s="1141"/>
      <c r="G34" s="96"/>
      <c r="H34" s="96"/>
      <c r="I34" s="96"/>
    </row>
    <row r="35" spans="1:9">
      <c r="A35" s="694"/>
      <c r="B35" s="530"/>
      <c r="G35" s="96"/>
      <c r="H35" s="96"/>
      <c r="I35" s="96"/>
    </row>
    <row r="36" spans="1:9">
      <c r="A36" s="858">
        <f>A34+1</f>
        <v>12</v>
      </c>
      <c r="B36" s="530">
        <v>9</v>
      </c>
      <c r="C36" s="62" t="s">
        <v>1366</v>
      </c>
      <c r="D36" s="1139">
        <v>0</v>
      </c>
      <c r="E36" s="1140">
        <v>1</v>
      </c>
      <c r="F36" s="1141">
        <v>0</v>
      </c>
      <c r="G36" s="96"/>
      <c r="H36" s="96"/>
      <c r="I36" s="96"/>
    </row>
    <row r="37" spans="1:9">
      <c r="A37" s="858">
        <f>A36+1</f>
        <v>13</v>
      </c>
      <c r="C37" s="62" t="s">
        <v>1372</v>
      </c>
      <c r="D37" s="1139">
        <v>0</v>
      </c>
      <c r="E37" s="1140">
        <v>1</v>
      </c>
      <c r="F37" s="1141">
        <v>0</v>
      </c>
      <c r="G37" s="96"/>
      <c r="H37" s="96"/>
      <c r="I37" s="96"/>
    </row>
    <row r="38" spans="1:9">
      <c r="A38" s="96"/>
      <c r="G38" s="96"/>
      <c r="H38" s="96"/>
      <c r="I38" s="96"/>
    </row>
    <row r="39" spans="1:9">
      <c r="A39" s="858">
        <f>A37+1</f>
        <v>14</v>
      </c>
      <c r="C39" s="62" t="s">
        <v>1367</v>
      </c>
      <c r="F39" s="1142">
        <v>302664.78385564208</v>
      </c>
      <c r="G39" s="96"/>
      <c r="H39" s="96"/>
      <c r="I39" s="96"/>
    </row>
    <row r="40" spans="1:9">
      <c r="A40" s="96"/>
      <c r="G40" s="96"/>
      <c r="H40" s="96"/>
      <c r="I40" s="96"/>
    </row>
    <row r="41" spans="1:9" ht="18" customHeight="1" thickBot="1">
      <c r="A41" s="858">
        <f>A39+1</f>
        <v>15</v>
      </c>
      <c r="C41" s="62" t="s">
        <v>1369</v>
      </c>
      <c r="F41" s="1144">
        <v>962982.82581940445</v>
      </c>
      <c r="G41" s="96"/>
      <c r="H41" s="96"/>
      <c r="I41" s="96"/>
    </row>
    <row r="42" spans="1:9" ht="15.75" thickTop="1">
      <c r="A42" s="96"/>
      <c r="B42" s="96"/>
      <c r="C42" s="96"/>
      <c r="D42" s="96"/>
      <c r="E42" s="96"/>
      <c r="F42" s="96"/>
      <c r="G42" s="96"/>
      <c r="H42" s="96"/>
      <c r="I42" s="96"/>
    </row>
    <row r="43" spans="1:9">
      <c r="C43" s="62" t="s">
        <v>1701</v>
      </c>
      <c r="F43" s="1181">
        <v>62593.883678261293</v>
      </c>
    </row>
  </sheetData>
  <mergeCells count="4">
    <mergeCell ref="A1:F1"/>
    <mergeCell ref="A2:F2"/>
    <mergeCell ref="A3:F3"/>
    <mergeCell ref="A4:F4"/>
  </mergeCells>
  <pageMargins left="0.95" right="0.82" top="1.05" bottom="0.5" header="0.8" footer="0.5"/>
  <pageSetup scale="92" orientation="portrait" verticalDpi="300" r:id="rId1"/>
  <headerFooter alignWithMargins="0">
    <oddFooter>&amp;RSchedule &amp;A
Page &amp;P of &amp;N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="110" zoomScaleNormal="100" zoomScaleSheetLayoutView="110" workbookViewId="0">
      <selection activeCell="J154" sqref="J154"/>
    </sheetView>
  </sheetViews>
  <sheetFormatPr defaultRowHeight="15"/>
  <cols>
    <col min="1" max="1" width="8.77734375" customWidth="1"/>
    <col min="2" max="2" width="12.109375" customWidth="1"/>
    <col min="3" max="3" width="32.109375" bestFit="1" customWidth="1"/>
    <col min="4" max="4" width="10.6640625" customWidth="1"/>
    <col min="5" max="5" width="12.21875" customWidth="1"/>
    <col min="6" max="6" width="13.109375" bestFit="1" customWidth="1"/>
  </cols>
  <sheetData>
    <row r="1" spans="1:6" ht="15.75">
      <c r="A1" s="1209" t="str">
        <f>'Table of Contents'!A1:C1</f>
        <v>Atmos Energy Corporation, Kentucky/Mid-States Division</v>
      </c>
      <c r="B1" s="1209"/>
      <c r="C1" s="1209"/>
      <c r="D1" s="1209"/>
      <c r="E1" s="1209"/>
      <c r="F1" s="1209"/>
    </row>
    <row r="2" spans="1:6" ht="15.75">
      <c r="A2" s="1209" t="str">
        <f>'Table of Contents'!A2:C2</f>
        <v>Kentucky Jurisdiction Case No. 2018-00281</v>
      </c>
      <c r="B2" s="1209" t="s">
        <v>323</v>
      </c>
      <c r="C2" s="1209"/>
      <c r="D2" s="1209"/>
      <c r="E2" s="1209"/>
      <c r="F2" s="1209"/>
    </row>
    <row r="3" spans="1:6" ht="15.75">
      <c r="A3" s="1209" t="s">
        <v>1668</v>
      </c>
      <c r="B3" s="1209"/>
      <c r="C3" s="1209"/>
      <c r="D3" s="1209"/>
      <c r="E3" s="1209"/>
      <c r="F3" s="1209"/>
    </row>
    <row r="4" spans="1:6" ht="15.75">
      <c r="A4" s="1209"/>
      <c r="B4" s="1209"/>
      <c r="C4" s="1209"/>
      <c r="D4" s="1209"/>
      <c r="E4" s="1209"/>
      <c r="F4" s="1209"/>
    </row>
    <row r="5" spans="1:6" ht="15.75">
      <c r="A5" s="62"/>
      <c r="B5" s="102"/>
      <c r="C5" s="102"/>
      <c r="D5" s="102"/>
      <c r="E5" s="102"/>
      <c r="F5" s="62"/>
    </row>
    <row r="6" spans="1:6" ht="15.75">
      <c r="A6" s="66" t="s">
        <v>136</v>
      </c>
      <c r="B6" s="62"/>
      <c r="C6" s="62"/>
      <c r="D6" s="62"/>
      <c r="E6" s="102"/>
      <c r="F6" s="496" t="s">
        <v>1407</v>
      </c>
    </row>
    <row r="7" spans="1:6" ht="15.75">
      <c r="A7" s="66" t="s">
        <v>1123</v>
      </c>
      <c r="B7" s="62"/>
      <c r="C7" s="62"/>
      <c r="D7" s="62"/>
      <c r="E7" s="102"/>
      <c r="F7" s="695" t="s">
        <v>1359</v>
      </c>
    </row>
    <row r="8" spans="1:6" ht="15.75">
      <c r="A8" s="66" t="s">
        <v>365</v>
      </c>
      <c r="B8" s="62"/>
      <c r="C8" s="62"/>
      <c r="D8" s="62"/>
      <c r="E8" s="384"/>
      <c r="F8" s="1135" t="str">
        <f>F.1!$F$9</f>
        <v>Witness: Waller</v>
      </c>
    </row>
    <row r="11" spans="1:6">
      <c r="A11" s="1162" t="s">
        <v>204</v>
      </c>
      <c r="B11" s="803" t="s">
        <v>155</v>
      </c>
      <c r="C11" s="803" t="s">
        <v>1664</v>
      </c>
      <c r="D11" s="1163" t="s">
        <v>104</v>
      </c>
      <c r="E11" s="803" t="s">
        <v>627</v>
      </c>
      <c r="F11" s="803" t="s">
        <v>96</v>
      </c>
    </row>
    <row r="12" spans="1:6">
      <c r="A12">
        <v>1</v>
      </c>
    </row>
    <row r="13" spans="1:6">
      <c r="A13">
        <v>2</v>
      </c>
      <c r="B13" s="1164" t="s">
        <v>1662</v>
      </c>
      <c r="C13" s="792" t="s">
        <v>1663</v>
      </c>
      <c r="D13">
        <v>3664608.47</v>
      </c>
      <c r="E13" s="55">
        <v>5.1771199999999996E-2</v>
      </c>
      <c r="F13">
        <v>189721.17802206401</v>
      </c>
    </row>
    <row r="14" spans="1:6">
      <c r="A14" s="792">
        <v>3</v>
      </c>
      <c r="B14" s="1164" t="s">
        <v>1662</v>
      </c>
      <c r="C14" s="103" t="s">
        <v>1669</v>
      </c>
      <c r="D14" s="80">
        <v>1161418.7800000003</v>
      </c>
      <c r="E14" s="423">
        <v>5.1771199999999996E-2</v>
      </c>
      <c r="F14" s="792">
        <v>60128.043943136006</v>
      </c>
    </row>
    <row r="15" spans="1:6" s="792" customFormat="1">
      <c r="A15" s="792">
        <v>4</v>
      </c>
      <c r="B15" s="1164" t="s">
        <v>1688</v>
      </c>
      <c r="C15" s="103" t="s">
        <v>1669</v>
      </c>
      <c r="D15" s="80">
        <v>664152.70000000042</v>
      </c>
      <c r="E15" s="423">
        <v>5.6412179785543033E-2</v>
      </c>
      <c r="F15" s="792">
        <v>37466.301517453852</v>
      </c>
    </row>
    <row r="16" spans="1:6" s="792" customFormat="1">
      <c r="A16" s="792">
        <v>5</v>
      </c>
      <c r="B16" s="1164" t="s">
        <v>1689</v>
      </c>
      <c r="C16" s="103" t="s">
        <v>1669</v>
      </c>
      <c r="D16" s="80">
        <v>339022.81999999989</v>
      </c>
      <c r="E16" s="423">
        <v>1</v>
      </c>
      <c r="F16" s="792">
        <v>339022.81999999989</v>
      </c>
    </row>
    <row r="17" spans="1:6" s="792" customFormat="1">
      <c r="A17" s="792">
        <v>6</v>
      </c>
      <c r="B17" s="1164" t="s">
        <v>1690</v>
      </c>
      <c r="C17" s="103" t="s">
        <v>1669</v>
      </c>
      <c r="D17" s="80">
        <v>164728.26</v>
      </c>
      <c r="E17" s="423">
        <v>0.49780000000000002</v>
      </c>
      <c r="F17" s="792">
        <v>82001.727828000003</v>
      </c>
    </row>
    <row r="18" spans="1:6">
      <c r="A18" s="792">
        <v>7</v>
      </c>
    </row>
    <row r="19" spans="1:6">
      <c r="A19" s="792">
        <v>8</v>
      </c>
      <c r="C19" t="s">
        <v>934</v>
      </c>
      <c r="F19">
        <v>708340.0713106537</v>
      </c>
    </row>
    <row r="20" spans="1:6">
      <c r="A20" s="792"/>
    </row>
    <row r="21" spans="1:6">
      <c r="A21" s="792"/>
    </row>
    <row r="22" spans="1:6">
      <c r="A22" s="792"/>
    </row>
    <row r="23" spans="1:6">
      <c r="A23" s="792"/>
    </row>
    <row r="24" spans="1:6">
      <c r="A24" s="792"/>
    </row>
    <row r="25" spans="1:6">
      <c r="A25" s="792"/>
    </row>
    <row r="26" spans="1:6">
      <c r="A26" s="792"/>
    </row>
    <row r="27" spans="1:6">
      <c r="A27" s="792"/>
    </row>
    <row r="28" spans="1:6">
      <c r="A28" s="792"/>
    </row>
    <row r="29" spans="1:6">
      <c r="A29" s="792"/>
    </row>
    <row r="30" spans="1:6">
      <c r="A30" s="792"/>
    </row>
    <row r="31" spans="1:6">
      <c r="A31" s="792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71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N68"/>
  <sheetViews>
    <sheetView view="pageBreakPreview" zoomScale="80" zoomScaleNormal="90" zoomScaleSheetLayoutView="80" workbookViewId="0">
      <selection activeCell="D17" sqref="D17"/>
    </sheetView>
  </sheetViews>
  <sheetFormatPr defaultColWidth="8.44140625" defaultRowHeight="15"/>
  <cols>
    <col min="1" max="1" width="7.5546875" style="1" customWidth="1"/>
    <col min="2" max="2" width="33.77734375" style="1" customWidth="1"/>
    <col min="3" max="3" width="7.33203125" style="1" customWidth="1"/>
    <col min="4" max="4" width="14.44140625" style="1" customWidth="1"/>
    <col min="5" max="5" width="2.109375" style="1" customWidth="1"/>
    <col min="6" max="6" width="12.44140625" style="1" customWidth="1"/>
    <col min="7" max="7" width="2" style="1" customWidth="1"/>
    <col min="8" max="8" width="13.5546875" style="1" customWidth="1"/>
    <col min="9" max="9" width="2.6640625" style="1" customWidth="1"/>
    <col min="10" max="10" width="10.88671875" style="1" customWidth="1"/>
    <col min="11" max="11" width="3.33203125" style="1" customWidth="1"/>
    <col min="12" max="12" width="14.44140625" style="1" customWidth="1"/>
    <col min="13" max="13" width="18.6640625" style="1" customWidth="1"/>
    <col min="14" max="16" width="8.44140625" style="1"/>
    <col min="17" max="17" width="9.44140625" style="1" bestFit="1" customWidth="1"/>
    <col min="18" max="18" width="8.44140625" style="1"/>
    <col min="19" max="19" width="9.44140625" style="1" bestFit="1" customWidth="1"/>
    <col min="20" max="16384" width="8.44140625" style="1"/>
  </cols>
  <sheetData>
    <row r="1" spans="1:13">
      <c r="A1" s="172" t="str">
        <f>'Table of Contents'!A1:C1</f>
        <v>Atmos Energy Corporation, Kentucky/Mid-States Division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3">
      <c r="A2" s="172" t="str">
        <f>'Table of Contents'!A2:C2</f>
        <v>Kentucky Jurisdiction Case No. 2018-00281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3">
      <c r="A3" s="89" t="s">
        <v>511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3">
      <c r="A4" s="679" t="str">
        <f>'Table of Contents'!A3:C3</f>
        <v>Base Period: Twelve Months Ended December 31, 2018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3">
      <c r="A5" s="679" t="str">
        <f>'Table of Contents'!A4:C4</f>
        <v>Forecasted Test Period: Twelve Months Ended March 31, 2020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3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3">
      <c r="A7" s="90" t="s">
        <v>198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375" t="s">
        <v>1408</v>
      </c>
    </row>
    <row r="8" spans="1:13">
      <c r="A8" s="90" t="s">
        <v>1121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560" t="s">
        <v>841</v>
      </c>
    </row>
    <row r="9" spans="1:13">
      <c r="A9" s="91" t="s">
        <v>426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561" t="str">
        <f>F.1!$F$9</f>
        <v>Witness: Waller</v>
      </c>
    </row>
    <row r="10" spans="1:13" ht="15.75">
      <c r="A10" s="127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646"/>
    </row>
    <row r="11" spans="1:13">
      <c r="A11" s="92"/>
      <c r="B11" s="92"/>
      <c r="C11" s="92"/>
      <c r="D11" s="93"/>
      <c r="E11" s="93"/>
      <c r="F11" s="93"/>
      <c r="G11" s="93"/>
      <c r="H11" s="399"/>
      <c r="I11" s="93"/>
      <c r="J11" s="93"/>
      <c r="K11" s="93"/>
      <c r="L11" s="93"/>
    </row>
    <row r="12" spans="1:13">
      <c r="A12" s="92"/>
      <c r="B12" s="92"/>
      <c r="C12" s="92"/>
      <c r="D12" s="399" t="s">
        <v>96</v>
      </c>
      <c r="E12" s="93"/>
      <c r="F12" s="93"/>
      <c r="G12" s="93"/>
      <c r="H12" s="399" t="s">
        <v>523</v>
      </c>
      <c r="I12" s="93"/>
      <c r="J12" s="93"/>
      <c r="K12" s="93"/>
      <c r="L12" s="399" t="s">
        <v>325</v>
      </c>
    </row>
    <row r="13" spans="1:13">
      <c r="A13" s="100" t="s">
        <v>93</v>
      </c>
      <c r="B13" s="92"/>
      <c r="C13" s="645" t="s">
        <v>1240</v>
      </c>
      <c r="D13" s="399" t="s">
        <v>102</v>
      </c>
      <c r="E13" s="93"/>
      <c r="F13" s="93"/>
      <c r="G13" s="93"/>
      <c r="H13" s="399" t="s">
        <v>337</v>
      </c>
      <c r="I13" s="93"/>
      <c r="J13" s="93"/>
      <c r="K13" s="93"/>
      <c r="L13" s="399" t="s">
        <v>97</v>
      </c>
    </row>
    <row r="14" spans="1:13">
      <c r="A14" s="101" t="s">
        <v>99</v>
      </c>
      <c r="B14" s="101" t="s">
        <v>985</v>
      </c>
      <c r="C14" s="403" t="s">
        <v>1238</v>
      </c>
      <c r="D14" s="403" t="s">
        <v>986</v>
      </c>
      <c r="E14" s="95"/>
      <c r="F14" s="403" t="s">
        <v>337</v>
      </c>
      <c r="G14" s="95"/>
      <c r="H14" s="403" t="s">
        <v>986</v>
      </c>
      <c r="I14" s="95"/>
      <c r="J14" s="403" t="s">
        <v>987</v>
      </c>
      <c r="K14" s="95"/>
      <c r="L14" s="403" t="s">
        <v>1080</v>
      </c>
      <c r="M14" s="15"/>
    </row>
    <row r="15" spans="1:13">
      <c r="A15" s="92"/>
      <c r="B15" s="92"/>
      <c r="C15" s="92"/>
      <c r="D15" s="100"/>
      <c r="E15" s="92"/>
      <c r="F15" s="100"/>
      <c r="G15" s="92"/>
      <c r="H15" s="100"/>
      <c r="I15" s="90"/>
      <c r="J15" s="100"/>
      <c r="K15" s="90"/>
      <c r="L15" s="100"/>
    </row>
    <row r="16" spans="1:13">
      <c r="A16" s="100">
        <v>1</v>
      </c>
      <c r="B16" s="16" t="s">
        <v>849</v>
      </c>
      <c r="C16" s="16"/>
      <c r="D16" s="424"/>
      <c r="E16" s="92"/>
      <c r="F16" s="92"/>
      <c r="G16" s="92"/>
      <c r="H16" s="92"/>
      <c r="I16" s="92"/>
      <c r="J16" s="92"/>
      <c r="K16" s="92"/>
      <c r="L16" s="425"/>
    </row>
    <row r="17" spans="1:14">
      <c r="A17" s="100">
        <v>2</v>
      </c>
      <c r="B17" s="90" t="s">
        <v>394</v>
      </c>
      <c r="C17" s="90"/>
      <c r="D17" s="493">
        <f>G.2!M26</f>
        <v>12586037.379999997</v>
      </c>
      <c r="E17" s="92"/>
      <c r="F17" s="128" t="s">
        <v>147</v>
      </c>
      <c r="G17" s="92"/>
      <c r="H17" s="493">
        <f>+D17</f>
        <v>12586037.379999997</v>
      </c>
      <c r="I17" s="92"/>
      <c r="J17" s="493">
        <f>L17-H17</f>
        <v>1581422.5857404564</v>
      </c>
      <c r="K17" s="92"/>
      <c r="L17" s="493">
        <f>G.2!O26</f>
        <v>14167459.965740453</v>
      </c>
    </row>
    <row r="18" spans="1:14">
      <c r="A18" s="100">
        <v>3</v>
      </c>
      <c r="B18" s="92"/>
      <c r="C18" s="92"/>
      <c r="D18" s="87"/>
      <c r="E18" s="92"/>
      <c r="F18" s="105"/>
      <c r="G18" s="92"/>
      <c r="H18" s="87"/>
      <c r="I18" s="92"/>
      <c r="J18" s="87"/>
      <c r="K18" s="92"/>
      <c r="L18" s="87"/>
      <c r="N18" s="591"/>
    </row>
    <row r="19" spans="1:14">
      <c r="A19" s="100">
        <v>4</v>
      </c>
      <c r="B19" s="16" t="s">
        <v>617</v>
      </c>
      <c r="C19" s="591"/>
      <c r="D19" s="87"/>
      <c r="E19" s="92"/>
      <c r="F19" s="105"/>
      <c r="G19" s="92"/>
      <c r="H19" s="87"/>
      <c r="I19" s="92"/>
      <c r="J19" s="87"/>
      <c r="K19" s="92"/>
      <c r="L19" s="87"/>
    </row>
    <row r="20" spans="1:14">
      <c r="A20" s="100">
        <v>5</v>
      </c>
      <c r="B20" s="90" t="s">
        <v>1239</v>
      </c>
      <c r="C20" s="717">
        <v>4.1782449753929467E-2</v>
      </c>
      <c r="D20" s="340">
        <f>D$17*C20</f>
        <v>525875.47443092801</v>
      </c>
      <c r="E20" s="179"/>
      <c r="F20" s="128" t="s">
        <v>147</v>
      </c>
      <c r="G20" s="92"/>
      <c r="H20" s="340">
        <f t="shared" ref="H20:H25" si="0">D20</f>
        <v>525875.47443092801</v>
      </c>
      <c r="I20" s="92"/>
      <c r="J20" s="340">
        <f t="shared" ref="J20:J25" si="1">L20-H20</f>
        <v>66075.709728429792</v>
      </c>
      <c r="K20" s="92"/>
      <c r="L20" s="340">
        <f>L$17*C20</f>
        <v>591951.1841593578</v>
      </c>
      <c r="N20" s="793"/>
    </row>
    <row r="21" spans="1:14">
      <c r="A21" s="100">
        <v>6</v>
      </c>
      <c r="B21" s="90" t="s">
        <v>1088</v>
      </c>
      <c r="C21" s="717">
        <v>-9.558331668870771E-3</v>
      </c>
      <c r="D21" s="86">
        <f>D$17*C21</f>
        <v>-120301.51967484527</v>
      </c>
      <c r="E21" s="179"/>
      <c r="F21" s="128" t="s">
        <v>147</v>
      </c>
      <c r="G21" s="92"/>
      <c r="H21" s="86">
        <f t="shared" si="0"/>
        <v>-120301.51967484527</v>
      </c>
      <c r="I21" s="92"/>
      <c r="J21" s="86">
        <f t="shared" si="1"/>
        <v>-273739.76158315048</v>
      </c>
      <c r="K21" s="92"/>
      <c r="L21" s="86">
        <f>L$17*C21-258624</f>
        <v>-394041.28125799575</v>
      </c>
      <c r="M21" s="591"/>
      <c r="N21" s="793"/>
    </row>
    <row r="22" spans="1:14">
      <c r="A22" s="100">
        <v>7</v>
      </c>
      <c r="B22" s="90" t="s">
        <v>608</v>
      </c>
      <c r="C22" s="717">
        <v>0.21505769803395991</v>
      </c>
      <c r="D22" s="86">
        <f>D$17*C22</f>
        <v>2706724.2263121712</v>
      </c>
      <c r="E22" s="427"/>
      <c r="F22" s="657" t="s">
        <v>147</v>
      </c>
      <c r="G22" s="103"/>
      <c r="H22" s="86">
        <f t="shared" si="0"/>
        <v>2706724.2263121712</v>
      </c>
      <c r="I22" s="103"/>
      <c r="J22" s="86">
        <f t="shared" si="1"/>
        <v>340097.1009082552</v>
      </c>
      <c r="K22" s="103"/>
      <c r="L22" s="86">
        <f>L$17*C22</f>
        <v>3046821.3272204264</v>
      </c>
    </row>
    <row r="23" spans="1:14">
      <c r="A23" s="100">
        <v>8</v>
      </c>
      <c r="B23" s="126" t="s">
        <v>833</v>
      </c>
      <c r="C23" s="717">
        <v>5.6551084911125385E-2</v>
      </c>
      <c r="D23" s="86">
        <f>D$17*C23</f>
        <v>711754.06857097789</v>
      </c>
      <c r="E23" s="179"/>
      <c r="F23" s="128" t="s">
        <v>147</v>
      </c>
      <c r="G23" s="92"/>
      <c r="H23" s="86">
        <f t="shared" si="0"/>
        <v>711754.06857097789</v>
      </c>
      <c r="I23" s="92"/>
      <c r="J23" s="86">
        <f t="shared" si="1"/>
        <v>89431.162926580058</v>
      </c>
      <c r="K23" s="92"/>
      <c r="L23" s="86">
        <f>L$17*C23</f>
        <v>801185.23149755795</v>
      </c>
    </row>
    <row r="24" spans="1:14">
      <c r="A24" s="100">
        <v>9</v>
      </c>
      <c r="B24" s="90"/>
      <c r="C24" s="90"/>
      <c r="D24" s="125"/>
      <c r="E24" s="92"/>
      <c r="F24" s="128" t="s">
        <v>147</v>
      </c>
      <c r="G24" s="92"/>
      <c r="H24" s="125">
        <f t="shared" si="0"/>
        <v>0</v>
      </c>
      <c r="I24" s="92"/>
      <c r="J24" s="125">
        <f t="shared" si="1"/>
        <v>0</v>
      </c>
      <c r="K24" s="92"/>
      <c r="L24" s="125"/>
      <c r="N24" s="591"/>
    </row>
    <row r="25" spans="1:14">
      <c r="A25" s="100">
        <v>10</v>
      </c>
      <c r="B25" s="90" t="s">
        <v>609</v>
      </c>
      <c r="C25" s="90"/>
      <c r="D25" s="340">
        <f>G.2!M35</f>
        <v>3842455.2278820374</v>
      </c>
      <c r="E25" s="179"/>
      <c r="F25" s="105" t="s">
        <v>323</v>
      </c>
      <c r="G25" s="92"/>
      <c r="H25" s="340">
        <f t="shared" si="0"/>
        <v>3842455.2278820374</v>
      </c>
      <c r="I25" s="92"/>
      <c r="J25" s="340">
        <f t="shared" si="1"/>
        <v>854594.18789252127</v>
      </c>
      <c r="K25" s="92"/>
      <c r="L25" s="340">
        <f>G.2!O35</f>
        <v>4697049.4157745587</v>
      </c>
    </row>
    <row r="26" spans="1:14">
      <c r="A26" s="100">
        <v>11</v>
      </c>
      <c r="B26" s="92"/>
      <c r="C26" s="92"/>
      <c r="D26" s="86"/>
      <c r="E26" s="92"/>
      <c r="F26" s="129" t="s">
        <v>323</v>
      </c>
      <c r="G26" s="92"/>
      <c r="H26" s="86" t="s">
        <v>323</v>
      </c>
      <c r="I26" s="92"/>
      <c r="J26" s="86"/>
      <c r="K26" s="92"/>
      <c r="L26" s="86"/>
    </row>
    <row r="27" spans="1:14">
      <c r="A27" s="100">
        <v>12</v>
      </c>
      <c r="B27" s="16" t="s">
        <v>798</v>
      </c>
      <c r="C27" s="16"/>
      <c r="D27" s="86"/>
      <c r="E27" s="92"/>
      <c r="F27" s="129" t="s">
        <v>323</v>
      </c>
      <c r="G27" s="92"/>
      <c r="H27" s="86" t="s">
        <v>323</v>
      </c>
      <c r="I27" s="92"/>
      <c r="J27" s="86"/>
      <c r="K27" s="92"/>
      <c r="L27" s="86" t="s">
        <v>681</v>
      </c>
    </row>
    <row r="28" spans="1:14">
      <c r="A28" s="100">
        <v>15</v>
      </c>
      <c r="B28" s="90" t="s">
        <v>798</v>
      </c>
      <c r="C28" s="90"/>
      <c r="D28" s="340">
        <f>G.2!$M$42*('C.2.3 B'!O14/G.2!$M$43)</f>
        <v>814376.31814119744</v>
      </c>
      <c r="E28" s="92"/>
      <c r="F28" s="128" t="s">
        <v>147</v>
      </c>
      <c r="G28" s="92"/>
      <c r="H28" s="86">
        <f>D28</f>
        <v>814376.31814119744</v>
      </c>
      <c r="I28" s="92"/>
      <c r="J28" s="86">
        <f>L28-H28</f>
        <v>171117.80367497087</v>
      </c>
      <c r="K28" s="92"/>
      <c r="L28" s="340">
        <f>G.2!$O$42*('C.2.3 F'!O15/G.2!$O$43)</f>
        <v>985494.12181616831</v>
      </c>
    </row>
    <row r="29" spans="1:14">
      <c r="A29" s="100">
        <v>16</v>
      </c>
      <c r="B29" s="90" t="s">
        <v>632</v>
      </c>
      <c r="C29" s="90"/>
      <c r="D29" s="569">
        <f>SUM(D28:D28)</f>
        <v>814376.31814119744</v>
      </c>
      <c r="E29" s="92"/>
      <c r="F29" s="105"/>
      <c r="G29" s="92"/>
      <c r="H29" s="569">
        <f>D29</f>
        <v>814376.31814119744</v>
      </c>
      <c r="I29" s="92"/>
      <c r="J29" s="569">
        <f>L29-H29</f>
        <v>171117.80367497087</v>
      </c>
      <c r="K29" s="92"/>
      <c r="L29" s="569">
        <f>SUM(L28:L28)</f>
        <v>985494.12181616831</v>
      </c>
    </row>
    <row r="30" spans="1:14">
      <c r="A30" s="100">
        <v>17</v>
      </c>
      <c r="B30" s="92"/>
      <c r="C30" s="92"/>
      <c r="D30" s="86"/>
      <c r="E30" s="92"/>
      <c r="F30" s="129" t="s">
        <v>323</v>
      </c>
      <c r="G30" s="92"/>
      <c r="H30" s="86" t="s">
        <v>323</v>
      </c>
      <c r="I30" s="92"/>
      <c r="J30" s="86"/>
      <c r="K30" s="92"/>
      <c r="L30" s="86" t="s">
        <v>323</v>
      </c>
    </row>
    <row r="31" spans="1:14" ht="15.75" thickBot="1">
      <c r="A31" s="100">
        <v>18</v>
      </c>
      <c r="B31" s="90" t="s">
        <v>850</v>
      </c>
      <c r="C31" s="90"/>
      <c r="D31" s="570">
        <f>D17+D25+D29</f>
        <v>17242868.92602323</v>
      </c>
      <c r="E31" s="92"/>
      <c r="F31" s="105"/>
      <c r="G31" s="92"/>
      <c r="H31" s="570">
        <f>D31</f>
        <v>17242868.92602323</v>
      </c>
      <c r="I31" s="92"/>
      <c r="J31" s="570">
        <f>J17+J25+J29</f>
        <v>2607134.5773079484</v>
      </c>
      <c r="K31" s="92"/>
      <c r="L31" s="570">
        <f>H31+J31</f>
        <v>19850003.503331177</v>
      </c>
    </row>
    <row r="32" spans="1:14" ht="15.75" thickTop="1">
      <c r="A32" s="92"/>
      <c r="B32" s="92"/>
      <c r="C32" s="92"/>
      <c r="D32" s="86"/>
      <c r="E32" s="92"/>
      <c r="F32" s="106"/>
      <c r="G32" s="92"/>
      <c r="H32" s="106"/>
      <c r="I32" s="92"/>
      <c r="J32" s="106"/>
      <c r="K32" s="92"/>
      <c r="L32" s="86"/>
    </row>
    <row r="33" spans="1:13">
      <c r="A33" s="92"/>
      <c r="B33" s="92"/>
      <c r="C33" s="92"/>
      <c r="D33" s="108"/>
      <c r="E33" s="92"/>
      <c r="F33" s="92"/>
      <c r="G33" s="92"/>
      <c r="H33" s="92"/>
      <c r="I33" s="92"/>
      <c r="J33" s="106"/>
      <c r="K33" s="92"/>
      <c r="L33" s="86"/>
    </row>
    <row r="34" spans="1:13">
      <c r="A34" s="92"/>
      <c r="B34" s="92"/>
      <c r="C34" s="92"/>
      <c r="D34" s="106"/>
      <c r="E34" s="92"/>
      <c r="F34" s="92"/>
      <c r="G34" s="92"/>
      <c r="H34" s="92"/>
      <c r="I34" s="92"/>
      <c r="J34" s="106"/>
      <c r="K34" s="92"/>
      <c r="L34" s="106"/>
    </row>
    <row r="35" spans="1:13">
      <c r="A35" s="92"/>
      <c r="B35" s="92"/>
      <c r="C35" s="92"/>
      <c r="D35" s="106"/>
      <c r="E35" s="92"/>
      <c r="F35" s="92"/>
      <c r="G35" s="92"/>
      <c r="H35" s="92"/>
      <c r="I35" s="92"/>
      <c r="J35" s="106"/>
      <c r="K35" s="92"/>
      <c r="L35" s="106"/>
    </row>
    <row r="36" spans="1:13">
      <c r="A36" s="92"/>
      <c r="B36" s="92" t="s">
        <v>684</v>
      </c>
      <c r="C36" s="92"/>
      <c r="D36" s="92"/>
      <c r="E36" s="92"/>
      <c r="F36" s="591"/>
      <c r="G36" s="92"/>
      <c r="H36" s="92"/>
      <c r="I36" s="92"/>
      <c r="J36" s="92"/>
      <c r="K36" s="92"/>
      <c r="L36" s="92"/>
    </row>
    <row r="37" spans="1:13">
      <c r="A37" s="92" t="s">
        <v>323</v>
      </c>
      <c r="B37" s="658" t="s">
        <v>1618</v>
      </c>
      <c r="C37" s="92"/>
      <c r="D37" s="92"/>
      <c r="E37" s="92"/>
      <c r="F37" s="591"/>
      <c r="G37" s="92"/>
      <c r="H37" s="92"/>
      <c r="I37" s="92"/>
      <c r="J37" s="92"/>
      <c r="K37" s="92"/>
      <c r="L37" s="92"/>
    </row>
    <row r="38" spans="1:13">
      <c r="A38" s="92"/>
      <c r="B38" s="92"/>
      <c r="C38" s="92"/>
      <c r="D38" s="92"/>
      <c r="E38" s="92"/>
      <c r="F38" s="591"/>
      <c r="G38" s="92"/>
      <c r="H38" s="92"/>
      <c r="I38" s="92"/>
      <c r="J38" s="92"/>
      <c r="K38" s="92"/>
      <c r="L38" s="92"/>
    </row>
    <row r="39" spans="1:13">
      <c r="A39" s="92"/>
      <c r="B39" s="92"/>
      <c r="C39" s="92"/>
    </row>
    <row r="40" spans="1:13">
      <c r="A40" s="92"/>
      <c r="B40" s="92"/>
      <c r="D40" s="591"/>
      <c r="E40" s="591"/>
      <c r="F40" s="591"/>
      <c r="G40" s="591"/>
      <c r="H40" s="591"/>
      <c r="I40" s="591"/>
      <c r="J40" s="591"/>
      <c r="K40" s="591"/>
      <c r="L40" s="591"/>
      <c r="M40" s="591"/>
    </row>
    <row r="41" spans="1:13">
      <c r="A41" s="92"/>
      <c r="B41" s="92"/>
      <c r="D41" s="591"/>
      <c r="E41" s="591"/>
      <c r="F41" s="591"/>
      <c r="G41" s="591"/>
      <c r="H41" s="591"/>
      <c r="I41" s="591"/>
      <c r="J41" s="591"/>
      <c r="K41" s="591"/>
      <c r="L41" s="591"/>
      <c r="M41" s="591"/>
    </row>
    <row r="42" spans="1:13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</row>
    <row r="43" spans="1:13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1:13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1:13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</row>
    <row r="46" spans="1:13">
      <c r="A46"/>
      <c r="B46"/>
      <c r="C46"/>
      <c r="D46"/>
      <c r="E46"/>
      <c r="F46"/>
      <c r="G46"/>
      <c r="H46"/>
      <c r="I46"/>
      <c r="J46"/>
      <c r="K46"/>
      <c r="L46"/>
    </row>
    <row r="47" spans="1:13">
      <c r="A47"/>
      <c r="B47"/>
      <c r="C47"/>
      <c r="D47"/>
      <c r="E47"/>
      <c r="F47"/>
      <c r="G47"/>
      <c r="H47"/>
      <c r="I47"/>
      <c r="J47"/>
      <c r="K47"/>
      <c r="L47"/>
    </row>
    <row r="48" spans="1:13">
      <c r="A48"/>
      <c r="B48"/>
      <c r="C48"/>
      <c r="D48"/>
      <c r="E48"/>
      <c r="F48"/>
      <c r="G48"/>
      <c r="H48"/>
      <c r="I48"/>
      <c r="J48"/>
      <c r="K48"/>
      <c r="L48"/>
    </row>
    <row r="49" spans="1:12">
      <c r="A49"/>
      <c r="B49"/>
      <c r="C49"/>
      <c r="D49"/>
      <c r="E49"/>
      <c r="F49"/>
      <c r="G49"/>
      <c r="H49"/>
      <c r="I49"/>
      <c r="J49"/>
      <c r="K49"/>
      <c r="L49"/>
    </row>
    <row r="50" spans="1:12">
      <c r="A50"/>
      <c r="B50"/>
      <c r="C50"/>
      <c r="D50"/>
      <c r="E50"/>
      <c r="F50"/>
      <c r="G50"/>
      <c r="H50"/>
      <c r="I50"/>
      <c r="J50"/>
      <c r="K50"/>
      <c r="L50"/>
    </row>
    <row r="51" spans="1:12">
      <c r="A51"/>
      <c r="B51"/>
      <c r="C51"/>
      <c r="D51"/>
      <c r="E51"/>
      <c r="F51"/>
      <c r="G51"/>
      <c r="H51"/>
      <c r="I51"/>
      <c r="J51"/>
      <c r="K51"/>
      <c r="L51"/>
    </row>
    <row r="52" spans="1:12">
      <c r="A52"/>
      <c r="B52"/>
      <c r="C52"/>
      <c r="D52"/>
      <c r="E52"/>
      <c r="F52"/>
      <c r="G52"/>
      <c r="H52"/>
      <c r="I52"/>
      <c r="J52"/>
      <c r="K52"/>
      <c r="L52"/>
    </row>
    <row r="53" spans="1:12">
      <c r="A53"/>
      <c r="B53"/>
      <c r="C53"/>
      <c r="D53"/>
      <c r="E53"/>
      <c r="F53"/>
      <c r="G53"/>
      <c r="H53"/>
      <c r="I53"/>
      <c r="J53"/>
      <c r="K53"/>
      <c r="L53"/>
    </row>
    <row r="54" spans="1:12">
      <c r="A54"/>
      <c r="B54"/>
      <c r="C54"/>
      <c r="D54"/>
      <c r="E54"/>
      <c r="F54"/>
      <c r="G54"/>
      <c r="H54"/>
      <c r="I54"/>
      <c r="J54"/>
      <c r="K54"/>
      <c r="L54"/>
    </row>
    <row r="55" spans="1:12">
      <c r="A55"/>
      <c r="B55"/>
      <c r="C55"/>
      <c r="D55"/>
      <c r="E55"/>
      <c r="F55"/>
      <c r="G55"/>
      <c r="H55"/>
      <c r="I55"/>
      <c r="J55"/>
      <c r="K55"/>
      <c r="L55"/>
    </row>
    <row r="56" spans="1:12">
      <c r="A56"/>
      <c r="B56"/>
      <c r="C56"/>
      <c r="D56"/>
      <c r="E56"/>
      <c r="F56"/>
      <c r="G56"/>
      <c r="H56"/>
      <c r="I56"/>
      <c r="J56"/>
      <c r="K56"/>
      <c r="L56"/>
    </row>
    <row r="57" spans="1:12">
      <c r="A57"/>
      <c r="B57"/>
      <c r="C57"/>
      <c r="D57"/>
      <c r="E57"/>
      <c r="F57"/>
      <c r="G57"/>
      <c r="H57"/>
      <c r="I57"/>
      <c r="J57"/>
      <c r="K57"/>
      <c r="L57"/>
    </row>
    <row r="58" spans="1:12">
      <c r="A58"/>
      <c r="B58"/>
      <c r="C58"/>
      <c r="D58"/>
      <c r="E58"/>
      <c r="F58"/>
      <c r="G58"/>
      <c r="H58"/>
      <c r="I58"/>
      <c r="J58"/>
      <c r="K58"/>
      <c r="L58"/>
    </row>
    <row r="59" spans="1:12">
      <c r="A59"/>
      <c r="B59"/>
      <c r="C59"/>
      <c r="D59"/>
      <c r="E59"/>
      <c r="F59"/>
      <c r="G59"/>
      <c r="H59"/>
      <c r="I59"/>
      <c r="J59"/>
      <c r="K59"/>
      <c r="L59"/>
    </row>
    <row r="60" spans="1:12">
      <c r="A60"/>
      <c r="B60"/>
      <c r="C60"/>
      <c r="D60"/>
      <c r="E60"/>
      <c r="F60"/>
      <c r="G60"/>
      <c r="H60"/>
      <c r="I60"/>
      <c r="J60"/>
      <c r="K60"/>
      <c r="L60"/>
    </row>
    <row r="61" spans="1:12">
      <c r="A61"/>
      <c r="B61"/>
      <c r="C61"/>
      <c r="D61"/>
      <c r="E61"/>
      <c r="F61"/>
      <c r="G61"/>
      <c r="H61"/>
      <c r="I61"/>
      <c r="J61"/>
      <c r="K61"/>
      <c r="L61"/>
    </row>
    <row r="62" spans="1:12">
      <c r="A62"/>
      <c r="B62"/>
      <c r="C62"/>
      <c r="D62"/>
      <c r="E62"/>
      <c r="F62"/>
      <c r="G62"/>
      <c r="H62"/>
      <c r="I62"/>
      <c r="J62"/>
      <c r="K62"/>
      <c r="L62"/>
    </row>
    <row r="63" spans="1:12">
      <c r="A63"/>
      <c r="B63"/>
      <c r="C63"/>
      <c r="D63"/>
      <c r="E63"/>
      <c r="F63"/>
      <c r="G63"/>
      <c r="H63"/>
      <c r="I63"/>
      <c r="J63"/>
      <c r="K63"/>
      <c r="L63"/>
    </row>
    <row r="64" spans="1:12">
      <c r="A64"/>
      <c r="B64"/>
      <c r="C64"/>
      <c r="D64"/>
      <c r="E64"/>
      <c r="F64"/>
      <c r="G64"/>
      <c r="H64"/>
      <c r="I64"/>
      <c r="J64"/>
      <c r="K64"/>
      <c r="L64"/>
    </row>
    <row r="65" spans="1:12">
      <c r="A65"/>
      <c r="B65"/>
      <c r="C65"/>
      <c r="D65"/>
      <c r="E65"/>
      <c r="F65"/>
      <c r="G65"/>
      <c r="H65"/>
      <c r="I65"/>
      <c r="J65"/>
      <c r="K65"/>
      <c r="L65"/>
    </row>
    <row r="66" spans="1:12">
      <c r="A66"/>
      <c r="B66"/>
      <c r="C66"/>
      <c r="D66"/>
      <c r="E66"/>
      <c r="F66"/>
      <c r="G66"/>
      <c r="H66"/>
      <c r="I66"/>
      <c r="J66"/>
      <c r="K66"/>
      <c r="L66"/>
    </row>
    <row r="67" spans="1:12">
      <c r="A67"/>
      <c r="B67"/>
      <c r="C67"/>
      <c r="D67"/>
      <c r="E67"/>
      <c r="F67"/>
      <c r="G67"/>
      <c r="H67"/>
      <c r="I67"/>
      <c r="J67"/>
      <c r="K67"/>
      <c r="L67"/>
    </row>
    <row r="68" spans="1:12">
      <c r="A68"/>
      <c r="B68"/>
      <c r="C68"/>
      <c r="D68"/>
      <c r="E68"/>
      <c r="F68"/>
      <c r="G68"/>
      <c r="H68"/>
      <c r="I68"/>
      <c r="J68"/>
      <c r="K68"/>
      <c r="L68"/>
    </row>
  </sheetData>
  <phoneticPr fontId="23" type="noConversion"/>
  <pageMargins left="0.5" right="0.5" top="0.75" bottom="0.5" header="0.5" footer="0.5"/>
  <pageSetup scale="85" orientation="landscape" verticalDpi="300" r:id="rId1"/>
  <headerFooter alignWithMargins="0">
    <oddFooter>&amp;RSchedule &amp;A
Page &amp;P of &amp;N</oddFooter>
  </headerFooter>
  <ignoredErrors>
    <ignoredError sqref="L21" formula="1"/>
  </ignoredError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S99"/>
  <sheetViews>
    <sheetView view="pageBreakPreview" topLeftCell="A2" zoomScale="70" zoomScaleNormal="80" zoomScaleSheetLayoutView="70" workbookViewId="0">
      <pane xSplit="2" ySplit="12" topLeftCell="C14" activePane="bottomRight" state="frozen"/>
      <selection activeCell="N43" sqref="N43"/>
      <selection pane="topRight" activeCell="N43" sqref="N43"/>
      <selection pane="bottomLeft" activeCell="N43" sqref="N43"/>
      <selection pane="bottomRight" activeCell="N43" sqref="N43"/>
    </sheetView>
  </sheetViews>
  <sheetFormatPr defaultColWidth="7.109375" defaultRowHeight="15"/>
  <cols>
    <col min="1" max="1" width="5.109375" style="103" customWidth="1"/>
    <col min="2" max="2" width="26.88671875" style="103" customWidth="1"/>
    <col min="3" max="15" width="11.33203125" style="103" customWidth="1"/>
    <col min="16" max="16" width="2.109375" style="103" customWidth="1"/>
    <col min="17" max="17" width="6.5546875" style="103" customWidth="1"/>
    <col min="18" max="18" width="7.109375" style="103"/>
    <col min="19" max="19" width="7.88671875" style="103" customWidth="1"/>
    <col min="20" max="21" width="10.44140625" style="103" bestFit="1" customWidth="1"/>
    <col min="22" max="16384" width="7.109375" style="103"/>
  </cols>
  <sheetData>
    <row r="1" spans="1:16">
      <c r="A1" s="298" t="str">
        <f>'Table of Contents'!A1:C1</f>
        <v>Atmos Energy Corporation, Kentucky/Mid-States Division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</row>
    <row r="2" spans="1:16">
      <c r="A2" s="298" t="str">
        <f>'Table of Contents'!A2:C2</f>
        <v>Kentucky Jurisdiction Case No. 2018-00281</v>
      </c>
      <c r="B2" s="943"/>
      <c r="C2" s="942"/>
      <c r="D2" s="942"/>
      <c r="E2" s="942"/>
      <c r="F2" s="942"/>
      <c r="G2" s="942"/>
      <c r="H2" s="942"/>
      <c r="I2" s="942"/>
      <c r="J2" s="942"/>
      <c r="K2" s="298"/>
      <c r="L2" s="942"/>
      <c r="M2" s="942"/>
      <c r="N2" s="942"/>
      <c r="O2" s="942"/>
    </row>
    <row r="3" spans="1:16">
      <c r="A3" s="298" t="s">
        <v>1162</v>
      </c>
      <c r="B3" s="944"/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  <c r="O3" s="942"/>
    </row>
    <row r="4" spans="1:16">
      <c r="A4" s="172" t="str">
        <f>'Table of Contents'!A3:C3</f>
        <v>Base Period: Twelve Months Ended December 31, 2018</v>
      </c>
      <c r="B4" s="298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</row>
    <row r="5" spans="1:16">
      <c r="A5" s="172" t="str">
        <f>'Table of Contents'!A4:C4</f>
        <v>Forecasted Test Period: Twelve Months Ended March 31, 2020</v>
      </c>
      <c r="B5" s="298"/>
      <c r="C5" s="942"/>
      <c r="D5" s="942"/>
      <c r="E5" s="942"/>
      <c r="F5" s="942"/>
      <c r="G5" s="942"/>
      <c r="H5" s="942"/>
      <c r="I5" s="942"/>
      <c r="J5" s="942"/>
      <c r="K5" s="942"/>
      <c r="L5" s="942"/>
      <c r="M5" s="942"/>
      <c r="N5" s="942"/>
      <c r="O5" s="942"/>
    </row>
    <row r="6" spans="1:16">
      <c r="A6" s="172"/>
      <c r="B6" s="298"/>
      <c r="C6" s="942"/>
      <c r="D6" s="942"/>
      <c r="E6" s="942"/>
      <c r="F6" s="942"/>
      <c r="G6" s="942"/>
      <c r="H6" s="942"/>
      <c r="I6" s="942"/>
      <c r="J6" s="942"/>
      <c r="K6" s="942"/>
      <c r="L6" s="942"/>
      <c r="M6" s="942"/>
      <c r="N6" s="942"/>
      <c r="O6" s="942"/>
    </row>
    <row r="7" spans="1:16">
      <c r="A7" s="583" t="s">
        <v>680</v>
      </c>
      <c r="O7" s="949" t="s">
        <v>1408</v>
      </c>
    </row>
    <row r="8" spans="1:16">
      <c r="A8" s="583" t="s">
        <v>539</v>
      </c>
      <c r="O8" s="783" t="s">
        <v>842</v>
      </c>
    </row>
    <row r="9" spans="1:16">
      <c r="A9" s="950" t="s">
        <v>426</v>
      </c>
      <c r="B9" s="929"/>
      <c r="C9" s="929"/>
      <c r="D9" s="929"/>
      <c r="E9" s="929"/>
      <c r="F9" s="929"/>
      <c r="G9" s="929"/>
      <c r="H9" s="929"/>
      <c r="I9" s="929"/>
      <c r="J9" s="929"/>
      <c r="K9" s="929"/>
      <c r="L9" s="929"/>
      <c r="M9" s="929"/>
      <c r="N9" s="929"/>
      <c r="O9" s="951" t="str">
        <f>F.1!$F$9</f>
        <v>Witness: Waller</v>
      </c>
      <c r="P9" s="929"/>
    </row>
    <row r="10" spans="1:16">
      <c r="G10" s="945" t="s">
        <v>36</v>
      </c>
    </row>
    <row r="11" spans="1:16">
      <c r="A11" s="124" t="s">
        <v>93</v>
      </c>
      <c r="M11" s="121" t="s">
        <v>44</v>
      </c>
      <c r="O11" s="121" t="s">
        <v>43</v>
      </c>
    </row>
    <row r="12" spans="1:16">
      <c r="A12" s="946" t="s">
        <v>56</v>
      </c>
      <c r="B12" s="946" t="s">
        <v>985</v>
      </c>
      <c r="C12" s="952">
        <v>2013</v>
      </c>
      <c r="D12" s="648" t="s">
        <v>492</v>
      </c>
      <c r="E12" s="952">
        <v>2014</v>
      </c>
      <c r="F12" s="648" t="s">
        <v>492</v>
      </c>
      <c r="G12" s="952">
        <v>2015</v>
      </c>
      <c r="H12" s="648" t="s">
        <v>492</v>
      </c>
      <c r="I12" s="952">
        <v>2016</v>
      </c>
      <c r="J12" s="648" t="s">
        <v>492</v>
      </c>
      <c r="K12" s="952">
        <v>2017</v>
      </c>
      <c r="L12" s="648" t="s">
        <v>492</v>
      </c>
      <c r="M12" s="648" t="s">
        <v>538</v>
      </c>
      <c r="N12" s="648" t="s">
        <v>492</v>
      </c>
      <c r="O12" s="648" t="s">
        <v>538</v>
      </c>
      <c r="P12" s="929"/>
    </row>
    <row r="14" spans="1:16">
      <c r="A14" s="764">
        <f t="shared" ref="A14:A50" si="0">+A13+1</f>
        <v>1</v>
      </c>
    </row>
    <row r="15" spans="1:16">
      <c r="A15" s="764">
        <f t="shared" si="0"/>
        <v>2</v>
      </c>
      <c r="C15" s="124"/>
      <c r="E15" s="124"/>
      <c r="F15" s="124"/>
      <c r="G15" s="124"/>
      <c r="I15" s="124"/>
      <c r="K15" s="124"/>
      <c r="M15" s="124"/>
      <c r="O15" s="124"/>
    </row>
    <row r="16" spans="1:16">
      <c r="A16" s="764">
        <f t="shared" si="0"/>
        <v>3</v>
      </c>
      <c r="B16" s="947" t="s">
        <v>740</v>
      </c>
      <c r="C16" s="131"/>
      <c r="E16" s="131"/>
      <c r="F16" s="131"/>
      <c r="G16" s="131"/>
      <c r="I16" s="131"/>
      <c r="K16" s="131"/>
      <c r="M16" s="131"/>
      <c r="O16" s="131"/>
    </row>
    <row r="17" spans="1:19">
      <c r="A17" s="764">
        <f t="shared" si="0"/>
        <v>4</v>
      </c>
      <c r="B17" s="783" t="s">
        <v>789</v>
      </c>
      <c r="C17" s="131">
        <v>410825.02</v>
      </c>
      <c r="D17" s="576">
        <f>ROUND((E17-C17)/C17,4)</f>
        <v>-1.6000000000000001E-3</v>
      </c>
      <c r="E17" s="131">
        <v>410170.87</v>
      </c>
      <c r="F17" s="576">
        <f>ROUND((G17-E17)/E17,4)</f>
        <v>-1.6000000000000001E-3</v>
      </c>
      <c r="G17" s="131">
        <v>409514.33200000058</v>
      </c>
      <c r="H17" s="576">
        <f>ROUND((I17-G17)/G17,4)</f>
        <v>2.0299999999999999E-2</v>
      </c>
      <c r="I17" s="131">
        <v>417832.19999999827</v>
      </c>
      <c r="J17" s="576">
        <f>ROUND((K17-I17)/I17,4)</f>
        <v>-6.3299999999999995E-2</v>
      </c>
      <c r="K17" s="131">
        <v>391364.53</v>
      </c>
      <c r="L17" s="576">
        <f>ROUND((M17-K17)/K17,4)</f>
        <v>7.3599999999999999E-2</v>
      </c>
      <c r="M17" s="131">
        <f>M49*52*40</f>
        <v>420160</v>
      </c>
      <c r="N17" s="576">
        <f>ROUND((O17-M17)/M17,4)</f>
        <v>0</v>
      </c>
      <c r="O17" s="131">
        <f>O49*52*40</f>
        <v>420160</v>
      </c>
    </row>
    <row r="18" spans="1:19">
      <c r="A18" s="764">
        <f t="shared" si="0"/>
        <v>5</v>
      </c>
      <c r="B18" s="783" t="s">
        <v>17</v>
      </c>
      <c r="C18" s="644">
        <v>18473.259999999998</v>
      </c>
      <c r="D18" s="576">
        <f>ROUND((E18-C18)/C18,4)</f>
        <v>0.15010000000000001</v>
      </c>
      <c r="E18" s="644">
        <v>21245.75</v>
      </c>
      <c r="F18" s="576">
        <f>ROUND((G18-E18)/E18,4)</f>
        <v>6.6199999999999995E-2</v>
      </c>
      <c r="G18" s="644">
        <v>22653</v>
      </c>
      <c r="H18" s="576">
        <f>ROUND((I18-G18)/G18,4)</f>
        <v>6.6900000000000001E-2</v>
      </c>
      <c r="I18" s="644">
        <v>24168.75</v>
      </c>
      <c r="J18" s="576">
        <f>ROUND((K18-I18)/I18,4)</f>
        <v>9.7000000000000003E-3</v>
      </c>
      <c r="K18" s="644">
        <v>24403</v>
      </c>
      <c r="L18" s="576">
        <f>ROUND((M18-K18)/K18,4)</f>
        <v>3.3500000000000002E-2</v>
      </c>
      <c r="M18" s="644">
        <f>($I$18+$K$18)/($I$17+$K$17)*M17</f>
        <v>25219.956684698962</v>
      </c>
      <c r="N18" s="576">
        <f>ROUND((O18-M18)/M18,4)</f>
        <v>0</v>
      </c>
      <c r="O18" s="644">
        <f>($I$18+$K$18)/($I$17+$K$17)*O17</f>
        <v>25219.956684698962</v>
      </c>
    </row>
    <row r="19" spans="1:19">
      <c r="A19" s="764">
        <f t="shared" si="0"/>
        <v>6</v>
      </c>
      <c r="B19" s="783" t="s">
        <v>973</v>
      </c>
      <c r="C19" s="113">
        <f>(C17+C18)</f>
        <v>429298.28</v>
      </c>
      <c r="D19" s="576">
        <f>ROUND((E19-C19)/C19,4)</f>
        <v>4.8999999999999998E-3</v>
      </c>
      <c r="E19" s="113">
        <f>(E17+E18)</f>
        <v>431416.62</v>
      </c>
      <c r="F19" s="576">
        <f>ROUND((G19-E19)/E19,4)</f>
        <v>1.6999999999999999E-3</v>
      </c>
      <c r="G19" s="113">
        <f>(G17+G18)</f>
        <v>432167.33200000058</v>
      </c>
      <c r="H19" s="576">
        <f>ROUND((M19-G19)/G19,4)</f>
        <v>3.0599999999999999E-2</v>
      </c>
      <c r="I19" s="113">
        <f>(I17+I18)</f>
        <v>442000.94999999827</v>
      </c>
      <c r="J19" s="576">
        <f>ROUND((O19-I19)/I19,4)</f>
        <v>7.6E-3</v>
      </c>
      <c r="K19" s="113">
        <f>(K17+K18)</f>
        <v>415767.53</v>
      </c>
      <c r="L19" s="576">
        <f>ROUND((M19-K19)/K19,4)</f>
        <v>7.1199999999999999E-2</v>
      </c>
      <c r="M19" s="113">
        <f>(M17+M18)</f>
        <v>445379.95668469893</v>
      </c>
      <c r="N19" s="576">
        <f>ROUND((O19-M19)/M19,4)</f>
        <v>0</v>
      </c>
      <c r="O19" s="113">
        <f>(O17+O18)</f>
        <v>445379.95668469893</v>
      </c>
    </row>
    <row r="20" spans="1:19">
      <c r="A20" s="764">
        <f t="shared" si="0"/>
        <v>7</v>
      </c>
      <c r="B20" s="783" t="s">
        <v>18</v>
      </c>
    </row>
    <row r="21" spans="1:19">
      <c r="A21" s="764">
        <f t="shared" si="0"/>
        <v>8</v>
      </c>
      <c r="B21" s="783" t="s">
        <v>60</v>
      </c>
      <c r="C21" s="132">
        <f>ROUND((C18/C17),5)</f>
        <v>4.4970000000000003E-2</v>
      </c>
      <c r="E21" s="132">
        <f>ROUND((E18/E17),5)</f>
        <v>5.1799999999999999E-2</v>
      </c>
      <c r="G21" s="132">
        <f>ROUND((G18/G17),5)</f>
        <v>5.5320000000000001E-2</v>
      </c>
      <c r="I21" s="132">
        <f>ROUND((I18/I17),5)</f>
        <v>5.7840000000000003E-2</v>
      </c>
      <c r="K21" s="132">
        <f>ROUND((K18/K17),5)</f>
        <v>6.2350000000000003E-2</v>
      </c>
      <c r="M21" s="132">
        <f>ROUND((M18/M17),5)</f>
        <v>6.0019999999999997E-2</v>
      </c>
      <c r="O21" s="132">
        <f>ROUND((O18/O17),5)</f>
        <v>6.0019999999999997E-2</v>
      </c>
    </row>
    <row r="22" spans="1:19">
      <c r="A22" s="764">
        <f t="shared" si="0"/>
        <v>9</v>
      </c>
      <c r="C22" s="131"/>
      <c r="E22" s="131"/>
      <c r="G22" s="131"/>
      <c r="I22" s="131"/>
      <c r="K22" s="131"/>
      <c r="M22" s="131"/>
      <c r="O22" s="131"/>
    </row>
    <row r="23" spans="1:19">
      <c r="A23" s="764">
        <f t="shared" si="0"/>
        <v>10</v>
      </c>
      <c r="B23" s="947" t="s">
        <v>741</v>
      </c>
      <c r="C23" s="131"/>
      <c r="E23" s="131"/>
      <c r="G23" s="131"/>
      <c r="I23" s="131"/>
      <c r="K23" s="131"/>
      <c r="M23" s="131"/>
      <c r="O23" s="131"/>
    </row>
    <row r="24" spans="1:19">
      <c r="A24" s="764">
        <f t="shared" si="0"/>
        <v>11</v>
      </c>
      <c r="B24" s="783" t="s">
        <v>742</v>
      </c>
      <c r="C24" s="131">
        <v>10464861.35</v>
      </c>
      <c r="D24" s="576">
        <f>ROUND((E24-C24)/C24,4)</f>
        <v>1.29E-2</v>
      </c>
      <c r="E24" s="131">
        <v>10599619.02</v>
      </c>
      <c r="F24" s="576">
        <f>ROUND((G24-E24)/E24,4)</f>
        <v>3.5400000000000001E-2</v>
      </c>
      <c r="G24" s="131">
        <v>10974506.419999918</v>
      </c>
      <c r="H24" s="576">
        <f>ROUND((I24-G24)/G24,4)</f>
        <v>7.17E-2</v>
      </c>
      <c r="I24" s="131">
        <v>11761378.790000012</v>
      </c>
      <c r="J24" s="576">
        <f>ROUND((K24-I24)/I24,4)</f>
        <v>-3.2899999999999999E-2</v>
      </c>
      <c r="K24" s="131">
        <v>11374568.020000031</v>
      </c>
      <c r="L24" s="576">
        <f>ROUND((M24-K24)/K24,4)</f>
        <v>1.47E-2</v>
      </c>
      <c r="M24" s="636">
        <f>M26-M25</f>
        <v>11541710.928394496</v>
      </c>
      <c r="N24" s="576">
        <f>ROUND((O24-M24)/M24,4)</f>
        <v>0.1188</v>
      </c>
      <c r="O24" s="636">
        <f>O26-O25</f>
        <v>12912789.711174479</v>
      </c>
    </row>
    <row r="25" spans="1:19">
      <c r="A25" s="764">
        <f t="shared" si="0"/>
        <v>12</v>
      </c>
      <c r="B25" s="783" t="s">
        <v>19</v>
      </c>
      <c r="C25" s="644">
        <v>657641.64</v>
      </c>
      <c r="D25" s="576">
        <f>ROUND((E25-C25)/C25,4)</f>
        <v>0.15989999999999999</v>
      </c>
      <c r="E25" s="644">
        <v>762823.65</v>
      </c>
      <c r="F25" s="576">
        <f>ROUND((G25-E25)/E25,4)</f>
        <v>9.9099999999999994E-2</v>
      </c>
      <c r="G25" s="644">
        <v>838414.80999999994</v>
      </c>
      <c r="H25" s="576">
        <f>ROUND((I25-G25)/G25,4)</f>
        <v>0.11260000000000001</v>
      </c>
      <c r="I25" s="644">
        <v>932823.32999999973</v>
      </c>
      <c r="J25" s="576">
        <f>ROUND((K25-I25)/I25,4)</f>
        <v>5.6500000000000002E-2</v>
      </c>
      <c r="K25" s="644">
        <v>985484.89999999932</v>
      </c>
      <c r="L25" s="576">
        <f>ROUND((M25-K25)/K25,4)</f>
        <v>5.9700000000000003E-2</v>
      </c>
      <c r="M25" s="643">
        <f>AVERAGE(I28,K28)*M26</f>
        <v>1044326.4516054997</v>
      </c>
      <c r="N25" s="576">
        <f>ROUND((O25-M25)/M25,4)</f>
        <v>0.2014</v>
      </c>
      <c r="O25" s="643">
        <f>AVERAGE(K28,M28)*O26</f>
        <v>1254670.2545659745</v>
      </c>
    </row>
    <row r="26" spans="1:19">
      <c r="A26" s="764">
        <f t="shared" si="0"/>
        <v>13</v>
      </c>
      <c r="B26" s="783" t="s">
        <v>787</v>
      </c>
      <c r="C26" s="113">
        <f>(C24+C25)</f>
        <v>11122502.99</v>
      </c>
      <c r="D26" s="576">
        <f>ROUND((E26-C26)/C26,4)</f>
        <v>2.1600000000000001E-2</v>
      </c>
      <c r="E26" s="113">
        <f>(E24+E25)</f>
        <v>11362442.67</v>
      </c>
      <c r="F26" s="576">
        <f>ROUND((G26-E26)/E26,4)</f>
        <v>3.9600000000000003E-2</v>
      </c>
      <c r="G26" s="113">
        <f>(G24+G25)</f>
        <v>11812921.229999918</v>
      </c>
      <c r="H26" s="576">
        <f>ROUND((I26-G26)/G26,4)</f>
        <v>7.46E-2</v>
      </c>
      <c r="I26" s="113">
        <f>(I24+I25)</f>
        <v>12694202.120000012</v>
      </c>
      <c r="J26" s="576">
        <f>ROUND((K26-I26)/I26,4)</f>
        <v>-2.63E-2</v>
      </c>
      <c r="K26" s="113">
        <f>(K24+K25)</f>
        <v>12360052.92000003</v>
      </c>
      <c r="L26" s="576">
        <f>ROUND((M26-K26)/K26,4)</f>
        <v>1.83E-2</v>
      </c>
      <c r="M26" s="636">
        <v>12586037.379999997</v>
      </c>
      <c r="N26" s="576">
        <f>ROUND((O26-M26)/M26,4)</f>
        <v>0.12559999999999999</v>
      </c>
      <c r="O26" s="636">
        <v>14167459.965740453</v>
      </c>
      <c r="R26" s="423"/>
      <c r="S26" s="423"/>
    </row>
    <row r="27" spans="1:19">
      <c r="A27" s="764">
        <f t="shared" si="0"/>
        <v>14</v>
      </c>
      <c r="B27" s="783" t="s">
        <v>20</v>
      </c>
    </row>
    <row r="28" spans="1:19">
      <c r="A28" s="764">
        <f t="shared" si="0"/>
        <v>15</v>
      </c>
      <c r="B28" s="783" t="s">
        <v>1039</v>
      </c>
      <c r="C28" s="132">
        <f>ROUND((C25/C24),5)</f>
        <v>6.2839999999999993E-2</v>
      </c>
      <c r="E28" s="132">
        <f>ROUND((E25/E24),5)</f>
        <v>7.1970000000000006E-2</v>
      </c>
      <c r="G28" s="132">
        <f>ROUND((G25/G24),5)</f>
        <v>7.6399999999999996E-2</v>
      </c>
      <c r="I28" s="132">
        <f>ROUND((I25/I24),5)</f>
        <v>7.9310000000000005E-2</v>
      </c>
      <c r="K28" s="132">
        <f>ROUND((K25/K24),5)</f>
        <v>8.6639999999999995E-2</v>
      </c>
      <c r="M28" s="132">
        <f>ROUND((M25/M24),5)</f>
        <v>9.0480000000000005E-2</v>
      </c>
      <c r="O28" s="132">
        <f>ROUND((O25/O24),5)</f>
        <v>9.7159999999999996E-2</v>
      </c>
    </row>
    <row r="29" spans="1:19">
      <c r="A29" s="764">
        <f t="shared" si="0"/>
        <v>16</v>
      </c>
      <c r="C29" s="131"/>
      <c r="E29" s="131"/>
      <c r="G29" s="131"/>
      <c r="I29" s="131"/>
      <c r="K29" s="131"/>
      <c r="M29" s="131"/>
      <c r="O29" s="131"/>
    </row>
    <row r="30" spans="1:19">
      <c r="A30" s="764">
        <f t="shared" si="0"/>
        <v>17</v>
      </c>
      <c r="B30" s="783" t="s">
        <v>61</v>
      </c>
      <c r="C30" s="131">
        <v>5094063.0600000005</v>
      </c>
      <c r="D30" s="576">
        <f>ROUND((E30-C30)/C30,4)</f>
        <v>-1.84E-2</v>
      </c>
      <c r="E30" s="131">
        <v>5000231.1099999994</v>
      </c>
      <c r="F30" s="576">
        <f>ROUND((G30-E30)/E30,4)</f>
        <v>1.61E-2</v>
      </c>
      <c r="G30" s="131">
        <v>5080811.6300000008</v>
      </c>
      <c r="H30" s="576">
        <f>ROUND((M30-G30)/G30,4)</f>
        <v>0.10879999999999999</v>
      </c>
      <c r="I30" s="131">
        <v>5185743.3400000017</v>
      </c>
      <c r="J30" s="576">
        <f>ROUND((O30-I30)/I30,4)</f>
        <v>-1.32E-2</v>
      </c>
      <c r="K30" s="131">
        <v>5163405.0999999996</v>
      </c>
      <c r="L30" s="576">
        <f>ROUND((M30-K30)/K30,4)</f>
        <v>9.0999999999999998E-2</v>
      </c>
      <c r="M30" s="1187">
        <v>5633500.5199999996</v>
      </c>
      <c r="N30" s="576">
        <f>ROUND((O30-M30)/M30,4)</f>
        <v>-9.1600000000000001E-2</v>
      </c>
      <c r="O30" s="131">
        <v>5117357.1447500009</v>
      </c>
    </row>
    <row r="31" spans="1:19">
      <c r="A31" s="764">
        <f t="shared" si="0"/>
        <v>18</v>
      </c>
      <c r="B31" s="783" t="s">
        <v>62</v>
      </c>
    </row>
    <row r="32" spans="1:19">
      <c r="A32" s="764">
        <f t="shared" si="0"/>
        <v>19</v>
      </c>
      <c r="B32" s="783" t="s">
        <v>616</v>
      </c>
      <c r="C32" s="132">
        <f>ROUND((C30/C26),5)</f>
        <v>0.45800000000000002</v>
      </c>
      <c r="E32" s="132">
        <f>ROUND((E30/E26),5)</f>
        <v>0.44007000000000002</v>
      </c>
      <c r="G32" s="132">
        <f>ROUND((G30/G26),5)</f>
        <v>0.43010999999999999</v>
      </c>
      <c r="I32" s="132">
        <f>ROUND((I30/I26),5)</f>
        <v>0.40850999999999998</v>
      </c>
      <c r="K32" s="132">
        <f>ROUND((K30/K26),5)</f>
        <v>0.41775000000000001</v>
      </c>
      <c r="M32" s="132">
        <f>ROUND((M30/M26),5)</f>
        <v>0.4476</v>
      </c>
      <c r="O32" s="132">
        <f>ROUND((O30/O26),5)</f>
        <v>0.36120000000000002</v>
      </c>
    </row>
    <row r="33" spans="1:16">
      <c r="A33" s="764">
        <f t="shared" si="0"/>
        <v>20</v>
      </c>
    </row>
    <row r="34" spans="1:16">
      <c r="A34" s="764">
        <f t="shared" si="0"/>
        <v>21</v>
      </c>
      <c r="B34" s="947" t="s">
        <v>617</v>
      </c>
      <c r="C34" s="131"/>
      <c r="E34" s="131"/>
      <c r="G34" s="131"/>
      <c r="I34" s="131"/>
      <c r="K34" s="131"/>
      <c r="M34" s="131"/>
      <c r="O34" s="131"/>
    </row>
    <row r="35" spans="1:16">
      <c r="A35" s="764">
        <f t="shared" si="0"/>
        <v>22</v>
      </c>
      <c r="B35" s="783" t="s">
        <v>735</v>
      </c>
      <c r="C35" s="108">
        <v>6062525.1250055488</v>
      </c>
      <c r="D35" s="576">
        <f>ROUND((E35-C35)/C35,4)</f>
        <v>1.4200000000000001E-2</v>
      </c>
      <c r="E35" s="108">
        <v>6148915.5516105723</v>
      </c>
      <c r="F35" s="576">
        <f>ROUND((G35-E35)/E35,4)</f>
        <v>-0.14269999999999999</v>
      </c>
      <c r="G35" s="108">
        <v>5271507.9448322468</v>
      </c>
      <c r="H35" s="576">
        <f>ROUND((I35-G35)/G35,4)</f>
        <v>-0.13750000000000001</v>
      </c>
      <c r="I35" s="108">
        <v>4546845.1048137397</v>
      </c>
      <c r="J35" s="576">
        <f>ROUND((K35-I35)/I35,4)</f>
        <v>-1.38E-2</v>
      </c>
      <c r="K35" s="108">
        <v>4483971.3101346642</v>
      </c>
      <c r="L35" s="576">
        <f>ROUND((M35-K35)/K35,4)</f>
        <v>-0.1431</v>
      </c>
      <c r="M35" s="108">
        <f>M36/M32</f>
        <v>3842455.2278820374</v>
      </c>
      <c r="N35" s="576">
        <f>ROUND((O35-M35)/M35,4)</f>
        <v>0.22239999999999999</v>
      </c>
      <c r="O35" s="108">
        <f>O36/O32</f>
        <v>4697049.4157745587</v>
      </c>
      <c r="P35" s="108"/>
    </row>
    <row r="36" spans="1:16">
      <c r="A36" s="764">
        <f t="shared" si="0"/>
        <v>23</v>
      </c>
      <c r="B36" s="783" t="s">
        <v>736</v>
      </c>
      <c r="C36" s="131">
        <v>2972341.1200000118</v>
      </c>
      <c r="D36" s="576">
        <f>ROUND((E36-C36)/C36,4)</f>
        <v>-5.5399999999999998E-2</v>
      </c>
      <c r="E36" s="131">
        <v>2807745.5500000049</v>
      </c>
      <c r="F36" s="576">
        <f>ROUND((G36-E36)/E36,4)</f>
        <v>-0.184</v>
      </c>
      <c r="G36" s="131">
        <v>2291156.16</v>
      </c>
      <c r="H36" s="576">
        <f>ROUND((I36-G36)/G36,4)</f>
        <v>-0.15770000000000001</v>
      </c>
      <c r="I36" s="131">
        <v>1929817.6199999994</v>
      </c>
      <c r="J36" s="576">
        <f>ROUND((K36-I36)/I36,4)</f>
        <v>4.7999999999999996E-3</v>
      </c>
      <c r="K36" s="131">
        <v>1939113.04</v>
      </c>
      <c r="L36" s="576">
        <f>ROUND((M36-K36)/K36,4)</f>
        <v>-0.11310000000000001</v>
      </c>
      <c r="M36" s="1187">
        <v>1719882.96</v>
      </c>
      <c r="N36" s="576">
        <f>ROUND((O36-M36)/M36,4)</f>
        <v>-1.3599999999999999E-2</v>
      </c>
      <c r="O36" s="131">
        <v>1696574.2489777708</v>
      </c>
      <c r="P36" s="108"/>
    </row>
    <row r="37" spans="1:16">
      <c r="A37" s="764">
        <f t="shared" si="0"/>
        <v>24</v>
      </c>
      <c r="B37" s="783" t="s">
        <v>795</v>
      </c>
    </row>
    <row r="38" spans="1:16">
      <c r="A38" s="764">
        <f t="shared" si="0"/>
        <v>25</v>
      </c>
      <c r="B38" s="583" t="s">
        <v>796</v>
      </c>
      <c r="C38" s="423"/>
      <c r="E38" s="423"/>
      <c r="G38" s="423"/>
      <c r="I38" s="423"/>
      <c r="K38" s="423"/>
    </row>
    <row r="39" spans="1:16">
      <c r="A39" s="764">
        <f t="shared" si="0"/>
        <v>26</v>
      </c>
      <c r="B39" s="783" t="s">
        <v>797</v>
      </c>
      <c r="C39" s="132">
        <f>ROUND((C36/C35),5)</f>
        <v>0.49027999999999999</v>
      </c>
      <c r="E39" s="132">
        <f>ROUND((E36/E35),5)</f>
        <v>0.45662000000000003</v>
      </c>
      <c r="G39" s="132">
        <f>ROUND((G36/G35),5)</f>
        <v>0.43463000000000002</v>
      </c>
      <c r="I39" s="132">
        <f>ROUND((I36/I35),5)</f>
        <v>0.42442999999999997</v>
      </c>
      <c r="K39" s="132">
        <f>ROUND((K36/K35),5)</f>
        <v>0.43245</v>
      </c>
      <c r="M39" s="132">
        <f>ROUND((M36/M35),5)</f>
        <v>0.4476</v>
      </c>
      <c r="O39" s="132">
        <f>ROUND((O36/O35),5)</f>
        <v>0.36120000000000002</v>
      </c>
    </row>
    <row r="40" spans="1:16">
      <c r="A40" s="764">
        <f t="shared" si="0"/>
        <v>27</v>
      </c>
    </row>
    <row r="41" spans="1:16">
      <c r="A41" s="764">
        <f t="shared" si="0"/>
        <v>28</v>
      </c>
      <c r="B41" s="619" t="s">
        <v>798</v>
      </c>
    </row>
    <row r="42" spans="1:16">
      <c r="A42" s="764">
        <f t="shared" si="0"/>
        <v>29</v>
      </c>
      <c r="B42" s="783" t="s">
        <v>632</v>
      </c>
      <c r="C42" s="108">
        <v>842967.71</v>
      </c>
      <c r="D42" s="576">
        <f>ROUND((E42-C42)/C42,4)</f>
        <v>0.3266</v>
      </c>
      <c r="E42" s="108">
        <v>1118267.5799999991</v>
      </c>
      <c r="F42" s="576">
        <f>ROUND((G42-E42)/E42,4)</f>
        <v>-0.1988</v>
      </c>
      <c r="G42" s="108">
        <v>895950.11999999988</v>
      </c>
      <c r="H42" s="576">
        <f>ROUND((I42-G42)/G42,4)</f>
        <v>0.1061</v>
      </c>
      <c r="I42" s="108">
        <v>991045.14</v>
      </c>
      <c r="J42" s="576">
        <f>ROUND((K42-I42)/I42,4)</f>
        <v>6.6600000000000006E-2</v>
      </c>
      <c r="K42" s="108">
        <v>1057090.6599999999</v>
      </c>
      <c r="L42" s="576">
        <f>ROUND((M42-K42)/K42,4)</f>
        <v>-0.2296</v>
      </c>
      <c r="M42" s="108">
        <f>M43/M32</f>
        <v>814376.31814119744</v>
      </c>
      <c r="N42" s="576">
        <f>ROUND((O42-M42)/M42,4)</f>
        <v>0.21010000000000001</v>
      </c>
      <c r="O42" s="108">
        <f>O43/O32</f>
        <v>985494.12181616831</v>
      </c>
      <c r="P42" s="108"/>
    </row>
    <row r="43" spans="1:16">
      <c r="A43" s="764">
        <f t="shared" si="0"/>
        <v>30</v>
      </c>
      <c r="B43" s="783" t="s">
        <v>1103</v>
      </c>
      <c r="C43" s="131">
        <v>335033.08</v>
      </c>
      <c r="D43" s="576">
        <f>ROUND((E43-C43)/C43,4)</f>
        <v>8.0000000000000004E-4</v>
      </c>
      <c r="E43" s="131">
        <v>335294.49000000005</v>
      </c>
      <c r="F43" s="576">
        <f>ROUND((G43-E43)/E43,4)</f>
        <v>4.1200000000000001E-2</v>
      </c>
      <c r="G43" s="131">
        <v>349096.97</v>
      </c>
      <c r="H43" s="576">
        <f>ROUND((I43-G43)/G43,4)</f>
        <v>8.0299999999999996E-2</v>
      </c>
      <c r="I43" s="131">
        <v>377117.52</v>
      </c>
      <c r="J43" s="576">
        <f>ROUND((K43-I43)/I43,4)</f>
        <v>-0.111</v>
      </c>
      <c r="K43" s="131">
        <v>335252.98000000004</v>
      </c>
      <c r="L43" s="576">
        <f>ROUND((M43-K43)/K43,4)</f>
        <v>8.7300000000000003E-2</v>
      </c>
      <c r="M43" s="108">
        <f>SUM('C.2.3 B'!O12:O14)</f>
        <v>364514.83999999997</v>
      </c>
      <c r="N43" s="576">
        <f>ROUND((O43-M43)/M43,4)</f>
        <v>-2.35E-2</v>
      </c>
      <c r="O43" s="108">
        <f>SUM('C.2.3 F'!O13:O15)</f>
        <v>355960.4768</v>
      </c>
      <c r="P43" s="108"/>
    </row>
    <row r="44" spans="1:16">
      <c r="A44" s="764">
        <f t="shared" si="0"/>
        <v>31</v>
      </c>
      <c r="B44" s="783" t="s">
        <v>629</v>
      </c>
    </row>
    <row r="45" spans="1:16">
      <c r="A45" s="764">
        <f t="shared" si="0"/>
        <v>32</v>
      </c>
      <c r="B45" s="783" t="s">
        <v>630</v>
      </c>
    </row>
    <row r="46" spans="1:16">
      <c r="A46" s="764">
        <f t="shared" si="0"/>
        <v>33</v>
      </c>
      <c r="B46" s="583" t="s">
        <v>634</v>
      </c>
      <c r="C46" s="132">
        <f>ROUND((C43/C42),5)</f>
        <v>0.39744000000000002</v>
      </c>
      <c r="D46" s="132"/>
      <c r="E46" s="132">
        <f>ROUND((E43/E42),5)</f>
        <v>0.29982999999999999</v>
      </c>
      <c r="G46" s="132">
        <f>ROUND((G43/G42),5)</f>
        <v>0.38963999999999999</v>
      </c>
      <c r="I46" s="132">
        <f>ROUND((I43/I42),5)</f>
        <v>0.38052999999999998</v>
      </c>
      <c r="K46" s="132">
        <f>ROUND((K43/K42),5)</f>
        <v>0.31714999999999999</v>
      </c>
      <c r="M46" s="132">
        <f>ROUND((M43/M42),5)</f>
        <v>0.4476</v>
      </c>
      <c r="O46" s="132">
        <f>ROUND((O43/O42),5)</f>
        <v>0.36120000000000002</v>
      </c>
    </row>
    <row r="47" spans="1:16">
      <c r="A47" s="764">
        <f t="shared" si="0"/>
        <v>34</v>
      </c>
    </row>
    <row r="48" spans="1:16">
      <c r="A48" s="764">
        <f t="shared" si="0"/>
        <v>35</v>
      </c>
      <c r="B48" s="947" t="s">
        <v>1158</v>
      </c>
    </row>
    <row r="49" spans="1:19">
      <c r="A49" s="764">
        <f t="shared" si="0"/>
        <v>36</v>
      </c>
      <c r="B49" s="783" t="s">
        <v>1159</v>
      </c>
      <c r="C49" s="103">
        <v>211</v>
      </c>
      <c r="D49" s="1150">
        <f>ROUND((E49-C49)/C49,4)</f>
        <v>1.9E-2</v>
      </c>
      <c r="E49" s="103">
        <v>215</v>
      </c>
      <c r="F49" s="576">
        <f>ROUND((G49-E49)/E49,4)</f>
        <v>-1.8599999999999998E-2</v>
      </c>
      <c r="G49" s="103">
        <v>211</v>
      </c>
      <c r="H49" s="576">
        <f>ROUND((I49-G49)/G49,4)</f>
        <v>1.9E-2</v>
      </c>
      <c r="I49" s="103">
        <v>215</v>
      </c>
      <c r="J49" s="576">
        <f>ROUND((K49-I49)/I49,4)</f>
        <v>-4.19E-2</v>
      </c>
      <c r="K49" s="103">
        <v>206</v>
      </c>
      <c r="L49" s="576">
        <f>ROUND((M49-K49)/K49,4)</f>
        <v>-1.9400000000000001E-2</v>
      </c>
      <c r="M49" s="953">
        <f>M50</f>
        <v>202</v>
      </c>
      <c r="N49" s="576">
        <f>ROUND((O49-M49)/M49,4)</f>
        <v>0</v>
      </c>
      <c r="O49" s="953">
        <f>O50</f>
        <v>202</v>
      </c>
    </row>
    <row r="50" spans="1:19">
      <c r="A50" s="764">
        <f t="shared" si="0"/>
        <v>37</v>
      </c>
      <c r="B50" s="783" t="s">
        <v>1160</v>
      </c>
      <c r="C50" s="133">
        <v>213</v>
      </c>
      <c r="D50" s="576">
        <f>ROUND((E50-C50)/C50,4)</f>
        <v>2.35E-2</v>
      </c>
      <c r="E50" s="133">
        <v>218</v>
      </c>
      <c r="F50" s="576">
        <f>ROUND((G50-E50)/E50,4)</f>
        <v>-2.29E-2</v>
      </c>
      <c r="G50" s="133">
        <v>213</v>
      </c>
      <c r="H50" s="576">
        <f>ROUND((I50-G50)/G50,4)</f>
        <v>2.35E-2</v>
      </c>
      <c r="I50" s="133">
        <v>218</v>
      </c>
      <c r="J50" s="576">
        <f>ROUND((K50-I50)/I50,4)</f>
        <v>-7.3400000000000007E-2</v>
      </c>
      <c r="K50" s="133">
        <v>202</v>
      </c>
      <c r="L50" s="576">
        <f>ROUND((M50-K50)/K50,4)</f>
        <v>0</v>
      </c>
      <c r="M50" s="953">
        <v>202</v>
      </c>
      <c r="N50" s="576">
        <f>ROUND((O50-M50)/M50,4)</f>
        <v>0</v>
      </c>
      <c r="O50" s="953">
        <v>202</v>
      </c>
    </row>
    <row r="52" spans="1:19">
      <c r="R52" s="108"/>
    </row>
    <row r="53" spans="1:19">
      <c r="R53" s="108"/>
    </row>
    <row r="54" spans="1:19">
      <c r="B54" s="658" t="s">
        <v>239</v>
      </c>
    </row>
    <row r="55" spans="1:19">
      <c r="B55" s="658" t="s">
        <v>1391</v>
      </c>
    </row>
    <row r="58" spans="1:19">
      <c r="B58" s="103" t="s">
        <v>1236</v>
      </c>
      <c r="R58" s="108"/>
      <c r="S58" s="108"/>
    </row>
    <row r="59" spans="1:19">
      <c r="B59" s="658" t="s">
        <v>1301</v>
      </c>
      <c r="R59" s="108"/>
      <c r="S59" s="108"/>
    </row>
    <row r="60" spans="1:19">
      <c r="B60" s="103" t="s">
        <v>1619</v>
      </c>
    </row>
    <row r="61" spans="1:19">
      <c r="B61" s="103" t="s">
        <v>1620</v>
      </c>
    </row>
    <row r="67" spans="1:15">
      <c r="A67" s="124"/>
    </row>
    <row r="68" spans="1:15">
      <c r="A68" s="124"/>
      <c r="B68" s="124"/>
      <c r="G68" s="948"/>
      <c r="I68" s="948"/>
      <c r="K68" s="948"/>
      <c r="M68" s="948"/>
      <c r="O68" s="948"/>
    </row>
    <row r="69" spans="1:15">
      <c r="G69" s="131"/>
    </row>
    <row r="70" spans="1:15">
      <c r="A70" s="124"/>
    </row>
    <row r="71" spans="1:15">
      <c r="A71" s="124"/>
    </row>
    <row r="95" spans="7:17">
      <c r="G95" s="131"/>
      <c r="I95" s="131"/>
      <c r="K95" s="131"/>
      <c r="M95" s="131"/>
      <c r="O95" s="131"/>
      <c r="Q95" s="131"/>
    </row>
    <row r="96" spans="7:17">
      <c r="G96" s="131"/>
      <c r="I96" s="131"/>
      <c r="K96" s="131"/>
      <c r="M96" s="131"/>
      <c r="O96" s="131"/>
      <c r="Q96" s="131"/>
    </row>
    <row r="97" spans="7:17">
      <c r="G97" s="131"/>
      <c r="I97" s="131"/>
      <c r="K97" s="131"/>
      <c r="M97" s="131"/>
      <c r="O97" s="131"/>
      <c r="Q97" s="131"/>
    </row>
    <row r="98" spans="7:17">
      <c r="G98" s="131"/>
      <c r="I98" s="131"/>
      <c r="K98" s="131"/>
      <c r="M98" s="131"/>
      <c r="O98" s="131"/>
      <c r="Q98" s="131"/>
    </row>
    <row r="99" spans="7:17">
      <c r="G99" s="131"/>
      <c r="I99" s="131"/>
      <c r="K99" s="131"/>
      <c r="M99" s="131"/>
      <c r="O99" s="131"/>
      <c r="Q99" s="131"/>
    </row>
  </sheetData>
  <phoneticPr fontId="23" type="noConversion"/>
  <pageMargins left="0.5" right="0.5" top="0.75" bottom="0.5" header="0.5" footer="0.5"/>
  <pageSetup scale="58" orientation="landscape" verticalDpi="300" r:id="rId1"/>
  <headerFooter alignWithMargins="0">
    <oddFooter>&amp;RSchedule &amp;A
Page &amp;P of &amp;N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Q66"/>
  <sheetViews>
    <sheetView view="pageBreakPreview" zoomScale="90" zoomScaleNormal="90" zoomScaleSheetLayoutView="90" workbookViewId="0">
      <selection activeCell="N43" sqref="N43"/>
    </sheetView>
  </sheetViews>
  <sheetFormatPr defaultColWidth="8.44140625" defaultRowHeight="15"/>
  <cols>
    <col min="1" max="1" width="7.5546875" style="1" customWidth="1"/>
    <col min="2" max="2" width="3.33203125" style="1" customWidth="1"/>
    <col min="3" max="3" width="47.44140625" style="1" customWidth="1"/>
    <col min="4" max="4" width="3" style="1" customWidth="1"/>
    <col min="5" max="5" width="9.77734375" style="1" customWidth="1"/>
    <col min="6" max="7" width="9.88671875" style="1" customWidth="1"/>
    <col min="8" max="8" width="14.88671875" style="1" bestFit="1" customWidth="1"/>
    <col min="9" max="9" width="6" style="1" bestFit="1" customWidth="1"/>
    <col min="10" max="10" width="11.88671875" style="1" customWidth="1"/>
    <col min="11" max="11" width="3.77734375" style="1" customWidth="1"/>
    <col min="12" max="12" width="15.77734375" style="1" customWidth="1"/>
    <col min="13" max="14" width="9.33203125" style="1" customWidth="1"/>
    <col min="15" max="15" width="8.6640625" style="1" customWidth="1"/>
    <col min="16" max="16" width="8" style="1" customWidth="1"/>
    <col min="17" max="17" width="10.77734375" style="1" customWidth="1"/>
    <col min="18" max="18" width="10.21875" style="1" customWidth="1"/>
    <col min="19" max="16384" width="8.44140625" style="1"/>
  </cols>
  <sheetData>
    <row r="1" spans="1:16">
      <c r="A1" s="172" t="str">
        <f>'Table of Contents'!A1:C1</f>
        <v>Atmos Energy Corporation, Kentucky/Mid-States Division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/>
      <c r="P1"/>
    </row>
    <row r="2" spans="1:16">
      <c r="A2" s="172" t="str">
        <f>'Table of Contents'!A2:C2</f>
        <v>Kentucky Jurisdiction Case No. 2018-00281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/>
      <c r="P2"/>
    </row>
    <row r="3" spans="1:16">
      <c r="A3" s="89" t="s">
        <v>493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/>
      <c r="P3"/>
    </row>
    <row r="4" spans="1:16">
      <c r="A4" s="89" t="str">
        <f>'Table of Contents'!A3:C3</f>
        <v>Base Period: Twelve Months Ended December 31, 2018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/>
      <c r="P4"/>
    </row>
    <row r="5" spans="1:16">
      <c r="A5" s="89" t="str">
        <f>'Table of Contents'!A4:C4</f>
        <v>Forecasted Test Period: Twelve Months Ended March 31, 2020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/>
      <c r="P5"/>
    </row>
    <row r="6" spans="1:16">
      <c r="A6" s="174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/>
      <c r="P6"/>
    </row>
    <row r="7" spans="1:16">
      <c r="A7" s="90" t="s">
        <v>198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375" t="s">
        <v>1408</v>
      </c>
      <c r="M7" s="92"/>
      <c r="N7" s="92"/>
      <c r="O7"/>
      <c r="P7"/>
    </row>
    <row r="8" spans="1:16">
      <c r="A8" s="90" t="s">
        <v>1121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560" t="s">
        <v>625</v>
      </c>
      <c r="M8" s="92"/>
      <c r="N8" s="92"/>
      <c r="O8"/>
      <c r="P8"/>
    </row>
    <row r="9" spans="1:16">
      <c r="A9" s="91" t="s">
        <v>365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605" t="str">
        <f>F.1!$F$9</f>
        <v>Witness: Waller</v>
      </c>
      <c r="M9" s="93"/>
      <c r="N9" s="797"/>
      <c r="O9"/>
      <c r="P9"/>
    </row>
    <row r="10" spans="1:16" ht="15.75">
      <c r="A10" s="92"/>
      <c r="B10" s="92"/>
      <c r="C10" s="115"/>
      <c r="D10" s="92"/>
      <c r="E10" s="92"/>
      <c r="F10" s="92"/>
      <c r="G10" s="92"/>
      <c r="H10" s="92"/>
      <c r="I10" s="92"/>
      <c r="J10" s="92"/>
      <c r="K10" s="92"/>
      <c r="L10" s="92"/>
      <c r="M10" s="93"/>
      <c r="N10" s="93"/>
      <c r="O10"/>
      <c r="P10"/>
    </row>
    <row r="11" spans="1:16">
      <c r="A11" s="92"/>
      <c r="B11" s="92"/>
      <c r="C11" s="92"/>
      <c r="D11" s="92"/>
      <c r="E11" s="92"/>
      <c r="F11" s="92"/>
      <c r="G11" s="92"/>
      <c r="H11" s="399" t="s">
        <v>324</v>
      </c>
      <c r="I11" s="93"/>
      <c r="J11" s="93"/>
      <c r="K11" s="93"/>
      <c r="L11" s="399" t="s">
        <v>325</v>
      </c>
      <c r="M11" s="93"/>
      <c r="N11" s="93"/>
      <c r="O11"/>
      <c r="P11"/>
    </row>
    <row r="12" spans="1:16">
      <c r="A12" s="100" t="s">
        <v>93</v>
      </c>
      <c r="B12" s="92"/>
      <c r="C12" s="92"/>
      <c r="D12" s="645"/>
      <c r="E12" s="645" t="s">
        <v>1240</v>
      </c>
      <c r="F12" s="645"/>
      <c r="G12" s="645"/>
      <c r="H12" s="399" t="s">
        <v>102</v>
      </c>
      <c r="I12" s="93"/>
      <c r="J12" s="93"/>
      <c r="K12" s="93"/>
      <c r="L12" s="399" t="s">
        <v>102</v>
      </c>
      <c r="M12" s="92"/>
      <c r="N12" s="92"/>
      <c r="O12"/>
      <c r="P12"/>
    </row>
    <row r="13" spans="1:16">
      <c r="A13" s="101" t="s">
        <v>99</v>
      </c>
      <c r="B13" s="92"/>
      <c r="C13" s="101" t="s">
        <v>985</v>
      </c>
      <c r="D13" s="399"/>
      <c r="E13" s="403" t="s">
        <v>1238</v>
      </c>
      <c r="F13" s="399"/>
      <c r="G13" s="399"/>
      <c r="H13" s="101" t="s">
        <v>462</v>
      </c>
      <c r="I13" s="92"/>
      <c r="J13" s="101" t="s">
        <v>987</v>
      </c>
      <c r="K13" s="92"/>
      <c r="L13" s="101" t="s">
        <v>462</v>
      </c>
      <c r="M13" s="92"/>
      <c r="N13" s="92"/>
      <c r="O13"/>
      <c r="P13"/>
    </row>
    <row r="14" spans="1:16">
      <c r="A14" s="92"/>
      <c r="B14" s="92"/>
      <c r="C14" s="92"/>
      <c r="D14" s="92"/>
      <c r="E14" s="92"/>
      <c r="F14" s="92"/>
      <c r="G14" s="92"/>
      <c r="H14" s="100"/>
      <c r="I14" s="92"/>
      <c r="J14" s="100"/>
      <c r="K14" s="90"/>
      <c r="L14" s="100"/>
      <c r="M14" s="92"/>
      <c r="N14" s="92"/>
      <c r="O14"/>
      <c r="P14"/>
    </row>
    <row r="15" spans="1:16">
      <c r="A15" s="100" t="s">
        <v>366</v>
      </c>
      <c r="B15" s="92"/>
      <c r="C15" s="16" t="s">
        <v>1594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/>
      <c r="P15"/>
    </row>
    <row r="16" spans="1:16">
      <c r="A16" s="100">
        <f>A15+1</f>
        <v>2</v>
      </c>
      <c r="B16" s="92"/>
      <c r="C16" s="92"/>
      <c r="D16" s="92"/>
      <c r="E16" s="92"/>
      <c r="F16" s="92"/>
      <c r="G16" s="92"/>
      <c r="H16" s="103"/>
      <c r="I16" s="92"/>
      <c r="J16" s="92"/>
      <c r="K16" s="92"/>
      <c r="L16" s="103"/>
      <c r="M16" s="92"/>
      <c r="N16" s="92"/>
      <c r="O16"/>
      <c r="P16"/>
    </row>
    <row r="17" spans="1:17">
      <c r="A17" s="100">
        <f t="shared" ref="A17:A32" si="0">A16+1</f>
        <v>3</v>
      </c>
      <c r="B17" s="92"/>
      <c r="C17" s="16" t="s">
        <v>417</v>
      </c>
      <c r="D17" s="92"/>
      <c r="E17" s="92"/>
      <c r="F17" s="92"/>
      <c r="G17" s="92"/>
      <c r="H17" s="427"/>
      <c r="I17" s="92"/>
      <c r="J17" s="92"/>
      <c r="K17" s="92"/>
      <c r="L17" s="103"/>
      <c r="M17" s="92"/>
      <c r="N17" s="92"/>
      <c r="O17"/>
      <c r="P17"/>
    </row>
    <row r="18" spans="1:17">
      <c r="A18" s="100">
        <f t="shared" si="0"/>
        <v>4</v>
      </c>
      <c r="B18" s="92"/>
      <c r="C18" s="90" t="s">
        <v>1097</v>
      </c>
      <c r="D18" s="92"/>
      <c r="E18" s="92"/>
      <c r="F18" s="92"/>
      <c r="G18" s="92"/>
      <c r="H18" s="571">
        <v>3461108.7500000005</v>
      </c>
      <c r="I18" s="103"/>
      <c r="J18" s="571">
        <v>135121.65200000023</v>
      </c>
      <c r="K18" s="103"/>
      <c r="L18" s="571">
        <v>3513162.952</v>
      </c>
      <c r="M18" s="55"/>
      <c r="N18" s="55"/>
      <c r="O18"/>
      <c r="P18" s="591"/>
      <c r="Q18" s="591"/>
    </row>
    <row r="19" spans="1:17">
      <c r="A19" s="100">
        <f t="shared" si="0"/>
        <v>5</v>
      </c>
      <c r="B19" s="92"/>
      <c r="C19" s="90" t="s">
        <v>1098</v>
      </c>
      <c r="D19" s="92"/>
      <c r="E19" s="92"/>
      <c r="F19" s="92"/>
      <c r="G19" s="92"/>
      <c r="H19" s="108">
        <v>9854884.80567904</v>
      </c>
      <c r="I19" s="103"/>
      <c r="J19" s="109">
        <v>372445.85484619997</v>
      </c>
      <c r="K19" s="103"/>
      <c r="L19" s="571">
        <v>9683592.2260012012</v>
      </c>
      <c r="M19" s="90"/>
      <c r="N19" s="90"/>
      <c r="O19"/>
      <c r="P19" s="642"/>
      <c r="Q19" s="642"/>
    </row>
    <row r="20" spans="1:17">
      <c r="A20" s="100">
        <f t="shared" si="0"/>
        <v>6</v>
      </c>
      <c r="B20" s="92"/>
      <c r="C20" s="90" t="s">
        <v>1099</v>
      </c>
      <c r="D20" s="92"/>
      <c r="E20" s="92"/>
      <c r="F20" s="92"/>
      <c r="G20" s="92"/>
      <c r="H20" s="701">
        <f>SUM(H18:H19)</f>
        <v>13315993.55567904</v>
      </c>
      <c r="I20" s="103"/>
      <c r="J20" s="571">
        <v>507567.50684620021</v>
      </c>
      <c r="K20" s="103"/>
      <c r="L20" s="701">
        <v>13196755.178001201</v>
      </c>
      <c r="M20" s="92"/>
      <c r="O20"/>
      <c r="P20" s="642"/>
      <c r="Q20" s="642"/>
    </row>
    <row r="21" spans="1:17">
      <c r="A21" s="100">
        <f t="shared" si="0"/>
        <v>7</v>
      </c>
      <c r="B21" s="92"/>
      <c r="C21" s="92"/>
      <c r="D21" s="92"/>
      <c r="E21" s="92"/>
      <c r="F21" s="92"/>
      <c r="G21" s="92"/>
      <c r="H21" s="108"/>
      <c r="I21" s="103"/>
      <c r="J21" s="108"/>
      <c r="K21" s="103"/>
      <c r="L21" s="108"/>
      <c r="M21" s="92"/>
      <c r="O21"/>
      <c r="P21" s="642"/>
      <c r="Q21" s="642"/>
    </row>
    <row r="22" spans="1:17">
      <c r="A22" s="100">
        <f t="shared" si="0"/>
        <v>8</v>
      </c>
      <c r="B22" s="92"/>
      <c r="C22" s="16" t="s">
        <v>617</v>
      </c>
      <c r="D22" s="591"/>
      <c r="E22" s="92" t="s">
        <v>1771</v>
      </c>
      <c r="F22" s="92" t="s">
        <v>1772</v>
      </c>
      <c r="G22" s="92" t="s">
        <v>1770</v>
      </c>
      <c r="H22" s="103"/>
      <c r="I22" s="103"/>
      <c r="J22" s="103"/>
      <c r="K22" s="103"/>
      <c r="L22" s="103"/>
      <c r="M22" s="92"/>
    </row>
    <row r="23" spans="1:17">
      <c r="A23" s="100">
        <f t="shared" si="0"/>
        <v>9</v>
      </c>
      <c r="B23" s="92"/>
      <c r="C23" s="90" t="s">
        <v>1100</v>
      </c>
      <c r="D23" s="642"/>
      <c r="E23" s="55">
        <v>4.3999999999999997E-2</v>
      </c>
      <c r="F23" s="55">
        <v>4.0500000000000001E-2</v>
      </c>
      <c r="G23" s="55">
        <v>4.312499999999999E-2</v>
      </c>
      <c r="H23" s="571">
        <f>H$18*G23</f>
        <v>149260.31484374998</v>
      </c>
      <c r="I23" s="103"/>
      <c r="J23" s="571">
        <v>6485.839295999991</v>
      </c>
      <c r="K23" s="103"/>
      <c r="L23" s="571">
        <v>168631.82169599997</v>
      </c>
      <c r="M23" s="92"/>
      <c r="P23" s="642"/>
      <c r="Q23" s="642"/>
    </row>
    <row r="24" spans="1:17">
      <c r="A24" s="100">
        <f t="shared" si="0"/>
        <v>10</v>
      </c>
      <c r="B24" s="92"/>
      <c r="C24" s="90" t="s">
        <v>1586</v>
      </c>
      <c r="D24" s="642"/>
      <c r="E24" s="55"/>
      <c r="F24" s="55"/>
      <c r="G24" s="55"/>
      <c r="H24" s="571">
        <v>3282105</v>
      </c>
      <c r="I24" s="103"/>
      <c r="J24" s="683">
        <v>110347.25879999995</v>
      </c>
      <c r="K24" s="103"/>
      <c r="L24" s="571">
        <v>2869028.7288000002</v>
      </c>
      <c r="M24" s="92"/>
      <c r="P24" s="642"/>
      <c r="Q24" s="642"/>
    </row>
    <row r="25" spans="1:17">
      <c r="A25" s="100">
        <f t="shared" si="0"/>
        <v>11</v>
      </c>
      <c r="B25" s="92"/>
      <c r="C25" s="90" t="s">
        <v>1101</v>
      </c>
      <c r="D25" s="642"/>
      <c r="E25" s="55">
        <v>0.28700000000000003</v>
      </c>
      <c r="F25" s="55">
        <v>0.28410000000000002</v>
      </c>
      <c r="G25" s="55">
        <v>0.286275</v>
      </c>
      <c r="H25" s="109">
        <f>H$18*G25</f>
        <v>990828.90740625013</v>
      </c>
      <c r="I25" s="103"/>
      <c r="J25" s="109">
        <v>38543.451233000145</v>
      </c>
      <c r="K25" s="103"/>
      <c r="L25" s="109">
        <v>1002129.7320580001</v>
      </c>
      <c r="M25" s="92"/>
      <c r="P25" s="642"/>
    </row>
    <row r="26" spans="1:17">
      <c r="A26" s="100">
        <f t="shared" si="0"/>
        <v>12</v>
      </c>
      <c r="B26" s="92"/>
      <c r="C26" s="90" t="s">
        <v>1102</v>
      </c>
      <c r="D26" s="92"/>
      <c r="E26" s="92"/>
      <c r="F26" s="92"/>
      <c r="G26" s="92"/>
      <c r="H26" s="571">
        <f>SUM(H23:H25)</f>
        <v>4422194.2222500006</v>
      </c>
      <c r="I26" s="103"/>
      <c r="J26" s="571">
        <v>155376.54932900009</v>
      </c>
      <c r="K26" s="103"/>
      <c r="L26" s="571">
        <v>4039790.2825540006</v>
      </c>
      <c r="M26" s="92"/>
      <c r="O26"/>
      <c r="P26"/>
    </row>
    <row r="27" spans="1:17">
      <c r="A27" s="100">
        <f t="shared" si="0"/>
        <v>13</v>
      </c>
      <c r="B27" s="92"/>
      <c r="C27" s="92"/>
      <c r="D27" s="92"/>
      <c r="E27" s="92"/>
      <c r="F27" s="92"/>
      <c r="G27" s="92"/>
      <c r="H27" s="103"/>
      <c r="I27" s="103"/>
      <c r="J27" s="103"/>
      <c r="K27" s="103"/>
      <c r="L27" s="103"/>
      <c r="M27" s="92"/>
      <c r="O27"/>
      <c r="P27"/>
    </row>
    <row r="28" spans="1:17">
      <c r="A28" s="100">
        <f t="shared" si="0"/>
        <v>14</v>
      </c>
      <c r="B28" s="92"/>
      <c r="C28" s="16" t="s">
        <v>798</v>
      </c>
      <c r="D28" s="92"/>
      <c r="E28" s="92"/>
      <c r="F28" s="92"/>
      <c r="G28" s="92"/>
      <c r="H28" s="108"/>
      <c r="I28" s="423"/>
      <c r="J28" s="108"/>
      <c r="K28" s="103"/>
      <c r="L28" s="108" t="s">
        <v>323</v>
      </c>
      <c r="M28" s="92"/>
      <c r="N28" s="642"/>
      <c r="O28"/>
      <c r="P28"/>
    </row>
    <row r="29" spans="1:17">
      <c r="A29" s="100">
        <f t="shared" si="0"/>
        <v>15</v>
      </c>
      <c r="B29" s="92"/>
      <c r="C29" s="90" t="s">
        <v>1587</v>
      </c>
      <c r="D29" s="92"/>
      <c r="E29" s="92"/>
      <c r="F29" s="92"/>
      <c r="G29" s="92"/>
      <c r="H29" s="571">
        <v>275039.53999999992</v>
      </c>
      <c r="I29" s="423"/>
      <c r="J29" s="571">
        <v>9898.483200000017</v>
      </c>
      <c r="K29" s="103"/>
      <c r="L29" s="571">
        <v>257360.56319999998</v>
      </c>
      <c r="M29" s="92"/>
      <c r="N29" s="642"/>
      <c r="O29"/>
      <c r="P29"/>
    </row>
    <row r="30" spans="1:17">
      <c r="A30" s="100">
        <f t="shared" si="0"/>
        <v>16</v>
      </c>
      <c r="B30" s="92"/>
      <c r="C30" s="90" t="s">
        <v>682</v>
      </c>
      <c r="D30" s="92"/>
      <c r="E30" s="92"/>
      <c r="F30" s="92"/>
      <c r="G30" s="92"/>
      <c r="H30" s="701">
        <f>SUM(H29:H29)</f>
        <v>275039.53999999992</v>
      </c>
      <c r="I30" s="92"/>
      <c r="J30" s="571">
        <v>9898.483200000017</v>
      </c>
      <c r="K30" s="92"/>
      <c r="L30" s="701">
        <v>257360.56319999998</v>
      </c>
      <c r="M30" s="92"/>
      <c r="N30" s="92"/>
      <c r="O30"/>
      <c r="P30"/>
    </row>
    <row r="31" spans="1:17">
      <c r="A31" s="100">
        <f t="shared" si="0"/>
        <v>17</v>
      </c>
      <c r="B31" s="92"/>
      <c r="C31" s="92"/>
      <c r="D31" s="92"/>
      <c r="E31" s="92"/>
      <c r="F31" s="92"/>
      <c r="G31" s="92"/>
      <c r="H31" s="108"/>
      <c r="I31" s="92"/>
      <c r="J31" s="108"/>
      <c r="K31" s="92"/>
      <c r="L31" s="108" t="s">
        <v>323</v>
      </c>
      <c r="M31" s="92"/>
      <c r="N31" s="92"/>
      <c r="O31"/>
      <c r="P31"/>
    </row>
    <row r="32" spans="1:17" ht="15.75" thickBot="1">
      <c r="A32" s="100">
        <f t="shared" si="0"/>
        <v>18</v>
      </c>
      <c r="B32" s="92"/>
      <c r="C32" s="90" t="s">
        <v>683</v>
      </c>
      <c r="D32" s="92"/>
      <c r="E32" s="92"/>
      <c r="F32" s="92"/>
      <c r="G32" s="92"/>
      <c r="H32" s="703">
        <f>(+H20+H26+H30)</f>
        <v>18013227.317929041</v>
      </c>
      <c r="I32" s="92"/>
      <c r="J32" s="703">
        <v>672842.53937520029</v>
      </c>
      <c r="K32" s="92"/>
      <c r="L32" s="703">
        <v>17493906.023755204</v>
      </c>
      <c r="M32" s="92"/>
      <c r="N32" s="92"/>
      <c r="O32"/>
      <c r="P32"/>
    </row>
    <row r="33" spans="1:16" ht="15.75" thickTop="1">
      <c r="A33" s="92"/>
      <c r="B33" s="92"/>
      <c r="C33" s="92"/>
      <c r="D33" s="92"/>
      <c r="E33" s="92"/>
      <c r="F33" s="92"/>
      <c r="G33" s="92"/>
      <c r="H33" s="106"/>
      <c r="I33" s="92"/>
      <c r="J33" s="106"/>
      <c r="K33" s="92"/>
      <c r="L33" s="134" t="s">
        <v>323</v>
      </c>
      <c r="M33" s="92"/>
      <c r="N33" s="92"/>
      <c r="O33"/>
      <c r="P33"/>
    </row>
    <row r="34" spans="1:16">
      <c r="A34" t="s">
        <v>834</v>
      </c>
      <c r="B34" s="90"/>
      <c r="C34" s="92"/>
      <c r="D34" s="92"/>
      <c r="E34" s="92"/>
      <c r="F34" s="92"/>
      <c r="G34" s="92"/>
      <c r="H34" s="106"/>
      <c r="I34" s="92"/>
      <c r="J34" s="106"/>
      <c r="K34" s="92"/>
      <c r="L34" s="106"/>
      <c r="M34" s="92"/>
      <c r="N34" s="92"/>
      <c r="O34"/>
      <c r="P34"/>
    </row>
    <row r="35" spans="1:16">
      <c r="B35" s="90"/>
      <c r="C35" s="92"/>
      <c r="D35" s="92"/>
      <c r="E35" s="92"/>
      <c r="F35" s="92"/>
      <c r="G35" s="92"/>
      <c r="H35" s="106"/>
      <c r="I35" s="92"/>
      <c r="J35" s="106"/>
      <c r="K35" s="92"/>
      <c r="L35" s="106"/>
      <c r="M35" s="92"/>
      <c r="N35" s="92"/>
      <c r="O35"/>
      <c r="P35"/>
    </row>
    <row r="36" spans="1:16">
      <c r="A36" s="647" t="s">
        <v>392</v>
      </c>
      <c r="C36" s="90"/>
      <c r="D36" s="92"/>
      <c r="E36" s="591"/>
      <c r="F36" s="92"/>
      <c r="G36" s="92"/>
      <c r="H36" s="108"/>
      <c r="I36" s="92"/>
      <c r="J36" s="108"/>
      <c r="K36" s="92"/>
      <c r="L36" s="108"/>
      <c r="M36" s="92"/>
      <c r="N36" s="92"/>
      <c r="O36"/>
      <c r="P36"/>
    </row>
    <row r="37" spans="1:16">
      <c r="A37" s="92" t="s">
        <v>1595</v>
      </c>
      <c r="C37" s="92"/>
      <c r="D37" s="92"/>
      <c r="E37" s="92"/>
      <c r="F37" s="92"/>
      <c r="G37" s="92"/>
      <c r="H37" s="106"/>
      <c r="I37" s="92"/>
      <c r="J37" s="106"/>
      <c r="K37" s="92"/>
      <c r="L37" s="106"/>
      <c r="M37" s="92"/>
      <c r="N37" s="92"/>
      <c r="O37"/>
      <c r="P37"/>
    </row>
    <row r="38" spans="1:16">
      <c r="A38" s="92" t="s">
        <v>1596</v>
      </c>
      <c r="C38" s="92"/>
      <c r="D38" s="92"/>
      <c r="E38" s="92"/>
      <c r="F38" s="92"/>
      <c r="G38" s="92"/>
      <c r="H38" s="106"/>
      <c r="I38" s="92"/>
      <c r="J38" s="106"/>
      <c r="K38" s="92"/>
      <c r="L38" s="106"/>
      <c r="M38" s="92"/>
      <c r="N38" s="92"/>
      <c r="O38"/>
      <c r="P38"/>
    </row>
    <row r="39" spans="1:16">
      <c r="A39" s="92" t="s">
        <v>1597</v>
      </c>
      <c r="C39" s="92"/>
      <c r="D39" s="92"/>
      <c r="E39" s="92"/>
      <c r="F39" s="92"/>
      <c r="G39" s="92"/>
      <c r="H39" s="92"/>
      <c r="I39" s="55"/>
      <c r="J39" s="92"/>
      <c r="K39" s="92"/>
      <c r="L39" s="92"/>
      <c r="M39" s="92"/>
      <c r="N39" s="92"/>
      <c r="O39"/>
      <c r="P39"/>
    </row>
    <row r="40" spans="1:16">
      <c r="A40" s="92" t="s">
        <v>1598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/>
      <c r="P40"/>
    </row>
    <row r="41" spans="1:16">
      <c r="A41" s="92" t="s">
        <v>1599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/>
      <c r="P41"/>
    </row>
    <row r="42" spans="1:16">
      <c r="A42" s="92" t="s">
        <v>1600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/>
      <c r="P42"/>
    </row>
    <row r="43" spans="1:16">
      <c r="A43" s="1" t="s">
        <v>1642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/>
      <c r="P43"/>
    </row>
    <row r="44" spans="1:16"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792"/>
      <c r="P44" s="792"/>
    </row>
    <row r="45" spans="1:16">
      <c r="A45" s="235" t="s">
        <v>393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/>
      <c r="P45"/>
    </row>
    <row r="46" spans="1:16">
      <c r="A46" s="92" t="s">
        <v>1643</v>
      </c>
      <c r="B46"/>
      <c r="C46"/>
      <c r="D46"/>
      <c r="E46"/>
      <c r="F46"/>
      <c r="G46" s="792"/>
      <c r="H46"/>
      <c r="I46"/>
      <c r="J46"/>
      <c r="K46"/>
      <c r="L46"/>
      <c r="M46"/>
      <c r="N46"/>
      <c r="O46"/>
      <c r="P46"/>
    </row>
    <row r="47" spans="1:16">
      <c r="B47"/>
      <c r="C47"/>
      <c r="D47"/>
      <c r="E47"/>
      <c r="F47"/>
      <c r="G47" s="792"/>
      <c r="H47"/>
      <c r="I47"/>
      <c r="J47"/>
      <c r="K47"/>
      <c r="L47"/>
      <c r="M47"/>
      <c r="N47"/>
      <c r="O47"/>
      <c r="P47"/>
    </row>
    <row r="48" spans="1:16">
      <c r="A48" t="s">
        <v>1237</v>
      </c>
      <c r="B48"/>
      <c r="D48"/>
      <c r="E48"/>
      <c r="F48"/>
      <c r="G48" s="792"/>
      <c r="H48"/>
      <c r="I48"/>
      <c r="J48"/>
      <c r="K48"/>
      <c r="L48"/>
      <c r="M48"/>
      <c r="N48"/>
      <c r="O48"/>
      <c r="P48"/>
    </row>
    <row r="49" spans="1:16">
      <c r="A49" s="702" t="s">
        <v>1678</v>
      </c>
      <c r="B49" s="80"/>
      <c r="C49" s="81"/>
      <c r="D49" s="80"/>
      <c r="E49" s="80"/>
      <c r="F49" s="80"/>
      <c r="G49" s="80"/>
      <c r="H49" s="80"/>
      <c r="I49"/>
      <c r="J49"/>
      <c r="K49"/>
      <c r="L49" s="591"/>
      <c r="M49"/>
      <c r="N49"/>
      <c r="O49"/>
      <c r="P49"/>
    </row>
    <row r="50" spans="1:16">
      <c r="A50"/>
      <c r="B50"/>
      <c r="C50" s="641"/>
      <c r="D50"/>
      <c r="E50"/>
      <c r="F50"/>
      <c r="G50" s="792"/>
      <c r="H50"/>
      <c r="I50"/>
      <c r="J50"/>
      <c r="K50"/>
      <c r="L50"/>
      <c r="M50"/>
      <c r="N50"/>
      <c r="O50"/>
      <c r="P50"/>
    </row>
    <row r="51" spans="1:16">
      <c r="A51"/>
      <c r="B51"/>
      <c r="C51"/>
      <c r="D51"/>
      <c r="E51"/>
      <c r="F51"/>
      <c r="G51" s="792"/>
      <c r="H51"/>
      <c r="I51"/>
      <c r="J51"/>
      <c r="K51"/>
      <c r="L51"/>
      <c r="M51"/>
      <c r="N51"/>
      <c r="O51"/>
      <c r="P51"/>
    </row>
    <row r="52" spans="1:16">
      <c r="A52"/>
      <c r="B52"/>
      <c r="C52"/>
      <c r="D52"/>
      <c r="E52"/>
      <c r="F52"/>
      <c r="G52" s="792"/>
      <c r="H52"/>
      <c r="I52"/>
      <c r="J52"/>
      <c r="K52"/>
      <c r="L52"/>
      <c r="M52"/>
      <c r="N52"/>
      <c r="O52"/>
      <c r="P52"/>
    </row>
    <row r="53" spans="1:16">
      <c r="A53"/>
      <c r="B53"/>
      <c r="C53"/>
      <c r="D53"/>
      <c r="E53"/>
      <c r="F53"/>
      <c r="G53" s="792"/>
      <c r="H53"/>
      <c r="I53"/>
      <c r="J53"/>
      <c r="K53"/>
      <c r="L53"/>
      <c r="M53"/>
      <c r="N53"/>
      <c r="O53"/>
      <c r="P53"/>
    </row>
    <row r="54" spans="1:16">
      <c r="A54"/>
      <c r="B54"/>
      <c r="C54"/>
      <c r="D54"/>
      <c r="E54"/>
      <c r="F54"/>
      <c r="G54" s="792"/>
      <c r="H54"/>
      <c r="I54"/>
      <c r="J54"/>
      <c r="K54"/>
      <c r="L54"/>
      <c r="M54"/>
      <c r="N54"/>
      <c r="O54"/>
      <c r="P54"/>
    </row>
    <row r="55" spans="1:16">
      <c r="A55"/>
      <c r="B55"/>
      <c r="C55"/>
      <c r="D55"/>
      <c r="E55"/>
      <c r="F55"/>
      <c r="G55" s="792"/>
      <c r="H55"/>
      <c r="I55"/>
      <c r="J55"/>
      <c r="K55"/>
      <c r="L55"/>
      <c r="M55"/>
      <c r="N55"/>
      <c r="O55"/>
      <c r="P55"/>
    </row>
    <row r="56" spans="1:16">
      <c r="A56"/>
      <c r="B56"/>
      <c r="C56"/>
      <c r="D56"/>
      <c r="E56"/>
      <c r="F56"/>
      <c r="G56" s="792"/>
      <c r="H56"/>
      <c r="I56"/>
      <c r="J56"/>
      <c r="K56"/>
      <c r="L56"/>
      <c r="M56"/>
      <c r="N56"/>
      <c r="O56"/>
      <c r="P56"/>
    </row>
    <row r="57" spans="1:16">
      <c r="A57"/>
      <c r="B57"/>
      <c r="C57"/>
      <c r="D57"/>
      <c r="E57"/>
      <c r="F57"/>
      <c r="G57" s="792"/>
      <c r="H57"/>
      <c r="I57"/>
      <c r="J57"/>
      <c r="K57"/>
      <c r="L57"/>
      <c r="M57"/>
      <c r="N57"/>
      <c r="O57"/>
      <c r="P57"/>
    </row>
    <row r="58" spans="1:16">
      <c r="A58"/>
      <c r="B58"/>
      <c r="C58"/>
      <c r="D58"/>
      <c r="E58"/>
      <c r="F58"/>
      <c r="G58" s="792"/>
      <c r="H58"/>
      <c r="I58"/>
      <c r="J58"/>
      <c r="K58"/>
      <c r="L58"/>
      <c r="M58"/>
      <c r="N58"/>
      <c r="O58"/>
      <c r="P58"/>
    </row>
    <row r="59" spans="1:16">
      <c r="A59"/>
      <c r="B59"/>
      <c r="C59"/>
      <c r="D59"/>
      <c r="E59"/>
      <c r="F59"/>
      <c r="G59" s="792"/>
      <c r="H59"/>
      <c r="I59"/>
      <c r="J59"/>
      <c r="K59"/>
      <c r="L59"/>
      <c r="M59"/>
      <c r="N59"/>
      <c r="O59"/>
      <c r="P59"/>
    </row>
    <row r="60" spans="1:16">
      <c r="A60"/>
      <c r="B60"/>
      <c r="C60"/>
      <c r="D60"/>
      <c r="E60"/>
      <c r="F60"/>
      <c r="G60" s="792"/>
      <c r="H60"/>
      <c r="I60"/>
      <c r="J60"/>
      <c r="K60"/>
      <c r="L60"/>
      <c r="M60"/>
      <c r="N60"/>
      <c r="O60"/>
      <c r="P60"/>
    </row>
    <row r="61" spans="1:16">
      <c r="A61"/>
      <c r="B61"/>
      <c r="C61"/>
      <c r="D61"/>
      <c r="E61"/>
      <c r="F61"/>
      <c r="G61" s="792"/>
      <c r="H61"/>
      <c r="I61"/>
      <c r="J61"/>
      <c r="K61"/>
      <c r="L61"/>
      <c r="M61"/>
      <c r="N61"/>
      <c r="O61"/>
      <c r="P61"/>
    </row>
    <row r="62" spans="1:16">
      <c r="A62"/>
      <c r="B62"/>
      <c r="C62"/>
      <c r="D62"/>
      <c r="E62"/>
      <c r="F62"/>
      <c r="G62" s="792"/>
      <c r="H62"/>
      <c r="I62"/>
      <c r="J62"/>
      <c r="K62"/>
      <c r="L62"/>
      <c r="M62"/>
      <c r="N62"/>
      <c r="O62"/>
      <c r="P62"/>
    </row>
    <row r="63" spans="1:16">
      <c r="A63"/>
      <c r="B63"/>
      <c r="C63"/>
      <c r="D63"/>
      <c r="E63"/>
      <c r="F63"/>
      <c r="G63" s="792"/>
      <c r="H63"/>
      <c r="I63"/>
      <c r="J63"/>
      <c r="K63"/>
      <c r="L63"/>
      <c r="M63"/>
      <c r="N63"/>
      <c r="O63"/>
      <c r="P63"/>
    </row>
    <row r="64" spans="1:16">
      <c r="A64"/>
      <c r="B64"/>
      <c r="C64"/>
      <c r="D64"/>
      <c r="E64"/>
      <c r="F64"/>
      <c r="G64" s="792"/>
      <c r="H64"/>
      <c r="I64"/>
      <c r="J64"/>
      <c r="K64"/>
      <c r="L64"/>
      <c r="M64"/>
      <c r="N64"/>
      <c r="O64"/>
      <c r="P64"/>
    </row>
    <row r="65" spans="1:16">
      <c r="A65"/>
      <c r="B65"/>
      <c r="C65"/>
      <c r="D65"/>
      <c r="E65"/>
      <c r="F65"/>
      <c r="G65" s="792"/>
      <c r="H65"/>
      <c r="I65"/>
      <c r="J65"/>
      <c r="K65"/>
      <c r="L65"/>
      <c r="M65"/>
      <c r="N65"/>
      <c r="O65"/>
      <c r="P65"/>
    </row>
    <row r="66" spans="1:16">
      <c r="A66"/>
      <c r="B66"/>
      <c r="C66"/>
      <c r="D66"/>
      <c r="E66"/>
      <c r="F66"/>
      <c r="G66" s="792"/>
      <c r="H66"/>
      <c r="I66"/>
      <c r="J66"/>
      <c r="K66"/>
      <c r="L66"/>
      <c r="M66"/>
      <c r="N66"/>
      <c r="O66"/>
      <c r="P66"/>
    </row>
  </sheetData>
  <phoneticPr fontId="23" type="noConversion"/>
  <printOptions horizontalCentered="1"/>
  <pageMargins left="0.5" right="0.5" top="0.75" bottom="0.52" header="0.25" footer="0.25"/>
  <pageSetup scale="74" orientation="landscape" verticalDpi="300" r:id="rId1"/>
  <headerFooter alignWithMargins="0">
    <oddFooter>&amp;RSchedule &amp;A
Page &amp;P of &amp;N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G44"/>
  <sheetViews>
    <sheetView view="pageBreakPreview" zoomScale="80" zoomScaleNormal="100" zoomScaleSheetLayoutView="80" workbookViewId="0">
      <selection activeCell="N43" sqref="N43"/>
    </sheetView>
  </sheetViews>
  <sheetFormatPr defaultColWidth="9.6640625" defaultRowHeight="15"/>
  <cols>
    <col min="1" max="1" width="9.6640625" style="1"/>
    <col min="2" max="2" width="34.77734375" style="1" customWidth="1"/>
    <col min="3" max="3" width="6.77734375" style="1" customWidth="1"/>
    <col min="4" max="4" width="15.88671875" style="1" customWidth="1"/>
    <col min="5" max="5" width="15.77734375" style="1" customWidth="1"/>
    <col min="6" max="16384" width="9.6640625" style="1"/>
  </cols>
  <sheetData>
    <row r="1" spans="1:7">
      <c r="A1" s="1203" t="str">
        <f>'Table of Contents'!A1:C1</f>
        <v>Atmos Energy Corporation, Kentucky/Mid-States Division</v>
      </c>
      <c r="B1" s="1203"/>
      <c r="C1" s="1203"/>
      <c r="D1" s="1203"/>
      <c r="E1" s="1203"/>
    </row>
    <row r="2" spans="1:7">
      <c r="A2" s="1203" t="str">
        <f>'Table of Contents'!A2:C2</f>
        <v>Kentucky Jurisdiction Case No. 2018-00281</v>
      </c>
      <c r="B2" s="1203"/>
      <c r="C2" s="1203"/>
      <c r="D2" s="1203"/>
      <c r="E2" s="1203"/>
    </row>
    <row r="3" spans="1:7">
      <c r="A3" s="1203" t="s">
        <v>611</v>
      </c>
      <c r="B3" s="1203"/>
      <c r="C3" s="1203"/>
      <c r="D3" s="1203"/>
      <c r="E3" s="1203"/>
    </row>
    <row r="4" spans="1:7">
      <c r="A4" s="1203" t="str">
        <f>'Table of Contents'!A3:C3</f>
        <v>Base Period: Twelve Months Ended December 31, 2018</v>
      </c>
      <c r="B4" s="1203"/>
      <c r="C4" s="1203"/>
      <c r="D4" s="1203"/>
      <c r="E4" s="1203"/>
    </row>
    <row r="5" spans="1:7">
      <c r="A5" s="1203" t="str">
        <f>'Table of Contents'!A4:C4</f>
        <v>Forecasted Test Period: Twelve Months Ended March 31, 2020</v>
      </c>
      <c r="B5" s="1203"/>
      <c r="C5" s="1203"/>
      <c r="D5" s="1203"/>
      <c r="E5" s="1203"/>
    </row>
    <row r="6" spans="1:7">
      <c r="A6" s="169"/>
      <c r="B6" s="169"/>
      <c r="C6" s="169"/>
      <c r="D6" s="169"/>
      <c r="E6" s="169"/>
      <c r="G6" s="793"/>
    </row>
    <row r="8" spans="1:7">
      <c r="A8" s="4" t="s">
        <v>198</v>
      </c>
      <c r="E8" s="375" t="s">
        <v>1409</v>
      </c>
    </row>
    <row r="9" spans="1:7">
      <c r="A9" s="66" t="s">
        <v>615</v>
      </c>
      <c r="E9" s="488" t="s">
        <v>35</v>
      </c>
    </row>
    <row r="10" spans="1:7">
      <c r="A10" s="5" t="s">
        <v>426</v>
      </c>
      <c r="B10" s="6"/>
      <c r="C10" s="6"/>
      <c r="D10" s="6"/>
      <c r="E10" s="549" t="s">
        <v>1304</v>
      </c>
    </row>
    <row r="12" spans="1:7" ht="15.75">
      <c r="D12" s="299" t="s">
        <v>1127</v>
      </c>
      <c r="E12" s="299" t="s">
        <v>128</v>
      </c>
    </row>
    <row r="13" spans="1:7">
      <c r="D13" s="2" t="s">
        <v>893</v>
      </c>
      <c r="E13" s="2" t="s">
        <v>893</v>
      </c>
    </row>
    <row r="14" spans="1:7">
      <c r="A14" s="2" t="s">
        <v>93</v>
      </c>
      <c r="D14" s="2" t="s">
        <v>894</v>
      </c>
      <c r="E14" s="2" t="s">
        <v>894</v>
      </c>
    </row>
    <row r="15" spans="1:7">
      <c r="A15" s="32" t="s">
        <v>99</v>
      </c>
      <c r="B15" s="409" t="s">
        <v>985</v>
      </c>
      <c r="C15" s="33"/>
      <c r="D15" s="32" t="s">
        <v>125</v>
      </c>
      <c r="E15" s="32" t="s">
        <v>125</v>
      </c>
    </row>
    <row r="17" spans="1:7">
      <c r="A17" s="2" t="s">
        <v>366</v>
      </c>
      <c r="B17" s="4" t="s">
        <v>738</v>
      </c>
      <c r="D17" s="24">
        <v>1</v>
      </c>
      <c r="E17" s="24">
        <v>1</v>
      </c>
    </row>
    <row r="19" spans="1:7">
      <c r="A19" s="2" t="s">
        <v>368</v>
      </c>
      <c r="B19" s="4" t="s">
        <v>895</v>
      </c>
      <c r="D19" s="575">
        <v>5.0000000000000001E-3</v>
      </c>
      <c r="E19" s="575">
        <v>5.0000000000000001E-3</v>
      </c>
    </row>
    <row r="21" spans="1:7">
      <c r="A21" s="2" t="s">
        <v>370</v>
      </c>
      <c r="B21" s="4" t="s">
        <v>896</v>
      </c>
      <c r="D21" s="1160">
        <v>2E-3</v>
      </c>
      <c r="E21" s="1160">
        <v>2E-3</v>
      </c>
      <c r="G21" s="793"/>
    </row>
    <row r="23" spans="1:7">
      <c r="A23" s="2" t="s">
        <v>371</v>
      </c>
      <c r="B23" s="4" t="s">
        <v>897</v>
      </c>
      <c r="D23" s="24">
        <f>D17-D19-D21</f>
        <v>0.99299999999999999</v>
      </c>
      <c r="E23" s="24">
        <f>E17-E19-E21</f>
        <v>0.99299999999999999</v>
      </c>
    </row>
    <row r="25" spans="1:7">
      <c r="A25" s="2" t="s">
        <v>372</v>
      </c>
      <c r="B25" s="4" t="s">
        <v>254</v>
      </c>
      <c r="C25" s="67">
        <v>0.05</v>
      </c>
      <c r="D25" s="25">
        <f>ROUND(D23*C25,8)</f>
        <v>4.965E-2</v>
      </c>
      <c r="E25" s="25">
        <f>ROUND(E23*C25,8)</f>
        <v>4.965E-2</v>
      </c>
    </row>
    <row r="27" spans="1:7">
      <c r="A27" s="2" t="s">
        <v>373</v>
      </c>
      <c r="B27" s="4" t="s">
        <v>898</v>
      </c>
      <c r="D27" s="24">
        <f>(D23-D25)</f>
        <v>0.94335000000000002</v>
      </c>
      <c r="E27" s="24">
        <f>(E23-E25)</f>
        <v>0.94335000000000002</v>
      </c>
    </row>
    <row r="29" spans="1:7">
      <c r="A29" s="2" t="s">
        <v>374</v>
      </c>
      <c r="B29" s="66" t="s">
        <v>169</v>
      </c>
      <c r="C29" s="68">
        <v>0.21</v>
      </c>
      <c r="D29" s="69">
        <f>ROUND(D27*C29,6)</f>
        <v>0.198104</v>
      </c>
      <c r="E29" s="69">
        <f>ROUND(E27*C29,6)</f>
        <v>0.198104</v>
      </c>
    </row>
    <row r="31" spans="1:7">
      <c r="A31" s="2" t="s">
        <v>376</v>
      </c>
      <c r="B31" s="4" t="s">
        <v>386</v>
      </c>
      <c r="D31" s="24">
        <f>D27-D29</f>
        <v>0.74524600000000008</v>
      </c>
      <c r="E31" s="24">
        <f>E27-E29</f>
        <v>0.74524600000000008</v>
      </c>
    </row>
    <row r="33" spans="1:5">
      <c r="A33" s="2" t="s">
        <v>377</v>
      </c>
      <c r="B33" s="4" t="s">
        <v>126</v>
      </c>
    </row>
    <row r="34" spans="1:5">
      <c r="A34" s="2" t="s">
        <v>378</v>
      </c>
      <c r="B34" s="4" t="s">
        <v>899</v>
      </c>
      <c r="D34" s="410">
        <f>ROUND(1/$D$31,6)</f>
        <v>1.341839</v>
      </c>
      <c r="E34" s="410">
        <f>ROUND(1/$E$31,6)</f>
        <v>1.341839</v>
      </c>
    </row>
    <row r="37" spans="1:5">
      <c r="B37" s="4"/>
    </row>
    <row r="44" spans="1:5">
      <c r="A44" s="4" t="s">
        <v>563</v>
      </c>
    </row>
  </sheetData>
  <mergeCells count="5">
    <mergeCell ref="A5:E5"/>
    <mergeCell ref="A1:E1"/>
    <mergeCell ref="A2:E2"/>
    <mergeCell ref="A3:E3"/>
    <mergeCell ref="A4:E4"/>
  </mergeCells>
  <phoneticPr fontId="23" type="noConversion"/>
  <pageMargins left="0.83" right="0.5" top="1.0900000000000001" bottom="0.5" header="0.5" footer="0.5"/>
  <pageSetup scale="92" orientation="portrait" verticalDpi="300" r:id="rId1"/>
  <headerFooter alignWithMargins="0">
    <oddFooter>&amp;RSchedule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0">
    <pageSetUpPr fitToPage="1"/>
  </sheetPr>
  <dimension ref="A1:M32"/>
  <sheetViews>
    <sheetView view="pageBreakPreview" zoomScale="90" zoomScaleNormal="100" zoomScaleSheetLayoutView="90" workbookViewId="0">
      <selection activeCell="B29" sqref="B29"/>
    </sheetView>
  </sheetViews>
  <sheetFormatPr defaultColWidth="8" defaultRowHeight="15"/>
  <cols>
    <col min="1" max="1" width="8" style="1" customWidth="1"/>
    <col min="2" max="2" width="45.88671875" style="1" customWidth="1"/>
    <col min="3" max="3" width="14.33203125" style="1" customWidth="1"/>
    <col min="4" max="4" width="25.77734375" style="1" customWidth="1"/>
    <col min="5" max="5" width="4.77734375" style="1" customWidth="1"/>
    <col min="6" max="6" width="26.77734375" style="1" customWidth="1"/>
    <col min="7" max="7" width="5.77734375" style="1" customWidth="1"/>
    <col min="8" max="8" width="4.44140625" style="1" customWidth="1"/>
    <col min="9" max="9" width="13.109375" style="1" bestFit="1" customWidth="1"/>
    <col min="10" max="10" width="2.44140625" style="1" customWidth="1"/>
    <col min="11" max="11" width="13.109375" style="1" bestFit="1" customWidth="1"/>
    <col min="12" max="12" width="5.5546875" style="1" customWidth="1"/>
    <col min="13" max="13" width="11" style="1" bestFit="1" customWidth="1"/>
    <col min="14" max="14" width="2.21875" style="1" customWidth="1"/>
    <col min="15" max="15" width="11" style="1" bestFit="1" customWidth="1"/>
    <col min="16" max="16384" width="8" style="1"/>
  </cols>
  <sheetData>
    <row r="1" spans="1:13">
      <c r="A1" s="167" t="str">
        <f>'Table of Contents'!A1:C1</f>
        <v>Atmos Energy Corporation, Kentucky/Mid-States Division</v>
      </c>
      <c r="B1" s="30"/>
      <c r="C1" s="30"/>
      <c r="D1" s="30"/>
      <c r="E1" s="30"/>
      <c r="F1" s="30"/>
    </row>
    <row r="2" spans="1:13">
      <c r="A2" s="167" t="str">
        <f>'Table of Contents'!A2:C2</f>
        <v>Kentucky Jurisdiction Case No. 2018-00281</v>
      </c>
      <c r="B2" s="30"/>
      <c r="C2" s="30"/>
      <c r="D2" s="30"/>
      <c r="E2" s="30"/>
      <c r="F2" s="30"/>
    </row>
    <row r="3" spans="1:13">
      <c r="A3" s="31" t="s">
        <v>1110</v>
      </c>
      <c r="B3" s="30"/>
      <c r="C3" s="30"/>
      <c r="D3" s="30"/>
      <c r="E3" s="30"/>
      <c r="F3" s="30"/>
    </row>
    <row r="4" spans="1:13">
      <c r="A4" s="31" t="s">
        <v>1615</v>
      </c>
      <c r="B4" s="30"/>
      <c r="C4" s="30"/>
      <c r="D4" s="30"/>
      <c r="E4" s="30"/>
      <c r="F4" s="30"/>
    </row>
    <row r="6" spans="1:13">
      <c r="A6" s="4" t="s">
        <v>148</v>
      </c>
      <c r="F6" s="1" t="s">
        <v>1414</v>
      </c>
      <c r="H6" s="665"/>
      <c r="I6" s="665"/>
      <c r="J6" s="665"/>
      <c r="K6" s="665"/>
      <c r="L6" s="665"/>
    </row>
    <row r="7" spans="1:13">
      <c r="A7" s="4" t="str">
        <f>A.1!A8</f>
        <v>Type of Filing:___X____Original________Updated ________Revised</v>
      </c>
      <c r="F7" s="4" t="s">
        <v>746</v>
      </c>
      <c r="H7" s="665"/>
      <c r="I7" s="665"/>
      <c r="J7" s="665"/>
      <c r="K7" s="665"/>
      <c r="L7" s="665"/>
    </row>
    <row r="8" spans="1:13">
      <c r="A8" s="5" t="s">
        <v>426</v>
      </c>
      <c r="B8" s="6"/>
      <c r="C8" s="6"/>
      <c r="D8" s="6"/>
      <c r="E8" s="33"/>
      <c r="F8" s="5" t="str">
        <f>'B.1 B'!F8</f>
        <v>Witness:   Waller, Christian, Story</v>
      </c>
      <c r="H8" s="665"/>
      <c r="I8" s="665"/>
      <c r="J8" s="665"/>
      <c r="K8" s="665"/>
      <c r="L8" s="665"/>
    </row>
    <row r="9" spans="1:13">
      <c r="F9" s="2"/>
      <c r="H9" s="665"/>
      <c r="I9" s="665"/>
      <c r="J9" s="665"/>
      <c r="K9" s="665"/>
      <c r="L9" s="665"/>
    </row>
    <row r="10" spans="1:13">
      <c r="C10" s="2" t="s">
        <v>1185</v>
      </c>
      <c r="D10" s="2" t="s">
        <v>43</v>
      </c>
      <c r="F10" s="2" t="s">
        <v>43</v>
      </c>
      <c r="H10" s="665"/>
      <c r="I10" s="726"/>
      <c r="J10" s="665"/>
      <c r="K10" s="665"/>
      <c r="L10" s="665"/>
      <c r="M10" s="665"/>
    </row>
    <row r="11" spans="1:13">
      <c r="A11" s="2" t="s">
        <v>93</v>
      </c>
      <c r="C11" s="2" t="s">
        <v>58</v>
      </c>
      <c r="D11" s="2" t="s">
        <v>316</v>
      </c>
      <c r="F11" s="2" t="s">
        <v>316</v>
      </c>
      <c r="H11" s="665"/>
      <c r="I11" s="665"/>
      <c r="J11" s="665"/>
      <c r="K11" s="665"/>
      <c r="L11" s="665"/>
      <c r="M11" s="665"/>
    </row>
    <row r="12" spans="1:13">
      <c r="A12" s="9" t="s">
        <v>99</v>
      </c>
      <c r="B12" s="5" t="s">
        <v>1188</v>
      </c>
      <c r="C12" s="9" t="s">
        <v>101</v>
      </c>
      <c r="D12" s="9" t="s">
        <v>317</v>
      </c>
      <c r="E12" s="6"/>
      <c r="F12" s="9" t="s">
        <v>512</v>
      </c>
      <c r="H12" s="665"/>
      <c r="I12" s="726"/>
      <c r="J12" s="665"/>
      <c r="K12" s="665"/>
      <c r="L12" s="665"/>
      <c r="M12" s="665"/>
    </row>
    <row r="13" spans="1:13">
      <c r="D13" s="2"/>
      <c r="F13" s="2"/>
      <c r="H13" s="665"/>
      <c r="I13" s="726"/>
      <c r="J13" s="665"/>
      <c r="K13" s="665"/>
      <c r="L13" s="665"/>
      <c r="M13" s="665"/>
    </row>
    <row r="14" spans="1:13">
      <c r="H14" s="665"/>
      <c r="I14" s="726"/>
      <c r="J14" s="665"/>
      <c r="K14" s="665"/>
      <c r="L14" s="665"/>
      <c r="M14" s="665"/>
    </row>
    <row r="15" spans="1:13">
      <c r="A15" s="2">
        <v>1</v>
      </c>
      <c r="B15" s="4" t="s">
        <v>167</v>
      </c>
      <c r="C15" s="2" t="s">
        <v>692</v>
      </c>
      <c r="D15" s="306">
        <f>'B.2 F'!I266</f>
        <v>763121142.80906141</v>
      </c>
      <c r="E15" s="73"/>
      <c r="F15" s="306">
        <f>'B.2 F'!N266</f>
        <v>724669367.01538217</v>
      </c>
      <c r="G15" s="81"/>
      <c r="H15" s="727"/>
      <c r="I15" s="726"/>
      <c r="J15" s="665"/>
      <c r="K15" s="665"/>
      <c r="L15" s="665"/>
      <c r="M15" s="665"/>
    </row>
    <row r="16" spans="1:13">
      <c r="A16" s="2">
        <f>A15+1</f>
        <v>2</v>
      </c>
      <c r="B16" s="4" t="s">
        <v>491</v>
      </c>
      <c r="C16" s="2" t="s">
        <v>692</v>
      </c>
      <c r="D16" s="73">
        <f>'B.2 F'!I268</f>
        <v>39130198.175474182</v>
      </c>
      <c r="E16" s="73"/>
      <c r="F16" s="73">
        <f>'B.2 F'!N268</f>
        <v>39130198.175474182</v>
      </c>
      <c r="G16" s="81"/>
      <c r="H16" s="727"/>
      <c r="I16" s="726"/>
      <c r="J16" s="665"/>
      <c r="K16" s="665"/>
      <c r="L16" s="665"/>
      <c r="M16" s="665"/>
    </row>
    <row r="17" spans="1:13">
      <c r="A17" s="2">
        <f>A16+1</f>
        <v>3</v>
      </c>
      <c r="B17" s="4" t="s">
        <v>529</v>
      </c>
      <c r="C17" s="2" t="s">
        <v>693</v>
      </c>
      <c r="D17" s="85">
        <f>-'B.3 F'!I266</f>
        <v>-199412545.12952575</v>
      </c>
      <c r="E17" s="73"/>
      <c r="F17" s="85">
        <f>-'B.3 F'!N266</f>
        <v>-194453458.71969739</v>
      </c>
      <c r="G17" s="81"/>
      <c r="H17" s="727"/>
      <c r="I17" s="726"/>
      <c r="J17" s="665"/>
      <c r="K17" s="665"/>
      <c r="L17" s="665"/>
      <c r="M17" s="665"/>
    </row>
    <row r="18" spans="1:13">
      <c r="A18" s="721"/>
      <c r="B18" s="4"/>
      <c r="C18" s="721"/>
      <c r="D18" s="77"/>
      <c r="E18" s="73"/>
      <c r="F18" s="77"/>
      <c r="G18" s="81"/>
      <c r="H18" s="727"/>
      <c r="I18" s="726"/>
      <c r="J18" s="665"/>
      <c r="K18" s="665"/>
      <c r="L18" s="665"/>
      <c r="M18" s="665"/>
    </row>
    <row r="19" spans="1:13">
      <c r="A19" s="2">
        <f>+A17+1</f>
        <v>4</v>
      </c>
      <c r="B19" s="4" t="s">
        <v>158</v>
      </c>
      <c r="D19" s="306">
        <f>SUM(D15:D17)</f>
        <v>602838795.85500979</v>
      </c>
      <c r="E19" s="73"/>
      <c r="F19" s="306">
        <f>SUM(F15:F17)</f>
        <v>569346106.47115898</v>
      </c>
      <c r="G19" s="81"/>
      <c r="H19" s="727"/>
      <c r="I19" s="726"/>
      <c r="J19" s="665"/>
      <c r="K19" s="665"/>
      <c r="L19" s="665"/>
      <c r="M19" s="665"/>
    </row>
    <row r="20" spans="1:13">
      <c r="A20" s="2"/>
      <c r="B20" s="4"/>
      <c r="D20" s="73"/>
      <c r="E20" s="73"/>
      <c r="F20" s="73"/>
      <c r="G20" s="81"/>
      <c r="H20" s="727"/>
      <c r="I20" s="726"/>
      <c r="J20" s="665"/>
      <c r="K20" s="665"/>
      <c r="L20" s="665"/>
      <c r="M20" s="665"/>
    </row>
    <row r="21" spans="1:13">
      <c r="A21" s="2">
        <f>A19+1</f>
        <v>5</v>
      </c>
      <c r="B21" s="4" t="s">
        <v>786</v>
      </c>
      <c r="C21" s="2" t="s">
        <v>694</v>
      </c>
      <c r="D21" s="306">
        <f>+'B.4 F'!E14</f>
        <v>2692758.7072114237</v>
      </c>
      <c r="E21" s="73"/>
      <c r="F21" s="306">
        <f>D21</f>
        <v>2692758.7072114237</v>
      </c>
      <c r="G21" s="81"/>
      <c r="H21" s="727"/>
      <c r="I21" s="726"/>
      <c r="J21" s="665"/>
      <c r="K21" s="665"/>
      <c r="L21" s="665"/>
      <c r="M21" s="665"/>
    </row>
    <row r="22" spans="1:13">
      <c r="A22" s="2">
        <f>+A21+1</f>
        <v>6</v>
      </c>
      <c r="B22" s="4" t="s">
        <v>1058</v>
      </c>
      <c r="C22" s="2" t="s">
        <v>695</v>
      </c>
      <c r="D22" s="356">
        <f>+'B.4.1 F'!F37</f>
        <v>-1652038.1361116788</v>
      </c>
      <c r="E22" s="356"/>
      <c r="F22" s="356">
        <f>+'B.4.1 F'!K37</f>
        <v>9023857.3767245095</v>
      </c>
      <c r="G22" s="81"/>
      <c r="H22" s="727"/>
      <c r="I22" s="726"/>
      <c r="J22" s="665"/>
      <c r="K22" s="665"/>
      <c r="L22" s="665"/>
      <c r="M22" s="665"/>
    </row>
    <row r="23" spans="1:13">
      <c r="A23" s="2">
        <f>+A22+1</f>
        <v>7</v>
      </c>
      <c r="B23" s="4" t="s">
        <v>633</v>
      </c>
      <c r="C23" s="2" t="s">
        <v>696</v>
      </c>
      <c r="D23" s="356">
        <f>'B.6 F'!G24</f>
        <v>-747234.09333333327</v>
      </c>
      <c r="E23" s="356"/>
      <c r="F23" s="356">
        <f>'B.6 F'!L24</f>
        <v>-747234.0933333335</v>
      </c>
      <c r="G23" s="81"/>
      <c r="H23" s="727"/>
      <c r="I23" s="726"/>
      <c r="J23" s="665"/>
      <c r="K23" s="665"/>
      <c r="L23" s="665"/>
      <c r="M23" s="665"/>
    </row>
    <row r="24" spans="1:13">
      <c r="A24" s="802">
        <f t="shared" ref="A24:A25" si="0">+A23+1</f>
        <v>8</v>
      </c>
      <c r="B24" s="4" t="s">
        <v>1609</v>
      </c>
      <c r="C24" s="1147" t="s">
        <v>1610</v>
      </c>
      <c r="D24" s="356">
        <f>F.6!Q38+'WP B.5 F1'!D22</f>
        <v>-32827676.803062864</v>
      </c>
      <c r="E24" s="356"/>
      <c r="F24" s="356">
        <f>F.6!Q39+'WP B.5 F1'!D23</f>
        <v>-33020670.038647436</v>
      </c>
      <c r="G24" s="81"/>
      <c r="H24" s="727"/>
      <c r="I24" s="726"/>
      <c r="J24" s="665"/>
      <c r="K24" s="665"/>
      <c r="L24" s="665"/>
      <c r="M24" s="665"/>
    </row>
    <row r="25" spans="1:13">
      <c r="A25" s="802">
        <f t="shared" si="0"/>
        <v>9</v>
      </c>
      <c r="B25" s="88" t="s">
        <v>1132</v>
      </c>
      <c r="C25" s="117" t="s">
        <v>697</v>
      </c>
      <c r="D25" s="419">
        <f>'B.5 F'!G49</f>
        <v>-54145487.143667147</v>
      </c>
      <c r="E25" s="356" t="s">
        <v>775</v>
      </c>
      <c r="F25" s="419">
        <f>'B.5 F'!L53</f>
        <v>-51326905.475941882</v>
      </c>
      <c r="G25" s="81"/>
      <c r="H25" s="727"/>
      <c r="I25" s="726"/>
      <c r="J25" s="665"/>
      <c r="K25" s="665"/>
      <c r="L25" s="665"/>
      <c r="M25" s="665"/>
    </row>
    <row r="26" spans="1:13">
      <c r="A26" s="2"/>
      <c r="E26" s="81"/>
      <c r="G26" s="81"/>
      <c r="H26" s="727"/>
      <c r="I26" s="726"/>
      <c r="J26" s="665"/>
      <c r="K26" s="665"/>
      <c r="L26" s="665"/>
      <c r="M26" s="665"/>
    </row>
    <row r="27" spans="1:13" ht="15.75" thickBot="1">
      <c r="A27" s="2">
        <f>A25+1</f>
        <v>10</v>
      </c>
      <c r="B27" s="4" t="s">
        <v>159</v>
      </c>
      <c r="D27" s="308">
        <f>SUM(D19:D25)</f>
        <v>516159118.38604599</v>
      </c>
      <c r="E27" s="73"/>
      <c r="F27" s="308">
        <f>SUM(F19:F25)</f>
        <v>495967912.94717216</v>
      </c>
      <c r="G27" s="431"/>
      <c r="H27" s="728"/>
      <c r="I27" s="726"/>
      <c r="J27" s="665"/>
      <c r="K27" s="665"/>
      <c r="L27" s="665"/>
      <c r="M27" s="665"/>
    </row>
    <row r="28" spans="1:13" ht="15.75" thickTop="1">
      <c r="D28" s="10"/>
      <c r="E28" s="73"/>
      <c r="F28" s="10"/>
      <c r="G28" s="81"/>
      <c r="H28" s="727"/>
      <c r="J28" s="667"/>
      <c r="K28" s="665"/>
      <c r="L28" s="665"/>
    </row>
    <row r="29" spans="1:13" ht="33.75">
      <c r="B29" s="840" t="s">
        <v>1492</v>
      </c>
    </row>
    <row r="31" spans="1:13">
      <c r="D31" s="10"/>
      <c r="E31" s="10"/>
      <c r="F31" s="10"/>
    </row>
    <row r="32" spans="1:13">
      <c r="D32" s="10"/>
      <c r="E32" s="10"/>
      <c r="F32" s="10"/>
    </row>
  </sheetData>
  <phoneticPr fontId="23" type="noConversion"/>
  <printOptions horizontalCentered="1"/>
  <pageMargins left="0.72" right="0.79" top="0.74" bottom="0.5" header="0.5" footer="0.5"/>
  <pageSetup scale="80" orientation="landscape" verticalDpi="300" r:id="rId1"/>
  <headerFooter alignWithMargins="0">
    <oddFooter>&amp;RSchedule &amp;A
Page &amp;P of &amp;N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U58"/>
  <sheetViews>
    <sheetView view="pageBreakPreview" zoomScale="70" zoomScaleNormal="80" zoomScaleSheetLayoutView="70" workbookViewId="0">
      <pane xSplit="3" ySplit="13" topLeftCell="D14" activePane="bottomRight" state="frozen"/>
      <selection activeCell="N43" sqref="N43"/>
      <selection pane="topRight" activeCell="N43" sqref="N43"/>
      <selection pane="bottomLeft" activeCell="N43" sqref="N43"/>
      <selection pane="bottomRight" activeCell="N43" sqref="N43"/>
    </sheetView>
  </sheetViews>
  <sheetFormatPr defaultColWidth="7.109375" defaultRowHeight="15"/>
  <cols>
    <col min="1" max="1" width="5.109375" style="103" customWidth="1"/>
    <col min="2" max="2" width="18.109375" style="103" customWidth="1"/>
    <col min="3" max="3" width="5" style="103" customWidth="1"/>
    <col min="4" max="6" width="10.33203125" style="103" customWidth="1"/>
    <col min="7" max="7" width="11.44140625" style="103" bestFit="1" customWidth="1"/>
    <col min="8" max="8" width="10.44140625" style="103" customWidth="1"/>
    <col min="9" max="9" width="1.6640625" style="103" customWidth="1"/>
    <col min="10" max="10" width="10.6640625" style="103" bestFit="1" customWidth="1"/>
    <col min="11" max="11" width="1.109375" style="103" customWidth="1"/>
    <col min="12" max="12" width="10.21875" style="103" customWidth="1"/>
    <col min="13" max="13" width="1.6640625" style="103" customWidth="1"/>
    <col min="14" max="14" width="10.44140625" style="103" bestFit="1" customWidth="1"/>
    <col min="15" max="15" width="8.21875" style="103" customWidth="1"/>
    <col min="16" max="16" width="8.77734375" style="103" customWidth="1"/>
    <col min="17" max="17" width="8.88671875" style="103" bestFit="1" customWidth="1"/>
    <col min="18" max="19" width="8" style="103" bestFit="1" customWidth="1"/>
    <col min="20" max="16384" width="7.109375" style="103"/>
  </cols>
  <sheetData>
    <row r="1" spans="1:21">
      <c r="A1" s="1216" t="str">
        <f>'Table of Contents'!A1:C1</f>
        <v>Atmos Energy Corporation, Kentucky/Mid-States Division</v>
      </c>
      <c r="B1" s="1216"/>
      <c r="C1" s="1216"/>
      <c r="D1" s="1216"/>
      <c r="E1" s="1216"/>
      <c r="F1" s="1216"/>
      <c r="G1" s="1216"/>
      <c r="H1" s="1216"/>
      <c r="I1" s="1216"/>
      <c r="J1" s="1216"/>
      <c r="K1" s="1216"/>
      <c r="L1" s="1216"/>
      <c r="M1" s="1216"/>
      <c r="N1" s="1216"/>
      <c r="O1" s="1216"/>
      <c r="P1" s="1216"/>
    </row>
    <row r="2" spans="1:21">
      <c r="A2" s="1216" t="str">
        <f>'Table of Contents'!A2:C2</f>
        <v>Kentucky Jurisdiction Case No. 2018-00281</v>
      </c>
      <c r="B2" s="1216"/>
      <c r="C2" s="1216"/>
      <c r="D2" s="1216"/>
      <c r="E2" s="1216"/>
      <c r="F2" s="1216"/>
      <c r="G2" s="1216"/>
      <c r="H2" s="1216"/>
      <c r="I2" s="1216"/>
      <c r="J2" s="1216"/>
      <c r="K2" s="1216"/>
      <c r="L2" s="1216"/>
      <c r="M2" s="1216"/>
      <c r="N2" s="1216"/>
      <c r="O2" s="1216"/>
      <c r="P2" s="1216"/>
    </row>
    <row r="3" spans="1:21">
      <c r="A3" s="1216" t="s">
        <v>612</v>
      </c>
      <c r="B3" s="1216"/>
      <c r="C3" s="1216"/>
      <c r="D3" s="1216"/>
      <c r="E3" s="1216"/>
      <c r="F3" s="1216"/>
      <c r="G3" s="1216"/>
      <c r="H3" s="1216"/>
      <c r="I3" s="1216"/>
      <c r="J3" s="1216"/>
      <c r="K3" s="1216"/>
      <c r="L3" s="1216"/>
      <c r="M3" s="1216"/>
      <c r="N3" s="1216"/>
      <c r="O3" s="1216"/>
      <c r="P3" s="1216"/>
    </row>
    <row r="4" spans="1:21">
      <c r="A4" s="1216" t="str">
        <f>'Table of Contents'!A3:C3</f>
        <v>Base Period: Twelve Months Ended December 31, 2018</v>
      </c>
      <c r="B4" s="1216"/>
      <c r="C4" s="1216"/>
      <c r="D4" s="1216"/>
      <c r="E4" s="1216"/>
      <c r="F4" s="1216"/>
      <c r="G4" s="1216"/>
      <c r="H4" s="1216"/>
      <c r="I4" s="1216"/>
      <c r="J4" s="1216"/>
      <c r="K4" s="1216"/>
      <c r="L4" s="1216"/>
      <c r="M4" s="1216"/>
      <c r="N4" s="1216"/>
      <c r="O4" s="1216"/>
      <c r="P4" s="1216"/>
    </row>
    <row r="5" spans="1:21">
      <c r="A5" s="1216" t="str">
        <f>'Table of Contents'!A4:C4</f>
        <v>Forecasted Test Period: Twelve Months Ended March 31, 2020</v>
      </c>
      <c r="B5" s="1216"/>
      <c r="C5" s="1216"/>
      <c r="D5" s="1216"/>
      <c r="E5" s="1216"/>
      <c r="F5" s="1216"/>
      <c r="G5" s="1216"/>
      <c r="H5" s="1216"/>
      <c r="I5" s="1216"/>
      <c r="J5" s="1216"/>
      <c r="K5" s="1216"/>
      <c r="L5" s="1216"/>
      <c r="M5" s="1216"/>
      <c r="N5" s="1216"/>
      <c r="O5" s="1216"/>
      <c r="P5" s="1216"/>
    </row>
    <row r="6" spans="1:21">
      <c r="A6" s="764"/>
      <c r="B6" s="764"/>
      <c r="C6" s="764"/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U6" s="103" t="s">
        <v>323</v>
      </c>
    </row>
    <row r="7" spans="1:21">
      <c r="A7" s="583" t="s">
        <v>680</v>
      </c>
      <c r="P7" s="949" t="s">
        <v>1436</v>
      </c>
    </row>
    <row r="8" spans="1:21">
      <c r="A8" s="583" t="s">
        <v>615</v>
      </c>
      <c r="P8" s="956" t="s">
        <v>1136</v>
      </c>
    </row>
    <row r="9" spans="1:21">
      <c r="A9" s="950" t="s">
        <v>365</v>
      </c>
      <c r="B9" s="929"/>
      <c r="C9" s="929"/>
      <c r="D9" s="929"/>
      <c r="E9" s="929"/>
      <c r="F9" s="929"/>
      <c r="G9" s="929"/>
      <c r="H9" s="929"/>
      <c r="I9" s="929"/>
      <c r="J9" s="929"/>
      <c r="K9" s="929"/>
      <c r="L9" s="929"/>
      <c r="M9" s="946"/>
      <c r="N9" s="957"/>
      <c r="O9" s="957"/>
      <c r="P9" s="958" t="s">
        <v>1685</v>
      </c>
    </row>
    <row r="10" spans="1:21">
      <c r="D10" s="1215" t="s">
        <v>1161</v>
      </c>
      <c r="E10" s="1215"/>
      <c r="F10" s="1215"/>
      <c r="G10" s="1215"/>
      <c r="H10" s="1215"/>
      <c r="J10" s="959" t="s">
        <v>1127</v>
      </c>
      <c r="K10" s="764"/>
      <c r="L10" s="959" t="s">
        <v>128</v>
      </c>
      <c r="N10" s="960"/>
      <c r="O10" s="960"/>
      <c r="P10" s="960"/>
    </row>
    <row r="12" spans="1:21">
      <c r="D12" s="633"/>
      <c r="E12" s="633"/>
      <c r="F12" s="633"/>
      <c r="G12" s="633"/>
      <c r="H12" s="633"/>
      <c r="J12" s="961"/>
      <c r="K12" s="962"/>
      <c r="L12" s="961"/>
    </row>
    <row r="13" spans="1:21">
      <c r="A13" s="963"/>
      <c r="B13" s="963"/>
      <c r="C13" s="963"/>
      <c r="D13" s="634" t="s">
        <v>1348</v>
      </c>
      <c r="E13" s="634" t="s">
        <v>1390</v>
      </c>
      <c r="F13" s="634" t="s">
        <v>1573</v>
      </c>
      <c r="G13" s="634" t="s">
        <v>1572</v>
      </c>
      <c r="H13" s="634" t="s">
        <v>1616</v>
      </c>
      <c r="J13" s="964">
        <v>43465</v>
      </c>
      <c r="K13" s="965"/>
      <c r="L13" s="964">
        <v>43921</v>
      </c>
      <c r="N13" s="639">
        <v>2020</v>
      </c>
      <c r="O13" s="634" t="s">
        <v>1588</v>
      </c>
      <c r="P13" s="634" t="s">
        <v>1639</v>
      </c>
      <c r="Q13" s="963"/>
      <c r="R13" s="963"/>
      <c r="S13" s="963"/>
      <c r="T13" s="963"/>
      <c r="U13" s="963"/>
    </row>
    <row r="14" spans="1:21">
      <c r="A14" s="103" t="s">
        <v>597</v>
      </c>
      <c r="D14" s="764" t="s">
        <v>146</v>
      </c>
      <c r="E14" s="764" t="s">
        <v>146</v>
      </c>
      <c r="F14" s="764" t="s">
        <v>146</v>
      </c>
      <c r="G14" s="764" t="s">
        <v>146</v>
      </c>
      <c r="H14" s="764"/>
      <c r="J14" s="764" t="s">
        <v>146</v>
      </c>
      <c r="L14" s="764" t="s">
        <v>146</v>
      </c>
      <c r="N14" s="764" t="s">
        <v>146</v>
      </c>
      <c r="O14" s="764" t="s">
        <v>146</v>
      </c>
      <c r="P14" s="764" t="s">
        <v>146</v>
      </c>
    </row>
    <row r="15" spans="1:21">
      <c r="A15" s="103" t="s">
        <v>598</v>
      </c>
    </row>
    <row r="16" spans="1:21">
      <c r="B16" s="103" t="s">
        <v>599</v>
      </c>
      <c r="D16" s="635">
        <v>148864.67319999999</v>
      </c>
      <c r="E16" s="635">
        <v>180147.3222</v>
      </c>
      <c r="F16" s="635">
        <v>153227.91780000002</v>
      </c>
      <c r="G16" s="635">
        <v>129826.6634</v>
      </c>
      <c r="H16" s="635">
        <v>144869.82669999998</v>
      </c>
      <c r="I16" s="635"/>
      <c r="J16" s="635">
        <f>'C.2.1 B'!D23/1000</f>
        <v>161584.11094000001</v>
      </c>
      <c r="K16" s="635"/>
      <c r="L16" s="635">
        <v>150247.70188280122</v>
      </c>
      <c r="M16" s="635"/>
      <c r="N16" s="635">
        <v>149813.68913039719</v>
      </c>
      <c r="O16" s="635">
        <v>148320.98001177638</v>
      </c>
      <c r="P16" s="635">
        <v>147963.10499548007</v>
      </c>
      <c r="Q16" s="635"/>
    </row>
    <row r="17" spans="1:18">
      <c r="B17" s="103" t="s">
        <v>180</v>
      </c>
      <c r="D17" s="635">
        <v>12586.588679999999</v>
      </c>
      <c r="E17" s="635">
        <v>14310.85176</v>
      </c>
      <c r="F17" s="635">
        <v>15087.053260000001</v>
      </c>
      <c r="G17" s="635">
        <v>15747.936089999999</v>
      </c>
      <c r="H17" s="635">
        <v>17214.913700000001</v>
      </c>
      <c r="I17" s="635"/>
      <c r="J17" s="635">
        <f>('C.2.1 B'!D28)/1000</f>
        <v>18537.372689999997</v>
      </c>
      <c r="K17" s="635"/>
      <c r="L17" s="635">
        <v>14881.381989872882</v>
      </c>
      <c r="M17" s="635"/>
      <c r="N17" s="635">
        <v>14881.381989872882</v>
      </c>
      <c r="O17" s="635">
        <v>14881.381989872882</v>
      </c>
      <c r="P17" s="635">
        <v>14881.381989872882</v>
      </c>
      <c r="Q17" s="635"/>
      <c r="R17" s="801"/>
    </row>
    <row r="18" spans="1:18">
      <c r="B18" s="103" t="s">
        <v>600</v>
      </c>
      <c r="D18" s="643">
        <v>1517.1913500000001</v>
      </c>
      <c r="E18" s="643">
        <v>2423.5631400000002</v>
      </c>
      <c r="F18" s="643">
        <v>2152.5820800000001</v>
      </c>
      <c r="G18" s="643">
        <v>1856.60124</v>
      </c>
      <c r="H18" s="643">
        <v>2017.2438300000001</v>
      </c>
      <c r="I18" s="643"/>
      <c r="J18" s="643">
        <f>('C.2.1 B'!D26+'C.2.1 B'!D27+'C.2.1 B'!D29)/1000</f>
        <v>2157.1084099999998</v>
      </c>
      <c r="K18" s="643"/>
      <c r="L18" s="643">
        <v>4588.7819642816557</v>
      </c>
      <c r="M18" s="643"/>
      <c r="N18" s="643">
        <v>4583.8776940664266</v>
      </c>
      <c r="O18" s="643">
        <v>4571.0161925891462</v>
      </c>
      <c r="P18" s="643">
        <v>4567.9327759429743</v>
      </c>
      <c r="Q18" s="635"/>
    </row>
    <row r="19" spans="1:18">
      <c r="A19" s="103" t="s">
        <v>601</v>
      </c>
      <c r="D19" s="635">
        <f>SUM(D16:D18)</f>
        <v>162968.45322999998</v>
      </c>
      <c r="E19" s="635">
        <f>SUM(E16:E18)</f>
        <v>196881.7371</v>
      </c>
      <c r="F19" s="635">
        <f>SUM(F16:F18)</f>
        <v>170467.55314</v>
      </c>
      <c r="G19" s="635">
        <f>SUM(G16:G18)</f>
        <v>147431.20072999998</v>
      </c>
      <c r="H19" s="635">
        <f>SUM(H16:H18)</f>
        <v>164101.98422999997</v>
      </c>
      <c r="I19" s="635"/>
      <c r="J19" s="635">
        <f>SUM(J16:J18)</f>
        <v>182278.59203999999</v>
      </c>
      <c r="K19" s="635"/>
      <c r="L19" s="635">
        <v>169717.86583695575</v>
      </c>
      <c r="M19" s="635"/>
      <c r="N19" s="635">
        <v>169278.9488143365</v>
      </c>
      <c r="O19" s="635">
        <v>167773.37819423841</v>
      </c>
      <c r="P19" s="635">
        <v>167412.41976129593</v>
      </c>
      <c r="Q19" s="635"/>
    </row>
    <row r="20" spans="1:18">
      <c r="D20" s="635"/>
      <c r="E20" s="635"/>
      <c r="F20" s="635"/>
      <c r="G20" s="635"/>
      <c r="H20" s="635"/>
      <c r="I20" s="635"/>
      <c r="J20" s="635"/>
      <c r="K20" s="635"/>
      <c r="L20" s="635"/>
      <c r="M20" s="635"/>
      <c r="N20" s="635"/>
      <c r="O20" s="635"/>
      <c r="P20" s="635"/>
      <c r="Q20" s="635"/>
    </row>
    <row r="21" spans="1:18">
      <c r="A21" s="103" t="s">
        <v>602</v>
      </c>
      <c r="D21" s="635">
        <v>94656.999469999995</v>
      </c>
      <c r="E21" s="635">
        <v>118107.394</v>
      </c>
      <c r="F21" s="635">
        <v>87746.32220000001</v>
      </c>
      <c r="G21" s="635">
        <v>61180.230950000005</v>
      </c>
      <c r="H21" s="635">
        <v>70880.021340000007</v>
      </c>
      <c r="I21" s="643"/>
      <c r="J21" s="643">
        <f>'C.2.1 B'!D105/1000</f>
        <v>89006.235690000001</v>
      </c>
      <c r="K21" s="643"/>
      <c r="L21" s="643">
        <v>78382.354153255874</v>
      </c>
      <c r="M21" s="643"/>
      <c r="N21" s="635">
        <v>77907.151519755425</v>
      </c>
      <c r="O21" s="635">
        <v>76310.35964597181</v>
      </c>
      <c r="P21" s="635">
        <v>75848.40144516014</v>
      </c>
      <c r="Q21" s="635"/>
    </row>
    <row r="22" spans="1:18">
      <c r="A22" s="103" t="s">
        <v>113</v>
      </c>
      <c r="D22" s="636">
        <f>+D19-D21</f>
        <v>68311.453759999989</v>
      </c>
      <c r="E22" s="636">
        <f>+E19-E21</f>
        <v>78774.343099999998</v>
      </c>
      <c r="F22" s="636">
        <f>+F19-F21</f>
        <v>82721.230939999994</v>
      </c>
      <c r="G22" s="636">
        <f>+G19-G21</f>
        <v>86250.969779999985</v>
      </c>
      <c r="H22" s="636">
        <f>+H19-H21</f>
        <v>93221.962889999966</v>
      </c>
      <c r="I22" s="635"/>
      <c r="J22" s="635">
        <f>+J19-J21</f>
        <v>93272.356349999987</v>
      </c>
      <c r="K22" s="635"/>
      <c r="L22" s="635">
        <v>91335.511683699879</v>
      </c>
      <c r="M22" s="635"/>
      <c r="N22" s="636">
        <v>91371.797294581076</v>
      </c>
      <c r="O22" s="636">
        <v>91463.018548266598</v>
      </c>
      <c r="P22" s="636">
        <v>91564.018316135785</v>
      </c>
      <c r="Q22" s="635"/>
    </row>
    <row r="23" spans="1:18">
      <c r="D23" s="635"/>
      <c r="E23" s="635"/>
      <c r="F23" s="635"/>
      <c r="G23" s="635"/>
      <c r="H23" s="635"/>
      <c r="I23" s="635"/>
      <c r="J23" s="635"/>
      <c r="K23" s="635"/>
      <c r="L23" s="635"/>
      <c r="M23" s="635"/>
      <c r="N23" s="635"/>
      <c r="O23" s="635"/>
      <c r="P23" s="635"/>
      <c r="Q23" s="635"/>
    </row>
    <row r="24" spans="1:18">
      <c r="A24" s="103" t="s">
        <v>990</v>
      </c>
      <c r="D24" s="635"/>
      <c r="E24" s="635"/>
      <c r="F24" s="635"/>
      <c r="G24" s="635"/>
      <c r="H24" s="635"/>
      <c r="I24" s="635"/>
      <c r="J24" s="635"/>
      <c r="K24" s="635"/>
      <c r="L24" s="635"/>
      <c r="M24" s="635"/>
      <c r="N24" s="635"/>
      <c r="O24" s="635"/>
      <c r="P24" s="635"/>
      <c r="Q24" s="635"/>
    </row>
    <row r="25" spans="1:18">
      <c r="B25" s="103" t="s">
        <v>114</v>
      </c>
      <c r="D25" s="635">
        <v>14376.62355</v>
      </c>
      <c r="E25" s="635">
        <v>14815.001259999999</v>
      </c>
      <c r="F25" s="635">
        <v>14926.689049999999</v>
      </c>
      <c r="G25" s="635">
        <v>14518.409319999999</v>
      </c>
      <c r="H25" s="635">
        <v>16031.043750000001</v>
      </c>
      <c r="I25" s="635"/>
      <c r="J25" s="635">
        <f>(SUM('C.2.2 B 09'!P47:P111)-'C.2.2 B 09'!P102)/1000</f>
        <v>17403.32143</v>
      </c>
      <c r="K25" s="635"/>
      <c r="L25" s="635">
        <v>12722.78216480548</v>
      </c>
      <c r="M25" s="635"/>
      <c r="N25" s="635">
        <v>18914</v>
      </c>
      <c r="O25" s="635">
        <v>19149</v>
      </c>
      <c r="P25" s="635">
        <v>19392</v>
      </c>
      <c r="Q25" s="635"/>
    </row>
    <row r="26" spans="1:18">
      <c r="B26" s="103" t="s">
        <v>561</v>
      </c>
      <c r="D26" s="635">
        <v>11534.019539999999</v>
      </c>
      <c r="E26" s="635">
        <v>12035.970230000001</v>
      </c>
      <c r="F26" s="635">
        <v>12874.015009999999</v>
      </c>
      <c r="G26" s="635">
        <v>12708.20644</v>
      </c>
      <c r="H26" s="635">
        <v>11828.78384</v>
      </c>
      <c r="I26" s="635"/>
      <c r="J26" s="635">
        <f>'C.2.2 B 09'!P102/1000</f>
        <v>11934.602569999999</v>
      </c>
      <c r="K26" s="635"/>
      <c r="L26" s="635">
        <v>14498.764188985626</v>
      </c>
      <c r="M26" s="635"/>
      <c r="N26" s="635">
        <v>11053</v>
      </c>
      <c r="O26" s="635">
        <v>11362</v>
      </c>
      <c r="P26" s="635">
        <v>11757</v>
      </c>
      <c r="Q26" s="635"/>
    </row>
    <row r="27" spans="1:18">
      <c r="B27" s="103" t="s">
        <v>115</v>
      </c>
      <c r="D27" s="635">
        <v>14919.02095</v>
      </c>
      <c r="E27" s="635">
        <v>16845.71213</v>
      </c>
      <c r="F27" s="635">
        <v>18635.692589999999</v>
      </c>
      <c r="G27" s="635">
        <v>19120.630430000001</v>
      </c>
      <c r="H27" s="635">
        <v>19379.359539999998</v>
      </c>
      <c r="I27" s="635"/>
      <c r="J27" s="635">
        <f>'C.2.1 B'!D176/1000</f>
        <v>20792.783009999999</v>
      </c>
      <c r="K27" s="635"/>
      <c r="L27" s="635">
        <v>23102.095980525177</v>
      </c>
      <c r="M27" s="635"/>
      <c r="N27" s="635">
        <v>25167</v>
      </c>
      <c r="O27" s="635">
        <v>28556</v>
      </c>
      <c r="P27" s="635">
        <v>32382</v>
      </c>
      <c r="Q27" s="635"/>
    </row>
    <row r="28" spans="1:18">
      <c r="B28" s="103" t="s">
        <v>116</v>
      </c>
      <c r="D28" s="635">
        <v>3871.4445599999999</v>
      </c>
      <c r="E28" s="635">
        <v>4647.8072000000002</v>
      </c>
      <c r="F28" s="635">
        <v>7342.9721100000006</v>
      </c>
      <c r="G28" s="635">
        <v>5919.1201500000006</v>
      </c>
      <c r="H28" s="635">
        <v>6335.9178899999997</v>
      </c>
      <c r="I28" s="643"/>
      <c r="J28" s="643">
        <f>'C.2.1 B'!D178/1000</f>
        <v>6454.8751700000012</v>
      </c>
      <c r="K28" s="643"/>
      <c r="L28" s="643">
        <v>7511.8369326441752</v>
      </c>
      <c r="M28" s="643"/>
      <c r="N28" s="643">
        <v>9637</v>
      </c>
      <c r="O28" s="643">
        <v>10834</v>
      </c>
      <c r="P28" s="643">
        <v>12165</v>
      </c>
      <c r="Q28" s="635"/>
    </row>
    <row r="29" spans="1:18">
      <c r="A29" s="103" t="s">
        <v>1120</v>
      </c>
      <c r="D29" s="636">
        <f>SUM(D25:D28)</f>
        <v>44701.108599999992</v>
      </c>
      <c r="E29" s="636">
        <f>SUM(E25:E28)</f>
        <v>48344.490819999999</v>
      </c>
      <c r="F29" s="636">
        <f>SUM(F25:F28)</f>
        <v>53779.368759999998</v>
      </c>
      <c r="G29" s="636">
        <f>SUM(G25:G28)</f>
        <v>52266.366340000008</v>
      </c>
      <c r="H29" s="636">
        <f>SUM(H25:H28)</f>
        <v>53575.105019999995</v>
      </c>
      <c r="I29" s="635"/>
      <c r="J29" s="635">
        <f>SUM(J25:J28)</f>
        <v>56585.582179999998</v>
      </c>
      <c r="K29" s="635"/>
      <c r="L29" s="635">
        <v>57835.479266960458</v>
      </c>
      <c r="M29" s="635"/>
      <c r="N29" s="635">
        <v>64771</v>
      </c>
      <c r="O29" s="635">
        <v>69901</v>
      </c>
      <c r="P29" s="635">
        <v>75696</v>
      </c>
      <c r="Q29" s="635"/>
    </row>
    <row r="30" spans="1:18">
      <c r="D30" s="643"/>
      <c r="E30" s="643"/>
      <c r="F30" s="643"/>
      <c r="G30" s="643"/>
      <c r="H30" s="643"/>
      <c r="I30" s="643"/>
      <c r="J30" s="643"/>
      <c r="K30" s="643"/>
      <c r="L30" s="643"/>
      <c r="M30" s="643"/>
      <c r="N30" s="643"/>
      <c r="O30" s="643"/>
      <c r="P30" s="643"/>
      <c r="Q30" s="635"/>
    </row>
    <row r="31" spans="1:18">
      <c r="A31" s="103" t="s">
        <v>581</v>
      </c>
      <c r="D31" s="635">
        <f>+D22-D29</f>
        <v>23610.345159999997</v>
      </c>
      <c r="E31" s="635">
        <f>+E22-E29</f>
        <v>30429.852279999999</v>
      </c>
      <c r="F31" s="635">
        <f>+F22-F29</f>
        <v>28941.862179999996</v>
      </c>
      <c r="G31" s="635">
        <f>+G22-G29</f>
        <v>33984.603439999977</v>
      </c>
      <c r="H31" s="635">
        <f>+H22-H29</f>
        <v>39646.857869999971</v>
      </c>
      <c r="I31" s="635"/>
      <c r="J31" s="635">
        <f>+J22-J29</f>
        <v>36686.77416999999</v>
      </c>
      <c r="K31" s="635"/>
      <c r="L31" s="635">
        <v>33500.032416739421</v>
      </c>
      <c r="M31" s="635"/>
      <c r="N31" s="635">
        <v>26600.797294581076</v>
      </c>
      <c r="O31" s="635">
        <v>21562.018548266598</v>
      </c>
      <c r="P31" s="635">
        <v>15868.018316135785</v>
      </c>
      <c r="Q31" s="635"/>
    </row>
    <row r="32" spans="1:18">
      <c r="D32" s="635"/>
      <c r="E32" s="635"/>
      <c r="F32" s="635"/>
      <c r="G32" s="635"/>
      <c r="H32" s="635"/>
      <c r="I32" s="635"/>
      <c r="J32" s="635"/>
      <c r="K32" s="635"/>
      <c r="L32" s="635"/>
      <c r="M32" s="635"/>
      <c r="N32" s="635"/>
      <c r="O32" s="635"/>
      <c r="P32" s="635"/>
      <c r="Q32" s="635"/>
    </row>
    <row r="33" spans="1:18">
      <c r="A33" s="103" t="s">
        <v>582</v>
      </c>
      <c r="D33" s="635"/>
      <c r="E33" s="635"/>
      <c r="F33" s="635"/>
      <c r="G33" s="635"/>
      <c r="H33" s="635"/>
      <c r="I33" s="635"/>
      <c r="J33" s="635"/>
      <c r="K33" s="635"/>
      <c r="L33" s="635"/>
      <c r="M33" s="635"/>
      <c r="N33" s="635"/>
      <c r="O33" s="635"/>
      <c r="P33" s="635"/>
      <c r="Q33" s="635"/>
    </row>
    <row r="34" spans="1:18">
      <c r="B34" s="103" t="s">
        <v>799</v>
      </c>
      <c r="D34" s="635">
        <v>82.738509999999991</v>
      </c>
      <c r="E34" s="635">
        <v>69.150829999999999</v>
      </c>
      <c r="F34" s="635">
        <v>39.563760000000002</v>
      </c>
      <c r="G34" s="635">
        <v>42.014339999999997</v>
      </c>
      <c r="H34" s="635">
        <v>32.01484</v>
      </c>
      <c r="I34" s="635"/>
      <c r="J34" s="635">
        <f>H34</f>
        <v>32.01484</v>
      </c>
      <c r="K34" s="635"/>
      <c r="L34" s="635">
        <v>32.01484</v>
      </c>
      <c r="M34" s="635"/>
      <c r="N34" s="635">
        <v>32.01484</v>
      </c>
      <c r="O34" s="635">
        <v>32.01484</v>
      </c>
      <c r="P34" s="635">
        <v>32.01484</v>
      </c>
      <c r="Q34" s="635"/>
    </row>
    <row r="35" spans="1:18">
      <c r="B35" s="103" t="s">
        <v>50</v>
      </c>
      <c r="D35" s="635">
        <v>2658.6314700000003</v>
      </c>
      <c r="E35" s="635">
        <v>2704.8019900000004</v>
      </c>
      <c r="F35" s="635">
        <v>2795.0063500000001</v>
      </c>
      <c r="G35" s="635">
        <v>2791.57728</v>
      </c>
      <c r="H35" s="635">
        <v>3246.1487599999996</v>
      </c>
      <c r="I35" s="635"/>
      <c r="J35" s="635">
        <f>H35</f>
        <v>3246.1487599999996</v>
      </c>
      <c r="K35" s="635"/>
      <c r="L35" s="635">
        <v>3246.1487599999996</v>
      </c>
      <c r="M35" s="635"/>
      <c r="N35" s="635">
        <v>3000</v>
      </c>
      <c r="O35" s="635">
        <v>3000</v>
      </c>
      <c r="P35" s="635">
        <v>3000</v>
      </c>
      <c r="R35" s="635"/>
    </row>
    <row r="36" spans="1:18">
      <c r="B36" s="103" t="s">
        <v>1575</v>
      </c>
      <c r="D36" s="635">
        <v>-193.89732000000001</v>
      </c>
      <c r="E36" s="635">
        <v>-298.85159999999996</v>
      </c>
      <c r="F36" s="635">
        <v>-427.16967999999997</v>
      </c>
      <c r="G36" s="635">
        <v>-354.79807</v>
      </c>
      <c r="H36" s="635">
        <v>-360.83671000000004</v>
      </c>
      <c r="I36" s="635"/>
      <c r="J36" s="635">
        <f>H36</f>
        <v>-360.83671000000004</v>
      </c>
      <c r="K36" s="635"/>
      <c r="L36" s="635">
        <v>-360.83671000000004</v>
      </c>
      <c r="M36" s="635"/>
      <c r="N36" s="635">
        <v>-360.83671000000004</v>
      </c>
      <c r="O36" s="635">
        <v>-360.83671000000004</v>
      </c>
      <c r="P36" s="635">
        <v>-360.83671000000004</v>
      </c>
      <c r="R36" s="635"/>
    </row>
    <row r="37" spans="1:18">
      <c r="B37" s="103" t="s">
        <v>583</v>
      </c>
      <c r="D37" s="635">
        <v>-514.19116999999994</v>
      </c>
      <c r="E37" s="635">
        <v>-455.90368999999998</v>
      </c>
      <c r="F37" s="635">
        <v>-344.33965000000001</v>
      </c>
      <c r="G37" s="635">
        <v>-391.44265999999999</v>
      </c>
      <c r="H37" s="635">
        <v>-403.49967000000004</v>
      </c>
      <c r="I37" s="643"/>
      <c r="J37" s="643">
        <f>H37</f>
        <v>-403.49967000000004</v>
      </c>
      <c r="K37" s="643"/>
      <c r="L37" s="643">
        <v>-403.49967000000004</v>
      </c>
      <c r="M37" s="643"/>
      <c r="N37" s="643">
        <v>-403.49967000000004</v>
      </c>
      <c r="O37" s="643">
        <v>-403.49967000000004</v>
      </c>
      <c r="P37" s="643">
        <v>-403.49967000000004</v>
      </c>
      <c r="Q37" s="635"/>
    </row>
    <row r="38" spans="1:18">
      <c r="A38" s="103" t="s">
        <v>51</v>
      </c>
      <c r="D38" s="636">
        <f>SUM(D34:D37)</f>
        <v>2033.2814900000003</v>
      </c>
      <c r="E38" s="636">
        <f t="shared" ref="E38:K38" si="0">SUM(E34:E37)</f>
        <v>2019.1975300000004</v>
      </c>
      <c r="F38" s="636">
        <f t="shared" si="0"/>
        <v>2063.0607800000002</v>
      </c>
      <c r="G38" s="636">
        <f t="shared" si="0"/>
        <v>2087.3508900000002</v>
      </c>
      <c r="H38" s="636">
        <f t="shared" si="0"/>
        <v>2513.8272199999992</v>
      </c>
      <c r="I38" s="636"/>
      <c r="J38" s="636">
        <f t="shared" si="0"/>
        <v>2513.8272199999992</v>
      </c>
      <c r="K38" s="636">
        <f t="shared" si="0"/>
        <v>0</v>
      </c>
      <c r="L38" s="636">
        <v>2513.8272199999992</v>
      </c>
      <c r="M38" s="636"/>
      <c r="N38" s="636">
        <v>2267.6784599999996</v>
      </c>
      <c r="O38" s="636">
        <v>2267.6784599999996</v>
      </c>
      <c r="P38" s="636">
        <v>2267.6784599999996</v>
      </c>
      <c r="Q38" s="635"/>
    </row>
    <row r="39" spans="1:18">
      <c r="D39" s="635"/>
      <c r="E39" s="635"/>
      <c r="F39" s="635"/>
      <c r="G39" s="635"/>
      <c r="H39" s="635"/>
      <c r="I39" s="635"/>
      <c r="J39" s="635"/>
      <c r="K39" s="635"/>
      <c r="L39" s="635"/>
      <c r="M39" s="635"/>
      <c r="N39" s="635"/>
      <c r="O39" s="635"/>
      <c r="P39" s="635"/>
      <c r="Q39" s="635"/>
    </row>
    <row r="40" spans="1:18">
      <c r="A40" s="103" t="s">
        <v>989</v>
      </c>
      <c r="D40" s="635"/>
      <c r="E40" s="635"/>
      <c r="F40" s="635"/>
      <c r="G40" s="635"/>
      <c r="H40" s="635"/>
      <c r="I40" s="635"/>
      <c r="J40" s="635"/>
      <c r="K40" s="635"/>
      <c r="L40" s="635"/>
      <c r="M40" s="635"/>
      <c r="N40" s="635"/>
      <c r="O40" s="635"/>
      <c r="P40" s="635"/>
      <c r="Q40" s="635"/>
    </row>
    <row r="41" spans="1:18">
      <c r="A41" s="103" t="s">
        <v>722</v>
      </c>
      <c r="D41" s="637">
        <v>6436.1180700000004</v>
      </c>
      <c r="E41" s="637">
        <v>6419.0697699999992</v>
      </c>
      <c r="F41" s="637">
        <v>6743.6427100000001</v>
      </c>
      <c r="G41" s="637">
        <v>7377.4536399999997</v>
      </c>
      <c r="H41" s="637">
        <v>8008.5934800000005</v>
      </c>
      <c r="I41" s="637"/>
      <c r="J41" s="637">
        <f>E!E32/1000</f>
        <v>9076.9648669388644</v>
      </c>
      <c r="K41" s="637"/>
      <c r="L41" s="637">
        <v>9365.0248420006465</v>
      </c>
      <c r="M41" s="637"/>
      <c r="N41" s="637">
        <v>7484.6784599999992</v>
      </c>
      <c r="O41" s="637">
        <v>9100.6784599999992</v>
      </c>
      <c r="P41" s="637">
        <v>11202.678459999999</v>
      </c>
      <c r="Q41" s="635"/>
    </row>
    <row r="42" spans="1:18">
      <c r="A42" s="103" t="s">
        <v>723</v>
      </c>
      <c r="D42" s="637">
        <f>+D31+D38-D41</f>
        <v>19207.508579999998</v>
      </c>
      <c r="E42" s="637">
        <f>+E31+E38-E41</f>
        <v>26029.980040000002</v>
      </c>
      <c r="F42" s="637">
        <f>+F31+F38-F41</f>
        <v>24261.280249999996</v>
      </c>
      <c r="G42" s="637">
        <f>+G31+G38-G41</f>
        <v>28694.500689999979</v>
      </c>
      <c r="H42" s="637">
        <f>+H31+H38-H41</f>
        <v>34152.091609999967</v>
      </c>
      <c r="I42" s="637"/>
      <c r="J42" s="637">
        <f>+J31+J38-J41</f>
        <v>30123.636523061126</v>
      </c>
      <c r="K42" s="637"/>
      <c r="L42" s="637">
        <v>26648.834794738774</v>
      </c>
      <c r="M42" s="637"/>
      <c r="N42" s="637">
        <v>21383.797294581076</v>
      </c>
      <c r="O42" s="637">
        <v>14729.018548266598</v>
      </c>
      <c r="P42" s="637">
        <v>6933.0183161357854</v>
      </c>
      <c r="Q42" s="635"/>
    </row>
    <row r="43" spans="1:18">
      <c r="B43" s="103" t="s">
        <v>724</v>
      </c>
      <c r="D43" s="637">
        <v>7419.8234199999997</v>
      </c>
      <c r="E43" s="637">
        <v>9671.5353699999996</v>
      </c>
      <c r="F43" s="637">
        <v>9884.3428100000001</v>
      </c>
      <c r="G43" s="637">
        <v>9516.4333000000006</v>
      </c>
      <c r="H43" s="637">
        <v>9696.7549999999992</v>
      </c>
      <c r="I43" s="637"/>
      <c r="J43" s="637">
        <f>J42*E!$G$21</f>
        <v>7515.8473125037508</v>
      </c>
      <c r="K43" s="637"/>
      <c r="L43" s="637">
        <v>6648.8842812873245</v>
      </c>
      <c r="M43" s="637"/>
      <c r="N43" s="637">
        <v>4040.4234236251691</v>
      </c>
      <c r="O43" s="637">
        <v>2327.4833743238228</v>
      </c>
      <c r="P43" s="637">
        <v>320.79291457335125</v>
      </c>
      <c r="Q43" s="635"/>
    </row>
    <row r="44" spans="1:18">
      <c r="D44" s="635"/>
      <c r="E44" s="635"/>
      <c r="F44" s="635"/>
      <c r="G44" s="635"/>
      <c r="H44" s="635"/>
      <c r="I44" s="635"/>
      <c r="J44" s="635"/>
      <c r="K44" s="635"/>
      <c r="L44" s="635"/>
      <c r="M44" s="635"/>
      <c r="N44" s="635"/>
      <c r="O44" s="635"/>
      <c r="P44" s="635"/>
      <c r="Q44" s="635"/>
    </row>
    <row r="45" spans="1:18" ht="15.75" thickBot="1">
      <c r="A45" s="103" t="s">
        <v>172</v>
      </c>
      <c r="D45" s="638">
        <f>+D42-D43</f>
        <v>11787.685159999997</v>
      </c>
      <c r="E45" s="638">
        <f>+E42-E43</f>
        <v>16358.444670000003</v>
      </c>
      <c r="F45" s="638">
        <f>+F42-F43</f>
        <v>14376.937439999996</v>
      </c>
      <c r="G45" s="638">
        <f>+G42-G43</f>
        <v>19178.067389999978</v>
      </c>
      <c r="H45" s="638">
        <f>+H42-H43</f>
        <v>24455.336609999969</v>
      </c>
      <c r="I45" s="638"/>
      <c r="J45" s="638">
        <f>+J42-J43</f>
        <v>22607.789210557377</v>
      </c>
      <c r="K45" s="638"/>
      <c r="L45" s="638">
        <v>19999.950513451447</v>
      </c>
      <c r="M45" s="638"/>
      <c r="N45" s="638">
        <v>17343.373870955907</v>
      </c>
      <c r="O45" s="638">
        <v>12401.535173942775</v>
      </c>
      <c r="P45" s="638">
        <v>6612.2254015624339</v>
      </c>
      <c r="Q45" s="635"/>
    </row>
    <row r="46" spans="1:18" ht="15.75" thickTop="1">
      <c r="D46" s="427"/>
      <c r="E46" s="427"/>
      <c r="F46" s="427"/>
      <c r="G46" s="427"/>
      <c r="H46" s="427"/>
      <c r="I46" s="635"/>
      <c r="J46" s="427"/>
      <c r="K46" s="427"/>
      <c r="L46" s="427"/>
      <c r="M46" s="427"/>
      <c r="N46" s="427"/>
      <c r="O46" s="427"/>
      <c r="P46" s="427"/>
      <c r="Q46" s="427"/>
      <c r="R46" s="103" t="s">
        <v>323</v>
      </c>
    </row>
    <row r="47" spans="1:18">
      <c r="B47" s="954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</row>
    <row r="48" spans="1:18">
      <c r="B48" s="954"/>
      <c r="D48" s="635"/>
      <c r="E48" s="635"/>
      <c r="F48" s="635"/>
      <c r="G48" s="635"/>
      <c r="H48" s="635"/>
      <c r="I48" s="635"/>
      <c r="J48" s="635"/>
      <c r="K48" s="635"/>
      <c r="L48" s="635"/>
      <c r="M48" s="635"/>
      <c r="N48" s="635"/>
      <c r="O48" s="635"/>
      <c r="P48" s="635"/>
      <c r="Q48" s="131"/>
    </row>
    <row r="49" spans="4:18">
      <c r="D49" s="635"/>
      <c r="E49" s="635"/>
      <c r="F49" s="635"/>
      <c r="G49" s="635"/>
      <c r="H49" s="635"/>
      <c r="I49" s="635"/>
      <c r="J49" s="635"/>
      <c r="K49" s="635"/>
      <c r="L49" s="635"/>
      <c r="M49" s="635"/>
      <c r="N49" s="635"/>
      <c r="O49" s="635"/>
      <c r="P49" s="635"/>
      <c r="Q49" s="131"/>
      <c r="R49" s="108"/>
    </row>
    <row r="50" spans="4:18">
      <c r="D50" s="635"/>
      <c r="E50" s="635"/>
      <c r="F50" s="635"/>
      <c r="G50" s="635"/>
      <c r="H50" s="635"/>
      <c r="I50" s="635"/>
      <c r="J50" s="635"/>
      <c r="K50" s="635"/>
      <c r="L50" s="635"/>
      <c r="M50" s="635"/>
      <c r="N50" s="635"/>
      <c r="O50" s="635"/>
      <c r="P50" s="635"/>
      <c r="Q50" s="131"/>
      <c r="R50" s="108"/>
    </row>
    <row r="51" spans="4:18"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5"/>
    </row>
    <row r="52" spans="4:18">
      <c r="D52" s="635"/>
      <c r="E52" s="635"/>
      <c r="F52" s="635"/>
      <c r="G52" s="635"/>
      <c r="H52" s="635"/>
      <c r="I52" s="635"/>
      <c r="J52" s="635"/>
      <c r="K52" s="635"/>
      <c r="L52" s="635"/>
      <c r="M52" s="635"/>
      <c r="N52" s="635"/>
      <c r="O52" s="635"/>
      <c r="P52" s="635"/>
      <c r="Q52" s="635"/>
    </row>
    <row r="53" spans="4:18">
      <c r="D53" s="635"/>
      <c r="E53" s="635"/>
      <c r="F53" s="635"/>
      <c r="G53" s="635"/>
      <c r="H53" s="635"/>
      <c r="I53" s="635"/>
      <c r="J53" s="635"/>
      <c r="K53" s="635"/>
      <c r="L53" s="635"/>
      <c r="M53" s="635"/>
      <c r="N53" s="635"/>
      <c r="O53" s="635"/>
      <c r="P53" s="635"/>
      <c r="Q53" s="108"/>
    </row>
    <row r="54" spans="4:18">
      <c r="D54" s="635"/>
      <c r="E54" s="635"/>
      <c r="F54" s="635"/>
      <c r="G54" s="635"/>
      <c r="H54" s="635"/>
      <c r="I54" s="635"/>
      <c r="J54" s="635"/>
      <c r="K54" s="635"/>
      <c r="L54" s="635"/>
      <c r="M54" s="635"/>
      <c r="N54" s="635"/>
      <c r="O54" s="635"/>
      <c r="P54" s="635"/>
      <c r="Q54" s="635"/>
    </row>
    <row r="55" spans="4:18">
      <c r="D55" s="635"/>
      <c r="E55" s="635"/>
      <c r="F55" s="635"/>
      <c r="G55" s="635"/>
      <c r="H55" s="635"/>
      <c r="I55" s="635"/>
      <c r="J55" s="635"/>
      <c r="K55" s="635"/>
      <c r="L55" s="635"/>
      <c r="M55" s="635"/>
      <c r="N55" s="108"/>
      <c r="O55" s="108"/>
      <c r="P55" s="635"/>
      <c r="Q55" s="635"/>
    </row>
    <row r="56" spans="4:18">
      <c r="D56" s="635"/>
      <c r="E56" s="635"/>
      <c r="F56" s="635"/>
      <c r="G56" s="635"/>
      <c r="H56" s="635"/>
      <c r="I56" s="635"/>
      <c r="J56" s="635"/>
      <c r="K56" s="635"/>
      <c r="L56" s="635"/>
      <c r="M56" s="635"/>
      <c r="N56" s="108"/>
      <c r="O56" s="108"/>
      <c r="P56" s="635"/>
      <c r="Q56" s="635"/>
    </row>
    <row r="57" spans="4:18">
      <c r="D57" s="635"/>
      <c r="E57" s="635"/>
      <c r="F57" s="635"/>
      <c r="G57" s="635"/>
      <c r="H57" s="635"/>
      <c r="I57" s="635"/>
      <c r="J57" s="635"/>
      <c r="K57" s="635"/>
      <c r="L57" s="635"/>
      <c r="M57" s="635"/>
      <c r="N57" s="635"/>
      <c r="O57" s="635"/>
      <c r="P57" s="635"/>
      <c r="Q57" s="635"/>
    </row>
    <row r="58" spans="4:18">
      <c r="D58" s="635"/>
      <c r="E58" s="635"/>
      <c r="F58" s="635"/>
      <c r="G58" s="635"/>
      <c r="H58" s="635"/>
      <c r="I58" s="635"/>
      <c r="J58" s="635"/>
      <c r="K58" s="635"/>
      <c r="L58" s="635"/>
      <c r="M58" s="635"/>
      <c r="N58" s="635"/>
      <c r="O58" s="635"/>
      <c r="P58" s="635"/>
      <c r="Q58" s="635"/>
    </row>
  </sheetData>
  <mergeCells count="6">
    <mergeCell ref="D10:H10"/>
    <mergeCell ref="A1:P1"/>
    <mergeCell ref="A2:P2"/>
    <mergeCell ref="A3:P3"/>
    <mergeCell ref="A4:P4"/>
    <mergeCell ref="A5:P5"/>
  </mergeCells>
  <phoneticPr fontId="23" type="noConversion"/>
  <printOptions horizontalCentered="1"/>
  <pageMargins left="0.5" right="0.5" top="0.66" bottom="0.5" header="0.5" footer="0.5"/>
  <pageSetup scale="70" orientation="landscape" verticalDpi="300" r:id="rId1"/>
  <headerFooter alignWithMargins="0">
    <oddFooter>&amp;RSchedule &amp;A
Page &amp;P of &amp;N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V74"/>
  <sheetViews>
    <sheetView view="pageBreakPreview" zoomScale="70" zoomScaleNormal="80" zoomScaleSheetLayoutView="70" workbookViewId="0">
      <pane xSplit="6" ySplit="12" topLeftCell="G13" activePane="bottomRight" state="frozen"/>
      <selection activeCell="N43" sqref="N43"/>
      <selection pane="topRight" activeCell="N43" sqref="N43"/>
      <selection pane="bottomLeft" activeCell="N43" sqref="N43"/>
      <selection pane="bottomRight" activeCell="N43" sqref="N43"/>
    </sheetView>
  </sheetViews>
  <sheetFormatPr defaultColWidth="7.109375" defaultRowHeight="15"/>
  <cols>
    <col min="1" max="1" width="4.44140625" style="103" customWidth="1"/>
    <col min="2" max="2" width="0" style="103" hidden="1" customWidth="1"/>
    <col min="3" max="3" width="12.33203125" style="103" customWidth="1"/>
    <col min="4" max="4" width="7.109375" style="103"/>
    <col min="5" max="5" width="4.44140625" style="103" customWidth="1"/>
    <col min="6" max="6" width="1.44140625" style="103" customWidth="1"/>
    <col min="7" max="7" width="13.33203125" style="103" bestFit="1" customWidth="1"/>
    <col min="8" max="8" width="12.88671875" style="103" customWidth="1"/>
    <col min="9" max="10" width="13.33203125" style="103" bestFit="1" customWidth="1"/>
    <col min="11" max="11" width="13.33203125" style="103" customWidth="1"/>
    <col min="12" max="12" width="1.44140625" style="103" customWidth="1"/>
    <col min="13" max="13" width="13.109375" style="103" bestFit="1" customWidth="1"/>
    <col min="14" max="14" width="1.44140625" style="103" customWidth="1"/>
    <col min="15" max="15" width="13.109375" style="103" bestFit="1" customWidth="1"/>
    <col min="16" max="16" width="1.44140625" style="103" customWidth="1"/>
    <col min="17" max="17" width="13.44140625" style="103" customWidth="1"/>
    <col min="18" max="19" width="13.5546875" style="103" customWidth="1"/>
    <col min="20" max="20" width="9.33203125" style="103" customWidth="1"/>
    <col min="21" max="22" width="11.44140625" style="103" bestFit="1" customWidth="1"/>
    <col min="23" max="16384" width="7.109375" style="103"/>
  </cols>
  <sheetData>
    <row r="1" spans="1:21">
      <c r="A1" s="1216" t="str">
        <f>'Table of Contents'!A1:C1</f>
        <v>Atmos Energy Corporation, Kentucky/Mid-States Division</v>
      </c>
      <c r="B1" s="1216"/>
      <c r="C1" s="1216"/>
      <c r="D1" s="1216"/>
      <c r="E1" s="1216"/>
      <c r="F1" s="1216"/>
      <c r="G1" s="1216"/>
      <c r="H1" s="1216"/>
      <c r="I1" s="1216"/>
      <c r="J1" s="1216"/>
      <c r="K1" s="1216"/>
      <c r="L1" s="1216"/>
      <c r="M1" s="1216"/>
      <c r="N1" s="1216"/>
      <c r="O1" s="1216"/>
      <c r="P1" s="1216"/>
      <c r="Q1" s="1216"/>
      <c r="R1" s="1216"/>
      <c r="S1" s="764"/>
    </row>
    <row r="2" spans="1:21">
      <c r="A2" s="1216" t="str">
        <f>'Table of Contents'!A2:C2</f>
        <v>Kentucky Jurisdiction Case No. 2018-00281</v>
      </c>
      <c r="B2" s="1216"/>
      <c r="C2" s="1216"/>
      <c r="D2" s="1216"/>
      <c r="E2" s="1216"/>
      <c r="F2" s="1216"/>
      <c r="G2" s="1216"/>
      <c r="H2" s="1216"/>
      <c r="I2" s="1216"/>
      <c r="J2" s="1216"/>
      <c r="K2" s="1216"/>
      <c r="L2" s="1216"/>
      <c r="M2" s="1216"/>
      <c r="N2" s="1216"/>
      <c r="O2" s="1216"/>
      <c r="P2" s="1216"/>
      <c r="Q2" s="1216"/>
      <c r="R2" s="1216"/>
      <c r="S2" s="764"/>
    </row>
    <row r="3" spans="1:21">
      <c r="A3" s="1216" t="s">
        <v>313</v>
      </c>
      <c r="B3" s="1216"/>
      <c r="C3" s="1216"/>
      <c r="D3" s="1216"/>
      <c r="E3" s="1216"/>
      <c r="F3" s="1216"/>
      <c r="G3" s="1216"/>
      <c r="H3" s="1216"/>
      <c r="I3" s="1216"/>
      <c r="J3" s="1216"/>
      <c r="K3" s="1216"/>
      <c r="L3" s="1216"/>
      <c r="M3" s="1216"/>
      <c r="N3" s="1216"/>
      <c r="O3" s="1216"/>
      <c r="P3" s="1216"/>
      <c r="Q3" s="1216"/>
      <c r="R3" s="1216"/>
      <c r="S3" s="764"/>
    </row>
    <row r="4" spans="1:21">
      <c r="A4" s="1216" t="str">
        <f>'Table of Contents'!A3:C3</f>
        <v>Base Period: Twelve Months Ended December 31, 2018</v>
      </c>
      <c r="B4" s="1216"/>
      <c r="C4" s="1216"/>
      <c r="D4" s="1216"/>
      <c r="E4" s="1216"/>
      <c r="F4" s="1216"/>
      <c r="G4" s="1216"/>
      <c r="H4" s="1216"/>
      <c r="I4" s="1216"/>
      <c r="J4" s="1216"/>
      <c r="K4" s="1216"/>
      <c r="L4" s="1216"/>
      <c r="M4" s="1216"/>
      <c r="N4" s="1216"/>
      <c r="O4" s="1216"/>
      <c r="P4" s="1216"/>
      <c r="Q4" s="1216"/>
      <c r="R4" s="1216"/>
      <c r="S4" s="764"/>
    </row>
    <row r="5" spans="1:21">
      <c r="A5" s="1216" t="str">
        <f>'Table of Contents'!A4:C4</f>
        <v>Forecasted Test Period: Twelve Months Ended March 31, 2020</v>
      </c>
      <c r="B5" s="1216"/>
      <c r="C5" s="1216"/>
      <c r="D5" s="1216"/>
      <c r="E5" s="1216"/>
      <c r="F5" s="1216"/>
      <c r="G5" s="1216"/>
      <c r="H5" s="1216"/>
      <c r="I5" s="1216"/>
      <c r="J5" s="1216"/>
      <c r="K5" s="1216"/>
      <c r="L5" s="1216"/>
      <c r="M5" s="1216"/>
      <c r="N5" s="1216"/>
      <c r="O5" s="1216"/>
      <c r="P5" s="1216"/>
      <c r="Q5" s="1216"/>
      <c r="R5" s="1216"/>
      <c r="S5" s="764"/>
    </row>
    <row r="6" spans="1:21">
      <c r="T6" s="801"/>
      <c r="U6" s="801"/>
    </row>
    <row r="7" spans="1:21">
      <c r="A7" s="583" t="s">
        <v>680</v>
      </c>
      <c r="R7" s="103" t="s">
        <v>1437</v>
      </c>
      <c r="T7" s="801"/>
      <c r="U7" s="801"/>
    </row>
    <row r="8" spans="1:21">
      <c r="A8" s="583" t="s">
        <v>539</v>
      </c>
      <c r="Q8" s="583"/>
      <c r="R8" s="583" t="s">
        <v>1136</v>
      </c>
      <c r="T8" s="801"/>
      <c r="U8" s="801"/>
    </row>
    <row r="9" spans="1:21">
      <c r="A9" s="950" t="s">
        <v>365</v>
      </c>
      <c r="B9" s="929"/>
      <c r="C9" s="929"/>
      <c r="D9" s="929"/>
      <c r="E9" s="929"/>
      <c r="F9" s="929"/>
      <c r="G9" s="929"/>
      <c r="H9" s="929"/>
      <c r="I9" s="929"/>
      <c r="J9" s="929"/>
      <c r="K9" s="929"/>
      <c r="L9" s="929"/>
      <c r="M9" s="929"/>
      <c r="N9" s="929"/>
      <c r="O9" s="929"/>
      <c r="P9" s="929"/>
      <c r="Q9" s="950"/>
      <c r="R9" s="950" t="s">
        <v>1686</v>
      </c>
      <c r="S9" s="801"/>
      <c r="T9" s="801"/>
      <c r="U9" s="801"/>
    </row>
    <row r="10" spans="1:21">
      <c r="M10" s="121" t="s">
        <v>44</v>
      </c>
      <c r="O10" s="121" t="s">
        <v>43</v>
      </c>
      <c r="P10" s="121"/>
      <c r="T10" s="801"/>
      <c r="U10" s="801"/>
    </row>
    <row r="11" spans="1:21">
      <c r="A11" s="583" t="s">
        <v>93</v>
      </c>
      <c r="G11" s="1217" t="s">
        <v>1161</v>
      </c>
      <c r="H11" s="1217"/>
      <c r="I11" s="1217"/>
      <c r="J11" s="1217"/>
      <c r="K11" s="1217"/>
      <c r="M11" s="121" t="s">
        <v>538</v>
      </c>
      <c r="O11" s="121" t="s">
        <v>538</v>
      </c>
      <c r="P11" s="121"/>
      <c r="Q11" s="1217"/>
      <c r="R11" s="1217"/>
      <c r="S11" s="1217"/>
      <c r="T11" s="801"/>
      <c r="U11" s="801"/>
    </row>
    <row r="12" spans="1:21">
      <c r="A12" s="950" t="s">
        <v>99</v>
      </c>
      <c r="B12" s="929"/>
      <c r="C12" s="648" t="s">
        <v>985</v>
      </c>
      <c r="D12" s="929"/>
      <c r="E12" s="929"/>
      <c r="F12" s="929"/>
      <c r="G12" s="639" t="str">
        <f>I.1!D13</f>
        <v>2013</v>
      </c>
      <c r="H12" s="639" t="str">
        <f>I.1!E13</f>
        <v>2014</v>
      </c>
      <c r="I12" s="639" t="str">
        <f>I.1!F13</f>
        <v>2015</v>
      </c>
      <c r="J12" s="639" t="str">
        <f>I.1!G13</f>
        <v>2016</v>
      </c>
      <c r="K12" s="639" t="str">
        <f>I.1!H13</f>
        <v>2017</v>
      </c>
      <c r="L12" s="966"/>
      <c r="M12" s="964">
        <f>I.1!J13</f>
        <v>43465</v>
      </c>
      <c r="N12" s="965"/>
      <c r="O12" s="964">
        <f>I.1!L13</f>
        <v>43921</v>
      </c>
      <c r="P12" s="967"/>
      <c r="Q12" s="639">
        <f>I.1!N13</f>
        <v>2020</v>
      </c>
      <c r="R12" s="639" t="str">
        <f>I.1!O13</f>
        <v>2021</v>
      </c>
      <c r="S12" s="639" t="str">
        <f>I.1!P13</f>
        <v>2022</v>
      </c>
      <c r="T12" s="801"/>
      <c r="U12" s="801"/>
    </row>
    <row r="13" spans="1:21">
      <c r="G13" s="121"/>
      <c r="H13" s="121"/>
      <c r="I13" s="121"/>
      <c r="J13" s="121"/>
      <c r="K13" s="121"/>
      <c r="M13" s="121"/>
      <c r="O13" s="121"/>
      <c r="P13" s="121"/>
      <c r="Q13" s="121"/>
      <c r="R13" s="121"/>
      <c r="S13" s="121"/>
      <c r="T13" s="801"/>
      <c r="U13" s="801"/>
    </row>
    <row r="14" spans="1:21">
      <c r="T14" s="801"/>
      <c r="U14" s="801"/>
    </row>
    <row r="15" spans="1:21">
      <c r="A15" s="121" t="s">
        <v>366</v>
      </c>
      <c r="C15" s="583" t="s">
        <v>716</v>
      </c>
      <c r="M15" s="103" t="s">
        <v>323</v>
      </c>
      <c r="T15" s="801"/>
      <c r="U15" s="801"/>
    </row>
    <row r="16" spans="1:21">
      <c r="A16" s="121" t="s">
        <v>368</v>
      </c>
      <c r="C16" s="583" t="s">
        <v>130</v>
      </c>
      <c r="G16" s="571">
        <v>96055210.370000005</v>
      </c>
      <c r="H16" s="571">
        <v>115327134.47</v>
      </c>
      <c r="I16" s="571">
        <v>97211019.390000001</v>
      </c>
      <c r="J16" s="571">
        <v>85596831.810000002</v>
      </c>
      <c r="K16" s="571">
        <v>94138421.609999999</v>
      </c>
      <c r="M16" s="571">
        <f>'C.2.1 B'!D15+'C.2.1 B'!D16</f>
        <v>102936982.17000003</v>
      </c>
      <c r="O16" s="571">
        <v>96519490.135870919</v>
      </c>
      <c r="Q16" s="571">
        <v>96326562.817952901</v>
      </c>
      <c r="R16" s="571">
        <v>95527942.254613966</v>
      </c>
      <c r="S16" s="571">
        <v>95391680.203140974</v>
      </c>
      <c r="T16" s="683"/>
      <c r="U16" s="801"/>
    </row>
    <row r="17" spans="1:22">
      <c r="A17" s="121" t="s">
        <v>370</v>
      </c>
      <c r="C17" s="583" t="s">
        <v>131</v>
      </c>
      <c r="D17" s="121"/>
      <c r="G17" s="108">
        <v>39938783.520000003</v>
      </c>
      <c r="H17" s="108">
        <v>49294803.939999998</v>
      </c>
      <c r="I17" s="108">
        <v>42476905.359999999</v>
      </c>
      <c r="J17" s="108">
        <v>34032004.469999999</v>
      </c>
      <c r="K17" s="108">
        <v>38222731.340000004</v>
      </c>
      <c r="M17" s="108">
        <f>'C.2.1 B'!D17+'C.2.1 B'!D19</f>
        <v>44559827.980000004</v>
      </c>
      <c r="O17" s="108">
        <v>41608020.101760417</v>
      </c>
      <c r="Q17" s="571">
        <v>41428892.939616829</v>
      </c>
      <c r="R17" s="571">
        <v>40924733.05986508</v>
      </c>
      <c r="S17" s="571">
        <v>40763656.345370151</v>
      </c>
      <c r="T17" s="683"/>
      <c r="U17" s="801"/>
    </row>
    <row r="18" spans="1:22">
      <c r="A18" s="121" t="s">
        <v>371</v>
      </c>
      <c r="C18" s="583" t="s">
        <v>132</v>
      </c>
      <c r="D18" s="121"/>
      <c r="G18" s="108">
        <v>4796885.17</v>
      </c>
      <c r="H18" s="108">
        <v>5845776.3600000003</v>
      </c>
      <c r="I18" s="108">
        <v>5705426.8300000001</v>
      </c>
      <c r="J18" s="108">
        <v>4441439.42</v>
      </c>
      <c r="K18" s="108">
        <v>6400149.6799999997</v>
      </c>
      <c r="M18" s="108">
        <f>'C.2.1 B'!D18+'C.2.1 B'!D20</f>
        <v>6808860.7199999997</v>
      </c>
      <c r="O18" s="108">
        <v>5370384.8363220226</v>
      </c>
      <c r="Q18" s="571">
        <v>5338210.9192328397</v>
      </c>
      <c r="R18" s="571">
        <v>5242091.0101568168</v>
      </c>
      <c r="S18" s="571">
        <v>5211955.517644221</v>
      </c>
      <c r="T18" s="683"/>
      <c r="U18" s="801"/>
    </row>
    <row r="19" spans="1:22">
      <c r="A19" s="121" t="s">
        <v>372</v>
      </c>
      <c r="C19" s="583" t="s">
        <v>163</v>
      </c>
      <c r="D19" s="121"/>
      <c r="G19" s="108">
        <v>8073794.1100000003</v>
      </c>
      <c r="H19" s="108">
        <v>9679607.4199999999</v>
      </c>
      <c r="I19" s="108">
        <v>7834566.2000000002</v>
      </c>
      <c r="J19" s="108">
        <v>5756387.6699999999</v>
      </c>
      <c r="K19" s="108">
        <v>6108524.0199999996</v>
      </c>
      <c r="M19" s="108">
        <f>'C.2.1 B'!D21+'C.2.1 B'!D22</f>
        <v>7278440.0700000012</v>
      </c>
      <c r="O19" s="108">
        <v>6749806.8088478921</v>
      </c>
      <c r="Q19" s="571">
        <v>6720022.4535946194</v>
      </c>
      <c r="R19" s="571">
        <v>6626213.6871405225</v>
      </c>
      <c r="S19" s="571">
        <v>6595812.9293247033</v>
      </c>
      <c r="T19" s="683"/>
      <c r="U19" s="801"/>
    </row>
    <row r="20" spans="1:22">
      <c r="A20" s="121" t="s">
        <v>373</v>
      </c>
      <c r="C20" s="583" t="s">
        <v>85</v>
      </c>
      <c r="G20" s="426"/>
      <c r="H20" s="426"/>
      <c r="I20" s="426"/>
      <c r="J20" s="426"/>
      <c r="K20" s="426"/>
      <c r="M20" s="426"/>
      <c r="N20" s="929"/>
      <c r="O20" s="109"/>
      <c r="Q20" s="109"/>
      <c r="R20" s="109"/>
      <c r="S20" s="109"/>
      <c r="T20" s="683"/>
      <c r="U20" s="801"/>
    </row>
    <row r="21" spans="1:22">
      <c r="G21" s="108"/>
      <c r="H21" s="108"/>
      <c r="I21" s="108"/>
      <c r="J21" s="108"/>
      <c r="K21" s="108"/>
      <c r="M21" s="108"/>
      <c r="O21" s="108"/>
      <c r="Q21" s="108"/>
      <c r="R21" s="108"/>
      <c r="S21" s="108"/>
      <c r="T21" s="683"/>
    </row>
    <row r="22" spans="1:22">
      <c r="A22" s="121" t="s">
        <v>374</v>
      </c>
      <c r="C22" s="583" t="s">
        <v>419</v>
      </c>
      <c r="G22" s="571">
        <f>SUM(G16:G20)</f>
        <v>148864673.17000002</v>
      </c>
      <c r="H22" s="571">
        <f>SUM(H16:H20)</f>
        <v>180147322.19</v>
      </c>
      <c r="I22" s="571">
        <f>SUM(I16:I20)</f>
        <v>153227917.78</v>
      </c>
      <c r="J22" s="571">
        <f>SUM(J16:J20)</f>
        <v>129826663.37</v>
      </c>
      <c r="K22" s="571">
        <f>SUM(K16:K20)</f>
        <v>144869826.65000001</v>
      </c>
      <c r="M22" s="571">
        <f>SUM(M16:M20)</f>
        <v>161584110.94000003</v>
      </c>
      <c r="N22" s="360"/>
      <c r="O22" s="571">
        <v>150247701.88280123</v>
      </c>
      <c r="Q22" s="571">
        <v>149813689.1303972</v>
      </c>
      <c r="R22" s="571">
        <v>148320980.01177639</v>
      </c>
      <c r="S22" s="571">
        <v>147963104.99548006</v>
      </c>
      <c r="T22" s="683"/>
      <c r="U22" s="801"/>
      <c r="V22" s="801"/>
    </row>
    <row r="23" spans="1:22">
      <c r="G23" s="108"/>
      <c r="H23" s="108"/>
      <c r="I23" s="108"/>
      <c r="J23" s="108"/>
      <c r="K23" s="108"/>
      <c r="M23" s="108"/>
      <c r="O23" s="108"/>
      <c r="Q23" s="108"/>
      <c r="R23" s="108"/>
      <c r="S23" s="108"/>
      <c r="T23" s="683"/>
    </row>
    <row r="24" spans="1:22">
      <c r="A24" s="121">
        <v>8</v>
      </c>
      <c r="C24" s="583" t="s">
        <v>164</v>
      </c>
      <c r="G24" s="108"/>
      <c r="H24" s="108"/>
      <c r="I24" s="108"/>
      <c r="J24" s="108"/>
      <c r="K24" s="108"/>
      <c r="M24" s="108"/>
      <c r="O24" s="108"/>
      <c r="Q24" s="108"/>
      <c r="R24" s="108"/>
      <c r="S24" s="108"/>
      <c r="T24" s="683"/>
      <c r="U24" s="801"/>
    </row>
    <row r="25" spans="1:22">
      <c r="A25" s="121" t="s">
        <v>377</v>
      </c>
      <c r="C25" s="583" t="s">
        <v>130</v>
      </c>
      <c r="D25" s="121" t="s">
        <v>323</v>
      </c>
      <c r="G25" s="627">
        <v>153903.75</v>
      </c>
      <c r="H25" s="627">
        <v>155702.08333333334</v>
      </c>
      <c r="I25" s="627">
        <v>155280.75</v>
      </c>
      <c r="J25" s="627">
        <v>155597.41666666666</v>
      </c>
      <c r="K25" s="627">
        <v>156173.75</v>
      </c>
      <c r="M25" s="627">
        <v>157629</v>
      </c>
      <c r="N25" s="616"/>
      <c r="O25" s="627">
        <v>157712.83333333334</v>
      </c>
      <c r="Q25" s="627">
        <v>157875.33333333334</v>
      </c>
      <c r="R25" s="627">
        <v>158200.33333333334</v>
      </c>
      <c r="S25" s="627">
        <v>158525.33333333334</v>
      </c>
      <c r="T25" s="683"/>
      <c r="U25" s="801"/>
    </row>
    <row r="26" spans="1:22">
      <c r="A26" s="121" t="s">
        <v>378</v>
      </c>
      <c r="C26" s="583" t="s">
        <v>131</v>
      </c>
      <c r="D26" s="121"/>
      <c r="G26" s="627">
        <v>17318</v>
      </c>
      <c r="H26" s="627">
        <v>17435.166666666668</v>
      </c>
      <c r="I26" s="627">
        <v>17333.333333333332</v>
      </c>
      <c r="J26" s="627">
        <v>17339</v>
      </c>
      <c r="K26" s="627">
        <v>17353.666666666668</v>
      </c>
      <c r="M26" s="627">
        <v>17509.916666666668</v>
      </c>
      <c r="O26" s="627">
        <v>17445.75</v>
      </c>
      <c r="Q26" s="627">
        <v>17445.75</v>
      </c>
      <c r="R26" s="627">
        <v>17445.75</v>
      </c>
      <c r="S26" s="627">
        <v>17445.75</v>
      </c>
      <c r="T26" s="683"/>
      <c r="U26" s="801"/>
    </row>
    <row r="27" spans="1:22">
      <c r="A27" s="121">
        <v>11</v>
      </c>
      <c r="C27" s="583" t="s">
        <v>132</v>
      </c>
      <c r="D27" s="121"/>
      <c r="G27" s="627">
        <v>206.91666666666666</v>
      </c>
      <c r="H27" s="627">
        <v>203.66666666666666</v>
      </c>
      <c r="I27" s="627">
        <v>201.16666666666666</v>
      </c>
      <c r="J27" s="627">
        <v>205.33333333333334</v>
      </c>
      <c r="K27" s="627">
        <v>205.83333333333334</v>
      </c>
      <c r="M27" s="627">
        <v>212.58333333333334</v>
      </c>
      <c r="O27" s="627">
        <v>215.47328844946642</v>
      </c>
      <c r="Q27" s="627">
        <v>215.47328844946642</v>
      </c>
      <c r="R27" s="627">
        <v>215.47328844946642</v>
      </c>
      <c r="S27" s="627">
        <v>215.47328844946642</v>
      </c>
      <c r="T27" s="683"/>
      <c r="U27" s="801"/>
    </row>
    <row r="28" spans="1:22">
      <c r="A28" s="121">
        <v>12</v>
      </c>
      <c r="C28" s="583" t="s">
        <v>163</v>
      </c>
      <c r="D28" s="121"/>
      <c r="G28" s="627">
        <v>1575.3333333333333</v>
      </c>
      <c r="H28" s="627">
        <v>1576.1666666666667</v>
      </c>
      <c r="I28" s="627">
        <v>1560.8333333333333</v>
      </c>
      <c r="J28" s="627">
        <v>1550</v>
      </c>
      <c r="K28" s="627">
        <v>1548.5833333333333</v>
      </c>
      <c r="M28" s="627">
        <v>1541.5833333333333</v>
      </c>
      <c r="O28" s="627">
        <v>1534.5</v>
      </c>
      <c r="Q28" s="627">
        <v>1534.5</v>
      </c>
      <c r="R28" s="627">
        <v>1534.5</v>
      </c>
      <c r="S28" s="627">
        <v>1534.5</v>
      </c>
      <c r="T28" s="683"/>
      <c r="U28" s="801"/>
    </row>
    <row r="29" spans="1:22">
      <c r="A29" s="764" t="s">
        <v>323</v>
      </c>
      <c r="G29" s="108"/>
      <c r="H29" s="108"/>
      <c r="I29" s="108"/>
      <c r="J29" s="108"/>
      <c r="K29" s="108"/>
      <c r="M29" s="108"/>
      <c r="O29" s="108"/>
      <c r="Q29" s="108"/>
      <c r="R29" s="108"/>
      <c r="S29" s="108"/>
      <c r="T29" s="108"/>
    </row>
    <row r="30" spans="1:22">
      <c r="A30" s="764">
        <v>13</v>
      </c>
      <c r="C30" s="583" t="s">
        <v>96</v>
      </c>
      <c r="D30" s="121"/>
      <c r="G30" s="627">
        <f>SUM(G25:G29)</f>
        <v>173004</v>
      </c>
      <c r="H30" s="627">
        <f>SUM(H25:H29)</f>
        <v>174917.08333333331</v>
      </c>
      <c r="I30" s="627">
        <f>SUM(I25:I29)</f>
        <v>174376.08333333334</v>
      </c>
      <c r="J30" s="627">
        <f>SUM(J25:J29)</f>
        <v>174691.75</v>
      </c>
      <c r="K30" s="627">
        <f>SUM(K25:K29)</f>
        <v>175281.83333333334</v>
      </c>
      <c r="M30" s="627">
        <f>SUM(M25:M29)</f>
        <v>176893.08333333334</v>
      </c>
      <c r="N30" s="616"/>
      <c r="O30" s="627">
        <v>176908.5566217828</v>
      </c>
      <c r="Q30" s="627">
        <v>177071.0566217828</v>
      </c>
      <c r="R30" s="627">
        <v>177396.0566217828</v>
      </c>
      <c r="S30" s="627">
        <v>177721.0566217828</v>
      </c>
      <c r="T30" s="108"/>
    </row>
    <row r="31" spans="1:22">
      <c r="G31" s="108"/>
      <c r="H31" s="108"/>
      <c r="I31" s="108"/>
      <c r="J31" s="108"/>
      <c r="K31" s="108"/>
      <c r="M31" s="108"/>
      <c r="O31" s="108"/>
      <c r="P31" s="108"/>
      <c r="Q31" s="108"/>
      <c r="R31" s="108"/>
      <c r="S31" s="108"/>
      <c r="T31" s="108"/>
    </row>
    <row r="32" spans="1:22">
      <c r="A32" s="121">
        <v>14</v>
      </c>
      <c r="C32" s="583" t="s">
        <v>133</v>
      </c>
      <c r="G32" s="108"/>
      <c r="H32" s="108"/>
      <c r="I32" s="108"/>
      <c r="J32" s="108"/>
      <c r="K32" s="108"/>
      <c r="M32" s="108"/>
      <c r="O32" s="108"/>
      <c r="P32" s="108"/>
      <c r="Q32" s="108"/>
      <c r="R32" s="108"/>
      <c r="S32" s="108"/>
      <c r="T32" s="108"/>
    </row>
    <row r="33" spans="1:20">
      <c r="A33" s="121">
        <v>15</v>
      </c>
      <c r="C33" s="583" t="s">
        <v>130</v>
      </c>
      <c r="G33" s="571">
        <f t="shared" ref="G33:J36" si="0">(G16/G25)</f>
        <v>624.12521052930811</v>
      </c>
      <c r="H33" s="571">
        <f t="shared" si="0"/>
        <v>740.69101710799202</v>
      </c>
      <c r="I33" s="571">
        <f t="shared" si="0"/>
        <v>626.03393781907937</v>
      </c>
      <c r="J33" s="571">
        <f t="shared" si="0"/>
        <v>550.11730685331645</v>
      </c>
      <c r="K33" s="571">
        <f t="shared" ref="K33" si="1">(K16/K25)</f>
        <v>602.78005497082574</v>
      </c>
      <c r="L33" s="360"/>
      <c r="M33" s="571">
        <f>(M16/M25)</f>
        <v>653.03327541251952</v>
      </c>
      <c r="N33" s="360"/>
      <c r="O33" s="571">
        <v>611.99515661399937</v>
      </c>
      <c r="P33" s="571"/>
      <c r="Q33" s="571">
        <v>610.14321100163147</v>
      </c>
      <c r="R33" s="571">
        <v>603.84159907762921</v>
      </c>
      <c r="S33" s="571">
        <v>601.74407583524589</v>
      </c>
      <c r="T33" s="108"/>
    </row>
    <row r="34" spans="1:20">
      <c r="A34" s="121">
        <v>16</v>
      </c>
      <c r="C34" s="583" t="s">
        <v>131</v>
      </c>
      <c r="G34" s="108">
        <f t="shared" si="0"/>
        <v>2306.2006883011895</v>
      </c>
      <c r="H34" s="108">
        <f t="shared" si="0"/>
        <v>2827.3204886675394</v>
      </c>
      <c r="I34" s="108">
        <f t="shared" si="0"/>
        <v>2450.590693846154</v>
      </c>
      <c r="J34" s="108">
        <f t="shared" si="0"/>
        <v>1962.7432072207162</v>
      </c>
      <c r="K34" s="108">
        <f t="shared" ref="K34" si="2">(K17/K26)</f>
        <v>2202.5737888246481</v>
      </c>
      <c r="M34" s="108">
        <f>(M17/M26)</f>
        <v>2544.8338120779176</v>
      </c>
      <c r="O34" s="108">
        <v>2384.9946320313211</v>
      </c>
      <c r="P34" s="108"/>
      <c r="Q34" s="108">
        <v>2374.726964424965</v>
      </c>
      <c r="R34" s="108">
        <v>2345.8282424008758</v>
      </c>
      <c r="S34" s="108">
        <v>2336.595236396839</v>
      </c>
      <c r="T34" s="108"/>
    </row>
    <row r="35" spans="1:20">
      <c r="A35" s="121">
        <v>17</v>
      </c>
      <c r="C35" s="583" t="s">
        <v>132</v>
      </c>
      <c r="G35" s="108">
        <f t="shared" si="0"/>
        <v>23182.691115585985</v>
      </c>
      <c r="H35" s="108">
        <f t="shared" si="0"/>
        <v>28702.66625204583</v>
      </c>
      <c r="I35" s="108">
        <f t="shared" si="0"/>
        <v>28361.69095277548</v>
      </c>
      <c r="J35" s="108">
        <f t="shared" si="0"/>
        <v>21630.386785714283</v>
      </c>
      <c r="K35" s="108">
        <f t="shared" ref="K35" si="3">(K18/K27)</f>
        <v>31093.844599190281</v>
      </c>
      <c r="M35" s="108">
        <f>(M18/M27)</f>
        <v>32029.137059976478</v>
      </c>
      <c r="O35" s="108">
        <v>24923.668613251357</v>
      </c>
      <c r="P35" s="108"/>
      <c r="Q35" s="108">
        <v>24774.351185923337</v>
      </c>
      <c r="R35" s="108">
        <v>24328.263832044366</v>
      </c>
      <c r="S35" s="108">
        <v>24188.406624083931</v>
      </c>
      <c r="T35" s="108"/>
    </row>
    <row r="36" spans="1:20">
      <c r="A36" s="121">
        <v>18</v>
      </c>
      <c r="C36" s="583" t="s">
        <v>163</v>
      </c>
      <c r="G36" s="108">
        <f t="shared" si="0"/>
        <v>5125.1337981379611</v>
      </c>
      <c r="H36" s="108">
        <f t="shared" si="0"/>
        <v>6141.2334270910433</v>
      </c>
      <c r="I36" s="108">
        <f t="shared" si="0"/>
        <v>5019.4764762413242</v>
      </c>
      <c r="J36" s="108">
        <f t="shared" si="0"/>
        <v>3713.7984967741936</v>
      </c>
      <c r="K36" s="108">
        <f t="shared" ref="K36" si="4">(K19/K28)</f>
        <v>3944.588507775924</v>
      </c>
      <c r="M36" s="108">
        <f>(M19/M28)</f>
        <v>4721.4055267852327</v>
      </c>
      <c r="O36" s="108">
        <v>4398.7010810347947</v>
      </c>
      <c r="P36" s="108"/>
      <c r="Q36" s="108">
        <v>4379.2912698563832</v>
      </c>
      <c r="R36" s="108">
        <v>4318.1581538875998</v>
      </c>
      <c r="S36" s="108">
        <v>4298.3466466762484</v>
      </c>
      <c r="T36" s="108"/>
    </row>
    <row r="37" spans="1:20">
      <c r="H37" s="108"/>
      <c r="I37" s="108"/>
      <c r="J37" s="108"/>
      <c r="K37" s="108"/>
      <c r="M37" s="108"/>
    </row>
    <row r="38" spans="1:20">
      <c r="A38" s="583"/>
      <c r="C38" s="583" t="s">
        <v>1232</v>
      </c>
      <c r="G38" s="108"/>
      <c r="H38" s="108"/>
      <c r="I38" s="108"/>
      <c r="J38" s="108"/>
      <c r="K38" s="108"/>
      <c r="M38" s="108"/>
      <c r="O38" s="108"/>
      <c r="P38" s="108"/>
      <c r="Q38" s="108"/>
      <c r="R38" s="108"/>
      <c r="S38" s="108"/>
      <c r="T38" s="108"/>
    </row>
    <row r="39" spans="1:20">
      <c r="C39" s="583"/>
      <c r="G39" s="108"/>
      <c r="H39" s="108"/>
      <c r="I39" s="108"/>
      <c r="J39" s="108"/>
      <c r="K39" s="108"/>
      <c r="M39" s="108"/>
      <c r="O39" s="108"/>
      <c r="P39" s="108"/>
      <c r="Q39" s="108"/>
      <c r="R39" s="108"/>
      <c r="S39" s="108"/>
      <c r="T39" s="108"/>
    </row>
    <row r="40" spans="1:20">
      <c r="R40" s="108"/>
      <c r="S40" s="108"/>
      <c r="T40" s="108"/>
    </row>
    <row r="42" spans="1:20">
      <c r="R42" s="108"/>
      <c r="S42" s="108"/>
      <c r="T42" s="108"/>
    </row>
    <row r="43" spans="1:20">
      <c r="R43" s="108"/>
      <c r="S43" s="108"/>
      <c r="T43" s="108"/>
    </row>
    <row r="71" spans="9:11">
      <c r="I71" s="108"/>
      <c r="J71" s="108"/>
      <c r="K71" s="108"/>
    </row>
    <row r="72" spans="9:11">
      <c r="I72" s="108"/>
      <c r="J72" s="108"/>
      <c r="K72" s="108"/>
    </row>
    <row r="73" spans="9:11">
      <c r="I73" s="108"/>
      <c r="J73" s="108"/>
      <c r="K73" s="108"/>
    </row>
    <row r="74" spans="9:11">
      <c r="I74" s="108"/>
      <c r="J74" s="108"/>
      <c r="K74" s="108"/>
    </row>
  </sheetData>
  <mergeCells count="7">
    <mergeCell ref="G11:K11"/>
    <mergeCell ref="Q11:S11"/>
    <mergeCell ref="A1:R1"/>
    <mergeCell ref="A2:R2"/>
    <mergeCell ref="A4:R4"/>
    <mergeCell ref="A5:R5"/>
    <mergeCell ref="A3:R3"/>
  </mergeCells>
  <phoneticPr fontId="23" type="noConversion"/>
  <pageMargins left="0.5" right="0.5" top="0.75" bottom="0.5" header="0.5" footer="0.5"/>
  <pageSetup scale="64" orientation="landscape" verticalDpi="300" r:id="rId1"/>
  <headerFooter alignWithMargins="0">
    <oddFooter>&amp;RSchedule &amp;A
Page &amp;P of &amp;N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T74"/>
  <sheetViews>
    <sheetView view="pageBreakPreview" zoomScale="80" zoomScaleNormal="90" zoomScaleSheetLayoutView="80" workbookViewId="0">
      <pane xSplit="6" ySplit="13" topLeftCell="G14" activePane="bottomRight" state="frozen"/>
      <selection activeCell="N43" sqref="N43"/>
      <selection pane="topRight" activeCell="N43" sqref="N43"/>
      <selection pane="bottomLeft" activeCell="N43" sqref="N43"/>
      <selection pane="bottomRight" activeCell="N43" sqref="N43"/>
    </sheetView>
  </sheetViews>
  <sheetFormatPr defaultColWidth="7.109375" defaultRowHeight="15"/>
  <cols>
    <col min="1" max="1" width="4" style="96" customWidth="1"/>
    <col min="2" max="2" width="0" style="96" hidden="1" customWidth="1"/>
    <col min="3" max="3" width="16.44140625" style="96" customWidth="1"/>
    <col min="4" max="4" width="5" style="96" customWidth="1"/>
    <col min="5" max="5" width="3.21875" style="96" customWidth="1"/>
    <col min="6" max="6" width="1.44140625" style="96" customWidth="1"/>
    <col min="7" max="8" width="11.44140625" style="96" customWidth="1"/>
    <col min="9" max="9" width="12.88671875" style="96" customWidth="1"/>
    <col min="10" max="11" width="11.44140625" style="96" customWidth="1"/>
    <col min="12" max="12" width="1.44140625" style="96" customWidth="1"/>
    <col min="13" max="13" width="12.109375" style="96" customWidth="1"/>
    <col min="14" max="14" width="1.44140625" style="96" customWidth="1"/>
    <col min="15" max="15" width="12.88671875" style="96" customWidth="1"/>
    <col min="16" max="16" width="1.5546875" style="96" customWidth="1"/>
    <col min="17" max="17" width="12.33203125" style="96" customWidth="1"/>
    <col min="18" max="19" width="12.88671875" style="96" customWidth="1"/>
    <col min="20" max="20" width="9.33203125" style="96" customWidth="1"/>
    <col min="21" max="16384" width="7.109375" style="96"/>
  </cols>
  <sheetData>
    <row r="1" spans="1:20">
      <c r="A1" s="1219" t="str">
        <f>'Table of Contents'!A1:C1</f>
        <v>Atmos Energy Corporation, Kentucky/Mid-States Division</v>
      </c>
      <c r="B1" s="1219"/>
      <c r="C1" s="1219"/>
      <c r="D1" s="1219"/>
      <c r="E1" s="1219"/>
      <c r="F1" s="1219"/>
      <c r="G1" s="1219"/>
      <c r="H1" s="1219"/>
      <c r="I1" s="1219"/>
      <c r="J1" s="1219"/>
      <c r="K1" s="1219"/>
      <c r="L1" s="1219"/>
      <c r="M1" s="1219"/>
      <c r="N1" s="1219"/>
      <c r="O1" s="1219"/>
      <c r="P1" s="1219"/>
      <c r="Q1" s="1219"/>
      <c r="R1" s="1219"/>
      <c r="S1" s="852"/>
    </row>
    <row r="2" spans="1:20">
      <c r="A2" s="1219" t="str">
        <f>'Table of Contents'!A2:C2</f>
        <v>Kentucky Jurisdiction Case No. 2018-00281</v>
      </c>
      <c r="B2" s="1219"/>
      <c r="C2" s="1219"/>
      <c r="D2" s="1219"/>
      <c r="E2" s="1219"/>
      <c r="F2" s="1219"/>
      <c r="G2" s="1219"/>
      <c r="H2" s="1219"/>
      <c r="I2" s="1219"/>
      <c r="J2" s="1219"/>
      <c r="K2" s="1219"/>
      <c r="L2" s="1219"/>
      <c r="M2" s="1219"/>
      <c r="N2" s="1219"/>
      <c r="O2" s="1219"/>
      <c r="P2" s="1219"/>
      <c r="Q2" s="1219"/>
      <c r="R2" s="1219"/>
      <c r="S2" s="852"/>
    </row>
    <row r="3" spans="1:20">
      <c r="A3" s="1219" t="s">
        <v>1135</v>
      </c>
      <c r="B3" s="1219"/>
      <c r="C3" s="1219"/>
      <c r="D3" s="1219"/>
      <c r="E3" s="1219"/>
      <c r="F3" s="1219"/>
      <c r="G3" s="1219"/>
      <c r="H3" s="1219"/>
      <c r="I3" s="1219"/>
      <c r="J3" s="1219"/>
      <c r="K3" s="1219"/>
      <c r="L3" s="1219"/>
      <c r="M3" s="1219"/>
      <c r="N3" s="1219"/>
      <c r="O3" s="1219"/>
      <c r="P3" s="1219"/>
      <c r="Q3" s="1219"/>
      <c r="R3" s="1219"/>
      <c r="S3" s="852"/>
    </row>
    <row r="4" spans="1:20">
      <c r="A4" s="1219" t="str">
        <f>'Table of Contents'!A3:C3</f>
        <v>Base Period: Twelve Months Ended December 31, 2018</v>
      </c>
      <c r="B4" s="1219"/>
      <c r="C4" s="1219"/>
      <c r="D4" s="1219"/>
      <c r="E4" s="1219"/>
      <c r="F4" s="1219"/>
      <c r="G4" s="1219"/>
      <c r="H4" s="1219"/>
      <c r="I4" s="1219"/>
      <c r="J4" s="1219"/>
      <c r="K4" s="1219"/>
      <c r="L4" s="1219"/>
      <c r="M4" s="1219"/>
      <c r="N4" s="1219"/>
      <c r="O4" s="1219"/>
      <c r="P4" s="1219"/>
      <c r="Q4" s="1219"/>
      <c r="R4" s="1219"/>
      <c r="S4" s="852"/>
    </row>
    <row r="5" spans="1:20">
      <c r="A5" s="1219" t="str">
        <f>'Table of Contents'!A4:C4</f>
        <v>Forecasted Test Period: Twelve Months Ended March 31, 2020</v>
      </c>
      <c r="B5" s="1219"/>
      <c r="C5" s="1219"/>
      <c r="D5" s="1219"/>
      <c r="E5" s="1219"/>
      <c r="F5" s="1219"/>
      <c r="G5" s="1219"/>
      <c r="H5" s="1219"/>
      <c r="I5" s="1219"/>
      <c r="J5" s="1219"/>
      <c r="K5" s="1219"/>
      <c r="L5" s="1219"/>
      <c r="M5" s="1219"/>
      <c r="N5" s="1219"/>
      <c r="O5" s="1219"/>
      <c r="P5" s="1219"/>
      <c r="Q5" s="1219"/>
      <c r="R5" s="1219"/>
      <c r="S5" s="852"/>
    </row>
    <row r="7" spans="1:20">
      <c r="A7" s="694" t="s">
        <v>680</v>
      </c>
      <c r="R7" s="96" t="s">
        <v>1438</v>
      </c>
    </row>
    <row r="8" spans="1:20">
      <c r="A8" s="694" t="s">
        <v>539</v>
      </c>
      <c r="R8" s="694" t="s">
        <v>1136</v>
      </c>
    </row>
    <row r="9" spans="1:20">
      <c r="A9" s="968" t="s">
        <v>1133</v>
      </c>
      <c r="B9" s="640"/>
      <c r="C9" s="640"/>
      <c r="D9" s="640"/>
      <c r="E9" s="640"/>
      <c r="F9" s="640"/>
      <c r="G9" s="640"/>
      <c r="H9" s="640"/>
      <c r="I9" s="640"/>
      <c r="J9" s="640"/>
      <c r="K9" s="640"/>
      <c r="L9" s="640"/>
      <c r="M9" s="640"/>
      <c r="N9" s="640"/>
      <c r="O9" s="640"/>
      <c r="P9" s="640"/>
      <c r="Q9" s="640"/>
      <c r="R9" s="968" t="str">
        <f>I.2!R9</f>
        <v>Witness: Gillham, Densman</v>
      </c>
      <c r="S9" s="107"/>
    </row>
    <row r="10" spans="1:20">
      <c r="M10" s="849" t="s">
        <v>44</v>
      </c>
      <c r="O10" s="849" t="s">
        <v>43</v>
      </c>
      <c r="P10" s="849"/>
    </row>
    <row r="11" spans="1:20">
      <c r="A11" s="694" t="s">
        <v>93</v>
      </c>
      <c r="G11" s="969"/>
      <c r="H11" s="970"/>
      <c r="I11" s="970" t="s">
        <v>1161</v>
      </c>
      <c r="J11" s="971"/>
      <c r="K11" s="971"/>
      <c r="M11" s="849" t="s">
        <v>538</v>
      </c>
      <c r="O11" s="849" t="s">
        <v>538</v>
      </c>
      <c r="P11" s="849"/>
      <c r="Q11" s="1218"/>
      <c r="R11" s="1218"/>
      <c r="S11" s="1218"/>
    </row>
    <row r="12" spans="1:20">
      <c r="A12" s="968" t="s">
        <v>56</v>
      </c>
      <c r="B12" s="640"/>
      <c r="C12" s="972" t="s">
        <v>985</v>
      </c>
      <c r="D12" s="640"/>
      <c r="E12" s="640"/>
      <c r="F12" s="640"/>
      <c r="G12" s="973" t="str">
        <f>I.1!D13</f>
        <v>2013</v>
      </c>
      <c r="H12" s="973" t="str">
        <f>I.1!E13</f>
        <v>2014</v>
      </c>
      <c r="I12" s="973" t="str">
        <f>I.1!F13</f>
        <v>2015</v>
      </c>
      <c r="J12" s="973" t="str">
        <f>I.1!G13</f>
        <v>2016</v>
      </c>
      <c r="K12" s="973" t="str">
        <f>I.1!H13</f>
        <v>2017</v>
      </c>
      <c r="L12" s="974"/>
      <c r="M12" s="975">
        <f>I.1!J13</f>
        <v>43465</v>
      </c>
      <c r="N12" s="976"/>
      <c r="O12" s="975">
        <f>I.1!L13</f>
        <v>43921</v>
      </c>
      <c r="P12" s="977"/>
      <c r="Q12" s="973">
        <f>I.2!Q12</f>
        <v>2020</v>
      </c>
      <c r="R12" s="973" t="str">
        <f>I.2!R12</f>
        <v>2021</v>
      </c>
      <c r="S12" s="973" t="str">
        <f>I.2!S12</f>
        <v>2022</v>
      </c>
    </row>
    <row r="13" spans="1:20">
      <c r="G13" s="849" t="s">
        <v>564</v>
      </c>
      <c r="H13" s="849" t="s">
        <v>564</v>
      </c>
      <c r="I13" s="849" t="s">
        <v>564</v>
      </c>
      <c r="J13" s="849" t="s">
        <v>564</v>
      </c>
      <c r="K13" s="849"/>
      <c r="M13" s="849" t="s">
        <v>564</v>
      </c>
      <c r="O13" s="849" t="s">
        <v>564</v>
      </c>
      <c r="P13" s="849"/>
      <c r="Q13" s="849" t="s">
        <v>564</v>
      </c>
      <c r="R13" s="849" t="s">
        <v>564</v>
      </c>
      <c r="S13" s="849"/>
    </row>
    <row r="15" spans="1:20">
      <c r="A15" s="849">
        <v>1</v>
      </c>
      <c r="C15" s="694" t="s">
        <v>340</v>
      </c>
      <c r="M15" s="96" t="s">
        <v>323</v>
      </c>
      <c r="T15" s="86"/>
    </row>
    <row r="16" spans="1:20">
      <c r="A16" s="849">
        <v>2</v>
      </c>
      <c r="C16" s="694" t="s">
        <v>130</v>
      </c>
      <c r="G16" s="86">
        <v>10662876.41</v>
      </c>
      <c r="H16" s="86">
        <v>11757006.99</v>
      </c>
      <c r="I16" s="86">
        <v>10133137.57</v>
      </c>
      <c r="J16" s="86">
        <v>8859272.2200000007</v>
      </c>
      <c r="K16" s="86">
        <v>8360876.4699999997</v>
      </c>
      <c r="M16" s="86">
        <v>10686621.1061</v>
      </c>
      <c r="O16" s="86">
        <v>10083093.116257895</v>
      </c>
      <c r="Q16" s="86">
        <v>10087188.699502191</v>
      </c>
      <c r="R16" s="86">
        <v>10107961.31119078</v>
      </c>
      <c r="S16" s="86">
        <v>10128734.171779366</v>
      </c>
      <c r="T16" s="87"/>
    </row>
    <row r="17" spans="1:20">
      <c r="A17" s="849">
        <v>3</v>
      </c>
      <c r="C17" s="694" t="s">
        <v>131</v>
      </c>
      <c r="D17" s="849"/>
      <c r="G17" s="86">
        <v>5112547.93</v>
      </c>
      <c r="H17" s="86">
        <v>5657641.1699999999</v>
      </c>
      <c r="I17" s="86">
        <v>4981322.42</v>
      </c>
      <c r="J17" s="86">
        <v>4436287.6000000006</v>
      </c>
      <c r="K17" s="86">
        <v>4415168.33</v>
      </c>
      <c r="M17" s="86">
        <v>5449505.5900999997</v>
      </c>
      <c r="O17" s="86">
        <v>5216701.24</v>
      </c>
      <c r="Q17" s="86">
        <v>5216701.2400000012</v>
      </c>
      <c r="R17" s="86">
        <v>5216701.2400000012</v>
      </c>
      <c r="S17" s="86">
        <v>5216701.2400000012</v>
      </c>
      <c r="T17" s="87"/>
    </row>
    <row r="18" spans="1:20">
      <c r="A18" s="849">
        <v>4</v>
      </c>
      <c r="C18" s="694" t="s">
        <v>132</v>
      </c>
      <c r="D18" s="849"/>
      <c r="G18" s="86">
        <v>807005.98999999987</v>
      </c>
      <c r="H18" s="86">
        <v>780038.61999999976</v>
      </c>
      <c r="I18" s="86">
        <v>706192.47</v>
      </c>
      <c r="J18" s="86">
        <v>1021717.6900000001</v>
      </c>
      <c r="K18" s="86">
        <v>1517001.09</v>
      </c>
      <c r="M18" s="86">
        <v>1202829.2890000001</v>
      </c>
      <c r="O18" s="86">
        <v>991584.79590000003</v>
      </c>
      <c r="Q18" s="86">
        <v>991584.79590000003</v>
      </c>
      <c r="R18" s="86">
        <v>991584.79590000003</v>
      </c>
      <c r="S18" s="86">
        <v>991584.79590000003</v>
      </c>
      <c r="T18" s="87"/>
    </row>
    <row r="19" spans="1:20">
      <c r="A19" s="849">
        <v>5</v>
      </c>
      <c r="C19" s="694" t="s">
        <v>163</v>
      </c>
      <c r="D19" s="849"/>
      <c r="G19" s="86">
        <v>1185264.3900000001</v>
      </c>
      <c r="H19" s="86">
        <v>1241309.8799999999</v>
      </c>
      <c r="I19" s="86">
        <v>1055743.3699999999</v>
      </c>
      <c r="J19" s="86">
        <v>896168.19</v>
      </c>
      <c r="K19" s="86">
        <v>824971.11999999988</v>
      </c>
      <c r="M19" s="86">
        <v>1021178.0068</v>
      </c>
      <c r="O19" s="86">
        <v>962458.7</v>
      </c>
      <c r="Q19" s="86">
        <v>962458.70000000007</v>
      </c>
      <c r="R19" s="86">
        <v>962458.70000000007</v>
      </c>
      <c r="S19" s="86">
        <v>962458.70000000007</v>
      </c>
      <c r="T19" s="87"/>
    </row>
    <row r="20" spans="1:20">
      <c r="A20" s="849">
        <v>6</v>
      </c>
      <c r="C20" s="694" t="s">
        <v>85</v>
      </c>
      <c r="G20" s="461"/>
      <c r="H20" s="461"/>
      <c r="I20" s="461"/>
      <c r="J20" s="461"/>
      <c r="K20" s="461"/>
      <c r="L20" s="640"/>
      <c r="M20" s="87"/>
      <c r="O20" s="87"/>
      <c r="Q20" s="969"/>
      <c r="R20" s="461"/>
      <c r="S20" s="461"/>
      <c r="T20" s="86"/>
    </row>
    <row r="21" spans="1:20">
      <c r="A21" s="849">
        <v>7</v>
      </c>
      <c r="G21" s="733"/>
      <c r="H21" s="733"/>
      <c r="I21" s="733"/>
      <c r="J21" s="733"/>
      <c r="K21" s="733"/>
      <c r="M21" s="733"/>
      <c r="O21" s="733"/>
      <c r="Q21" s="733"/>
      <c r="R21" s="733"/>
      <c r="S21" s="733"/>
      <c r="T21" s="86"/>
    </row>
    <row r="22" spans="1:20">
      <c r="A22" s="849">
        <v>8</v>
      </c>
      <c r="C22" s="694" t="s">
        <v>419</v>
      </c>
      <c r="G22" s="86">
        <f>SUM(G16:G20)</f>
        <v>17767694.719999999</v>
      </c>
      <c r="H22" s="86">
        <f>SUM(H16:H20)</f>
        <v>19435996.66</v>
      </c>
      <c r="I22" s="86">
        <f>SUM(I16:I20)</f>
        <v>16876395.830000002</v>
      </c>
      <c r="J22" s="86">
        <f>SUM(J16:J20)</f>
        <v>15213445.699999999</v>
      </c>
      <c r="K22" s="86">
        <f>SUM(K16:K20)</f>
        <v>15118017.01</v>
      </c>
      <c r="M22" s="86">
        <f>SUM(M16:M20)</f>
        <v>18360133.991999999</v>
      </c>
      <c r="O22" s="86">
        <v>17253837.852157895</v>
      </c>
      <c r="Q22" s="86">
        <v>17257933.435402192</v>
      </c>
      <c r="R22" s="86">
        <v>17278706.047090784</v>
      </c>
      <c r="S22" s="86">
        <v>17299478.907679368</v>
      </c>
      <c r="T22" s="86"/>
    </row>
    <row r="23" spans="1:20">
      <c r="A23" s="849">
        <v>9</v>
      </c>
      <c r="G23" s="86"/>
      <c r="H23" s="86"/>
      <c r="I23" s="86"/>
      <c r="J23" s="86"/>
      <c r="K23" s="86"/>
      <c r="M23" s="86"/>
      <c r="O23" s="86"/>
      <c r="Q23" s="86"/>
      <c r="R23" s="86"/>
      <c r="S23" s="86"/>
      <c r="T23" s="86"/>
    </row>
    <row r="24" spans="1:20">
      <c r="A24" s="849">
        <v>10</v>
      </c>
      <c r="C24" s="694" t="s">
        <v>164</v>
      </c>
      <c r="G24" s="86"/>
      <c r="H24" s="86"/>
      <c r="I24" s="86"/>
      <c r="J24" s="86"/>
      <c r="K24" s="86"/>
      <c r="M24" s="86"/>
      <c r="O24" s="86"/>
      <c r="Q24" s="86"/>
      <c r="R24" s="86"/>
      <c r="S24" s="86"/>
      <c r="T24" s="86"/>
    </row>
    <row r="25" spans="1:20">
      <c r="A25" s="849">
        <v>11</v>
      </c>
      <c r="C25" s="694" t="s">
        <v>130</v>
      </c>
      <c r="D25" s="849" t="s">
        <v>323</v>
      </c>
      <c r="G25" s="86">
        <f>I.2!G25</f>
        <v>153903.75</v>
      </c>
      <c r="H25" s="86">
        <f>I.2!H25</f>
        <v>155702.08333333334</v>
      </c>
      <c r="I25" s="86">
        <f>I.2!I25</f>
        <v>155280.75</v>
      </c>
      <c r="J25" s="86">
        <f>I.2!J25</f>
        <v>155597.41666666666</v>
      </c>
      <c r="K25" s="86">
        <f>I.2!K25</f>
        <v>156173.75</v>
      </c>
      <c r="M25" s="86">
        <v>157629</v>
      </c>
      <c r="O25" s="86">
        <v>157712.83333333334</v>
      </c>
      <c r="Q25" s="86">
        <v>157875.33333333334</v>
      </c>
      <c r="R25" s="86">
        <v>158200.33333333334</v>
      </c>
      <c r="S25" s="86">
        <v>158525.33333333334</v>
      </c>
      <c r="T25" s="86"/>
    </row>
    <row r="26" spans="1:20">
      <c r="A26" s="849">
        <v>12</v>
      </c>
      <c r="C26" s="694" t="s">
        <v>131</v>
      </c>
      <c r="D26" s="849"/>
      <c r="G26" s="86">
        <f>I.2!G26</f>
        <v>17318</v>
      </c>
      <c r="H26" s="86">
        <f>I.2!H26</f>
        <v>17435.166666666668</v>
      </c>
      <c r="I26" s="86">
        <f>I.2!I26</f>
        <v>17333.333333333332</v>
      </c>
      <c r="J26" s="86">
        <f>I.2!J26</f>
        <v>17339</v>
      </c>
      <c r="K26" s="86">
        <f>I.2!K26</f>
        <v>17353.666666666668</v>
      </c>
      <c r="M26" s="86">
        <v>17509.916666666668</v>
      </c>
      <c r="O26" s="86">
        <v>17445.75</v>
      </c>
      <c r="Q26" s="86">
        <v>17445.75</v>
      </c>
      <c r="R26" s="86">
        <v>17445.75</v>
      </c>
      <c r="S26" s="86">
        <v>17445.75</v>
      </c>
      <c r="T26" s="86"/>
    </row>
    <row r="27" spans="1:20">
      <c r="A27" s="849">
        <v>13</v>
      </c>
      <c r="C27" s="694" t="s">
        <v>132</v>
      </c>
      <c r="D27" s="849"/>
      <c r="G27" s="86">
        <f>I.2!G27</f>
        <v>206.91666666666666</v>
      </c>
      <c r="H27" s="86">
        <f>I.2!H27</f>
        <v>203.66666666666666</v>
      </c>
      <c r="I27" s="86">
        <f>I.2!I27</f>
        <v>201.16666666666666</v>
      </c>
      <c r="J27" s="86">
        <f>I.2!J27</f>
        <v>205.33333333333334</v>
      </c>
      <c r="K27" s="86">
        <f>I.2!K27</f>
        <v>205.83333333333334</v>
      </c>
      <c r="M27" s="86">
        <v>212.58333333333334</v>
      </c>
      <c r="O27" s="86">
        <v>215.47328844946642</v>
      </c>
      <c r="Q27" s="86">
        <v>215.47328844946642</v>
      </c>
      <c r="R27" s="86">
        <v>215.47328844946642</v>
      </c>
      <c r="S27" s="86">
        <v>215.47328844946642</v>
      </c>
      <c r="T27" s="86"/>
    </row>
    <row r="28" spans="1:20">
      <c r="A28" s="849">
        <v>14</v>
      </c>
      <c r="C28" s="694" t="s">
        <v>163</v>
      </c>
      <c r="D28" s="849"/>
      <c r="G28" s="87">
        <f>I.2!G28</f>
        <v>1575.3333333333333</v>
      </c>
      <c r="H28" s="87">
        <f>I.2!H28</f>
        <v>1576.1666666666667</v>
      </c>
      <c r="I28" s="87">
        <f>I.2!I28</f>
        <v>1560.8333333333333</v>
      </c>
      <c r="J28" s="87">
        <f>I.2!J28</f>
        <v>1550</v>
      </c>
      <c r="K28" s="87">
        <f>I.2!K28</f>
        <v>1548.5833333333333</v>
      </c>
      <c r="M28" s="87">
        <v>1541.5833333333333</v>
      </c>
      <c r="O28" s="87">
        <v>1534.5</v>
      </c>
      <c r="Q28" s="461">
        <v>1534.5</v>
      </c>
      <c r="R28" s="461">
        <v>1534.5</v>
      </c>
      <c r="S28" s="461">
        <v>1534.5</v>
      </c>
      <c r="T28" s="86"/>
    </row>
    <row r="29" spans="1:20">
      <c r="A29" s="849">
        <v>15</v>
      </c>
      <c r="G29" s="733"/>
      <c r="H29" s="733"/>
      <c r="I29" s="733"/>
      <c r="J29" s="733"/>
      <c r="K29" s="733"/>
      <c r="M29" s="733"/>
      <c r="O29" s="733"/>
      <c r="Q29" s="733"/>
      <c r="R29" s="733"/>
      <c r="S29" s="733"/>
      <c r="T29" s="86"/>
    </row>
    <row r="30" spans="1:20">
      <c r="A30" s="849">
        <v>16</v>
      </c>
      <c r="C30" s="694" t="s">
        <v>96</v>
      </c>
      <c r="D30" s="849"/>
      <c r="G30" s="86">
        <f>SUM(G25:G29)</f>
        <v>173004</v>
      </c>
      <c r="H30" s="86">
        <f>SUM(H25:H29)</f>
        <v>174917.08333333331</v>
      </c>
      <c r="I30" s="86">
        <f>SUM(I25:I29)</f>
        <v>174376.08333333334</v>
      </c>
      <c r="J30" s="86">
        <f>SUM(J25:J29)</f>
        <v>174691.75</v>
      </c>
      <c r="K30" s="86">
        <f>SUM(K25:K29)</f>
        <v>175281.83333333334</v>
      </c>
      <c r="M30" s="86">
        <f>SUM(M25:M29)</f>
        <v>176893.08333333334</v>
      </c>
      <c r="O30" s="86">
        <v>176908.5566217828</v>
      </c>
      <c r="Q30" s="86">
        <v>177071.0566217828</v>
      </c>
      <c r="R30" s="86">
        <v>177396.0566217828</v>
      </c>
      <c r="S30" s="86">
        <v>177721.0566217828</v>
      </c>
      <c r="T30" s="86"/>
    </row>
    <row r="31" spans="1:20">
      <c r="A31" s="849">
        <v>17</v>
      </c>
      <c r="G31" s="86"/>
      <c r="H31" s="86"/>
      <c r="I31" s="86"/>
      <c r="J31" s="86"/>
      <c r="K31" s="86"/>
      <c r="M31" s="86"/>
      <c r="O31" s="86"/>
      <c r="Q31" s="86"/>
      <c r="R31" s="86"/>
      <c r="S31" s="86"/>
      <c r="T31" s="86"/>
    </row>
    <row r="32" spans="1:20">
      <c r="A32" s="849">
        <v>18</v>
      </c>
      <c r="C32" s="694" t="s">
        <v>341</v>
      </c>
      <c r="G32" s="86"/>
      <c r="H32" s="86"/>
      <c r="I32" s="86"/>
      <c r="J32" s="86"/>
      <c r="K32" s="86"/>
      <c r="M32" s="86"/>
      <c r="O32" s="86"/>
      <c r="Q32" s="86"/>
      <c r="R32" s="86"/>
      <c r="S32" s="86"/>
      <c r="T32" s="86"/>
    </row>
    <row r="33" spans="1:20">
      <c r="A33" s="849">
        <v>19</v>
      </c>
      <c r="C33" s="694" t="s">
        <v>130</v>
      </c>
      <c r="G33" s="86">
        <f t="shared" ref="G33:J36" si="0">(G16/G25)</f>
        <v>69.282758932124793</v>
      </c>
      <c r="H33" s="86">
        <f t="shared" si="0"/>
        <v>75.509631845003142</v>
      </c>
      <c r="I33" s="86">
        <f t="shared" si="0"/>
        <v>65.256881938038035</v>
      </c>
      <c r="J33" s="86">
        <f t="shared" si="0"/>
        <v>56.937142079801035</v>
      </c>
      <c r="K33" s="86">
        <f t="shared" ref="K33" si="1">(K16/K25)</f>
        <v>53.535734846605145</v>
      </c>
      <c r="M33" s="86">
        <f>(M16/M25)</f>
        <v>67.796034397858264</v>
      </c>
      <c r="O33" s="86">
        <v>63.93324438567921</v>
      </c>
      <c r="Q33" s="86">
        <v>63.893380216682722</v>
      </c>
      <c r="R33" s="86">
        <v>63.893426127573136</v>
      </c>
      <c r="S33" s="86">
        <v>63.893473420311572</v>
      </c>
      <c r="T33" s="86"/>
    </row>
    <row r="34" spans="1:20">
      <c r="A34" s="849">
        <v>20</v>
      </c>
      <c r="C34" s="694" t="s">
        <v>131</v>
      </c>
      <c r="G34" s="86">
        <f t="shared" si="0"/>
        <v>295.21584074373482</v>
      </c>
      <c r="H34" s="86">
        <f t="shared" si="0"/>
        <v>324.49596141897121</v>
      </c>
      <c r="I34" s="86">
        <f t="shared" si="0"/>
        <v>287.38398576923078</v>
      </c>
      <c r="J34" s="86">
        <f t="shared" si="0"/>
        <v>255.85602399215645</v>
      </c>
      <c r="K34" s="86">
        <f t="shared" ref="K34" si="2">(K17/K26)</f>
        <v>254.4227923013388</v>
      </c>
      <c r="M34" s="86">
        <f>(M17/M26)</f>
        <v>311.22395919074427</v>
      </c>
      <c r="O34" s="86">
        <v>299.02418869925339</v>
      </c>
      <c r="Q34" s="86">
        <v>299.02418869925344</v>
      </c>
      <c r="R34" s="86">
        <v>299.02418869925344</v>
      </c>
      <c r="S34" s="86">
        <v>299.02418869925344</v>
      </c>
      <c r="T34" s="86"/>
    </row>
    <row r="35" spans="1:20">
      <c r="A35" s="849">
        <v>21</v>
      </c>
      <c r="C35" s="694" t="s">
        <v>132</v>
      </c>
      <c r="G35" s="86">
        <f t="shared" si="0"/>
        <v>3900.1497704389849</v>
      </c>
      <c r="H35" s="86">
        <f t="shared" si="0"/>
        <v>3829.9768576104734</v>
      </c>
      <c r="I35" s="86">
        <f t="shared" si="0"/>
        <v>3510.4845236122619</v>
      </c>
      <c r="J35" s="86">
        <f t="shared" si="0"/>
        <v>4975.8978409090914</v>
      </c>
      <c r="K35" s="86">
        <f t="shared" ref="K35" si="3">(K18/K27)</f>
        <v>7370.0457813765179</v>
      </c>
      <c r="M35" s="86">
        <f>(M18/M27)</f>
        <v>5658.1542406899262</v>
      </c>
      <c r="O35" s="86">
        <v>4601.8919701620007</v>
      </c>
      <c r="Q35" s="86">
        <v>4601.8919701620007</v>
      </c>
      <c r="R35" s="86">
        <v>4601.8919701620007</v>
      </c>
      <c r="S35" s="86">
        <v>4601.8919701620007</v>
      </c>
      <c r="T35" s="86"/>
    </row>
    <row r="36" spans="1:20">
      <c r="A36" s="849">
        <v>22</v>
      </c>
      <c r="C36" s="694" t="s">
        <v>163</v>
      </c>
      <c r="G36" s="86">
        <f t="shared" si="0"/>
        <v>752.38958315700393</v>
      </c>
      <c r="H36" s="86">
        <f t="shared" si="0"/>
        <v>787.54988685629678</v>
      </c>
      <c r="I36" s="86">
        <f t="shared" si="0"/>
        <v>676.39724719701007</v>
      </c>
      <c r="J36" s="86">
        <f t="shared" si="0"/>
        <v>578.17302580645162</v>
      </c>
      <c r="K36" s="86">
        <f t="shared" ref="K36" si="4">(K19/K28)</f>
        <v>532.72633266964419</v>
      </c>
      <c r="M36" s="86">
        <f>(M19/M28)</f>
        <v>662.4215407103087</v>
      </c>
      <c r="O36" s="86">
        <v>627.21322906484193</v>
      </c>
      <c r="Q36" s="86">
        <v>627.21322906484204</v>
      </c>
      <c r="R36" s="86">
        <v>627.21322906484204</v>
      </c>
      <c r="S36" s="86">
        <v>627.21322906484204</v>
      </c>
      <c r="T36" s="86"/>
    </row>
    <row r="37" spans="1:20">
      <c r="H37" s="86"/>
      <c r="I37" s="86"/>
      <c r="J37" s="86"/>
      <c r="K37" s="86"/>
      <c r="M37" s="86"/>
      <c r="T37" s="86"/>
    </row>
    <row r="38" spans="1:20">
      <c r="A38" s="694"/>
      <c r="C38" s="694"/>
      <c r="G38" s="86"/>
      <c r="H38" s="86"/>
      <c r="I38" s="86"/>
      <c r="J38" s="86"/>
      <c r="K38" s="86"/>
      <c r="M38" s="86"/>
      <c r="O38" s="86"/>
      <c r="Q38" s="86"/>
      <c r="R38" s="86"/>
      <c r="S38" s="86"/>
      <c r="T38" s="86"/>
    </row>
    <row r="39" spans="1:20">
      <c r="R39" s="86"/>
      <c r="S39" s="86"/>
      <c r="T39" s="86"/>
    </row>
    <row r="40" spans="1:20">
      <c r="R40" s="86"/>
      <c r="S40" s="86"/>
      <c r="T40" s="86"/>
    </row>
    <row r="42" spans="1:20">
      <c r="R42" s="86"/>
      <c r="S42" s="86"/>
      <c r="T42" s="86"/>
    </row>
    <row r="43" spans="1:20">
      <c r="R43" s="86"/>
      <c r="S43" s="86"/>
      <c r="T43" s="86"/>
    </row>
    <row r="48" spans="1:20">
      <c r="I48" s="86"/>
      <c r="J48" s="86"/>
      <c r="K48" s="86"/>
    </row>
    <row r="49" spans="9:11">
      <c r="I49" s="86"/>
      <c r="J49" s="86"/>
      <c r="K49" s="86"/>
    </row>
    <row r="50" spans="9:11">
      <c r="I50" s="86"/>
      <c r="J50" s="86"/>
      <c r="K50" s="86"/>
    </row>
    <row r="51" spans="9:11">
      <c r="I51" s="86"/>
      <c r="J51" s="86"/>
      <c r="K51" s="86"/>
    </row>
    <row r="52" spans="9:11">
      <c r="I52" s="86"/>
      <c r="J52" s="86"/>
      <c r="K52" s="86"/>
    </row>
    <row r="53" spans="9:11">
      <c r="I53" s="86"/>
      <c r="J53" s="86"/>
      <c r="K53" s="86"/>
    </row>
    <row r="54" spans="9:11">
      <c r="I54" s="86"/>
      <c r="J54" s="86"/>
      <c r="K54" s="86"/>
    </row>
    <row r="55" spans="9:11">
      <c r="I55" s="86"/>
      <c r="J55" s="86"/>
      <c r="K55" s="86"/>
    </row>
    <row r="56" spans="9:11">
      <c r="I56" s="86"/>
      <c r="J56" s="86"/>
      <c r="K56" s="86"/>
    </row>
    <row r="57" spans="9:11">
      <c r="I57" s="86"/>
      <c r="J57" s="86"/>
      <c r="K57" s="86"/>
    </row>
    <row r="58" spans="9:11">
      <c r="I58" s="86"/>
      <c r="J58" s="86"/>
      <c r="K58" s="86"/>
    </row>
    <row r="59" spans="9:11">
      <c r="I59" s="86"/>
      <c r="J59" s="86"/>
      <c r="K59" s="86"/>
    </row>
    <row r="60" spans="9:11">
      <c r="I60" s="86"/>
      <c r="J60" s="86"/>
      <c r="K60" s="86"/>
    </row>
    <row r="61" spans="9:11">
      <c r="I61" s="86"/>
      <c r="J61" s="86"/>
      <c r="K61" s="86"/>
    </row>
    <row r="62" spans="9:11">
      <c r="I62" s="86"/>
      <c r="J62" s="86"/>
      <c r="K62" s="86"/>
    </row>
    <row r="63" spans="9:11">
      <c r="I63" s="86"/>
      <c r="J63" s="86"/>
      <c r="K63" s="86"/>
    </row>
    <row r="64" spans="9:11">
      <c r="I64" s="86"/>
      <c r="J64" s="86"/>
      <c r="K64" s="86"/>
    </row>
    <row r="65" spans="9:11">
      <c r="I65" s="86"/>
      <c r="J65" s="86"/>
      <c r="K65" s="86"/>
    </row>
    <row r="66" spans="9:11">
      <c r="I66" s="86"/>
      <c r="J66" s="86"/>
      <c r="K66" s="86"/>
    </row>
    <row r="67" spans="9:11">
      <c r="I67" s="86"/>
      <c r="J67" s="86"/>
      <c r="K67" s="86"/>
    </row>
    <row r="68" spans="9:11">
      <c r="I68" s="86"/>
      <c r="J68" s="86"/>
      <c r="K68" s="86"/>
    </row>
    <row r="69" spans="9:11">
      <c r="I69" s="86"/>
      <c r="J69" s="86"/>
      <c r="K69" s="86"/>
    </row>
    <row r="70" spans="9:11">
      <c r="I70" s="86"/>
      <c r="J70" s="86"/>
      <c r="K70" s="86"/>
    </row>
    <row r="71" spans="9:11">
      <c r="I71" s="86"/>
      <c r="J71" s="86"/>
      <c r="K71" s="86"/>
    </row>
    <row r="72" spans="9:11">
      <c r="I72" s="86"/>
      <c r="J72" s="86"/>
      <c r="K72" s="86"/>
    </row>
    <row r="73" spans="9:11">
      <c r="I73" s="86"/>
      <c r="J73" s="86"/>
      <c r="K73" s="86"/>
    </row>
    <row r="74" spans="9:11">
      <c r="I74" s="86"/>
      <c r="J74" s="86"/>
      <c r="K74" s="86"/>
    </row>
  </sheetData>
  <mergeCells count="6">
    <mergeCell ref="Q11:S11"/>
    <mergeCell ref="A1:R1"/>
    <mergeCell ref="A2:R2"/>
    <mergeCell ref="A3:R3"/>
    <mergeCell ref="A4:R4"/>
    <mergeCell ref="A5:R5"/>
  </mergeCells>
  <phoneticPr fontId="23" type="noConversion"/>
  <pageMargins left="0.5" right="0.5" top="0.75" bottom="0.5" header="0.5" footer="0.5"/>
  <pageSetup scale="68" orientation="landscape" verticalDpi="300" r:id="rId1"/>
  <headerFooter alignWithMargins="0">
    <oddFooter>&amp;RSchedule &amp;A
Page &amp;P of &amp;N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V28"/>
  <sheetViews>
    <sheetView view="pageBreakPreview" zoomScale="80" zoomScaleNormal="90" zoomScaleSheetLayoutView="80" workbookViewId="0">
      <selection activeCell="N43" sqref="N43"/>
    </sheetView>
  </sheetViews>
  <sheetFormatPr defaultColWidth="10.109375" defaultRowHeight="15"/>
  <cols>
    <col min="1" max="1" width="5" style="1" customWidth="1"/>
    <col min="2" max="2" width="4.55468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4.8867187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109375" style="1"/>
    <col min="14" max="14" width="6.6640625" style="1" customWidth="1"/>
    <col min="15" max="16" width="8.6640625" style="1" bestFit="1" customWidth="1"/>
    <col min="17" max="17" width="7.6640625" style="1" bestFit="1" customWidth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2">
      <c r="A1" s="1203" t="str">
        <f>'Table of Contents'!A1:C1</f>
        <v>Atmos Energy Corporation, Kentucky/Mid-States Division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</row>
    <row r="2" spans="1:22">
      <c r="A2" s="1203" t="str">
        <f>'Table of Contents'!A2:C2</f>
        <v>Kentucky Jurisdiction Case No. 2018-00281</v>
      </c>
      <c r="B2" s="1203"/>
      <c r="C2" s="1203"/>
      <c r="D2" s="1203"/>
      <c r="E2" s="1203"/>
      <c r="F2" s="1203"/>
      <c r="G2" s="1203"/>
      <c r="H2" s="1203"/>
      <c r="I2" s="1203"/>
      <c r="J2" s="1203"/>
      <c r="K2" s="1203"/>
      <c r="L2" s="1203"/>
      <c r="M2" s="1203"/>
    </row>
    <row r="3" spans="1:22">
      <c r="A3" s="1203" t="s">
        <v>2</v>
      </c>
      <c r="B3" s="1203"/>
      <c r="C3" s="1203"/>
      <c r="D3" s="1203"/>
      <c r="E3" s="1203"/>
      <c r="F3" s="1203"/>
      <c r="G3" s="1203"/>
      <c r="H3" s="1203"/>
      <c r="I3" s="1203"/>
      <c r="J3" s="1203"/>
      <c r="K3" s="1203"/>
      <c r="L3" s="1203"/>
      <c r="M3" s="1203"/>
    </row>
    <row r="4" spans="1:22">
      <c r="A4" s="1203" t="str">
        <f>'Table of Contents'!A3:C3</f>
        <v>Base Period: Twelve Months Ended December 31, 2018</v>
      </c>
      <c r="B4" s="1203"/>
      <c r="C4" s="1203"/>
      <c r="D4" s="1203"/>
      <c r="E4" s="1203"/>
      <c r="F4" s="1203"/>
      <c r="G4" s="1203"/>
      <c r="H4" s="1203"/>
      <c r="I4" s="1203"/>
      <c r="J4" s="1203"/>
      <c r="K4" s="1203"/>
      <c r="L4" s="1203"/>
      <c r="M4" s="1203"/>
    </row>
    <row r="5" spans="1:22">
      <c r="A5" s="705"/>
      <c r="B5" s="705"/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</row>
    <row r="6" spans="1:22">
      <c r="M6" s="1" t="s">
        <v>1411</v>
      </c>
    </row>
    <row r="7" spans="1:22">
      <c r="A7" s="4" t="s">
        <v>379</v>
      </c>
      <c r="M7" s="488" t="s">
        <v>776</v>
      </c>
    </row>
    <row r="8" spans="1:22">
      <c r="A8" s="66" t="s">
        <v>615</v>
      </c>
      <c r="M8" s="488" t="s">
        <v>853</v>
      </c>
    </row>
    <row r="9" spans="1:22">
      <c r="A9" s="5" t="s">
        <v>365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489" t="s">
        <v>1601</v>
      </c>
    </row>
    <row r="10" spans="1:22">
      <c r="L10" s="15"/>
      <c r="M10" s="15"/>
      <c r="N10" s="15"/>
      <c r="S10" s="15"/>
      <c r="T10" s="15"/>
      <c r="U10" s="15"/>
      <c r="V10" s="15"/>
    </row>
    <row r="11" spans="1:22">
      <c r="A11" s="2" t="s">
        <v>93</v>
      </c>
      <c r="E11" s="2" t="s">
        <v>95</v>
      </c>
      <c r="I11" s="2" t="s">
        <v>103</v>
      </c>
      <c r="M11" s="2" t="s">
        <v>348</v>
      </c>
    </row>
    <row r="12" spans="1:22">
      <c r="A12" s="9" t="s">
        <v>99</v>
      </c>
      <c r="B12" s="6"/>
      <c r="C12" s="5" t="s">
        <v>347</v>
      </c>
      <c r="D12" s="6"/>
      <c r="E12" s="9" t="s">
        <v>101</v>
      </c>
      <c r="F12" s="6"/>
      <c r="G12" s="9" t="s">
        <v>104</v>
      </c>
      <c r="H12" s="6"/>
      <c r="I12" s="9" t="s">
        <v>41</v>
      </c>
      <c r="J12" s="6"/>
      <c r="K12" s="9" t="s">
        <v>1157</v>
      </c>
      <c r="L12" s="6"/>
      <c r="M12" s="9" t="s">
        <v>0</v>
      </c>
    </row>
    <row r="13" spans="1:22">
      <c r="E13" s="2" t="s">
        <v>1081</v>
      </c>
      <c r="G13" s="2" t="s">
        <v>1082</v>
      </c>
      <c r="I13" s="2" t="s">
        <v>1083</v>
      </c>
      <c r="K13" s="2" t="s">
        <v>15</v>
      </c>
      <c r="M13" s="2" t="s">
        <v>38</v>
      </c>
    </row>
    <row r="14" spans="1:22">
      <c r="G14" s="2" t="s">
        <v>623</v>
      </c>
      <c r="I14" s="784" t="s">
        <v>149</v>
      </c>
      <c r="K14" s="2" t="s">
        <v>149</v>
      </c>
      <c r="M14" s="2" t="s">
        <v>149</v>
      </c>
    </row>
    <row r="16" spans="1:22">
      <c r="G16" s="10"/>
      <c r="K16" s="3"/>
      <c r="O16" s="10"/>
      <c r="S16" s="3"/>
    </row>
    <row r="17" spans="1:21" ht="15.75">
      <c r="C17" s="196" t="s">
        <v>1474</v>
      </c>
      <c r="G17" s="10"/>
      <c r="I17" s="11"/>
      <c r="K17" s="3"/>
      <c r="M17" s="3"/>
      <c r="O17" s="10"/>
      <c r="Q17" s="11"/>
      <c r="S17" s="3"/>
      <c r="U17" s="3"/>
    </row>
    <row r="18" spans="1:21">
      <c r="G18" s="10"/>
      <c r="K18" s="3"/>
      <c r="O18" s="10"/>
      <c r="S18" s="3"/>
    </row>
    <row r="19" spans="1:21">
      <c r="A19" s="784">
        <v>6</v>
      </c>
      <c r="C19" s="4" t="s">
        <v>272</v>
      </c>
      <c r="E19" s="21" t="s">
        <v>276</v>
      </c>
      <c r="F19" s="10"/>
      <c r="G19" s="468">
        <f>+J.1!H17</f>
        <v>203112.40348182284</v>
      </c>
      <c r="H19" s="10"/>
      <c r="I19" s="11">
        <f>+G19/G27</f>
        <v>2.1998020373982914E-2</v>
      </c>
      <c r="J19" s="10"/>
      <c r="K19" s="44">
        <f>+J.1!L17</f>
        <v>3.398388477024282E-2</v>
      </c>
      <c r="L19" s="10"/>
      <c r="M19" s="44">
        <f>ROUND(I19*K19,4)</f>
        <v>6.9999999999999999E-4</v>
      </c>
      <c r="O19" s="10"/>
      <c r="Q19" s="10"/>
      <c r="S19" s="3"/>
      <c r="U19" s="3"/>
    </row>
    <row r="20" spans="1:21">
      <c r="E20" s="10"/>
      <c r="F20" s="10"/>
      <c r="G20" s="10"/>
      <c r="H20" s="10"/>
      <c r="I20" s="10"/>
      <c r="J20" s="10"/>
      <c r="K20" s="44"/>
      <c r="L20" s="10"/>
      <c r="M20" s="44"/>
    </row>
    <row r="21" spans="1:21">
      <c r="A21" s="784">
        <v>7</v>
      </c>
      <c r="C21" s="4" t="s">
        <v>273</v>
      </c>
      <c r="E21" s="21" t="s">
        <v>276</v>
      </c>
      <c r="F21" s="10"/>
      <c r="G21" s="73">
        <v>3659778.85971</v>
      </c>
      <c r="H21" s="10"/>
      <c r="I21" s="11">
        <f>+G21/G27</f>
        <v>0.39637111540249903</v>
      </c>
      <c r="J21" s="10"/>
      <c r="K21" s="44">
        <v>5.1010821593374375E-2</v>
      </c>
      <c r="L21" s="10"/>
      <c r="M21" s="44">
        <f>ROUND(I21*K21,4)</f>
        <v>2.0199999999999999E-2</v>
      </c>
    </row>
    <row r="22" spans="1:21">
      <c r="E22" s="10"/>
      <c r="F22" s="10"/>
      <c r="G22" s="10"/>
      <c r="H22" s="10"/>
      <c r="I22" s="10"/>
      <c r="J22" s="10"/>
      <c r="K22" s="44"/>
      <c r="L22" s="10"/>
      <c r="M22" s="44"/>
    </row>
    <row r="23" spans="1:21">
      <c r="A23" s="784">
        <v>8</v>
      </c>
      <c r="C23" s="4" t="s">
        <v>274</v>
      </c>
      <c r="E23" s="21" t="s">
        <v>277</v>
      </c>
      <c r="F23" s="10"/>
      <c r="G23" s="10">
        <f>+J.1!H23</f>
        <v>0</v>
      </c>
      <c r="H23" s="10"/>
      <c r="I23" s="11">
        <f>+G23/G27</f>
        <v>0</v>
      </c>
      <c r="J23" s="10"/>
      <c r="K23" s="44">
        <f>+J.1!L23</f>
        <v>0</v>
      </c>
      <c r="L23" s="10"/>
      <c r="M23" s="44">
        <f>ROUND(I23*K23,4)</f>
        <v>0</v>
      </c>
    </row>
    <row r="24" spans="1:21">
      <c r="E24" s="10"/>
      <c r="F24" s="10"/>
      <c r="G24" s="10"/>
      <c r="H24" s="10"/>
      <c r="I24" s="10"/>
      <c r="J24" s="10"/>
      <c r="K24" s="44"/>
      <c r="L24" s="10"/>
      <c r="M24" s="44"/>
    </row>
    <row r="25" spans="1:21">
      <c r="A25" s="784">
        <v>9</v>
      </c>
      <c r="C25" s="4" t="s">
        <v>275</v>
      </c>
      <c r="E25" s="10"/>
      <c r="F25" s="10"/>
      <c r="G25" s="572">
        <f>+J.1!H25</f>
        <v>5370321.5454500001</v>
      </c>
      <c r="H25" s="10"/>
      <c r="I25" s="23">
        <f>+G25/G27</f>
        <v>0.58163086422351806</v>
      </c>
      <c r="J25" s="10"/>
      <c r="K25" s="44">
        <f>+J.1!L25</f>
        <v>0.104</v>
      </c>
      <c r="L25" s="10"/>
      <c r="M25" s="45">
        <f>ROUND(I25*K25,4)</f>
        <v>6.0499999999999998E-2</v>
      </c>
    </row>
    <row r="26" spans="1:21">
      <c r="G26" s="10"/>
      <c r="K26" s="3"/>
    </row>
    <row r="27" spans="1:21" ht="15.75" thickBot="1">
      <c r="A27" s="2">
        <v>10</v>
      </c>
      <c r="C27" s="4" t="s">
        <v>400</v>
      </c>
      <c r="G27" s="323">
        <f>SUM(G19:G25)</f>
        <v>9233212.808641823</v>
      </c>
      <c r="I27" s="18">
        <f>SUM(I19:I25)</f>
        <v>1</v>
      </c>
      <c r="K27" s="11"/>
      <c r="M27" s="47">
        <f>(+M19+M21+M23+M25)</f>
        <v>8.14E-2</v>
      </c>
    </row>
    <row r="28" spans="1:21" ht="15.75" thickTop="1"/>
  </sheetData>
  <mergeCells count="4">
    <mergeCell ref="A1:M1"/>
    <mergeCell ref="A2:M2"/>
    <mergeCell ref="A3:M3"/>
    <mergeCell ref="A4:M4"/>
  </mergeCells>
  <phoneticPr fontId="23" type="noConversion"/>
  <printOptions horizontalCentered="1"/>
  <pageMargins left="0.67" right="0.75" top="0.75" bottom="1.26" header="0.5" footer="0.5"/>
  <pageSetup scale="95" orientation="landscape" verticalDpi="300" r:id="rId1"/>
  <headerFooter alignWithMargins="0">
    <oddFooter>&amp;RSchedule &amp;A
Page &amp;P of &amp;N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6">
    <pageSetUpPr fitToPage="1"/>
  </sheetPr>
  <dimension ref="A1:X62"/>
  <sheetViews>
    <sheetView view="pageBreakPreview" zoomScale="80" zoomScaleNormal="80" zoomScaleSheetLayoutView="80" workbookViewId="0">
      <pane xSplit="5" ySplit="15" topLeftCell="F28" activePane="bottomRight" state="frozen"/>
      <selection activeCell="N43" sqref="N43"/>
      <selection pane="topRight" activeCell="N43" sqref="N43"/>
      <selection pane="bottomLeft" activeCell="N43" sqref="N43"/>
      <selection pane="bottomRight" activeCell="N43" sqref="N43"/>
    </sheetView>
  </sheetViews>
  <sheetFormatPr defaultColWidth="10.109375" defaultRowHeight="15"/>
  <cols>
    <col min="1" max="1" width="3.77734375" style="103" customWidth="1"/>
    <col min="2" max="2" width="2.44140625" style="103" customWidth="1"/>
    <col min="3" max="3" width="13" style="103" customWidth="1"/>
    <col min="4" max="4" width="2.109375" style="103" customWidth="1"/>
    <col min="5" max="5" width="2.44140625" style="103" customWidth="1"/>
    <col min="6" max="6" width="6.77734375" style="103" customWidth="1"/>
    <col min="7" max="7" width="2.44140625" style="103" customWidth="1"/>
    <col min="8" max="8" width="14" style="103" customWidth="1"/>
    <col min="9" max="9" width="2.44140625" style="103" customWidth="1"/>
    <col min="10" max="10" width="8.33203125" style="103" customWidth="1"/>
    <col min="11" max="11" width="2.44140625" style="103" customWidth="1"/>
    <col min="12" max="12" width="8" style="103" customWidth="1"/>
    <col min="13" max="13" width="2.44140625" style="103" customWidth="1"/>
    <col min="14" max="14" width="8.6640625" style="103" customWidth="1"/>
    <col min="15" max="15" width="2.44140625" style="103" customWidth="1"/>
    <col min="16" max="16" width="13.6640625" style="103" customWidth="1"/>
    <col min="17" max="17" width="2.44140625" style="103" customWidth="1"/>
    <col min="18" max="18" width="11.33203125" style="103" customWidth="1"/>
    <col min="19" max="19" width="1.88671875" style="103" customWidth="1"/>
    <col min="20" max="20" width="9.33203125" style="103" customWidth="1"/>
    <col min="21" max="21" width="2.44140625" style="103" customWidth="1"/>
    <col min="22" max="22" width="8.44140625" style="103" customWidth="1"/>
    <col min="23" max="23" width="6.77734375" style="103" bestFit="1" customWidth="1"/>
    <col min="24" max="24" width="9.44140625" style="103" bestFit="1" customWidth="1"/>
    <col min="25" max="16384" width="10.109375" style="103"/>
  </cols>
  <sheetData>
    <row r="1" spans="1:23">
      <c r="A1" s="1216" t="str">
        <f>'Table of Contents'!A1:C1</f>
        <v>Atmos Energy Corporation, Kentucky/Mid-States Division</v>
      </c>
      <c r="B1" s="1216"/>
      <c r="C1" s="1216"/>
      <c r="D1" s="1216"/>
      <c r="E1" s="1216"/>
      <c r="F1" s="1216"/>
      <c r="G1" s="1216"/>
      <c r="H1" s="1216"/>
      <c r="I1" s="1216"/>
      <c r="J1" s="1216"/>
      <c r="K1" s="1216"/>
      <c r="L1" s="1216"/>
      <c r="M1" s="1216"/>
      <c r="N1" s="1216"/>
      <c r="O1" s="1216"/>
      <c r="P1" s="1216"/>
      <c r="Q1" s="1216"/>
      <c r="R1" s="1216"/>
      <c r="S1" s="1216"/>
      <c r="T1" s="1216"/>
      <c r="U1" s="1216"/>
      <c r="V1" s="1216"/>
    </row>
    <row r="2" spans="1:23">
      <c r="A2" s="1216" t="str">
        <f>'Table of Contents'!A2:C2</f>
        <v>Kentucky Jurisdiction Case No. 2018-00281</v>
      </c>
      <c r="B2" s="1216"/>
      <c r="C2" s="1216"/>
      <c r="D2" s="1216"/>
      <c r="E2" s="1216"/>
      <c r="F2" s="1216"/>
      <c r="G2" s="1216"/>
      <c r="H2" s="1216"/>
      <c r="I2" s="1216"/>
      <c r="J2" s="1216"/>
      <c r="K2" s="1216"/>
      <c r="L2" s="1216"/>
      <c r="M2" s="1216"/>
      <c r="N2" s="1216"/>
      <c r="O2" s="1216"/>
      <c r="P2" s="1216"/>
      <c r="Q2" s="1216"/>
      <c r="R2" s="1216"/>
      <c r="S2" s="1216"/>
      <c r="T2" s="1216"/>
      <c r="U2" s="1216"/>
      <c r="V2" s="1216"/>
    </row>
    <row r="3" spans="1:23">
      <c r="A3" s="1216" t="s">
        <v>1473</v>
      </c>
      <c r="B3" s="1216"/>
      <c r="C3" s="1216"/>
      <c r="D3" s="1216"/>
      <c r="E3" s="1216"/>
      <c r="F3" s="1216"/>
      <c r="G3" s="1216"/>
      <c r="H3" s="1216"/>
      <c r="I3" s="1216"/>
      <c r="J3" s="1216"/>
      <c r="K3" s="1216"/>
      <c r="L3" s="1216"/>
      <c r="M3" s="1216"/>
      <c r="N3" s="1216"/>
      <c r="O3" s="1216"/>
      <c r="P3" s="1216"/>
      <c r="Q3" s="1216"/>
      <c r="R3" s="1216"/>
      <c r="S3" s="1216"/>
      <c r="T3" s="1216"/>
      <c r="U3" s="1216"/>
      <c r="V3" s="1216"/>
    </row>
    <row r="4" spans="1:23">
      <c r="A4" s="1216" t="str">
        <f>'Table of Contents'!A3:C3</f>
        <v>Base Period: Twelve Months Ended December 31, 2018</v>
      </c>
      <c r="B4" s="1216"/>
      <c r="C4" s="1216"/>
      <c r="D4" s="1216"/>
      <c r="E4" s="1216"/>
      <c r="F4" s="1216"/>
      <c r="G4" s="1216"/>
      <c r="H4" s="1216"/>
      <c r="I4" s="1216"/>
      <c r="J4" s="1216"/>
      <c r="K4" s="1216"/>
      <c r="L4" s="1216"/>
      <c r="M4" s="1216"/>
      <c r="N4" s="1216"/>
      <c r="O4" s="1216"/>
      <c r="P4" s="1216"/>
      <c r="Q4" s="1216"/>
      <c r="R4" s="1216"/>
      <c r="S4" s="1216"/>
      <c r="T4" s="1216"/>
      <c r="U4" s="1216"/>
      <c r="V4" s="1216"/>
    </row>
    <row r="5" spans="1:23">
      <c r="A5" s="1216" t="str">
        <f>'Table of Contents'!A4:C4</f>
        <v>Forecasted Test Period: Twelve Months Ended March 31, 2020</v>
      </c>
      <c r="B5" s="1216"/>
      <c r="C5" s="1216"/>
      <c r="D5" s="1216"/>
      <c r="E5" s="1216"/>
      <c r="F5" s="1216"/>
      <c r="G5" s="1216"/>
      <c r="H5" s="1216"/>
      <c r="I5" s="1216"/>
      <c r="J5" s="1216"/>
      <c r="K5" s="1216"/>
      <c r="L5" s="1216"/>
      <c r="M5" s="1216"/>
      <c r="N5" s="1216"/>
      <c r="O5" s="1216"/>
      <c r="P5" s="1216"/>
      <c r="Q5" s="1216"/>
      <c r="R5" s="1216"/>
      <c r="S5" s="1216"/>
      <c r="T5" s="1216"/>
      <c r="U5" s="1216"/>
      <c r="V5" s="1216"/>
    </row>
    <row r="6" spans="1:23">
      <c r="L6" s="121"/>
    </row>
    <row r="8" spans="1:23">
      <c r="A8" s="583" t="s">
        <v>198</v>
      </c>
      <c r="V8" s="949" t="s">
        <v>1411</v>
      </c>
    </row>
    <row r="9" spans="1:23">
      <c r="A9" s="583" t="s">
        <v>615</v>
      </c>
      <c r="T9" s="583"/>
      <c r="V9" s="921" t="s">
        <v>776</v>
      </c>
    </row>
    <row r="10" spans="1:23" ht="16.5" thickBot="1">
      <c r="A10" s="950" t="s">
        <v>365</v>
      </c>
      <c r="B10" s="929"/>
      <c r="C10" s="929"/>
      <c r="D10" s="929"/>
      <c r="E10" s="929"/>
      <c r="F10" s="929"/>
      <c r="G10" s="929"/>
      <c r="H10" s="801"/>
      <c r="I10" s="801"/>
      <c r="J10" s="801"/>
      <c r="K10" s="801"/>
      <c r="L10" s="801"/>
      <c r="M10" s="801"/>
      <c r="N10" s="988" t="s">
        <v>503</v>
      </c>
      <c r="O10" s="989"/>
      <c r="P10" s="989"/>
      <c r="Q10" s="801"/>
      <c r="R10" s="801"/>
      <c r="S10" s="801"/>
      <c r="T10" s="950"/>
      <c r="U10" s="801"/>
      <c r="V10" s="981" t="str">
        <f>'J-1 Base'!$M$9</f>
        <v>Witness:  Christian</v>
      </c>
      <c r="W10" s="929"/>
    </row>
    <row r="11" spans="1:23" ht="15.75">
      <c r="H11" s="990" t="s">
        <v>324</v>
      </c>
      <c r="I11" s="991"/>
      <c r="J11" s="991"/>
      <c r="K11" s="991"/>
      <c r="L11" s="991"/>
      <c r="M11" s="991"/>
      <c r="N11" s="992"/>
      <c r="P11" s="990" t="s">
        <v>325</v>
      </c>
      <c r="Q11" s="991"/>
      <c r="R11" s="991"/>
      <c r="S11" s="991"/>
      <c r="T11" s="991"/>
      <c r="U11" s="991"/>
      <c r="V11" s="992"/>
      <c r="W11" s="987"/>
    </row>
    <row r="12" spans="1:23">
      <c r="A12" s="121" t="s">
        <v>93</v>
      </c>
      <c r="F12" s="121" t="s">
        <v>95</v>
      </c>
      <c r="H12" s="993"/>
      <c r="I12" s="801"/>
      <c r="J12" s="428" t="s">
        <v>103</v>
      </c>
      <c r="K12" s="801"/>
      <c r="L12" s="801"/>
      <c r="M12" s="801"/>
      <c r="N12" s="994" t="s">
        <v>348</v>
      </c>
      <c r="P12" s="993"/>
      <c r="Q12" s="801"/>
      <c r="R12" s="428" t="s">
        <v>103</v>
      </c>
      <c r="S12" s="801"/>
      <c r="T12" s="801"/>
      <c r="U12" s="801"/>
      <c r="V12" s="994" t="s">
        <v>348</v>
      </c>
    </row>
    <row r="13" spans="1:23" ht="15.75" thickBot="1">
      <c r="A13" s="648" t="s">
        <v>99</v>
      </c>
      <c r="B13" s="929"/>
      <c r="C13" s="950" t="s">
        <v>347</v>
      </c>
      <c r="D13" s="929"/>
      <c r="E13" s="929"/>
      <c r="F13" s="648" t="s">
        <v>101</v>
      </c>
      <c r="G13" s="929"/>
      <c r="H13" s="995" t="s">
        <v>104</v>
      </c>
      <c r="I13" s="996"/>
      <c r="J13" s="997" t="s">
        <v>41</v>
      </c>
      <c r="K13" s="996"/>
      <c r="L13" s="997" t="s">
        <v>1157</v>
      </c>
      <c r="M13" s="996"/>
      <c r="N13" s="998" t="s">
        <v>0</v>
      </c>
      <c r="O13" s="801"/>
      <c r="P13" s="995" t="s">
        <v>104</v>
      </c>
      <c r="Q13" s="996"/>
      <c r="R13" s="997" t="s">
        <v>41</v>
      </c>
      <c r="S13" s="996"/>
      <c r="T13" s="997" t="s">
        <v>1157</v>
      </c>
      <c r="U13" s="996"/>
      <c r="V13" s="998" t="s">
        <v>0</v>
      </c>
      <c r="W13" s="929"/>
    </row>
    <row r="14" spans="1:23">
      <c r="F14" s="121" t="s">
        <v>1081</v>
      </c>
      <c r="H14" s="121" t="s">
        <v>1082</v>
      </c>
      <c r="J14" s="121" t="s">
        <v>1083</v>
      </c>
      <c r="L14" s="121" t="s">
        <v>15</v>
      </c>
      <c r="N14" s="121" t="s">
        <v>38</v>
      </c>
      <c r="O14" s="801"/>
      <c r="P14" s="121" t="s">
        <v>322</v>
      </c>
      <c r="R14" s="121" t="s">
        <v>39</v>
      </c>
      <c r="T14" s="121" t="s">
        <v>621</v>
      </c>
      <c r="V14" s="121" t="s">
        <v>622</v>
      </c>
    </row>
    <row r="15" spans="1:23">
      <c r="H15" s="121" t="s">
        <v>623</v>
      </c>
      <c r="J15" s="121" t="s">
        <v>149</v>
      </c>
      <c r="L15" s="121" t="s">
        <v>149</v>
      </c>
      <c r="N15" s="121" t="s">
        <v>149</v>
      </c>
      <c r="P15" s="121" t="s">
        <v>623</v>
      </c>
      <c r="R15" s="121" t="s">
        <v>149</v>
      </c>
      <c r="T15" s="121" t="s">
        <v>149</v>
      </c>
      <c r="V15" s="121" t="s">
        <v>149</v>
      </c>
    </row>
    <row r="17" spans="1:24">
      <c r="A17" s="121" t="s">
        <v>366</v>
      </c>
      <c r="C17" s="583" t="s">
        <v>272</v>
      </c>
      <c r="F17" s="108"/>
      <c r="G17" s="108"/>
      <c r="H17" s="108">
        <f>+'J-2 B'!F20</f>
        <v>203112.40348182284</v>
      </c>
      <c r="I17" s="108"/>
      <c r="J17" s="576">
        <f>ROUND(H17/$H$29,4)</f>
        <v>2.1999999999999999E-2</v>
      </c>
      <c r="K17" s="108"/>
      <c r="L17" s="999">
        <f>+'J-2 B'!L20</f>
        <v>3.398388477024282E-2</v>
      </c>
      <c r="M17" s="108"/>
      <c r="N17" s="999">
        <f>ROUND(+J17*L17,4)</f>
        <v>6.9999999999999999E-4</v>
      </c>
      <c r="O17" s="108"/>
      <c r="P17" s="108">
        <v>281542.43134917947</v>
      </c>
      <c r="Q17" s="108"/>
      <c r="R17" s="576">
        <v>3.44E-2</v>
      </c>
      <c r="S17" s="108"/>
      <c r="T17" s="999">
        <v>2.4E-2</v>
      </c>
      <c r="U17" s="576"/>
      <c r="V17" s="999">
        <v>8.0000000000000004E-4</v>
      </c>
      <c r="W17" s="423"/>
      <c r="X17" s="423"/>
    </row>
    <row r="18" spans="1:24">
      <c r="F18" s="108"/>
      <c r="G18" s="108"/>
      <c r="H18" s="108"/>
      <c r="I18" s="108"/>
      <c r="J18" s="108"/>
      <c r="K18" s="108"/>
      <c r="L18" s="999"/>
      <c r="M18" s="108"/>
      <c r="N18" s="999"/>
      <c r="O18" s="108"/>
      <c r="P18" s="108"/>
      <c r="Q18" s="108"/>
      <c r="R18" s="576"/>
      <c r="S18" s="108"/>
      <c r="T18" s="999"/>
      <c r="U18" s="576"/>
      <c r="V18" s="999"/>
      <c r="W18" s="423"/>
    </row>
    <row r="19" spans="1:24">
      <c r="A19" s="121" t="s">
        <v>368</v>
      </c>
      <c r="C19" s="583" t="s">
        <v>273</v>
      </c>
      <c r="F19" s="108"/>
      <c r="G19" s="108"/>
      <c r="H19" s="109">
        <f>'J-1 Base'!G21</f>
        <v>3659778.85971</v>
      </c>
      <c r="I19" s="108"/>
      <c r="J19" s="1000">
        <f>ROUND(H19/$H$29,5)</f>
        <v>0.39637</v>
      </c>
      <c r="K19" s="108"/>
      <c r="L19" s="999">
        <f>'J-1 Base'!K21</f>
        <v>5.1010821593374375E-2</v>
      </c>
      <c r="M19" s="108"/>
      <c r="N19" s="1180">
        <f>ROUND(+J19*L19,4)</f>
        <v>2.0199999999999999E-2</v>
      </c>
      <c r="O19" s="108"/>
      <c r="P19" s="109">
        <v>3131314.7028200002</v>
      </c>
      <c r="Q19" s="108"/>
      <c r="R19" s="1000">
        <v>0.3831</v>
      </c>
      <c r="S19" s="108"/>
      <c r="T19" s="999">
        <v>4.7199999999999999E-2</v>
      </c>
      <c r="U19" s="576"/>
      <c r="V19" s="1001">
        <v>1.8082319999999999E-2</v>
      </c>
      <c r="W19" s="423"/>
      <c r="X19" s="423"/>
    </row>
    <row r="20" spans="1:24">
      <c r="F20" s="108"/>
      <c r="G20" s="108"/>
      <c r="H20" s="108"/>
      <c r="I20" s="108"/>
      <c r="J20" s="108"/>
      <c r="K20" s="108"/>
      <c r="L20" s="999"/>
      <c r="M20" s="108"/>
      <c r="N20" s="999"/>
      <c r="O20" s="108"/>
      <c r="P20" s="108"/>
      <c r="Q20" s="108"/>
      <c r="R20" s="108"/>
      <c r="S20" s="108"/>
      <c r="T20" s="999"/>
      <c r="U20" s="576"/>
      <c r="V20" s="999"/>
      <c r="W20" s="423"/>
    </row>
    <row r="21" spans="1:24">
      <c r="A21" s="121" t="s">
        <v>370</v>
      </c>
      <c r="C21" s="583" t="s">
        <v>399</v>
      </c>
      <c r="F21" s="108"/>
      <c r="G21" s="108"/>
      <c r="H21" s="108">
        <f>H17+H19</f>
        <v>3862891.2631918229</v>
      </c>
      <c r="I21" s="108"/>
      <c r="J21" s="576">
        <f>J17+J19</f>
        <v>0.41837000000000002</v>
      </c>
      <c r="K21" s="108"/>
      <c r="L21" s="999"/>
      <c r="M21" s="108"/>
      <c r="N21" s="999">
        <f>N17+N19</f>
        <v>2.0899999999999998E-2</v>
      </c>
      <c r="O21" s="108"/>
      <c r="P21" s="108">
        <v>3412857.1341691799</v>
      </c>
      <c r="Q21" s="108"/>
      <c r="R21" s="576">
        <v>0.41749999999999998</v>
      </c>
      <c r="S21" s="108"/>
      <c r="T21" s="999"/>
      <c r="U21" s="576"/>
      <c r="V21" s="999">
        <v>1.8882319999999998E-2</v>
      </c>
      <c r="W21" s="423"/>
      <c r="X21" s="108"/>
    </row>
    <row r="22" spans="1:24">
      <c r="F22" s="108"/>
      <c r="G22" s="108"/>
      <c r="H22" s="108"/>
      <c r="I22" s="108"/>
      <c r="J22" s="108"/>
      <c r="K22" s="108"/>
      <c r="L22" s="999"/>
      <c r="M22" s="108"/>
      <c r="N22" s="999"/>
      <c r="O22" s="108"/>
      <c r="P22" s="108"/>
      <c r="Q22" s="108"/>
      <c r="R22" s="108"/>
      <c r="S22" s="108"/>
      <c r="T22" s="999"/>
      <c r="U22" s="576"/>
      <c r="V22" s="999"/>
      <c r="W22" s="423"/>
    </row>
    <row r="23" spans="1:24">
      <c r="A23" s="121" t="s">
        <v>371</v>
      </c>
      <c r="C23" s="583" t="s">
        <v>274</v>
      </c>
      <c r="F23" s="108"/>
      <c r="G23" s="108"/>
      <c r="H23" s="108">
        <v>0</v>
      </c>
      <c r="I23" s="108"/>
      <c r="J23" s="576">
        <f>ROUND(H23/$H$29,4)</f>
        <v>0</v>
      </c>
      <c r="K23" s="108"/>
      <c r="L23" s="999">
        <v>0</v>
      </c>
      <c r="M23" s="108"/>
      <c r="N23" s="999">
        <f>+J23*L23</f>
        <v>0</v>
      </c>
      <c r="O23" s="108"/>
      <c r="P23" s="108">
        <v>0</v>
      </c>
      <c r="Q23" s="108"/>
      <c r="R23" s="576">
        <v>0</v>
      </c>
      <c r="S23" s="108"/>
      <c r="T23" s="999">
        <v>0</v>
      </c>
      <c r="U23" s="576"/>
      <c r="V23" s="999">
        <v>0</v>
      </c>
      <c r="W23" s="423"/>
    </row>
    <row r="24" spans="1:24">
      <c r="H24" s="108"/>
      <c r="L24" s="999"/>
      <c r="N24" s="423"/>
      <c r="P24" s="108"/>
      <c r="T24" s="999"/>
      <c r="U24" s="1002"/>
      <c r="V24" s="423"/>
      <c r="W24" s="423"/>
    </row>
    <row r="25" spans="1:24">
      <c r="A25" s="121" t="s">
        <v>372</v>
      </c>
      <c r="C25" s="583" t="s">
        <v>275</v>
      </c>
      <c r="H25" s="108">
        <v>5370321.5454500001</v>
      </c>
      <c r="J25" s="576">
        <f>ROUND(H25/$H$29,5)</f>
        <v>0.58162999999999998</v>
      </c>
      <c r="L25" s="999">
        <f>Allocation!E27</f>
        <v>0.104</v>
      </c>
      <c r="N25" s="999">
        <f>+J25*L25</f>
        <v>6.0489519999999998E-2</v>
      </c>
      <c r="P25" s="108">
        <v>4760180.6776799997</v>
      </c>
      <c r="R25" s="576">
        <v>0.58242000000000005</v>
      </c>
      <c r="T25" s="999">
        <v>0.104</v>
      </c>
      <c r="U25" s="1002"/>
      <c r="V25" s="999">
        <v>6.0600000000000001E-2</v>
      </c>
      <c r="W25" s="423"/>
      <c r="X25" s="423"/>
    </row>
    <row r="26" spans="1:24">
      <c r="H26" s="108"/>
      <c r="L26" s="999"/>
      <c r="N26" s="423"/>
      <c r="P26" s="108"/>
      <c r="T26" s="999"/>
      <c r="U26" s="1002"/>
      <c r="V26" s="423"/>
      <c r="W26" s="423"/>
    </row>
    <row r="27" spans="1:24">
      <c r="A27" s="121" t="s">
        <v>373</v>
      </c>
      <c r="C27" s="583" t="s">
        <v>433</v>
      </c>
      <c r="H27" s="109">
        <v>0</v>
      </c>
      <c r="J27" s="1003">
        <f>ROUND(H27/$H$29,4)</f>
        <v>0</v>
      </c>
      <c r="L27" s="999">
        <v>0</v>
      </c>
      <c r="N27" s="1001">
        <f>+J27*L27</f>
        <v>0</v>
      </c>
      <c r="P27" s="109">
        <v>0</v>
      </c>
      <c r="R27" s="1003">
        <v>0</v>
      </c>
      <c r="T27" s="999">
        <v>0</v>
      </c>
      <c r="U27" s="1002"/>
      <c r="V27" s="1004">
        <v>0</v>
      </c>
      <c r="W27" s="423"/>
    </row>
    <row r="28" spans="1:24">
      <c r="H28" s="108"/>
      <c r="L28" s="999"/>
      <c r="P28" s="108"/>
      <c r="T28" s="576"/>
      <c r="U28" s="1002"/>
      <c r="V28" s="1002"/>
      <c r="W28" s="1002"/>
    </row>
    <row r="29" spans="1:24" ht="15.75" thickBot="1">
      <c r="A29" s="121" t="s">
        <v>374</v>
      </c>
      <c r="C29" s="583" t="s">
        <v>400</v>
      </c>
      <c r="H29" s="1005">
        <f>H21+H25+H27</f>
        <v>9233212.808641823</v>
      </c>
      <c r="J29" s="1172">
        <f>SUM(J21:J27)</f>
        <v>1</v>
      </c>
      <c r="L29" s="135"/>
      <c r="N29" s="114">
        <f>SUM(N21:N27)</f>
        <v>8.1389519999999993E-2</v>
      </c>
      <c r="P29" s="1005">
        <v>8173037.8118491797</v>
      </c>
      <c r="R29" s="1172">
        <v>0.99992000000000003</v>
      </c>
      <c r="T29" s="576"/>
      <c r="U29" s="1002"/>
      <c r="V29" s="114">
        <v>7.9482319999999995E-2</v>
      </c>
      <c r="W29" s="423"/>
      <c r="X29" s="114"/>
    </row>
    <row r="30" spans="1:24" ht="15.75" thickTop="1">
      <c r="H30" s="108"/>
      <c r="P30" s="108"/>
      <c r="T30" s="1002"/>
      <c r="U30" s="1002"/>
      <c r="V30" s="1002"/>
    </row>
    <row r="35" spans="1:22" ht="16.5" thickBot="1">
      <c r="A35" s="957"/>
      <c r="B35" s="957"/>
      <c r="C35" s="957"/>
      <c r="D35" s="957"/>
      <c r="E35" s="957"/>
      <c r="F35" s="957"/>
      <c r="G35" s="957"/>
      <c r="N35" s="988" t="s">
        <v>504</v>
      </c>
      <c r="O35" s="989"/>
      <c r="P35" s="989"/>
    </row>
    <row r="36" spans="1:22" ht="15.75">
      <c r="H36" s="990" t="s">
        <v>324</v>
      </c>
      <c r="I36" s="991"/>
      <c r="J36" s="991"/>
      <c r="K36" s="991"/>
      <c r="L36" s="991"/>
      <c r="M36" s="991"/>
      <c r="N36" s="992"/>
      <c r="P36" s="990" t="s">
        <v>325</v>
      </c>
      <c r="Q36" s="991"/>
      <c r="R36" s="991"/>
      <c r="S36" s="991"/>
      <c r="T36" s="991"/>
      <c r="U36" s="991"/>
      <c r="V36" s="992"/>
    </row>
    <row r="37" spans="1:22">
      <c r="A37" s="121" t="s">
        <v>93</v>
      </c>
      <c r="F37" s="121" t="s">
        <v>95</v>
      </c>
      <c r="H37" s="993"/>
      <c r="I37" s="801"/>
      <c r="J37" s="428" t="s">
        <v>103</v>
      </c>
      <c r="K37" s="801"/>
      <c r="L37" s="801"/>
      <c r="M37" s="801"/>
      <c r="N37" s="994" t="s">
        <v>348</v>
      </c>
      <c r="P37" s="993"/>
      <c r="Q37" s="801"/>
      <c r="R37" s="428" t="s">
        <v>103</v>
      </c>
      <c r="S37" s="801"/>
      <c r="T37" s="801"/>
      <c r="U37" s="801"/>
      <c r="V37" s="994" t="s">
        <v>348</v>
      </c>
    </row>
    <row r="38" spans="1:22" ht="15.75" thickBot="1">
      <c r="A38" s="648" t="s">
        <v>99</v>
      </c>
      <c r="B38" s="929"/>
      <c r="C38" s="950" t="s">
        <v>347</v>
      </c>
      <c r="D38" s="929"/>
      <c r="E38" s="929"/>
      <c r="F38" s="648" t="s">
        <v>101</v>
      </c>
      <c r="G38" s="929"/>
      <c r="H38" s="995" t="s">
        <v>104</v>
      </c>
      <c r="I38" s="996"/>
      <c r="J38" s="997" t="s">
        <v>41</v>
      </c>
      <c r="K38" s="996"/>
      <c r="L38" s="997" t="s">
        <v>1157</v>
      </c>
      <c r="M38" s="996"/>
      <c r="N38" s="998" t="s">
        <v>0</v>
      </c>
      <c r="O38" s="801"/>
      <c r="P38" s="995" t="s">
        <v>104</v>
      </c>
      <c r="Q38" s="996"/>
      <c r="R38" s="997" t="s">
        <v>41</v>
      </c>
      <c r="S38" s="996"/>
      <c r="T38" s="997" t="s">
        <v>1157</v>
      </c>
      <c r="U38" s="996"/>
      <c r="V38" s="998" t="s">
        <v>0</v>
      </c>
    </row>
    <row r="39" spans="1:22">
      <c r="F39" s="121" t="s">
        <v>1081</v>
      </c>
      <c r="H39" s="121" t="s">
        <v>1082</v>
      </c>
      <c r="J39" s="121" t="s">
        <v>1083</v>
      </c>
      <c r="L39" s="121" t="s">
        <v>15</v>
      </c>
      <c r="N39" s="121" t="s">
        <v>38</v>
      </c>
      <c r="O39" s="801"/>
      <c r="P39" s="121" t="s">
        <v>322</v>
      </c>
      <c r="R39" s="121" t="s">
        <v>39</v>
      </c>
      <c r="T39" s="121" t="s">
        <v>621</v>
      </c>
      <c r="V39" s="121" t="s">
        <v>622</v>
      </c>
    </row>
    <row r="40" spans="1:22">
      <c r="H40" s="121" t="s">
        <v>623</v>
      </c>
      <c r="J40" s="121" t="s">
        <v>149</v>
      </c>
      <c r="L40" s="121" t="s">
        <v>149</v>
      </c>
      <c r="N40" s="121" t="s">
        <v>149</v>
      </c>
      <c r="P40" s="121" t="s">
        <v>623</v>
      </c>
      <c r="R40" s="121" t="s">
        <v>149</v>
      </c>
      <c r="T40" s="121" t="s">
        <v>149</v>
      </c>
      <c r="V40" s="121" t="s">
        <v>149</v>
      </c>
    </row>
    <row r="42" spans="1:22">
      <c r="A42" s="121">
        <v>8</v>
      </c>
      <c r="C42" s="583" t="s">
        <v>272</v>
      </c>
      <c r="F42" s="108"/>
      <c r="G42" s="108"/>
      <c r="H42" s="108">
        <f>+'J-2 B'!F20</f>
        <v>203112.40348182284</v>
      </c>
      <c r="I42" s="108"/>
      <c r="J42" s="576">
        <f>ROUND(H42/$H$54,4)</f>
        <v>2.1999999999999999E-2</v>
      </c>
      <c r="K42" s="108"/>
      <c r="L42" s="999">
        <f>+'J-2 B'!L20</f>
        <v>3.398388477024282E-2</v>
      </c>
      <c r="M42" s="108"/>
      <c r="N42" s="999">
        <f>+J42*L42</f>
        <v>7.4764546494534201E-4</v>
      </c>
      <c r="O42" s="108"/>
      <c r="P42" s="108">
        <v>281542.43134917947</v>
      </c>
      <c r="Q42" s="108"/>
      <c r="R42" s="576">
        <v>3.44E-2</v>
      </c>
      <c r="S42" s="108"/>
      <c r="T42" s="999">
        <v>2.4E-2</v>
      </c>
      <c r="U42" s="576"/>
      <c r="V42" s="999">
        <v>8.0000000000000004E-4</v>
      </c>
    </row>
    <row r="43" spans="1:22">
      <c r="F43" s="108"/>
      <c r="G43" s="108"/>
      <c r="H43" s="108"/>
      <c r="I43" s="108"/>
      <c r="J43" s="108"/>
      <c r="K43" s="108"/>
      <c r="L43" s="999"/>
      <c r="M43" s="108"/>
      <c r="N43" s="999"/>
      <c r="O43" s="108"/>
      <c r="P43" s="108"/>
      <c r="Q43" s="108"/>
      <c r="R43" s="576"/>
      <c r="S43" s="108"/>
      <c r="T43" s="999"/>
      <c r="U43" s="576"/>
      <c r="V43" s="999"/>
    </row>
    <row r="44" spans="1:22">
      <c r="A44" s="121">
        <v>9</v>
      </c>
      <c r="C44" s="583" t="s">
        <v>273</v>
      </c>
      <c r="F44" s="108"/>
      <c r="G44" s="108"/>
      <c r="H44" s="109">
        <f>H19</f>
        <v>3659778.85971</v>
      </c>
      <c r="I44" s="108"/>
      <c r="J44" s="1000">
        <f>ROUND(H44/$H$54,5)</f>
        <v>0.39637</v>
      </c>
      <c r="K44" s="108"/>
      <c r="L44" s="999">
        <f>ROUND('J-3 B'!K34,4)</f>
        <v>5.0999999999999997E-2</v>
      </c>
      <c r="M44" s="108"/>
      <c r="N44" s="1001">
        <f>+J44*L44</f>
        <v>2.0214869999999999E-2</v>
      </c>
      <c r="O44" s="108"/>
      <c r="P44" s="109">
        <v>3131314.7028200002</v>
      </c>
      <c r="Q44" s="108"/>
      <c r="R44" s="1000">
        <v>0.3831</v>
      </c>
      <c r="S44" s="108"/>
      <c r="T44" s="999">
        <v>4.7199999999999999E-2</v>
      </c>
      <c r="U44" s="576"/>
      <c r="V44" s="1004">
        <v>1.8100000000000002E-2</v>
      </c>
    </row>
    <row r="45" spans="1:22">
      <c r="F45" s="108"/>
      <c r="G45" s="108"/>
      <c r="H45" s="108"/>
      <c r="I45" s="108"/>
      <c r="J45" s="108"/>
      <c r="K45" s="108"/>
      <c r="L45" s="999"/>
      <c r="M45" s="108"/>
      <c r="N45" s="999"/>
      <c r="O45" s="108"/>
      <c r="P45" s="108"/>
      <c r="Q45" s="108"/>
      <c r="R45" s="108"/>
      <c r="S45" s="108"/>
      <c r="T45" s="999"/>
      <c r="U45" s="576"/>
      <c r="V45" s="999"/>
    </row>
    <row r="46" spans="1:22">
      <c r="A46" s="121">
        <v>10</v>
      </c>
      <c r="C46" s="583" t="s">
        <v>399</v>
      </c>
      <c r="F46" s="108"/>
      <c r="G46" s="108"/>
      <c r="H46" s="108">
        <f>H42+H44</f>
        <v>3862891.2631918229</v>
      </c>
      <c r="I46" s="108"/>
      <c r="J46" s="576">
        <f>J42+J44</f>
        <v>0.41837000000000002</v>
      </c>
      <c r="K46" s="108"/>
      <c r="L46" s="999"/>
      <c r="M46" s="108"/>
      <c r="N46" s="999">
        <f>N42+N44</f>
        <v>2.096251546494534E-2</v>
      </c>
      <c r="O46" s="108"/>
      <c r="P46" s="108">
        <v>3412857.1341691799</v>
      </c>
      <c r="Q46" s="108"/>
      <c r="R46" s="576">
        <v>0.41749999999999998</v>
      </c>
      <c r="S46" s="108"/>
      <c r="T46" s="999"/>
      <c r="U46" s="576"/>
      <c r="V46" s="999">
        <v>1.89E-2</v>
      </c>
    </row>
    <row r="47" spans="1:22">
      <c r="F47" s="108"/>
      <c r="G47" s="108"/>
      <c r="H47" s="108"/>
      <c r="I47" s="108"/>
      <c r="J47" s="108"/>
      <c r="K47" s="108"/>
      <c r="L47" s="999"/>
      <c r="M47" s="108"/>
      <c r="N47" s="999"/>
      <c r="O47" s="108"/>
      <c r="P47" s="108"/>
      <c r="Q47" s="108"/>
      <c r="R47" s="108"/>
      <c r="S47" s="108"/>
      <c r="T47" s="999"/>
      <c r="U47" s="576"/>
      <c r="V47" s="999"/>
    </row>
    <row r="48" spans="1:22">
      <c r="A48" s="121">
        <v>11</v>
      </c>
      <c r="C48" s="583" t="s">
        <v>274</v>
      </c>
      <c r="F48" s="108"/>
      <c r="G48" s="108"/>
      <c r="H48" s="108">
        <v>0</v>
      </c>
      <c r="I48" s="108"/>
      <c r="J48" s="576">
        <f>ROUND(H48/$H$54,4)</f>
        <v>0</v>
      </c>
      <c r="K48" s="108"/>
      <c r="L48" s="999">
        <v>0</v>
      </c>
      <c r="M48" s="108"/>
      <c r="N48" s="999">
        <f>+J48*L48</f>
        <v>0</v>
      </c>
      <c r="O48" s="108"/>
      <c r="P48" s="108">
        <v>0</v>
      </c>
      <c r="Q48" s="108"/>
      <c r="R48" s="576">
        <v>0</v>
      </c>
      <c r="S48" s="108"/>
      <c r="T48" s="999">
        <v>0</v>
      </c>
      <c r="U48" s="576"/>
      <c r="V48" s="999">
        <v>0</v>
      </c>
    </row>
    <row r="49" spans="1:22">
      <c r="H49" s="108"/>
      <c r="L49" s="999"/>
      <c r="N49" s="423"/>
      <c r="P49" s="108"/>
      <c r="T49" s="999"/>
      <c r="U49" s="1002"/>
      <c r="V49" s="423"/>
    </row>
    <row r="50" spans="1:22">
      <c r="A50" s="121">
        <v>12</v>
      </c>
      <c r="C50" s="583" t="s">
        <v>275</v>
      </c>
      <c r="H50" s="108">
        <f>H25</f>
        <v>5370321.5454500001</v>
      </c>
      <c r="J50" s="576">
        <f>ROUND(H50/$H$54,5)</f>
        <v>0.58162999999999998</v>
      </c>
      <c r="L50" s="999">
        <f>+N50/J50</f>
        <v>7.7691458471497846E-2</v>
      </c>
      <c r="N50" s="999">
        <f>+N54-N46</f>
        <v>4.5187682990777293E-2</v>
      </c>
      <c r="P50" s="108">
        <v>4760180.6776799997</v>
      </c>
      <c r="R50" s="576">
        <v>0.58242000000000005</v>
      </c>
      <c r="T50" s="999">
        <v>6.2841248583496448E-2</v>
      </c>
      <c r="U50" s="1002"/>
      <c r="V50" s="999">
        <v>3.6600000000000001E-2</v>
      </c>
    </row>
    <row r="51" spans="1:22">
      <c r="H51" s="108"/>
      <c r="L51" s="999"/>
      <c r="N51" s="423"/>
      <c r="P51" s="108"/>
      <c r="T51" s="999"/>
      <c r="U51" s="1002"/>
      <c r="V51" s="423"/>
    </row>
    <row r="52" spans="1:22">
      <c r="A52" s="121">
        <v>13</v>
      </c>
      <c r="C52" s="583" t="s">
        <v>433</v>
      </c>
      <c r="H52" s="109">
        <v>0</v>
      </c>
      <c r="J52" s="1003">
        <f>ROUND(H52/$H$29,4)</f>
        <v>0</v>
      </c>
      <c r="L52" s="999">
        <v>0</v>
      </c>
      <c r="N52" s="1001">
        <f>+J52*L52</f>
        <v>0</v>
      </c>
      <c r="P52" s="109">
        <v>0</v>
      </c>
      <c r="R52" s="1003">
        <v>0</v>
      </c>
      <c r="T52" s="999">
        <v>0</v>
      </c>
      <c r="U52" s="1002"/>
      <c r="V52" s="1004">
        <v>0</v>
      </c>
    </row>
    <row r="53" spans="1:22">
      <c r="H53" s="108"/>
      <c r="L53" s="999"/>
      <c r="P53" s="108"/>
      <c r="T53" s="576"/>
      <c r="U53" s="1002"/>
      <c r="V53" s="1002"/>
    </row>
    <row r="54" spans="1:22" ht="15.75" thickBot="1">
      <c r="A54" s="121">
        <v>14</v>
      </c>
      <c r="C54" s="583" t="s">
        <v>400</v>
      </c>
      <c r="H54" s="1005">
        <f>H46+H50+H52</f>
        <v>9233212.808641823</v>
      </c>
      <c r="J54" s="1172">
        <f>SUM(J46:J52)</f>
        <v>1</v>
      </c>
      <c r="L54" s="135"/>
      <c r="N54" s="114">
        <f>+'C.2'!D33/'B.1 B'!F27</f>
        <v>6.6150198455722634E-2</v>
      </c>
      <c r="P54" s="1005">
        <v>8173037.8118491797</v>
      </c>
      <c r="R54" s="1172">
        <v>0.99992000000000003</v>
      </c>
      <c r="T54" s="576"/>
      <c r="U54" s="1002"/>
      <c r="V54" s="114">
        <v>5.5500000000000001E-2</v>
      </c>
    </row>
    <row r="55" spans="1:22" ht="15.75" thickTop="1">
      <c r="H55" s="108"/>
      <c r="P55" s="108"/>
      <c r="T55" s="1002"/>
      <c r="U55" s="1002"/>
      <c r="V55" s="1002"/>
    </row>
    <row r="56" spans="1:22"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</row>
    <row r="57" spans="1:22">
      <c r="F57" s="108"/>
      <c r="G57" s="108"/>
      <c r="H57" s="108"/>
      <c r="I57" s="108"/>
      <c r="J57" s="576"/>
      <c r="K57" s="108"/>
      <c r="L57" s="135"/>
      <c r="M57" s="108"/>
      <c r="N57" s="135"/>
      <c r="O57" s="108"/>
      <c r="P57" s="108"/>
    </row>
    <row r="58" spans="1:22">
      <c r="F58" s="108"/>
      <c r="G58" s="108"/>
      <c r="H58" s="108"/>
      <c r="I58" s="108"/>
      <c r="J58" s="108"/>
      <c r="K58" s="108"/>
      <c r="L58" s="135"/>
      <c r="M58" s="108"/>
      <c r="N58" s="108"/>
      <c r="O58" s="108"/>
      <c r="P58" s="108"/>
    </row>
    <row r="59" spans="1:22">
      <c r="F59" s="108"/>
      <c r="G59" s="108"/>
      <c r="H59" s="108"/>
      <c r="I59" s="108"/>
      <c r="J59" s="576"/>
      <c r="K59" s="108"/>
      <c r="L59" s="135"/>
      <c r="M59" s="108"/>
      <c r="N59" s="135"/>
      <c r="O59" s="108"/>
      <c r="P59" s="108"/>
    </row>
    <row r="60" spans="1:22">
      <c r="F60" s="108"/>
      <c r="G60" s="108"/>
      <c r="H60" s="108"/>
      <c r="I60" s="108"/>
      <c r="J60" s="108"/>
      <c r="K60" s="108"/>
      <c r="L60" s="135"/>
      <c r="M60" s="108"/>
      <c r="N60" s="108"/>
      <c r="O60" s="108"/>
      <c r="P60" s="108"/>
    </row>
    <row r="61" spans="1:22">
      <c r="F61" s="108"/>
      <c r="G61" s="108"/>
      <c r="H61" s="108"/>
      <c r="I61" s="108"/>
      <c r="J61" s="576"/>
      <c r="K61" s="108"/>
      <c r="L61" s="135"/>
      <c r="M61" s="108"/>
      <c r="N61" s="135"/>
      <c r="O61" s="108"/>
      <c r="P61" s="108"/>
    </row>
    <row r="62" spans="1:22">
      <c r="F62" s="108"/>
      <c r="G62" s="108"/>
      <c r="H62" s="108"/>
      <c r="I62" s="108"/>
      <c r="J62" s="108"/>
      <c r="K62" s="108"/>
      <c r="L62" s="108"/>
      <c r="M62" s="108"/>
      <c r="N62" s="108"/>
      <c r="O62" s="108"/>
    </row>
  </sheetData>
  <mergeCells count="5">
    <mergeCell ref="A5:V5"/>
    <mergeCell ref="A1:V1"/>
    <mergeCell ref="A2:V2"/>
    <mergeCell ref="A3:V3"/>
    <mergeCell ref="A4:V4"/>
  </mergeCells>
  <phoneticPr fontId="23" type="noConversion"/>
  <printOptions horizontalCentered="1"/>
  <pageMargins left="0.74" right="0.43" top="0.91" bottom="1" header="0.5" footer="0.5"/>
  <pageSetup scale="59" orientation="portrait" verticalDpi="300" r:id="rId1"/>
  <headerFooter alignWithMargins="0">
    <oddFooter>&amp;RSchedule &amp;A
Page &amp;P of &amp;N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Q33"/>
  <sheetViews>
    <sheetView view="pageBreakPreview" zoomScale="60" zoomScaleNormal="90" workbookViewId="0">
      <selection activeCell="N43" sqref="N43"/>
    </sheetView>
  </sheetViews>
  <sheetFormatPr defaultColWidth="10.109375" defaultRowHeight="15"/>
  <cols>
    <col min="1" max="1" width="6.5546875" style="81" customWidth="1"/>
    <col min="2" max="2" width="3.33203125" style="81" customWidth="1"/>
    <col min="3" max="3" width="16.109375" style="81" customWidth="1"/>
    <col min="4" max="4" width="11" style="81" customWidth="1"/>
    <col min="5" max="5" width="5.88671875" style="81" customWidth="1"/>
    <col min="6" max="6" width="13.109375" style="81" bestFit="1" customWidth="1"/>
    <col min="7" max="7" width="5" style="81" customWidth="1"/>
    <col min="8" max="8" width="10.109375" style="81"/>
    <col min="9" max="9" width="5" style="81" customWidth="1"/>
    <col min="10" max="10" width="10.109375" style="81" customWidth="1"/>
    <col min="11" max="11" width="6.33203125" style="81" customWidth="1"/>
    <col min="12" max="12" width="11.88671875" style="81" customWidth="1"/>
    <col min="13" max="16384" width="10.109375" style="81"/>
  </cols>
  <sheetData>
    <row r="1" spans="1:17">
      <c r="A1" s="1219" t="str">
        <f>'Table of Contents'!A1:C1</f>
        <v>Atmos Energy Corporation, Kentucky/Mid-States Division</v>
      </c>
      <c r="B1" s="1219"/>
      <c r="C1" s="1219"/>
      <c r="D1" s="1219"/>
      <c r="E1" s="1219"/>
      <c r="F1" s="1219"/>
      <c r="G1" s="1219"/>
      <c r="H1" s="1219"/>
      <c r="I1" s="1219"/>
      <c r="J1" s="1219"/>
      <c r="K1" s="1219"/>
      <c r="L1" s="1219"/>
    </row>
    <row r="2" spans="1:17">
      <c r="A2" s="1219" t="str">
        <f>'Table of Contents'!A2:C2</f>
        <v>Kentucky Jurisdiction Case No. 2018-00281</v>
      </c>
      <c r="B2" s="1219"/>
      <c r="C2" s="1219"/>
      <c r="D2" s="1219"/>
      <c r="E2" s="1219"/>
      <c r="F2" s="1219"/>
      <c r="G2" s="1219"/>
      <c r="H2" s="1219"/>
      <c r="I2" s="1219"/>
      <c r="J2" s="1219"/>
      <c r="K2" s="1219"/>
      <c r="L2" s="1219"/>
    </row>
    <row r="3" spans="1:17">
      <c r="A3" s="1219" t="s">
        <v>526</v>
      </c>
      <c r="B3" s="1219"/>
      <c r="C3" s="1219"/>
      <c r="D3" s="1219"/>
      <c r="E3" s="1219"/>
      <c r="F3" s="1219"/>
      <c r="G3" s="1219"/>
      <c r="H3" s="1219"/>
      <c r="I3" s="1219"/>
      <c r="J3" s="1219"/>
      <c r="K3" s="1219"/>
      <c r="L3" s="1219"/>
    </row>
    <row r="4" spans="1:17">
      <c r="A4" s="1219" t="s">
        <v>1495</v>
      </c>
      <c r="B4" s="1219"/>
      <c r="C4" s="1219"/>
      <c r="D4" s="1219"/>
      <c r="E4" s="1219"/>
      <c r="F4" s="1219"/>
      <c r="G4" s="1219"/>
      <c r="H4" s="1219"/>
      <c r="I4" s="1219"/>
      <c r="J4" s="1219"/>
      <c r="K4" s="1219"/>
      <c r="L4" s="1219"/>
    </row>
    <row r="5" spans="1:17">
      <c r="A5" s="852"/>
      <c r="B5" s="852"/>
      <c r="C5" s="852"/>
      <c r="D5" s="852"/>
      <c r="E5" s="852"/>
      <c r="F5" s="852"/>
      <c r="G5" s="852"/>
      <c r="H5" s="852"/>
      <c r="I5" s="852"/>
      <c r="J5" s="852"/>
      <c r="K5" s="852"/>
      <c r="L5" s="852"/>
    </row>
    <row r="6" spans="1:17">
      <c r="L6" s="170" t="s">
        <v>1411</v>
      </c>
    </row>
    <row r="7" spans="1:17">
      <c r="A7" s="88" t="str">
        <f>'J-1 Base'!A7</f>
        <v>Data:__X___Base Period______Forecasted Period</v>
      </c>
      <c r="L7" s="978" t="s">
        <v>49</v>
      </c>
    </row>
    <row r="8" spans="1:17">
      <c r="A8" s="88" t="str">
        <f>'J-1 Base'!A8</f>
        <v>Type of Filing:___X____Original________Updated ________Revised</v>
      </c>
      <c r="L8" s="978" t="s">
        <v>853</v>
      </c>
    </row>
    <row r="9" spans="1:17">
      <c r="A9" s="390" t="str">
        <f>'J-1 Base'!A9</f>
        <v>Workpaper Reference No(s).____________________</v>
      </c>
      <c r="B9" s="151"/>
      <c r="C9" s="151"/>
      <c r="D9" s="151"/>
      <c r="E9" s="151"/>
      <c r="F9" s="151"/>
      <c r="G9" s="151"/>
      <c r="H9" s="151"/>
      <c r="I9" s="151"/>
      <c r="J9" s="151"/>
      <c r="K9" s="82"/>
      <c r="L9" s="549" t="str">
        <f>'J-1 Base'!M9</f>
        <v>Witness:  Christian</v>
      </c>
    </row>
    <row r="10" spans="1:17">
      <c r="H10" s="850">
        <v>-1</v>
      </c>
      <c r="J10" s="848" t="s">
        <v>350</v>
      </c>
      <c r="L10" s="848" t="s">
        <v>1144</v>
      </c>
    </row>
    <row r="11" spans="1:17">
      <c r="A11" s="848" t="s">
        <v>93</v>
      </c>
      <c r="F11" s="848" t="s">
        <v>104</v>
      </c>
      <c r="H11" s="848" t="s">
        <v>269</v>
      </c>
      <c r="J11" s="848" t="s">
        <v>351</v>
      </c>
      <c r="L11" s="848" t="s">
        <v>269</v>
      </c>
    </row>
    <row r="12" spans="1:17">
      <c r="A12" s="434" t="s">
        <v>99</v>
      </c>
      <c r="B12" s="151"/>
      <c r="C12" s="434" t="s">
        <v>352</v>
      </c>
      <c r="D12" s="151"/>
      <c r="E12" s="151"/>
      <c r="F12" s="434" t="s">
        <v>349</v>
      </c>
      <c r="G12" s="151"/>
      <c r="H12" s="434" t="s">
        <v>570</v>
      </c>
      <c r="I12" s="151"/>
      <c r="J12" s="434" t="s">
        <v>0</v>
      </c>
      <c r="K12" s="151"/>
      <c r="L12" s="434" t="s">
        <v>570</v>
      </c>
    </row>
    <row r="13" spans="1:17">
      <c r="C13" s="848" t="s">
        <v>1081</v>
      </c>
      <c r="F13" s="848" t="s">
        <v>1082</v>
      </c>
      <c r="H13" s="848" t="s">
        <v>1083</v>
      </c>
      <c r="J13" s="848" t="s">
        <v>15</v>
      </c>
      <c r="L13" s="848" t="s">
        <v>168</v>
      </c>
    </row>
    <row r="14" spans="1:17">
      <c r="F14" s="848" t="s">
        <v>623</v>
      </c>
      <c r="J14" s="848" t="s">
        <v>623</v>
      </c>
    </row>
    <row r="16" spans="1:17">
      <c r="A16" s="848" t="s">
        <v>366</v>
      </c>
      <c r="C16" s="88" t="s">
        <v>900</v>
      </c>
      <c r="F16" s="340">
        <v>203112.40348182284</v>
      </c>
      <c r="G16" s="71"/>
      <c r="H16" s="1170">
        <v>1.9770815879097098E-2</v>
      </c>
      <c r="I16" s="110"/>
      <c r="J16" s="340">
        <f>F16*H16</f>
        <v>4015.6979319999996</v>
      </c>
      <c r="K16" s="73"/>
      <c r="L16" s="73"/>
      <c r="M16" s="73"/>
      <c r="N16" s="979"/>
      <c r="O16" s="73"/>
      <c r="P16" s="73"/>
      <c r="Q16" s="73"/>
    </row>
    <row r="18" spans="1:17">
      <c r="A18" s="848">
        <v>2</v>
      </c>
      <c r="C18" s="88" t="s">
        <v>1574</v>
      </c>
      <c r="F18" s="85"/>
      <c r="G18" s="73"/>
      <c r="H18" s="73"/>
      <c r="I18" s="110"/>
      <c r="J18" s="340">
        <v>2886.8505833333338</v>
      </c>
      <c r="K18" s="73"/>
      <c r="L18" s="73"/>
      <c r="M18" s="73"/>
      <c r="N18" s="979"/>
      <c r="O18" s="73"/>
      <c r="P18" s="73"/>
      <c r="Q18" s="73"/>
    </row>
    <row r="19" spans="1:17">
      <c r="F19" s="73"/>
      <c r="G19" s="73"/>
      <c r="H19" s="112"/>
      <c r="I19" s="73"/>
      <c r="J19" s="73"/>
      <c r="K19" s="73"/>
      <c r="L19" s="73"/>
      <c r="M19" s="73"/>
      <c r="N19" s="73"/>
      <c r="O19" s="73"/>
      <c r="P19" s="73"/>
      <c r="Q19" s="73"/>
    </row>
    <row r="20" spans="1:17">
      <c r="A20" s="848">
        <v>3</v>
      </c>
      <c r="C20" s="88" t="s">
        <v>901</v>
      </c>
      <c r="F20" s="306">
        <f>SUM(F16:F18)</f>
        <v>203112.40348182284</v>
      </c>
      <c r="G20" s="73"/>
      <c r="H20" s="73"/>
      <c r="I20" s="110"/>
      <c r="J20" s="306">
        <f>SUM(J16:J18)</f>
        <v>6902.5485153333339</v>
      </c>
      <c r="K20" s="73"/>
      <c r="L20" s="112">
        <f>(J20/F20)</f>
        <v>3.398388477024282E-2</v>
      </c>
      <c r="M20" s="73"/>
      <c r="N20" s="73"/>
      <c r="O20" s="73"/>
      <c r="P20" s="73"/>
      <c r="Q20" s="73"/>
    </row>
    <row r="21" spans="1:17">
      <c r="F21" s="73"/>
      <c r="G21" s="73"/>
      <c r="H21" s="112"/>
      <c r="I21" s="110"/>
      <c r="J21" s="110"/>
      <c r="K21" s="73"/>
      <c r="L21" s="73"/>
      <c r="M21" s="73"/>
      <c r="N21" s="73"/>
      <c r="O21" s="73"/>
      <c r="P21" s="73"/>
      <c r="Q21" s="73"/>
    </row>
    <row r="22" spans="1:17">
      <c r="F22" s="73"/>
      <c r="G22" s="73"/>
      <c r="H22" s="112"/>
      <c r="I22" s="110"/>
      <c r="J22" s="110"/>
      <c r="K22" s="73"/>
      <c r="L22" s="73"/>
      <c r="M22" s="73"/>
      <c r="N22" s="73"/>
      <c r="O22" s="73"/>
      <c r="P22" s="73"/>
      <c r="Q22" s="73"/>
    </row>
    <row r="23" spans="1:17">
      <c r="F23" s="73"/>
      <c r="G23" s="73"/>
      <c r="H23" s="112"/>
      <c r="I23" s="110"/>
      <c r="J23" s="110"/>
      <c r="K23" s="73"/>
      <c r="L23" s="73"/>
      <c r="M23" s="73"/>
      <c r="N23" s="73"/>
      <c r="O23" s="73"/>
      <c r="P23" s="73"/>
      <c r="Q23" s="73"/>
    </row>
    <row r="24" spans="1:17" ht="15.75">
      <c r="B24" s="127"/>
      <c r="G24" s="73"/>
      <c r="I24" s="110"/>
    </row>
    <row r="25" spans="1:17">
      <c r="C25" s="88" t="s">
        <v>525</v>
      </c>
      <c r="G25" s="73"/>
      <c r="H25" s="112"/>
      <c r="I25" s="110"/>
      <c r="J25" s="110"/>
    </row>
    <row r="26" spans="1:17">
      <c r="C26" s="88"/>
      <c r="G26" s="73"/>
      <c r="H26" s="112"/>
      <c r="I26" s="110"/>
      <c r="J26" s="110"/>
    </row>
    <row r="27" spans="1:17">
      <c r="C27" s="694" t="s">
        <v>1671</v>
      </c>
      <c r="D27" s="103"/>
      <c r="E27" s="103"/>
      <c r="F27" s="103"/>
      <c r="G27" s="103"/>
      <c r="H27" s="103"/>
      <c r="I27" s="103"/>
      <c r="J27" s="103"/>
      <c r="K27" s="103"/>
    </row>
    <row r="28" spans="1:17">
      <c r="C28" s="175"/>
      <c r="D28" s="103"/>
      <c r="E28" s="103"/>
      <c r="F28" s="103"/>
      <c r="G28" s="103"/>
      <c r="H28" s="103"/>
      <c r="I28" s="103"/>
      <c r="J28" s="103"/>
      <c r="K28" s="103"/>
    </row>
    <row r="29" spans="1:17">
      <c r="C29" s="116"/>
      <c r="D29" s="103"/>
      <c r="E29" s="103"/>
      <c r="F29" s="103"/>
      <c r="G29" s="103"/>
      <c r="H29" s="103"/>
      <c r="I29" s="103"/>
      <c r="J29" s="103"/>
      <c r="K29" s="103"/>
    </row>
    <row r="30" spans="1:17">
      <c r="C30" s="116"/>
      <c r="D30" s="103"/>
      <c r="E30" s="103"/>
      <c r="F30" s="103"/>
      <c r="G30" s="108"/>
      <c r="H30" s="103"/>
      <c r="I30" s="135"/>
      <c r="J30" s="103"/>
      <c r="K30" s="103"/>
    </row>
    <row r="31" spans="1:17">
      <c r="C31" s="103"/>
      <c r="D31" s="103"/>
      <c r="E31" s="103"/>
      <c r="F31" s="103"/>
      <c r="G31" s="108"/>
      <c r="H31" s="108"/>
      <c r="I31" s="135"/>
      <c r="J31" s="135"/>
      <c r="K31" s="103"/>
    </row>
    <row r="32" spans="1:17">
      <c r="C32" s="116"/>
      <c r="D32" s="103"/>
      <c r="E32" s="103"/>
      <c r="F32" s="103"/>
      <c r="G32" s="108"/>
      <c r="H32" s="103"/>
      <c r="I32" s="103"/>
      <c r="J32" s="103"/>
      <c r="K32" s="103"/>
    </row>
    <row r="33" spans="3:11">
      <c r="C33" s="116"/>
      <c r="D33" s="103"/>
      <c r="E33" s="103"/>
      <c r="F33" s="103"/>
      <c r="G33" s="103"/>
      <c r="H33" s="103"/>
      <c r="I33" s="103"/>
      <c r="J33" s="103"/>
      <c r="K33" s="103"/>
    </row>
  </sheetData>
  <mergeCells count="4">
    <mergeCell ref="A1:L1"/>
    <mergeCell ref="A2:L2"/>
    <mergeCell ref="A3:L3"/>
    <mergeCell ref="A4:L4"/>
  </mergeCells>
  <phoneticPr fontId="23" type="noConversion"/>
  <printOptions horizontalCentered="1"/>
  <pageMargins left="0.75" right="0.75" top="0.82" bottom="1" header="0.5" footer="0.5"/>
  <pageSetup scale="97" orientation="landscape" verticalDpi="300" r:id="rId1"/>
  <headerFooter alignWithMargins="0">
    <oddFooter>&amp;RSchedule &amp;A
Page &amp;P of &amp;N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P42"/>
  <sheetViews>
    <sheetView view="pageBreakPreview" zoomScale="70" zoomScaleNormal="90" zoomScaleSheetLayoutView="70" workbookViewId="0">
      <selection activeCell="N43" sqref="N43"/>
    </sheetView>
  </sheetViews>
  <sheetFormatPr defaultColWidth="8.5546875" defaultRowHeight="15"/>
  <cols>
    <col min="1" max="1" width="4.21875" style="103" customWidth="1"/>
    <col min="2" max="2" width="1.88671875" style="103" customWidth="1"/>
    <col min="3" max="3" width="34" style="103" customWidth="1"/>
    <col min="4" max="4" width="3" style="103" customWidth="1"/>
    <col min="5" max="5" width="17.109375" style="103" customWidth="1"/>
    <col min="6" max="6" width="2.77734375" style="103" customWidth="1"/>
    <col min="7" max="7" width="7.5546875" style="103" customWidth="1"/>
    <col min="8" max="8" width="2.33203125" style="103" customWidth="1"/>
    <col min="9" max="9" width="14.77734375" style="103" customWidth="1"/>
    <col min="10" max="10" width="2" style="103" customWidth="1"/>
    <col min="11" max="11" width="9.21875" style="103" customWidth="1"/>
    <col min="12" max="12" width="8.5546875" style="103"/>
    <col min="13" max="13" width="9.44140625" style="103" customWidth="1"/>
    <col min="14" max="14" width="11.44140625" style="103" bestFit="1" customWidth="1"/>
    <col min="15" max="15" width="8.5546875" style="103"/>
    <col min="16" max="16" width="11.109375" style="103" customWidth="1"/>
    <col min="17" max="16384" width="8.5546875" style="103"/>
  </cols>
  <sheetData>
    <row r="1" spans="1:12">
      <c r="A1" s="1216" t="str">
        <f>'Table of Contents'!A1:C1</f>
        <v>Atmos Energy Corporation, Kentucky/Mid-States Division</v>
      </c>
      <c r="B1" s="1216"/>
      <c r="C1" s="1216"/>
      <c r="D1" s="1216"/>
      <c r="E1" s="1216"/>
      <c r="F1" s="1216"/>
      <c r="G1" s="1216"/>
      <c r="H1" s="1216"/>
      <c r="I1" s="1216"/>
      <c r="J1" s="1216"/>
      <c r="K1" s="1216"/>
    </row>
    <row r="2" spans="1:12">
      <c r="A2" s="1216" t="str">
        <f>'Table of Contents'!A2:C2</f>
        <v>Kentucky Jurisdiction Case No. 2018-00281</v>
      </c>
      <c r="B2" s="1216"/>
      <c r="C2" s="1216"/>
      <c r="D2" s="1216"/>
      <c r="E2" s="1216"/>
      <c r="F2" s="1216"/>
      <c r="G2" s="1216"/>
      <c r="H2" s="1216"/>
      <c r="I2" s="1216"/>
      <c r="J2" s="1216"/>
      <c r="K2" s="1216"/>
    </row>
    <row r="3" spans="1:12">
      <c r="A3" s="1216" t="s">
        <v>1084</v>
      </c>
      <c r="B3" s="1216"/>
      <c r="C3" s="1216"/>
      <c r="D3" s="1216"/>
      <c r="E3" s="1216"/>
      <c r="F3" s="1216"/>
      <c r="G3" s="1216"/>
      <c r="H3" s="1216"/>
      <c r="I3" s="1216"/>
      <c r="J3" s="1216"/>
      <c r="K3" s="1216"/>
    </row>
    <row r="4" spans="1:12">
      <c r="A4" s="1216" t="str">
        <f>'Table of Contents'!A3:C3</f>
        <v>Base Period: Twelve Months Ended December 31, 2018</v>
      </c>
      <c r="B4" s="1216"/>
      <c r="C4" s="1216"/>
      <c r="D4" s="1216"/>
      <c r="E4" s="1216"/>
      <c r="F4" s="1216"/>
      <c r="G4" s="1216"/>
      <c r="H4" s="1216"/>
      <c r="I4" s="1216"/>
      <c r="J4" s="1216"/>
      <c r="K4" s="1216"/>
    </row>
    <row r="6" spans="1:12">
      <c r="A6" s="583" t="s">
        <v>379</v>
      </c>
      <c r="K6" s="949" t="s">
        <v>1411</v>
      </c>
    </row>
    <row r="7" spans="1:12">
      <c r="A7" s="694" t="s">
        <v>615</v>
      </c>
      <c r="K7" s="921" t="s">
        <v>48</v>
      </c>
    </row>
    <row r="8" spans="1:12">
      <c r="A8" s="950" t="s">
        <v>365</v>
      </c>
      <c r="B8" s="929"/>
      <c r="C8" s="929"/>
      <c r="D8" s="929"/>
      <c r="E8" s="929"/>
      <c r="F8" s="929"/>
      <c r="G8" s="929"/>
      <c r="H8" s="929"/>
      <c r="I8" s="929"/>
      <c r="J8" s="957"/>
      <c r="K8" s="981" t="str">
        <f>'J-1 Base'!$M$9</f>
        <v>Witness:  Christian</v>
      </c>
    </row>
    <row r="9" spans="1:12">
      <c r="A9" s="835"/>
      <c r="B9" s="801"/>
      <c r="C9" s="801"/>
      <c r="D9" s="801"/>
      <c r="E9" s="801"/>
      <c r="F9" s="801"/>
      <c r="G9" s="801"/>
      <c r="H9" s="801"/>
      <c r="I9" s="801"/>
      <c r="K9" s="982"/>
    </row>
    <row r="10" spans="1:12">
      <c r="E10" s="764" t="s">
        <v>854</v>
      </c>
      <c r="I10" s="121" t="s">
        <v>350</v>
      </c>
      <c r="K10" s="121" t="s">
        <v>1144</v>
      </c>
    </row>
    <row r="11" spans="1:12">
      <c r="A11" s="121" t="s">
        <v>93</v>
      </c>
      <c r="E11" s="121" t="s">
        <v>104</v>
      </c>
      <c r="G11" s="121" t="s">
        <v>269</v>
      </c>
      <c r="I11" s="121" t="s">
        <v>351</v>
      </c>
      <c r="K11" s="121" t="s">
        <v>269</v>
      </c>
    </row>
    <row r="12" spans="1:12">
      <c r="A12" s="648" t="s">
        <v>99</v>
      </c>
      <c r="B12" s="929"/>
      <c r="C12" s="648" t="s">
        <v>352</v>
      </c>
      <c r="D12" s="929"/>
      <c r="E12" s="648" t="s">
        <v>349</v>
      </c>
      <c r="F12" s="929"/>
      <c r="G12" s="648" t="s">
        <v>570</v>
      </c>
      <c r="H12" s="929"/>
      <c r="I12" s="648" t="s">
        <v>0</v>
      </c>
      <c r="J12" s="929"/>
      <c r="K12" s="648" t="s">
        <v>570</v>
      </c>
    </row>
    <row r="13" spans="1:12">
      <c r="C13" s="121" t="s">
        <v>1081</v>
      </c>
      <c r="E13" s="121" t="s">
        <v>1082</v>
      </c>
      <c r="G13" s="121" t="s">
        <v>1083</v>
      </c>
      <c r="I13" s="121" t="s">
        <v>15</v>
      </c>
      <c r="K13" s="121" t="s">
        <v>168</v>
      </c>
    </row>
    <row r="14" spans="1:12">
      <c r="E14" s="121"/>
      <c r="I14" s="121"/>
    </row>
    <row r="16" spans="1:12">
      <c r="A16" s="121">
        <v>1</v>
      </c>
      <c r="C16" s="583" t="s">
        <v>1478</v>
      </c>
      <c r="E16" s="340">
        <v>150000000</v>
      </c>
      <c r="F16" s="108"/>
      <c r="G16" s="983">
        <v>6.7500000000000004E-2</v>
      </c>
      <c r="H16" s="135"/>
      <c r="I16" s="984">
        <f t="shared" ref="I16:I25" si="0">(E16*G16)</f>
        <v>10125000</v>
      </c>
      <c r="J16" s="108"/>
      <c r="K16" s="108"/>
      <c r="L16" s="108"/>
    </row>
    <row r="17" spans="1:16">
      <c r="A17" s="121">
        <f t="shared" ref="A17:A34" si="1">A16+1</f>
        <v>2</v>
      </c>
      <c r="C17" s="583" t="s">
        <v>1479</v>
      </c>
      <c r="E17" s="86">
        <v>10000000</v>
      </c>
      <c r="F17" s="108"/>
      <c r="G17" s="983">
        <v>6.6699999999999995E-2</v>
      </c>
      <c r="H17" s="135"/>
      <c r="I17" s="108">
        <f>(E17*G17)</f>
        <v>667000</v>
      </c>
    </row>
    <row r="18" spans="1:16">
      <c r="A18" s="121">
        <f t="shared" si="1"/>
        <v>3</v>
      </c>
      <c r="C18" s="583" t="s">
        <v>1480</v>
      </c>
      <c r="E18" s="86">
        <v>200000000</v>
      </c>
      <c r="F18" s="108"/>
      <c r="G18" s="983">
        <v>5.9499999999999997E-2</v>
      </c>
      <c r="H18" s="108"/>
      <c r="I18" s="108">
        <f>(E18*G18)</f>
        <v>11900000</v>
      </c>
      <c r="J18" s="108"/>
      <c r="K18" s="108"/>
      <c r="L18" s="108"/>
    </row>
    <row r="19" spans="1:16">
      <c r="A19" s="121"/>
      <c r="C19" s="583" t="s">
        <v>1768</v>
      </c>
      <c r="E19" s="86">
        <v>600000000</v>
      </c>
      <c r="F19" s="108"/>
      <c r="G19" s="983">
        <v>4.2999999999999997E-2</v>
      </c>
      <c r="H19" s="108"/>
      <c r="I19" s="108">
        <f>(E19*G19)</f>
        <v>25799999.999999996</v>
      </c>
      <c r="J19" s="108"/>
      <c r="K19" s="108"/>
      <c r="L19" s="108"/>
    </row>
    <row r="20" spans="1:16">
      <c r="A20" s="121">
        <f>A18+1</f>
        <v>4</v>
      </c>
      <c r="C20" s="583" t="s">
        <v>1481</v>
      </c>
      <c r="E20" s="86">
        <v>400000000</v>
      </c>
      <c r="F20" s="108"/>
      <c r="G20" s="983">
        <v>5.5E-2</v>
      </c>
      <c r="H20" s="135"/>
      <c r="I20" s="108">
        <f>(E20*G20)</f>
        <v>22000000</v>
      </c>
      <c r="J20" s="108"/>
      <c r="K20" s="576"/>
      <c r="L20" s="108"/>
    </row>
    <row r="21" spans="1:16">
      <c r="A21" s="121">
        <f t="shared" si="1"/>
        <v>5</v>
      </c>
      <c r="C21" s="583" t="s">
        <v>1703</v>
      </c>
      <c r="E21" s="86">
        <v>450000000</v>
      </c>
      <c r="F21" s="108"/>
      <c r="G21" s="983">
        <v>8.5000000000000006E-2</v>
      </c>
      <c r="H21" s="135"/>
      <c r="I21" s="108">
        <f t="shared" si="0"/>
        <v>38250000</v>
      </c>
      <c r="J21" s="108"/>
      <c r="K21" s="108"/>
      <c r="L21" s="108"/>
    </row>
    <row r="22" spans="1:16">
      <c r="A22" s="121">
        <f t="shared" si="1"/>
        <v>6</v>
      </c>
      <c r="C22" s="583" t="s">
        <v>1482</v>
      </c>
      <c r="E22" s="86">
        <v>500000000</v>
      </c>
      <c r="F22" s="108"/>
      <c r="G22" s="983">
        <v>4.1500000000000002E-2</v>
      </c>
      <c r="H22" s="135"/>
      <c r="I22" s="108">
        <f t="shared" si="0"/>
        <v>20750000</v>
      </c>
    </row>
    <row r="23" spans="1:16">
      <c r="A23" s="121">
        <f t="shared" si="1"/>
        <v>7</v>
      </c>
      <c r="C23" s="583" t="s">
        <v>1483</v>
      </c>
      <c r="E23" s="86">
        <v>750000000</v>
      </c>
      <c r="F23" s="108"/>
      <c r="G23" s="983">
        <v>4.1250000000000002E-2</v>
      </c>
      <c r="H23" s="135"/>
      <c r="I23" s="108">
        <f t="shared" si="0"/>
        <v>30937500</v>
      </c>
    </row>
    <row r="24" spans="1:16">
      <c r="A24" s="121">
        <f t="shared" si="1"/>
        <v>8</v>
      </c>
      <c r="C24" s="583" t="s">
        <v>1568</v>
      </c>
      <c r="E24" s="86">
        <v>500000000</v>
      </c>
      <c r="F24" s="108"/>
      <c r="G24" s="983">
        <v>0.03</v>
      </c>
      <c r="H24" s="135"/>
      <c r="I24" s="108">
        <f t="shared" si="0"/>
        <v>15000000</v>
      </c>
    </row>
    <row r="25" spans="1:16">
      <c r="A25" s="121">
        <f t="shared" si="1"/>
        <v>9</v>
      </c>
      <c r="C25" s="583" t="s">
        <v>1570</v>
      </c>
      <c r="E25" s="86">
        <v>125000000</v>
      </c>
      <c r="F25" s="108"/>
      <c r="G25" s="983">
        <v>3.49E-2</v>
      </c>
      <c r="H25" s="135"/>
      <c r="I25" s="426">
        <f t="shared" si="0"/>
        <v>4362500</v>
      </c>
    </row>
    <row r="26" spans="1:16">
      <c r="A26" s="121">
        <f t="shared" si="1"/>
        <v>10</v>
      </c>
      <c r="C26" s="583" t="s">
        <v>96</v>
      </c>
      <c r="E26" s="845">
        <f>SUM(E16:E25)</f>
        <v>3685000000</v>
      </c>
      <c r="F26" s="108"/>
      <c r="G26" s="983"/>
      <c r="I26" s="407">
        <f>SUM(I16:I25)</f>
        <v>179792000</v>
      </c>
    </row>
    <row r="27" spans="1:16">
      <c r="A27" s="121">
        <f t="shared" si="1"/>
        <v>11</v>
      </c>
      <c r="C27" s="583"/>
      <c r="E27" s="407"/>
      <c r="F27" s="108"/>
      <c r="G27" s="983"/>
      <c r="I27" s="108"/>
      <c r="M27" s="108"/>
      <c r="N27" s="108"/>
      <c r="O27" s="983"/>
      <c r="P27" s="108"/>
    </row>
    <row r="28" spans="1:16">
      <c r="A28" s="121">
        <f t="shared" si="1"/>
        <v>12</v>
      </c>
      <c r="C28" s="583" t="s">
        <v>1314</v>
      </c>
      <c r="E28" s="407"/>
      <c r="F28" s="108"/>
      <c r="G28" s="983"/>
      <c r="I28" s="407">
        <v>6896326.4838698972</v>
      </c>
      <c r="O28" s="983"/>
    </row>
    <row r="29" spans="1:16">
      <c r="A29" s="121">
        <f t="shared" si="1"/>
        <v>13</v>
      </c>
      <c r="C29" s="583" t="s">
        <v>1315</v>
      </c>
      <c r="E29" s="407">
        <v>1471550.2999999989</v>
      </c>
      <c r="G29" s="576"/>
      <c r="I29" s="87"/>
      <c r="M29" s="108"/>
      <c r="N29" s="108"/>
      <c r="O29" s="983"/>
      <c r="P29" s="108"/>
    </row>
    <row r="30" spans="1:16">
      <c r="A30" s="121">
        <f t="shared" si="1"/>
        <v>14</v>
      </c>
      <c r="C30" s="583" t="s">
        <v>1571</v>
      </c>
      <c r="E30" s="407">
        <v>-26692690.59</v>
      </c>
      <c r="G30" s="948"/>
      <c r="I30" s="108"/>
      <c r="M30" s="108"/>
      <c r="N30" s="108"/>
      <c r="O30" s="983"/>
      <c r="P30" s="108"/>
    </row>
    <row r="31" spans="1:16">
      <c r="A31" s="121">
        <f t="shared" si="1"/>
        <v>15</v>
      </c>
      <c r="C31" s="583"/>
      <c r="E31" s="86"/>
      <c r="G31" s="948"/>
      <c r="I31" s="108"/>
      <c r="M31" s="108"/>
      <c r="N31" s="108"/>
      <c r="O31" s="983"/>
      <c r="P31" s="108"/>
    </row>
    <row r="32" spans="1:16">
      <c r="A32" s="121">
        <f t="shared" si="1"/>
        <v>16</v>
      </c>
      <c r="C32" s="583"/>
      <c r="E32" s="86"/>
      <c r="G32" s="576"/>
      <c r="I32" s="108"/>
      <c r="M32" s="108"/>
      <c r="N32" s="108"/>
      <c r="O32" s="983"/>
      <c r="P32" s="108"/>
    </row>
    <row r="33" spans="1:16">
      <c r="A33" s="121">
        <f t="shared" si="1"/>
        <v>17</v>
      </c>
      <c r="E33" s="426"/>
      <c r="M33" s="108"/>
      <c r="N33" s="108"/>
      <c r="O33" s="983"/>
      <c r="P33" s="108"/>
    </row>
    <row r="34" spans="1:16" ht="16.5" thickBot="1">
      <c r="A34" s="121">
        <f t="shared" si="1"/>
        <v>18</v>
      </c>
      <c r="C34" s="583" t="s">
        <v>1179</v>
      </c>
      <c r="E34" s="985">
        <f>+E26+E29+E30</f>
        <v>3659778859.71</v>
      </c>
      <c r="I34" s="986">
        <f>+I26+I28</f>
        <v>186688326.48386991</v>
      </c>
      <c r="K34" s="980">
        <f>+I34/E34</f>
        <v>5.1010821593374375E-2</v>
      </c>
      <c r="O34" s="983"/>
    </row>
    <row r="35" spans="1:16" ht="15.75" thickTop="1">
      <c r="E35" s="108"/>
      <c r="O35" s="983"/>
    </row>
    <row r="37" spans="1:16">
      <c r="A37" s="121"/>
      <c r="C37" s="583"/>
    </row>
    <row r="38" spans="1:16">
      <c r="C38" s="583" t="s">
        <v>323</v>
      </c>
      <c r="E38" s="108"/>
    </row>
    <row r="39" spans="1:16">
      <c r="E39" s="108"/>
    </row>
    <row r="40" spans="1:16">
      <c r="E40" s="108"/>
      <c r="F40" s="108"/>
      <c r="G40" s="948"/>
      <c r="H40" s="135"/>
      <c r="I40" s="108"/>
      <c r="J40" s="108"/>
      <c r="K40" s="108"/>
      <c r="L40" s="108"/>
    </row>
    <row r="41" spans="1:16">
      <c r="E41" s="108"/>
    </row>
    <row r="42" spans="1:16">
      <c r="E42" s="108"/>
      <c r="F42" s="108"/>
      <c r="G42" s="108"/>
      <c r="H42" s="135"/>
      <c r="I42" s="108"/>
      <c r="J42" s="108"/>
      <c r="K42" s="108"/>
      <c r="L42" s="108"/>
    </row>
  </sheetData>
  <mergeCells count="4">
    <mergeCell ref="A1:K1"/>
    <mergeCell ref="A2:K2"/>
    <mergeCell ref="A3:K3"/>
    <mergeCell ref="A4:K4"/>
  </mergeCells>
  <phoneticPr fontId="23" type="noConversion"/>
  <printOptions horizontalCentered="1"/>
  <pageMargins left="0.75" right="0.42" top="1.24" bottom="1" header="0.5" footer="0.5"/>
  <pageSetup scale="79" orientation="portrait" verticalDpi="300" r:id="rId1"/>
  <headerFooter alignWithMargins="0">
    <oddFooter>&amp;RSchedule &amp;A
Page &amp;P of &amp;N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S17"/>
  <sheetViews>
    <sheetView view="pageBreakPreview" zoomScale="60" zoomScaleNormal="90" workbookViewId="0"/>
  </sheetViews>
  <sheetFormatPr defaultColWidth="10.109375" defaultRowHeight="15"/>
  <cols>
    <col min="1" max="1" width="5.77734375" style="1" customWidth="1"/>
    <col min="2" max="2" width="3.33203125" style="1" customWidth="1"/>
    <col min="3" max="3" width="14.44140625" style="1" customWidth="1"/>
    <col min="4" max="4" width="3.33203125" style="1" customWidth="1"/>
    <col min="5" max="5" width="6.6640625" style="1" customWidth="1"/>
    <col min="6" max="6" width="3.33203125" style="1" customWidth="1"/>
    <col min="7" max="7" width="11.88671875" style="1" customWidth="1"/>
    <col min="8" max="8" width="3.33203125" style="1" customWidth="1"/>
    <col min="9" max="9" width="13.5546875" style="1" customWidth="1"/>
    <col min="10" max="10" width="1.5546875" style="1" customWidth="1"/>
    <col min="11" max="11" width="8" style="1" customWidth="1"/>
    <col min="12" max="12" width="3.33203125" style="1" customWidth="1"/>
    <col min="13" max="13" width="11" style="1" customWidth="1"/>
    <col min="14" max="14" width="3.33203125" style="1" customWidth="1"/>
    <col min="15" max="15" width="11" style="1" customWidth="1"/>
    <col min="16" max="16" width="3.33203125" style="1" customWidth="1"/>
    <col min="17" max="17" width="12.6640625" style="1" customWidth="1"/>
    <col min="18" max="18" width="2.33203125" style="1" customWidth="1"/>
    <col min="19" max="19" width="12.6640625" style="1" customWidth="1"/>
    <col min="20" max="26" width="10.109375" style="1"/>
    <col min="27" max="27" width="12.6640625" style="1" customWidth="1"/>
    <col min="28" max="16384" width="10.109375" style="1"/>
  </cols>
  <sheetData>
    <row r="1" spans="1:19">
      <c r="A1" s="81"/>
      <c r="J1" s="2" t="str">
        <f>'Table of Contents'!A1</f>
        <v>Atmos Energy Corporation, Kentucky/Mid-States Division</v>
      </c>
    </row>
    <row r="2" spans="1:19">
      <c r="J2" s="2" t="str">
        <f>'Table of Contents'!A2</f>
        <v>Kentucky Jurisdiction Case No. 2018-00281</v>
      </c>
    </row>
    <row r="3" spans="1:19">
      <c r="A3" s="14"/>
      <c r="J3" s="2" t="s">
        <v>1</v>
      </c>
    </row>
    <row r="4" spans="1:19">
      <c r="A4" s="14"/>
      <c r="J4" s="704"/>
    </row>
    <row r="5" spans="1:19">
      <c r="Q5" s="375"/>
      <c r="S5" s="375" t="s">
        <v>1411</v>
      </c>
    </row>
    <row r="6" spans="1:19">
      <c r="A6" s="4" t="s">
        <v>565</v>
      </c>
      <c r="Q6" s="4"/>
      <c r="S6" s="488" t="s">
        <v>47</v>
      </c>
    </row>
    <row r="7" spans="1:19">
      <c r="A7" s="4" t="s">
        <v>1121</v>
      </c>
      <c r="Q7" s="4"/>
      <c r="S7" s="488" t="s">
        <v>853</v>
      </c>
    </row>
    <row r="8" spans="1:19">
      <c r="A8" s="5" t="s">
        <v>365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"/>
      <c r="R8" s="6"/>
      <c r="S8" s="489" t="str">
        <f>'J-1 Base'!$M$9</f>
        <v>Witness:  Christian</v>
      </c>
    </row>
    <row r="10" spans="1:19">
      <c r="I10" s="2" t="s">
        <v>354</v>
      </c>
      <c r="M10" s="2" t="s">
        <v>357</v>
      </c>
    </row>
    <row r="11" spans="1:19">
      <c r="A11" s="2" t="s">
        <v>93</v>
      </c>
      <c r="C11" s="2" t="s">
        <v>395</v>
      </c>
      <c r="E11" s="2" t="s">
        <v>34</v>
      </c>
      <c r="G11" s="2" t="s">
        <v>104</v>
      </c>
      <c r="I11" s="2" t="s">
        <v>355</v>
      </c>
      <c r="K11" s="2" t="s">
        <v>352</v>
      </c>
      <c r="M11" s="2" t="s">
        <v>358</v>
      </c>
      <c r="O11" s="2" t="s">
        <v>360</v>
      </c>
      <c r="Q11" s="2" t="s">
        <v>1157</v>
      </c>
      <c r="S11" s="2" t="s">
        <v>363</v>
      </c>
    </row>
    <row r="12" spans="1:19">
      <c r="A12" s="2" t="s">
        <v>99</v>
      </c>
      <c r="C12" s="2" t="s">
        <v>498</v>
      </c>
      <c r="E12" s="2" t="s">
        <v>353</v>
      </c>
      <c r="G12" s="2" t="s">
        <v>349</v>
      </c>
      <c r="I12" s="2" t="s">
        <v>356</v>
      </c>
      <c r="K12" s="2" t="s">
        <v>270</v>
      </c>
      <c r="L12" s="15"/>
      <c r="M12" s="2" t="s">
        <v>359</v>
      </c>
      <c r="O12" s="2" t="s">
        <v>361</v>
      </c>
      <c r="Q12" s="2" t="s">
        <v>362</v>
      </c>
      <c r="S12" s="2" t="s">
        <v>364</v>
      </c>
    </row>
    <row r="13" spans="1:19">
      <c r="A13" s="6"/>
      <c r="B13" s="6"/>
      <c r="C13" s="6"/>
      <c r="D13" s="6"/>
      <c r="E13" s="9" t="s">
        <v>1081</v>
      </c>
      <c r="F13" s="6"/>
      <c r="G13" s="9" t="s">
        <v>1082</v>
      </c>
      <c r="H13" s="6"/>
      <c r="I13" s="9" t="s">
        <v>1083</v>
      </c>
      <c r="J13" s="6"/>
      <c r="K13" s="9" t="s">
        <v>15</v>
      </c>
      <c r="L13" s="6"/>
      <c r="M13" s="9" t="s">
        <v>38</v>
      </c>
      <c r="N13" s="6"/>
      <c r="O13" s="9" t="s">
        <v>524</v>
      </c>
      <c r="P13" s="6"/>
      <c r="Q13" s="9" t="s">
        <v>39</v>
      </c>
      <c r="R13" s="6"/>
      <c r="S13" s="9" t="s">
        <v>613</v>
      </c>
    </row>
    <row r="15" spans="1:19">
      <c r="F15" s="10"/>
      <c r="G15" s="10"/>
      <c r="H15" s="11"/>
      <c r="I15" s="3"/>
      <c r="J15" s="3"/>
      <c r="K15" s="21" t="s">
        <v>391</v>
      </c>
      <c r="L15" s="10"/>
      <c r="M15" s="10"/>
      <c r="N15" s="10"/>
      <c r="O15" s="10"/>
      <c r="P15" s="10"/>
      <c r="Q15" s="10"/>
    </row>
    <row r="16" spans="1:19">
      <c r="F16" s="10"/>
      <c r="G16" s="10"/>
      <c r="H16" s="10"/>
      <c r="I16" s="3"/>
      <c r="J16" s="10"/>
      <c r="K16" s="10"/>
      <c r="L16" s="10"/>
      <c r="M16" s="10"/>
      <c r="N16" s="10"/>
      <c r="O16" s="10"/>
      <c r="P16" s="10"/>
      <c r="Q16" s="10"/>
    </row>
    <row r="17" spans="6:17">
      <c r="F17" s="10"/>
      <c r="G17" s="10"/>
      <c r="H17" s="11"/>
      <c r="I17" s="3"/>
      <c r="J17" s="3"/>
      <c r="K17" s="10"/>
      <c r="L17" s="10"/>
      <c r="M17" s="10"/>
      <c r="N17" s="10"/>
      <c r="O17" s="10"/>
      <c r="P17" s="10"/>
      <c r="Q17" s="10"/>
    </row>
  </sheetData>
  <phoneticPr fontId="23" type="noConversion"/>
  <printOptions horizontalCentered="1"/>
  <pageMargins left="0.66" right="0.71" top="0.91" bottom="1" header="0.5" footer="0.5"/>
  <pageSetup scale="76" orientation="landscape" verticalDpi="300" r:id="rId1"/>
  <headerFooter alignWithMargins="0">
    <oddFooter>&amp;RSchedule &amp;A
Page &amp;P of &amp;N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>
    <pageSetUpPr fitToPage="1"/>
  </sheetPr>
  <dimension ref="A1:W29"/>
  <sheetViews>
    <sheetView view="pageBreakPreview" zoomScale="70" zoomScaleNormal="90" zoomScaleSheetLayoutView="70" workbookViewId="0">
      <selection activeCell="Q25" sqref="Q25"/>
    </sheetView>
  </sheetViews>
  <sheetFormatPr defaultColWidth="10.109375" defaultRowHeight="15"/>
  <cols>
    <col min="1" max="1" width="5" style="1" customWidth="1"/>
    <col min="2" max="2" width="4.777343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6.2187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6640625" style="1" customWidth="1"/>
    <col min="14" max="14" width="6.6640625" style="1" customWidth="1"/>
    <col min="15" max="15" width="12.5546875" style="1" customWidth="1"/>
    <col min="16" max="16" width="2.44140625" style="1" customWidth="1"/>
    <col min="17" max="17" width="10.109375" style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3">
      <c r="A1" s="1203" t="str">
        <f>'Table of Contents'!A1:C1</f>
        <v>Atmos Energy Corporation, Kentucky/Mid-States Division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O1" s="10"/>
    </row>
    <row r="2" spans="1:23">
      <c r="A2" s="1203" t="str">
        <f>'Table of Contents'!A2:C2</f>
        <v>Kentucky Jurisdiction Case No. 2018-00281</v>
      </c>
      <c r="B2" s="1203"/>
      <c r="C2" s="1203"/>
      <c r="D2" s="1203"/>
      <c r="E2" s="1203"/>
      <c r="F2" s="1203"/>
      <c r="G2" s="1203"/>
      <c r="H2" s="1203"/>
      <c r="I2" s="1203"/>
      <c r="J2" s="1203"/>
      <c r="K2" s="1203"/>
      <c r="L2" s="1203"/>
      <c r="M2" s="1203"/>
    </row>
    <row r="3" spans="1:23">
      <c r="A3" s="1203" t="s">
        <v>2</v>
      </c>
      <c r="B3" s="1203"/>
      <c r="C3" s="1203"/>
      <c r="D3" s="1203"/>
      <c r="E3" s="1203"/>
      <c r="F3" s="1203"/>
      <c r="G3" s="1203"/>
      <c r="H3" s="1203"/>
      <c r="I3" s="1203"/>
      <c r="J3" s="1203"/>
      <c r="K3" s="1203"/>
      <c r="L3" s="1203"/>
      <c r="M3" s="1203"/>
    </row>
    <row r="4" spans="1:23">
      <c r="A4" s="1203" t="s">
        <v>1593</v>
      </c>
      <c r="B4" s="1203"/>
      <c r="C4" s="1203"/>
      <c r="D4" s="1203"/>
      <c r="E4" s="1203"/>
      <c r="F4" s="1203"/>
      <c r="G4" s="1203"/>
      <c r="H4" s="1203"/>
      <c r="I4" s="1203"/>
      <c r="J4" s="1203"/>
      <c r="K4" s="1203"/>
      <c r="L4" s="1203"/>
      <c r="M4" s="1203"/>
    </row>
    <row r="7" spans="1:23">
      <c r="A7" s="4" t="s">
        <v>1146</v>
      </c>
      <c r="M7" s="375" t="s">
        <v>1411</v>
      </c>
    </row>
    <row r="8" spans="1:23">
      <c r="A8" s="66" t="s">
        <v>615</v>
      </c>
      <c r="K8" s="4"/>
      <c r="M8" s="488" t="s">
        <v>776</v>
      </c>
    </row>
    <row r="9" spans="1:23">
      <c r="A9" s="5" t="s">
        <v>365</v>
      </c>
      <c r="B9" s="6"/>
      <c r="C9" s="6"/>
      <c r="D9" s="6"/>
      <c r="E9" s="6"/>
      <c r="F9" s="6"/>
      <c r="G9" s="6"/>
      <c r="H9" s="6"/>
      <c r="I9" s="6"/>
      <c r="J9" s="6"/>
      <c r="K9" s="5"/>
      <c r="L9" s="6"/>
      <c r="M9" s="489" t="str">
        <f>'J-1 Base'!$M$9</f>
        <v>Witness:  Christian</v>
      </c>
    </row>
    <row r="10" spans="1:23">
      <c r="L10" s="15"/>
      <c r="M10" s="15"/>
      <c r="N10" s="15"/>
    </row>
    <row r="11" spans="1:23">
      <c r="A11" s="2" t="s">
        <v>93</v>
      </c>
      <c r="E11" s="2" t="s">
        <v>95</v>
      </c>
      <c r="I11" s="2" t="s">
        <v>103</v>
      </c>
      <c r="M11" s="2" t="s">
        <v>348</v>
      </c>
    </row>
    <row r="12" spans="1:23">
      <c r="A12" s="9" t="s">
        <v>99</v>
      </c>
      <c r="B12" s="6"/>
      <c r="C12" s="5" t="s">
        <v>347</v>
      </c>
      <c r="D12" s="6"/>
      <c r="E12" s="9" t="s">
        <v>101</v>
      </c>
      <c r="F12" s="6"/>
      <c r="G12" s="9" t="s">
        <v>104</v>
      </c>
      <c r="H12" s="6"/>
      <c r="I12" s="9" t="s">
        <v>41</v>
      </c>
      <c r="J12" s="6"/>
      <c r="K12" s="9" t="s">
        <v>1157</v>
      </c>
      <c r="L12" s="6"/>
      <c r="M12" s="9" t="s">
        <v>0</v>
      </c>
      <c r="O12" s="799"/>
      <c r="P12" s="10"/>
      <c r="Q12" s="10"/>
      <c r="R12" s="10"/>
      <c r="S12" s="10"/>
      <c r="T12" s="10"/>
    </row>
    <row r="13" spans="1:23">
      <c r="E13" s="2" t="s">
        <v>1081</v>
      </c>
      <c r="G13" s="2" t="s">
        <v>1082</v>
      </c>
      <c r="I13" s="2" t="s">
        <v>1083</v>
      </c>
      <c r="K13" s="2" t="s">
        <v>15</v>
      </c>
      <c r="M13" s="2" t="s">
        <v>38</v>
      </c>
      <c r="O13" s="659"/>
      <c r="P13" s="10"/>
      <c r="Q13" s="10"/>
      <c r="R13" s="10"/>
      <c r="S13" s="10"/>
      <c r="T13" s="10"/>
    </row>
    <row r="14" spans="1:23">
      <c r="G14" s="2" t="s">
        <v>623</v>
      </c>
      <c r="K14" s="2" t="s">
        <v>149</v>
      </c>
      <c r="M14" s="2" t="s">
        <v>149</v>
      </c>
      <c r="O14" s="73"/>
      <c r="P14" s="73"/>
      <c r="Q14" s="81"/>
      <c r="R14" s="73"/>
      <c r="S14" s="73"/>
      <c r="T14" s="73"/>
      <c r="U14" s="81"/>
      <c r="V14" s="81"/>
      <c r="W14" s="81"/>
    </row>
    <row r="15" spans="1:23">
      <c r="O15" s="73"/>
      <c r="P15" s="73"/>
      <c r="Q15" s="81"/>
      <c r="R15" s="73"/>
      <c r="S15" s="73"/>
      <c r="T15" s="73"/>
      <c r="U15" s="81"/>
      <c r="V15" s="81"/>
      <c r="W15" s="81"/>
    </row>
    <row r="16" spans="1:23">
      <c r="E16" s="10"/>
      <c r="F16" s="10"/>
      <c r="G16" s="10"/>
      <c r="H16" s="10"/>
      <c r="I16" s="11"/>
      <c r="J16" s="10"/>
      <c r="K16" s="3"/>
      <c r="L16" s="10"/>
      <c r="M16" s="3"/>
      <c r="N16" s="10"/>
      <c r="O16"/>
    </row>
    <row r="17" spans="1:20">
      <c r="E17" s="10"/>
      <c r="F17" s="10"/>
      <c r="G17" s="10"/>
      <c r="H17" s="10"/>
      <c r="I17" s="43"/>
      <c r="J17" s="10"/>
      <c r="K17" s="10"/>
      <c r="L17" s="10"/>
      <c r="M17" s="10"/>
      <c r="N17" s="10"/>
      <c r="O17"/>
    </row>
    <row r="18" spans="1:20" ht="15.75">
      <c r="C18" s="196" t="s">
        <v>1474</v>
      </c>
      <c r="E18" s="10"/>
      <c r="F18" s="10"/>
      <c r="G18" s="184"/>
      <c r="H18" s="10"/>
      <c r="I18" s="11"/>
      <c r="J18" s="10"/>
      <c r="K18" s="3"/>
      <c r="L18" s="10"/>
      <c r="M18" s="3"/>
      <c r="N18" s="10"/>
      <c r="O18"/>
    </row>
    <row r="19" spans="1:20">
      <c r="A19" s="4"/>
      <c r="C19" s="4"/>
      <c r="E19" s="10"/>
      <c r="F19" s="10"/>
      <c r="G19" s="10"/>
      <c r="H19" s="10"/>
      <c r="I19" s="10"/>
      <c r="J19" s="10"/>
      <c r="K19" s="3"/>
      <c r="L19" s="10"/>
      <c r="M19" s="10"/>
      <c r="N19" s="10"/>
      <c r="O19"/>
    </row>
    <row r="20" spans="1:20">
      <c r="A20" s="784">
        <v>6</v>
      </c>
      <c r="C20" s="4" t="s">
        <v>272</v>
      </c>
      <c r="E20" s="21"/>
      <c r="F20" s="10"/>
      <c r="G20" s="351">
        <v>281542.43134917947</v>
      </c>
      <c r="H20" s="10"/>
      <c r="I20" s="166">
        <v>3.4447709386710823E-2</v>
      </c>
      <c r="J20" s="10"/>
      <c r="K20" s="111">
        <v>2.4E-2</v>
      </c>
      <c r="L20" s="10"/>
      <c r="M20" s="44">
        <v>8.0000000000000004E-4</v>
      </c>
      <c r="N20" s="10"/>
      <c r="O20"/>
      <c r="P20" s="10"/>
      <c r="Q20" s="10"/>
      <c r="R20" s="10"/>
      <c r="S20" s="10"/>
      <c r="T20" s="10"/>
    </row>
    <row r="21" spans="1:20">
      <c r="E21" s="10"/>
      <c r="F21" s="10"/>
      <c r="G21" s="61"/>
      <c r="H21" s="10"/>
      <c r="I21" s="166"/>
      <c r="J21" s="10"/>
      <c r="K21" s="111"/>
      <c r="L21" s="10"/>
      <c r="M21" s="44"/>
      <c r="N21" s="10"/>
      <c r="O21"/>
      <c r="P21" s="10"/>
      <c r="Q21" s="10"/>
      <c r="R21" s="10"/>
      <c r="S21" s="10"/>
      <c r="T21" s="10"/>
    </row>
    <row r="22" spans="1:20">
      <c r="A22" s="784">
        <v>7</v>
      </c>
      <c r="C22" s="4" t="s">
        <v>273</v>
      </c>
      <c r="E22" s="21" t="s">
        <v>276</v>
      </c>
      <c r="F22" s="10"/>
      <c r="G22" s="63">
        <v>3131314.7028200002</v>
      </c>
      <c r="H22" s="10"/>
      <c r="I22" s="166">
        <v>0.38312739704694071</v>
      </c>
      <c r="J22" s="10"/>
      <c r="K22" s="111">
        <v>4.7199999999999999E-2</v>
      </c>
      <c r="L22" s="10"/>
      <c r="M22" s="44">
        <v>1.8100000000000002E-2</v>
      </c>
      <c r="N22" s="10"/>
      <c r="O22"/>
    </row>
    <row r="23" spans="1:20">
      <c r="E23" s="10"/>
      <c r="F23" s="10"/>
      <c r="G23" s="63"/>
      <c r="H23" s="10"/>
      <c r="I23" s="166"/>
      <c r="J23" s="10"/>
      <c r="K23" s="44"/>
      <c r="L23" s="10"/>
      <c r="M23" s="44"/>
      <c r="N23" s="10"/>
      <c r="O23"/>
    </row>
    <row r="24" spans="1:20">
      <c r="A24" s="784">
        <v>8</v>
      </c>
      <c r="C24" s="4" t="s">
        <v>274</v>
      </c>
      <c r="E24" s="21" t="s">
        <v>277</v>
      </c>
      <c r="F24" s="10"/>
      <c r="G24" s="63">
        <v>0</v>
      </c>
      <c r="H24" s="10"/>
      <c r="I24" s="166">
        <v>0</v>
      </c>
      <c r="J24" s="10"/>
      <c r="K24" s="44">
        <v>0</v>
      </c>
      <c r="L24" s="10"/>
      <c r="M24" s="44">
        <v>0</v>
      </c>
      <c r="N24" s="10"/>
      <c r="O24"/>
    </row>
    <row r="25" spans="1:20">
      <c r="E25" s="10"/>
      <c r="F25" s="10"/>
      <c r="G25" s="63"/>
      <c r="H25" s="10"/>
      <c r="I25" s="166"/>
      <c r="J25" s="10"/>
      <c r="K25" s="44"/>
      <c r="L25" s="10"/>
      <c r="M25" s="44"/>
      <c r="N25" s="10"/>
      <c r="O25"/>
    </row>
    <row r="26" spans="1:20">
      <c r="A26" s="784">
        <v>9</v>
      </c>
      <c r="C26" s="4" t="s">
        <v>275</v>
      </c>
      <c r="E26" s="10"/>
      <c r="F26" s="10"/>
      <c r="G26" s="573">
        <v>4760180.6776799997</v>
      </c>
      <c r="H26" s="10"/>
      <c r="I26" s="197">
        <v>0.58242489356634841</v>
      </c>
      <c r="J26" s="10"/>
      <c r="K26" s="44">
        <v>0.104</v>
      </c>
      <c r="L26" s="10"/>
      <c r="M26" s="45">
        <v>6.0600000000000001E-2</v>
      </c>
      <c r="N26" s="10"/>
      <c r="O26"/>
    </row>
    <row r="27" spans="1:20">
      <c r="G27" s="10"/>
      <c r="I27" s="198"/>
      <c r="K27" s="3"/>
      <c r="M27" s="46"/>
      <c r="O27"/>
    </row>
    <row r="28" spans="1:20" ht="15.75" thickBot="1">
      <c r="A28" s="2">
        <v>10</v>
      </c>
      <c r="C28" s="4" t="s">
        <v>400</v>
      </c>
      <c r="G28" s="323">
        <v>8173037.8118491797</v>
      </c>
      <c r="I28" s="199">
        <v>1</v>
      </c>
      <c r="K28" s="11"/>
      <c r="M28" s="47">
        <v>7.9500000000000001E-2</v>
      </c>
      <c r="O28"/>
    </row>
    <row r="29" spans="1:20" ht="15.75" thickTop="1"/>
  </sheetData>
  <mergeCells count="4">
    <mergeCell ref="A1:M1"/>
    <mergeCell ref="A2:M2"/>
    <mergeCell ref="A3:M3"/>
    <mergeCell ref="A4:M4"/>
  </mergeCells>
  <phoneticPr fontId="23" type="noConversion"/>
  <printOptions horizontalCentered="1"/>
  <pageMargins left="0.75" right="0.75" top="0.75" bottom="1.28" header="0.5" footer="0.43"/>
  <pageSetup scale="93" orientation="landscape" verticalDpi="300" r:id="rId1"/>
  <headerFooter alignWithMargins="0">
    <oddFooter>&amp;RSchedule &amp;A
Page &amp;P of &amp;N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>
    <pageSetUpPr fitToPage="1"/>
  </sheetPr>
  <dimension ref="A1:Q43"/>
  <sheetViews>
    <sheetView view="pageBreakPreview" zoomScale="80" zoomScaleNormal="90" zoomScaleSheetLayoutView="80" workbookViewId="0">
      <selection activeCell="H24" sqref="H24"/>
    </sheetView>
  </sheetViews>
  <sheetFormatPr defaultColWidth="10.109375" defaultRowHeight="15"/>
  <cols>
    <col min="1" max="1" width="5.88671875" style="103" customWidth="1"/>
    <col min="2" max="2" width="2.109375" style="103" customWidth="1"/>
    <col min="3" max="3" width="16.109375" style="103" customWidth="1"/>
    <col min="4" max="4" width="11" style="103" customWidth="1"/>
    <col min="5" max="5" width="5.109375" style="103" customWidth="1"/>
    <col min="6" max="6" width="11.6640625" style="103" customWidth="1"/>
    <col min="7" max="7" width="4.21875" style="103" customWidth="1"/>
    <col min="8" max="8" width="10.109375" style="103"/>
    <col min="9" max="9" width="4.21875" style="103" customWidth="1"/>
    <col min="10" max="10" width="10.109375" style="103"/>
    <col min="11" max="11" width="5.77734375" style="103" customWidth="1"/>
    <col min="12" max="12" width="12.6640625" style="103" customWidth="1"/>
    <col min="13" max="16384" width="10.109375" style="103"/>
  </cols>
  <sheetData>
    <row r="1" spans="1:17">
      <c r="A1" s="1216" t="str">
        <f>'Table of Contents'!A1:C1</f>
        <v>Atmos Energy Corporation, Kentucky/Mid-States Division</v>
      </c>
      <c r="B1" s="1216"/>
      <c r="C1" s="1216"/>
      <c r="D1" s="1216"/>
      <c r="E1" s="1216"/>
      <c r="F1" s="1216"/>
      <c r="G1" s="1216"/>
      <c r="H1" s="1216"/>
      <c r="I1" s="1216"/>
      <c r="J1" s="1216"/>
      <c r="K1" s="1216"/>
      <c r="L1" s="1216"/>
    </row>
    <row r="2" spans="1:17">
      <c r="A2" s="1216" t="str">
        <f>'Table of Contents'!A2:C2</f>
        <v>Kentucky Jurisdiction Case No. 2018-00281</v>
      </c>
      <c r="B2" s="1216"/>
      <c r="C2" s="1216"/>
      <c r="D2" s="1216"/>
      <c r="E2" s="1216"/>
      <c r="F2" s="1216"/>
      <c r="G2" s="1216"/>
      <c r="H2" s="1216"/>
      <c r="I2" s="1216"/>
      <c r="J2" s="1216"/>
      <c r="K2" s="1216"/>
      <c r="L2" s="1216"/>
    </row>
    <row r="3" spans="1:17">
      <c r="A3" s="1216" t="s">
        <v>1029</v>
      </c>
      <c r="B3" s="1216"/>
      <c r="C3" s="1216"/>
      <c r="D3" s="1216"/>
      <c r="E3" s="1216"/>
      <c r="F3" s="1216"/>
      <c r="G3" s="1216"/>
      <c r="H3" s="1216"/>
      <c r="I3" s="1216"/>
      <c r="J3" s="1216"/>
      <c r="K3" s="1216"/>
      <c r="L3" s="1216"/>
    </row>
    <row r="4" spans="1:17">
      <c r="A4" s="1216" t="s">
        <v>1494</v>
      </c>
      <c r="B4" s="1216"/>
      <c r="C4" s="1216"/>
      <c r="D4" s="1216"/>
      <c r="E4" s="1216"/>
      <c r="F4" s="1216"/>
      <c r="G4" s="1216"/>
      <c r="H4" s="1216"/>
      <c r="I4" s="1216"/>
      <c r="J4" s="1216"/>
      <c r="K4" s="1216"/>
      <c r="L4" s="1216"/>
      <c r="N4" s="108"/>
      <c r="O4" s="108"/>
      <c r="P4" s="108"/>
      <c r="Q4" s="108"/>
    </row>
    <row r="5" spans="1:17">
      <c r="N5" s="108"/>
      <c r="O5" s="108"/>
      <c r="P5" s="108"/>
      <c r="Q5" s="108"/>
    </row>
    <row r="6" spans="1:17">
      <c r="N6" s="108"/>
      <c r="O6" s="108"/>
      <c r="P6" s="108"/>
      <c r="Q6" s="108"/>
    </row>
    <row r="7" spans="1:17">
      <c r="A7" s="583" t="s">
        <v>1146</v>
      </c>
      <c r="L7" s="949" t="s">
        <v>1411</v>
      </c>
      <c r="N7" s="108"/>
      <c r="O7" s="108"/>
      <c r="P7" s="108"/>
      <c r="Q7" s="108"/>
    </row>
    <row r="8" spans="1:17">
      <c r="A8" s="583" t="s">
        <v>615</v>
      </c>
      <c r="K8" s="583"/>
      <c r="L8" s="921" t="s">
        <v>49</v>
      </c>
      <c r="N8" s="108"/>
      <c r="O8" s="108"/>
      <c r="P8" s="108"/>
      <c r="Q8" s="108"/>
    </row>
    <row r="9" spans="1:17">
      <c r="A9" s="950" t="s">
        <v>365</v>
      </c>
      <c r="B9" s="929"/>
      <c r="C9" s="929"/>
      <c r="D9" s="929"/>
      <c r="E9" s="929"/>
      <c r="F9" s="929"/>
      <c r="G9" s="929"/>
      <c r="H9" s="929"/>
      <c r="I9" s="929"/>
      <c r="J9" s="929"/>
      <c r="K9" s="950"/>
      <c r="L9" s="981" t="str">
        <f>'J-1 Base'!$M$9</f>
        <v>Witness:  Christian</v>
      </c>
      <c r="N9" s="108"/>
      <c r="O9" s="108"/>
      <c r="P9" s="108"/>
      <c r="Q9" s="108"/>
    </row>
    <row r="10" spans="1:17">
      <c r="J10" s="121" t="s">
        <v>350</v>
      </c>
      <c r="L10" s="121" t="s">
        <v>1144</v>
      </c>
    </row>
    <row r="11" spans="1:17">
      <c r="A11" s="121"/>
      <c r="F11" s="121" t="s">
        <v>104</v>
      </c>
      <c r="H11" s="121" t="s">
        <v>269</v>
      </c>
      <c r="J11" s="121" t="s">
        <v>351</v>
      </c>
      <c r="L11" s="121" t="s">
        <v>269</v>
      </c>
    </row>
    <row r="12" spans="1:17">
      <c r="A12" s="648"/>
      <c r="B12" s="929"/>
      <c r="C12" s="648" t="s">
        <v>352</v>
      </c>
      <c r="D12" s="929"/>
      <c r="E12" s="929"/>
      <c r="F12" s="648" t="s">
        <v>349</v>
      </c>
      <c r="G12" s="929"/>
      <c r="H12" s="648" t="s">
        <v>570</v>
      </c>
      <c r="I12" s="929"/>
      <c r="J12" s="648" t="s">
        <v>0</v>
      </c>
      <c r="K12" s="929"/>
      <c r="L12" s="648" t="s">
        <v>570</v>
      </c>
    </row>
    <row r="13" spans="1:17">
      <c r="C13" s="121" t="s">
        <v>1081</v>
      </c>
      <c r="F13" s="121" t="s">
        <v>1082</v>
      </c>
      <c r="H13" s="121" t="s">
        <v>1083</v>
      </c>
      <c r="J13" s="121" t="s">
        <v>15</v>
      </c>
      <c r="L13" s="121" t="s">
        <v>168</v>
      </c>
    </row>
    <row r="14" spans="1:17">
      <c r="F14" s="121" t="s">
        <v>623</v>
      </c>
      <c r="J14" s="121" t="s">
        <v>623</v>
      </c>
    </row>
    <row r="16" spans="1:17">
      <c r="A16" s="121">
        <v>1</v>
      </c>
      <c r="C16" s="583" t="s">
        <v>902</v>
      </c>
      <c r="F16" s="108">
        <v>281542.43134917947</v>
      </c>
      <c r="G16" s="108"/>
      <c r="H16" s="1006">
        <v>1.4143231126541896E-2</v>
      </c>
      <c r="I16" s="135"/>
      <c r="J16" s="108">
        <v>3981.9196784999999</v>
      </c>
      <c r="K16" s="108"/>
      <c r="L16" s="108"/>
      <c r="M16" s="108"/>
    </row>
    <row r="17" spans="1:13">
      <c r="L17" s="108"/>
    </row>
    <row r="18" spans="1:13">
      <c r="A18" s="121">
        <v>2</v>
      </c>
      <c r="C18" s="583" t="s">
        <v>1300</v>
      </c>
      <c r="F18" s="108"/>
      <c r="G18" s="108"/>
      <c r="H18" s="108"/>
      <c r="I18" s="135"/>
      <c r="J18" s="108">
        <v>2777.7596633333342</v>
      </c>
      <c r="K18" s="108"/>
      <c r="L18" s="108"/>
      <c r="M18" s="108"/>
    </row>
    <row r="19" spans="1:13">
      <c r="F19" s="108"/>
      <c r="G19" s="108"/>
      <c r="H19" s="576"/>
      <c r="I19" s="108"/>
      <c r="J19" s="108"/>
      <c r="K19" s="108"/>
      <c r="L19" s="108"/>
      <c r="M19" s="108"/>
    </row>
    <row r="20" spans="1:13">
      <c r="A20" s="121">
        <v>3</v>
      </c>
      <c r="C20" s="583" t="s">
        <v>901</v>
      </c>
      <c r="F20" s="113">
        <v>281542.43134917947</v>
      </c>
      <c r="G20" s="108"/>
      <c r="H20" s="108"/>
      <c r="I20" s="135"/>
      <c r="J20" s="113">
        <v>6759.6793418333345</v>
      </c>
      <c r="K20" s="108"/>
      <c r="L20" s="114">
        <v>2.4009451468612653E-2</v>
      </c>
      <c r="M20" s="108"/>
    </row>
    <row r="21" spans="1:13">
      <c r="F21" s="108"/>
      <c r="G21" s="108"/>
      <c r="H21" s="576"/>
      <c r="I21" s="135"/>
      <c r="J21" s="135"/>
      <c r="K21" s="108"/>
      <c r="L21" s="108"/>
      <c r="M21" s="108"/>
    </row>
    <row r="22" spans="1:13">
      <c r="F22" s="108"/>
      <c r="G22" s="108"/>
      <c r="H22" s="576"/>
      <c r="I22" s="135"/>
      <c r="J22" s="135"/>
      <c r="K22" s="108"/>
      <c r="L22" s="108"/>
      <c r="M22" s="108"/>
    </row>
    <row r="23" spans="1:13">
      <c r="F23" s="108"/>
      <c r="G23" s="108"/>
      <c r="H23" s="576"/>
      <c r="I23" s="135"/>
      <c r="J23" s="135"/>
      <c r="K23" s="108"/>
      <c r="L23" s="108"/>
      <c r="M23" s="108"/>
    </row>
    <row r="24" spans="1:13" ht="15.75">
      <c r="A24" s="920"/>
      <c r="G24" s="108"/>
      <c r="I24" s="135"/>
      <c r="L24" s="108"/>
    </row>
    <row r="25" spans="1:13">
      <c r="C25" s="583" t="s">
        <v>525</v>
      </c>
      <c r="G25" s="108"/>
      <c r="H25" s="576"/>
      <c r="I25" s="135"/>
      <c r="J25" s="135"/>
      <c r="L25" s="108"/>
    </row>
    <row r="26" spans="1:13">
      <c r="C26" s="583"/>
      <c r="G26" s="108"/>
      <c r="H26" s="576"/>
      <c r="I26" s="135"/>
      <c r="J26" s="135"/>
      <c r="L26" s="108"/>
    </row>
    <row r="27" spans="1:13">
      <c r="C27" s="583" t="s">
        <v>1617</v>
      </c>
    </row>
    <row r="28" spans="1:13">
      <c r="C28" s="583"/>
    </row>
    <row r="29" spans="1:13">
      <c r="C29" s="583"/>
    </row>
    <row r="30" spans="1:13">
      <c r="C30" s="583"/>
      <c r="G30" s="108"/>
      <c r="I30" s="135"/>
    </row>
    <row r="31" spans="1:13">
      <c r="G31" s="108"/>
      <c r="H31" s="108"/>
      <c r="I31" s="135"/>
      <c r="J31" s="135"/>
    </row>
    <row r="32" spans="1:13">
      <c r="C32" s="583"/>
      <c r="G32" s="108"/>
    </row>
    <row r="33" spans="1:3">
      <c r="C33" s="583"/>
    </row>
    <row r="35" spans="1:3">
      <c r="C35" s="583"/>
    </row>
    <row r="40" spans="1:3">
      <c r="A40" s="583"/>
      <c r="C40" s="583"/>
    </row>
    <row r="41" spans="1:3">
      <c r="C41" s="583"/>
    </row>
    <row r="42" spans="1:3">
      <c r="C42" s="583"/>
    </row>
    <row r="43" spans="1:3">
      <c r="C43" s="583"/>
    </row>
  </sheetData>
  <mergeCells count="4">
    <mergeCell ref="A1:L1"/>
    <mergeCell ref="A2:L2"/>
    <mergeCell ref="A3:L3"/>
    <mergeCell ref="A4:L4"/>
  </mergeCells>
  <phoneticPr fontId="23" type="noConversion"/>
  <pageMargins left="0.75" right="0.75" top="0.83" bottom="1.1499999999999999" header="0.5" footer="0.5"/>
  <pageSetup orientation="landscape" verticalDpi="300" r:id="rId1"/>
  <headerFooter alignWithMargins="0">
    <oddFooter>&amp;RSchedule &amp;A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273"/>
  <sheetViews>
    <sheetView view="pageBreakPreview" zoomScale="60" zoomScaleNormal="70" workbookViewId="0">
      <pane ySplit="12" topLeftCell="A232" activePane="bottomLeft" state="frozen"/>
      <selection activeCell="F59" sqref="F59:F60"/>
      <selection pane="bottomLeft" activeCell="H276" sqref="H276"/>
    </sheetView>
  </sheetViews>
  <sheetFormatPr defaultRowHeight="15"/>
  <cols>
    <col min="1" max="1" width="4.88671875" style="80" customWidth="1"/>
    <col min="2" max="2" width="6.88671875" style="80" customWidth="1"/>
    <col min="3" max="3" width="37" style="80" customWidth="1"/>
    <col min="4" max="4" width="18.33203125" style="80" customWidth="1"/>
    <col min="5" max="5" width="11.109375" style="80" bestFit="1" customWidth="1"/>
    <col min="6" max="6" width="15.6640625" style="80" customWidth="1"/>
    <col min="7" max="7" width="12.77734375" style="853" customWidth="1"/>
    <col min="8" max="8" width="12.6640625" style="853" customWidth="1"/>
    <col min="9" max="9" width="15.21875" style="80" customWidth="1"/>
    <col min="10" max="10" width="3.21875" style="80" customWidth="1"/>
    <col min="11" max="11" width="15.6640625" style="80" customWidth="1"/>
    <col min="12" max="12" width="12.6640625" style="853" customWidth="1"/>
    <col min="13" max="13" width="9.77734375" style="853" bestFit="1" customWidth="1"/>
    <col min="14" max="14" width="14.21875" style="80" customWidth="1"/>
    <col min="15" max="15" width="5.44140625" style="80" customWidth="1"/>
    <col min="16" max="17" width="12" style="80" bestFit="1" customWidth="1"/>
    <col min="18" max="16384" width="8.88671875" style="80"/>
  </cols>
  <sheetData>
    <row r="1" spans="1:17">
      <c r="A1" s="1193" t="str">
        <f>'Table of Contents'!A1:C1</f>
        <v>Atmos Energy Corporation, Kentucky/Mid-States Division</v>
      </c>
      <c r="B1" s="1193"/>
      <c r="C1" s="1193"/>
      <c r="D1" s="1193"/>
      <c r="E1" s="1193"/>
      <c r="F1" s="1193"/>
      <c r="G1" s="1193"/>
      <c r="H1" s="1193"/>
      <c r="I1" s="1193"/>
      <c r="J1" s="1193"/>
      <c r="K1" s="1193"/>
      <c r="L1" s="1193"/>
      <c r="M1" s="1193"/>
      <c r="N1" s="1193"/>
    </row>
    <row r="2" spans="1:17">
      <c r="A2" s="1193" t="str">
        <f>'Table of Contents'!A2:C2</f>
        <v>Kentucky Jurisdiction Case No. 2018-00281</v>
      </c>
      <c r="B2" s="1193"/>
      <c r="C2" s="1193"/>
      <c r="D2" s="1193"/>
      <c r="E2" s="1193"/>
      <c r="F2" s="1193"/>
      <c r="G2" s="1193"/>
      <c r="H2" s="1193"/>
      <c r="I2" s="1193"/>
      <c r="J2" s="1193"/>
      <c r="K2" s="1193"/>
      <c r="L2" s="1193"/>
      <c r="M2" s="1193"/>
      <c r="N2" s="1193"/>
    </row>
    <row r="3" spans="1:17">
      <c r="A3" s="1193" t="s">
        <v>496</v>
      </c>
      <c r="B3" s="1193"/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3"/>
      <c r="N3" s="1193"/>
    </row>
    <row r="4" spans="1:17" ht="15.75">
      <c r="A4" s="1194" t="str">
        <f>'B.1 B'!A4</f>
        <v>as of December 31, 2018</v>
      </c>
      <c r="B4" s="1194"/>
      <c r="C4" s="1194"/>
      <c r="D4" s="1194"/>
      <c r="E4" s="1194"/>
      <c r="F4" s="1194"/>
      <c r="G4" s="1194"/>
      <c r="H4" s="1194"/>
      <c r="I4" s="1194"/>
      <c r="J4" s="1194"/>
      <c r="K4" s="1194"/>
      <c r="L4" s="1194"/>
      <c r="M4" s="1194"/>
      <c r="N4" s="1194"/>
    </row>
    <row r="5" spans="1:17">
      <c r="A5" s="150"/>
      <c r="B5" s="150"/>
      <c r="C5" s="150"/>
      <c r="D5" s="150"/>
      <c r="E5" s="731"/>
      <c r="G5" s="856"/>
      <c r="H5" s="856"/>
      <c r="J5" s="81"/>
      <c r="K5" s="150"/>
    </row>
    <row r="6" spans="1:17" ht="15.75">
      <c r="A6" s="88" t="str">
        <f>'B.1 B'!A6</f>
        <v>Data:__X___Base Period______Forecasted Period</v>
      </c>
      <c r="B6" s="81"/>
      <c r="C6" s="81"/>
      <c r="D6" s="81"/>
      <c r="E6" s="901"/>
      <c r="F6" s="901"/>
      <c r="G6" s="856"/>
      <c r="K6" s="81"/>
      <c r="N6" s="900" t="s">
        <v>1415</v>
      </c>
    </row>
    <row r="7" spans="1:17">
      <c r="A7" s="88" t="str">
        <f>'B.1 B'!A7</f>
        <v>Type of Filing:___X____Original________Updated ________Revised</v>
      </c>
      <c r="B7" s="88"/>
      <c r="C7" s="81"/>
      <c r="D7" s="81"/>
      <c r="E7" s="81"/>
      <c r="F7" s="81"/>
      <c r="G7" s="856"/>
      <c r="I7" s="88"/>
      <c r="J7" s="88"/>
      <c r="K7" s="81"/>
      <c r="N7" s="978" t="s">
        <v>1009</v>
      </c>
    </row>
    <row r="8" spans="1:17">
      <c r="A8" s="1026" t="str">
        <f>'B.1 B'!A8</f>
        <v>Workpaper Reference No(s).</v>
      </c>
      <c r="B8" s="74"/>
      <c r="C8" s="74"/>
      <c r="D8" s="74"/>
      <c r="E8" s="74"/>
      <c r="F8" s="74"/>
      <c r="G8" s="76"/>
      <c r="H8" s="1025"/>
      <c r="I8" s="1026"/>
      <c r="J8" s="1026"/>
      <c r="K8" s="74"/>
      <c r="L8" s="1025"/>
      <c r="N8" s="1027" t="s">
        <v>1344</v>
      </c>
    </row>
    <row r="9" spans="1:17">
      <c r="A9" s="1028"/>
      <c r="B9" s="826"/>
      <c r="C9" s="1049"/>
      <c r="D9" s="391"/>
      <c r="E9" s="826"/>
      <c r="F9" s="826"/>
      <c r="G9" s="888"/>
      <c r="H9" s="1029"/>
      <c r="I9" s="1030"/>
      <c r="J9" s="1026"/>
      <c r="K9" s="391"/>
      <c r="L9" s="890"/>
      <c r="M9" s="890"/>
      <c r="N9" s="1031"/>
    </row>
    <row r="10" spans="1:17" ht="15.75">
      <c r="A10" s="1032"/>
      <c r="B10" s="74"/>
      <c r="C10" s="1050"/>
      <c r="D10" s="593">
        <v>43465</v>
      </c>
      <c r="E10" s="74"/>
      <c r="F10" s="74"/>
      <c r="G10" s="76" t="s">
        <v>13</v>
      </c>
      <c r="H10" s="75" t="s">
        <v>11</v>
      </c>
      <c r="I10" s="1033"/>
      <c r="J10" s="1026"/>
      <c r="K10" s="1034"/>
      <c r="L10" s="76" t="s">
        <v>13</v>
      </c>
      <c r="M10" s="75" t="s">
        <v>11</v>
      </c>
      <c r="N10" s="1033"/>
    </row>
    <row r="11" spans="1:17" ht="15.75">
      <c r="A11" s="1032" t="s">
        <v>93</v>
      </c>
      <c r="B11" s="75" t="s">
        <v>268</v>
      </c>
      <c r="C11" s="485" t="s">
        <v>216</v>
      </c>
      <c r="D11" s="853" t="s">
        <v>1325</v>
      </c>
      <c r="E11" s="75"/>
      <c r="F11" s="75" t="s">
        <v>10</v>
      </c>
      <c r="G11" s="75" t="s">
        <v>14</v>
      </c>
      <c r="H11" s="75" t="s">
        <v>594</v>
      </c>
      <c r="I11" s="485" t="s">
        <v>12</v>
      </c>
      <c r="J11" s="75"/>
      <c r="K11" s="1035" t="s">
        <v>45</v>
      </c>
      <c r="L11" s="75" t="s">
        <v>14</v>
      </c>
      <c r="M11" s="75" t="s">
        <v>594</v>
      </c>
      <c r="N11" s="485" t="s">
        <v>12</v>
      </c>
    </row>
    <row r="12" spans="1:17">
      <c r="A12" s="1036" t="s">
        <v>99</v>
      </c>
      <c r="B12" s="185" t="s">
        <v>99</v>
      </c>
      <c r="C12" s="1037" t="s">
        <v>296</v>
      </c>
      <c r="D12" s="1036" t="s">
        <v>105</v>
      </c>
      <c r="E12" s="185" t="s">
        <v>987</v>
      </c>
      <c r="F12" s="185" t="s">
        <v>105</v>
      </c>
      <c r="G12" s="185" t="s">
        <v>627</v>
      </c>
      <c r="H12" s="185" t="s">
        <v>627</v>
      </c>
      <c r="I12" s="1037" t="s">
        <v>104</v>
      </c>
      <c r="J12" s="75"/>
      <c r="K12" s="1036" t="s">
        <v>98</v>
      </c>
      <c r="L12" s="185" t="s">
        <v>627</v>
      </c>
      <c r="M12" s="185" t="s">
        <v>627</v>
      </c>
      <c r="N12" s="1037" t="s">
        <v>104</v>
      </c>
      <c r="P12" s="428"/>
      <c r="Q12" s="428"/>
    </row>
    <row r="13" spans="1:17">
      <c r="A13" s="75"/>
      <c r="B13" s="75"/>
      <c r="C13" s="75"/>
      <c r="D13" s="75" t="s">
        <v>750</v>
      </c>
      <c r="E13" s="75" t="s">
        <v>751</v>
      </c>
      <c r="F13" s="75" t="s">
        <v>757</v>
      </c>
      <c r="G13" s="75" t="s">
        <v>752</v>
      </c>
      <c r="H13" s="75" t="s">
        <v>753</v>
      </c>
      <c r="I13" s="75" t="s">
        <v>758</v>
      </c>
      <c r="J13" s="75"/>
      <c r="K13" s="75" t="s">
        <v>754</v>
      </c>
      <c r="L13" s="75" t="s">
        <v>755</v>
      </c>
      <c r="M13" s="75" t="s">
        <v>756</v>
      </c>
      <c r="N13" s="75" t="s">
        <v>759</v>
      </c>
    </row>
    <row r="14" spans="1:17" ht="15.75">
      <c r="B14" s="941" t="s">
        <v>6</v>
      </c>
    </row>
    <row r="15" spans="1:17">
      <c r="A15" s="209">
        <v>1</v>
      </c>
      <c r="B15" s="195"/>
      <c r="C15" s="619" t="s">
        <v>297</v>
      </c>
    </row>
    <row r="16" spans="1:17">
      <c r="A16" s="209">
        <f>A15+1</f>
        <v>2</v>
      </c>
      <c r="B16" s="1038">
        <v>30100</v>
      </c>
      <c r="C16" s="233" t="s">
        <v>291</v>
      </c>
      <c r="D16" s="322">
        <v>8329.7199999999993</v>
      </c>
      <c r="E16" s="458">
        <v>0</v>
      </c>
      <c r="F16" s="360">
        <f>D16+E16</f>
        <v>8329.7199999999993</v>
      </c>
      <c r="G16" s="336">
        <v>1</v>
      </c>
      <c r="H16" s="336">
        <f>$G$16</f>
        <v>1</v>
      </c>
      <c r="I16" s="360">
        <f>F16*G16*H16</f>
        <v>8329.7199999999993</v>
      </c>
      <c r="J16" s="427"/>
      <c r="K16" s="322">
        <v>8329.7199999999993</v>
      </c>
      <c r="L16" s="336">
        <f t="shared" ref="L16:M17" si="0">$G$16</f>
        <v>1</v>
      </c>
      <c r="M16" s="336">
        <f t="shared" si="0"/>
        <v>1</v>
      </c>
      <c r="N16" s="360">
        <f>K16*L16*M16</f>
        <v>8329.7199999999993</v>
      </c>
    </row>
    <row r="17" spans="1:14">
      <c r="A17" s="209">
        <f t="shared" ref="A17:A83" si="1">A16+1</f>
        <v>3</v>
      </c>
      <c r="B17" s="1038">
        <v>30200</v>
      </c>
      <c r="C17" s="233" t="s">
        <v>153</v>
      </c>
      <c r="D17" s="322">
        <v>119852.69</v>
      </c>
      <c r="E17" s="616">
        <v>0</v>
      </c>
      <c r="F17" s="616">
        <f>D17+E17</f>
        <v>119852.69</v>
      </c>
      <c r="G17" s="336">
        <f>$G$16</f>
        <v>1</v>
      </c>
      <c r="H17" s="336">
        <f>$G$16</f>
        <v>1</v>
      </c>
      <c r="I17" s="616">
        <f>F17*G17*H17</f>
        <v>119852.69</v>
      </c>
      <c r="K17" s="322">
        <v>119852.68999999996</v>
      </c>
      <c r="L17" s="336">
        <f t="shared" si="0"/>
        <v>1</v>
      </c>
      <c r="M17" s="336">
        <f t="shared" si="0"/>
        <v>1</v>
      </c>
      <c r="N17" s="616">
        <f>K17*L17*M17</f>
        <v>119852.68999999996</v>
      </c>
    </row>
    <row r="18" spans="1:14">
      <c r="A18" s="209">
        <f t="shared" si="1"/>
        <v>4</v>
      </c>
      <c r="B18" s="1047"/>
      <c r="C18" s="233"/>
      <c r="D18" s="618"/>
      <c r="E18" s="618"/>
      <c r="F18" s="618"/>
      <c r="G18" s="336"/>
      <c r="H18" s="336"/>
      <c r="I18" s="618"/>
      <c r="K18" s="618"/>
      <c r="N18" s="618"/>
    </row>
    <row r="19" spans="1:14">
      <c r="A19" s="209">
        <f t="shared" si="1"/>
        <v>5</v>
      </c>
      <c r="B19" s="1047"/>
      <c r="C19" s="233" t="s">
        <v>298</v>
      </c>
      <c r="D19" s="360">
        <f>SUM(D16:D17)</f>
        <v>128182.41</v>
      </c>
      <c r="E19" s="360">
        <f>SUM(E16:E17)</f>
        <v>0</v>
      </c>
      <c r="F19" s="360">
        <f>SUM(F16:F17)</f>
        <v>128182.41</v>
      </c>
      <c r="G19" s="1051"/>
      <c r="H19" s="1051"/>
      <c r="I19" s="360">
        <f>SUM(I16:I17)</f>
        <v>128182.41</v>
      </c>
      <c r="K19" s="360">
        <f>SUM(K16:K17)</f>
        <v>128182.40999999996</v>
      </c>
      <c r="N19" s="360">
        <f>SUM(N16:N17)</f>
        <v>128182.40999999996</v>
      </c>
    </row>
    <row r="20" spans="1:14">
      <c r="A20" s="209">
        <f t="shared" si="1"/>
        <v>6</v>
      </c>
      <c r="B20" s="1047"/>
      <c r="C20" s="195"/>
      <c r="G20" s="336"/>
      <c r="H20" s="336"/>
    </row>
    <row r="21" spans="1:14">
      <c r="A21" s="209">
        <f t="shared" si="1"/>
        <v>7</v>
      </c>
      <c r="B21" s="1047"/>
      <c r="C21" s="619" t="s">
        <v>154</v>
      </c>
      <c r="G21" s="336"/>
      <c r="H21" s="336"/>
    </row>
    <row r="22" spans="1:14">
      <c r="A22" s="209">
        <f t="shared" si="1"/>
        <v>8</v>
      </c>
      <c r="B22" s="1038">
        <v>32540</v>
      </c>
      <c r="C22" s="233" t="s">
        <v>161</v>
      </c>
      <c r="D22" s="322"/>
      <c r="E22" s="458">
        <v>0</v>
      </c>
      <c r="F22" s="360">
        <f t="shared" ref="F22:F24" si="2">D22+E22</f>
        <v>0</v>
      </c>
      <c r="G22" s="336">
        <f t="shared" ref="G22:H44" si="3">$G$16</f>
        <v>1</v>
      </c>
      <c r="H22" s="336">
        <f t="shared" si="3"/>
        <v>1</v>
      </c>
      <c r="I22" s="360">
        <f t="shared" ref="I22:I24" si="4">F22*G22*H22</f>
        <v>0</v>
      </c>
      <c r="K22" s="322">
        <v>0</v>
      </c>
      <c r="L22" s="336">
        <f t="shared" ref="L22:M24" si="5">$G$16</f>
        <v>1</v>
      </c>
      <c r="M22" s="336">
        <f t="shared" si="5"/>
        <v>1</v>
      </c>
      <c r="N22" s="360">
        <f t="shared" ref="N22:N24" si="6">K22*L22*M22</f>
        <v>0</v>
      </c>
    </row>
    <row r="23" spans="1:14">
      <c r="A23" s="209">
        <f t="shared" si="1"/>
        <v>9</v>
      </c>
      <c r="B23" s="1038">
        <v>33202</v>
      </c>
      <c r="C23" s="233" t="s">
        <v>596</v>
      </c>
      <c r="D23" s="322"/>
      <c r="E23" s="616">
        <v>0</v>
      </c>
      <c r="F23" s="616">
        <f t="shared" si="2"/>
        <v>0</v>
      </c>
      <c r="G23" s="336">
        <f t="shared" si="3"/>
        <v>1</v>
      </c>
      <c r="H23" s="336">
        <f t="shared" si="3"/>
        <v>1</v>
      </c>
      <c r="I23" s="616">
        <f t="shared" si="4"/>
        <v>0</v>
      </c>
      <c r="K23" s="322">
        <v>0</v>
      </c>
      <c r="L23" s="336">
        <f t="shared" si="5"/>
        <v>1</v>
      </c>
      <c r="M23" s="336">
        <f t="shared" si="5"/>
        <v>1</v>
      </c>
      <c r="N23" s="616">
        <f t="shared" si="6"/>
        <v>0</v>
      </c>
    </row>
    <row r="24" spans="1:14">
      <c r="A24" s="209">
        <f t="shared" si="1"/>
        <v>10</v>
      </c>
      <c r="B24" s="1038">
        <v>33400</v>
      </c>
      <c r="C24" s="233" t="s">
        <v>1119</v>
      </c>
      <c r="D24" s="322"/>
      <c r="E24" s="616">
        <v>0</v>
      </c>
      <c r="F24" s="616">
        <f t="shared" si="2"/>
        <v>0</v>
      </c>
      <c r="G24" s="336">
        <f t="shared" si="3"/>
        <v>1</v>
      </c>
      <c r="H24" s="336">
        <f t="shared" si="3"/>
        <v>1</v>
      </c>
      <c r="I24" s="616">
        <f t="shared" si="4"/>
        <v>0</v>
      </c>
      <c r="K24" s="322">
        <v>0</v>
      </c>
      <c r="L24" s="336">
        <f t="shared" si="5"/>
        <v>1</v>
      </c>
      <c r="M24" s="336">
        <f t="shared" si="5"/>
        <v>1</v>
      </c>
      <c r="N24" s="616">
        <f t="shared" si="6"/>
        <v>0</v>
      </c>
    </row>
    <row r="25" spans="1:14">
      <c r="A25" s="209">
        <f t="shared" si="1"/>
        <v>11</v>
      </c>
      <c r="B25" s="1047"/>
      <c r="C25" s="195"/>
      <c r="D25" s="618"/>
      <c r="E25" s="618"/>
      <c r="F25" s="618"/>
      <c r="G25" s="336"/>
      <c r="H25" s="336"/>
      <c r="I25" s="618"/>
      <c r="K25" s="618"/>
      <c r="N25" s="618"/>
    </row>
    <row r="26" spans="1:14">
      <c r="A26" s="209">
        <f t="shared" si="1"/>
        <v>12</v>
      </c>
      <c r="B26" s="1047"/>
      <c r="C26" s="195" t="s">
        <v>278</v>
      </c>
      <c r="D26" s="360">
        <f>SUM(D22:D25)</f>
        <v>0</v>
      </c>
      <c r="E26" s="360">
        <f>SUM(E22:E25)</f>
        <v>0</v>
      </c>
      <c r="F26" s="360">
        <f>SUM(F22:F25)</f>
        <v>0</v>
      </c>
      <c r="G26" s="336"/>
      <c r="H26" s="336"/>
      <c r="I26" s="360">
        <f>SUM(I22:I25)</f>
        <v>0</v>
      </c>
      <c r="K26" s="360">
        <f>SUM(K22:K25)</f>
        <v>0</v>
      </c>
      <c r="N26" s="360">
        <f>SUM(N22:N25)</f>
        <v>0</v>
      </c>
    </row>
    <row r="27" spans="1:14">
      <c r="A27" s="209">
        <f t="shared" si="1"/>
        <v>13</v>
      </c>
      <c r="B27" s="1047"/>
      <c r="C27" s="233"/>
      <c r="G27" s="336"/>
      <c r="H27" s="336"/>
    </row>
    <row r="28" spans="1:14">
      <c r="A28" s="209">
        <f t="shared" si="1"/>
        <v>14</v>
      </c>
      <c r="B28" s="1047"/>
      <c r="C28" s="619" t="s">
        <v>279</v>
      </c>
      <c r="G28" s="336"/>
      <c r="H28" s="336"/>
    </row>
    <row r="29" spans="1:14">
      <c r="A29" s="209">
        <f t="shared" si="1"/>
        <v>15</v>
      </c>
      <c r="B29" s="1038">
        <v>35010</v>
      </c>
      <c r="C29" s="233" t="s">
        <v>292</v>
      </c>
      <c r="D29" s="322">
        <v>261126.69</v>
      </c>
      <c r="E29" s="458">
        <v>0</v>
      </c>
      <c r="F29" s="360">
        <f>D29+E29</f>
        <v>261126.69</v>
      </c>
      <c r="G29" s="336">
        <f t="shared" si="3"/>
        <v>1</v>
      </c>
      <c r="H29" s="336">
        <f t="shared" si="3"/>
        <v>1</v>
      </c>
      <c r="I29" s="360">
        <f>F29*G29*H29</f>
        <v>261126.69</v>
      </c>
      <c r="K29" s="322">
        <v>261126.68999999997</v>
      </c>
      <c r="L29" s="336">
        <f t="shared" ref="L29:M45" si="7">$G$16</f>
        <v>1</v>
      </c>
      <c r="M29" s="336">
        <f t="shared" si="7"/>
        <v>1</v>
      </c>
      <c r="N29" s="360">
        <f>K29*L29*M29</f>
        <v>261126.68999999997</v>
      </c>
    </row>
    <row r="30" spans="1:14">
      <c r="A30" s="209">
        <f t="shared" si="1"/>
        <v>16</v>
      </c>
      <c r="B30" s="1038">
        <v>35020</v>
      </c>
      <c r="C30" s="233" t="s">
        <v>792</v>
      </c>
      <c r="D30" s="322">
        <v>4681.58</v>
      </c>
      <c r="E30" s="616">
        <v>0</v>
      </c>
      <c r="F30" s="616">
        <f>D30+E30</f>
        <v>4681.58</v>
      </c>
      <c r="G30" s="336">
        <f t="shared" si="3"/>
        <v>1</v>
      </c>
      <c r="H30" s="336">
        <f t="shared" si="3"/>
        <v>1</v>
      </c>
      <c r="I30" s="616">
        <f t="shared" ref="I30:I45" si="8">F30*G30*H30</f>
        <v>4681.58</v>
      </c>
      <c r="K30" s="322">
        <v>4681.5800000000008</v>
      </c>
      <c r="L30" s="336">
        <f t="shared" si="7"/>
        <v>1</v>
      </c>
      <c r="M30" s="336">
        <f t="shared" si="7"/>
        <v>1</v>
      </c>
      <c r="N30" s="616">
        <f t="shared" ref="N30:N45" si="9">K30*L30*M30</f>
        <v>4681.5800000000008</v>
      </c>
    </row>
    <row r="31" spans="1:14">
      <c r="A31" s="209">
        <f t="shared" si="1"/>
        <v>17</v>
      </c>
      <c r="B31" s="1038">
        <v>35100</v>
      </c>
      <c r="C31" s="233" t="s">
        <v>969</v>
      </c>
      <c r="D31" s="322">
        <v>17916.189999999999</v>
      </c>
      <c r="E31" s="616">
        <v>0</v>
      </c>
      <c r="F31" s="616">
        <f t="shared" ref="F31:F45" si="10">D31+E31</f>
        <v>17916.189999999999</v>
      </c>
      <c r="G31" s="336">
        <f t="shared" si="3"/>
        <v>1</v>
      </c>
      <c r="H31" s="336">
        <f t="shared" si="3"/>
        <v>1</v>
      </c>
      <c r="I31" s="616">
        <f t="shared" si="8"/>
        <v>17916.189999999999</v>
      </c>
      <c r="K31" s="322">
        <v>17916.189999999999</v>
      </c>
      <c r="L31" s="336">
        <f t="shared" si="7"/>
        <v>1</v>
      </c>
      <c r="M31" s="336">
        <f t="shared" si="7"/>
        <v>1</v>
      </c>
      <c r="N31" s="616">
        <f t="shared" si="9"/>
        <v>17916.189999999999</v>
      </c>
    </row>
    <row r="32" spans="1:14">
      <c r="A32" s="209">
        <f t="shared" si="1"/>
        <v>18</v>
      </c>
      <c r="B32" s="1038">
        <v>35102</v>
      </c>
      <c r="C32" s="233" t="s">
        <v>280</v>
      </c>
      <c r="D32" s="322">
        <v>153261.29999999999</v>
      </c>
      <c r="E32" s="616">
        <v>0</v>
      </c>
      <c r="F32" s="616">
        <f t="shared" si="10"/>
        <v>153261.29999999999</v>
      </c>
      <c r="G32" s="336">
        <f t="shared" si="3"/>
        <v>1</v>
      </c>
      <c r="H32" s="336">
        <f t="shared" si="3"/>
        <v>1</v>
      </c>
      <c r="I32" s="616">
        <f t="shared" si="8"/>
        <v>153261.29999999999</v>
      </c>
      <c r="K32" s="322">
        <v>153261.30000000002</v>
      </c>
      <c r="L32" s="336">
        <f t="shared" si="7"/>
        <v>1</v>
      </c>
      <c r="M32" s="336">
        <f t="shared" si="7"/>
        <v>1</v>
      </c>
      <c r="N32" s="616">
        <f t="shared" si="9"/>
        <v>153261.30000000002</v>
      </c>
    </row>
    <row r="33" spans="1:15">
      <c r="A33" s="209">
        <f t="shared" si="1"/>
        <v>19</v>
      </c>
      <c r="B33" s="1038">
        <v>35103</v>
      </c>
      <c r="C33" s="233" t="s">
        <v>585</v>
      </c>
      <c r="D33" s="322">
        <v>23138.38</v>
      </c>
      <c r="E33" s="616">
        <v>0</v>
      </c>
      <c r="F33" s="616">
        <f t="shared" si="10"/>
        <v>23138.38</v>
      </c>
      <c r="G33" s="336">
        <f t="shared" si="3"/>
        <v>1</v>
      </c>
      <c r="H33" s="336">
        <f t="shared" si="3"/>
        <v>1</v>
      </c>
      <c r="I33" s="616">
        <f t="shared" si="8"/>
        <v>23138.38</v>
      </c>
      <c r="K33" s="322">
        <v>23138.38</v>
      </c>
      <c r="L33" s="336">
        <f t="shared" si="7"/>
        <v>1</v>
      </c>
      <c r="M33" s="336">
        <f t="shared" si="7"/>
        <v>1</v>
      </c>
      <c r="N33" s="616">
        <f t="shared" si="9"/>
        <v>23138.38</v>
      </c>
    </row>
    <row r="34" spans="1:15">
      <c r="A34" s="209">
        <f t="shared" si="1"/>
        <v>20</v>
      </c>
      <c r="B34" s="1038">
        <v>35104</v>
      </c>
      <c r="C34" s="233" t="s">
        <v>586</v>
      </c>
      <c r="D34" s="322">
        <v>137442.53</v>
      </c>
      <c r="E34" s="616">
        <v>0</v>
      </c>
      <c r="F34" s="616">
        <f t="shared" si="10"/>
        <v>137442.53</v>
      </c>
      <c r="G34" s="336">
        <f t="shared" si="3"/>
        <v>1</v>
      </c>
      <c r="H34" s="336">
        <f t="shared" si="3"/>
        <v>1</v>
      </c>
      <c r="I34" s="616">
        <f t="shared" si="8"/>
        <v>137442.53</v>
      </c>
      <c r="K34" s="322">
        <v>137442.53</v>
      </c>
      <c r="L34" s="336">
        <f t="shared" si="7"/>
        <v>1</v>
      </c>
      <c r="M34" s="336">
        <f t="shared" si="7"/>
        <v>1</v>
      </c>
      <c r="N34" s="616">
        <f t="shared" si="9"/>
        <v>137442.53</v>
      </c>
    </row>
    <row r="35" spans="1:15">
      <c r="A35" s="209">
        <f t="shared" si="1"/>
        <v>21</v>
      </c>
      <c r="B35" s="1038">
        <v>35200</v>
      </c>
      <c r="C35" s="233" t="s">
        <v>441</v>
      </c>
      <c r="D35" s="322">
        <v>8352191.2300000004</v>
      </c>
      <c r="E35" s="616">
        <v>0</v>
      </c>
      <c r="F35" s="616">
        <f t="shared" si="10"/>
        <v>8352191.2300000004</v>
      </c>
      <c r="G35" s="336">
        <f t="shared" si="3"/>
        <v>1</v>
      </c>
      <c r="H35" s="336">
        <f t="shared" si="3"/>
        <v>1</v>
      </c>
      <c r="I35" s="616">
        <f t="shared" si="8"/>
        <v>8352191.2300000004</v>
      </c>
      <c r="K35" s="322">
        <v>8352261.8446153868</v>
      </c>
      <c r="L35" s="336">
        <f t="shared" si="7"/>
        <v>1</v>
      </c>
      <c r="M35" s="336">
        <f t="shared" si="7"/>
        <v>1</v>
      </c>
      <c r="N35" s="616">
        <f t="shared" si="9"/>
        <v>8352261.8446153868</v>
      </c>
    </row>
    <row r="36" spans="1:15">
      <c r="A36" s="209">
        <f t="shared" si="1"/>
        <v>22</v>
      </c>
      <c r="B36" s="1038">
        <v>35201</v>
      </c>
      <c r="C36" s="233" t="s">
        <v>587</v>
      </c>
      <c r="D36" s="322">
        <v>1699998.54</v>
      </c>
      <c r="E36" s="616">
        <v>0</v>
      </c>
      <c r="F36" s="616">
        <f t="shared" si="10"/>
        <v>1699998.54</v>
      </c>
      <c r="G36" s="336">
        <f t="shared" si="3"/>
        <v>1</v>
      </c>
      <c r="H36" s="336">
        <f t="shared" si="3"/>
        <v>1</v>
      </c>
      <c r="I36" s="616">
        <f t="shared" si="8"/>
        <v>1699998.54</v>
      </c>
      <c r="K36" s="322">
        <v>1699998.5399999993</v>
      </c>
      <c r="L36" s="336">
        <f t="shared" si="7"/>
        <v>1</v>
      </c>
      <c r="M36" s="336">
        <f t="shared" si="7"/>
        <v>1</v>
      </c>
      <c r="N36" s="616">
        <f t="shared" si="9"/>
        <v>1699998.5399999993</v>
      </c>
    </row>
    <row r="37" spans="1:15">
      <c r="A37" s="209">
        <f t="shared" si="1"/>
        <v>23</v>
      </c>
      <c r="B37" s="1038">
        <v>35202</v>
      </c>
      <c r="C37" s="233" t="s">
        <v>588</v>
      </c>
      <c r="D37" s="322">
        <v>449309.06</v>
      </c>
      <c r="E37" s="616">
        <v>0</v>
      </c>
      <c r="F37" s="616">
        <f t="shared" si="10"/>
        <v>449309.06</v>
      </c>
      <c r="G37" s="336">
        <f t="shared" si="3"/>
        <v>1</v>
      </c>
      <c r="H37" s="336">
        <f t="shared" si="3"/>
        <v>1</v>
      </c>
      <c r="I37" s="616">
        <f t="shared" si="8"/>
        <v>449309.06</v>
      </c>
      <c r="K37" s="322">
        <v>449309.05999999988</v>
      </c>
      <c r="L37" s="336">
        <f t="shared" si="7"/>
        <v>1</v>
      </c>
      <c r="M37" s="336">
        <f t="shared" si="7"/>
        <v>1</v>
      </c>
      <c r="N37" s="616">
        <f t="shared" si="9"/>
        <v>449309.05999999988</v>
      </c>
    </row>
    <row r="38" spans="1:15">
      <c r="A38" s="209">
        <f t="shared" si="1"/>
        <v>24</v>
      </c>
      <c r="B38" s="1038">
        <v>35203</v>
      </c>
      <c r="C38" s="233" t="s">
        <v>343</v>
      </c>
      <c r="D38" s="322">
        <v>1694832.96</v>
      </c>
      <c r="E38" s="616">
        <v>0</v>
      </c>
      <c r="F38" s="616">
        <f t="shared" si="10"/>
        <v>1694832.96</v>
      </c>
      <c r="G38" s="336">
        <f t="shared" si="3"/>
        <v>1</v>
      </c>
      <c r="H38" s="336">
        <f t="shared" si="3"/>
        <v>1</v>
      </c>
      <c r="I38" s="616">
        <f t="shared" si="8"/>
        <v>1694832.96</v>
      </c>
      <c r="K38" s="322">
        <v>1694832.9600000007</v>
      </c>
      <c r="L38" s="336">
        <f t="shared" si="7"/>
        <v>1</v>
      </c>
      <c r="M38" s="336">
        <f t="shared" si="7"/>
        <v>1</v>
      </c>
      <c r="N38" s="616">
        <f t="shared" si="9"/>
        <v>1694832.9600000007</v>
      </c>
    </row>
    <row r="39" spans="1:15">
      <c r="A39" s="209">
        <f t="shared" si="1"/>
        <v>25</v>
      </c>
      <c r="B39" s="1038">
        <v>35210</v>
      </c>
      <c r="C39" s="233" t="s">
        <v>589</v>
      </c>
      <c r="D39" s="322">
        <v>178530.09</v>
      </c>
      <c r="E39" s="616">
        <v>0</v>
      </c>
      <c r="F39" s="616">
        <f t="shared" si="10"/>
        <v>178530.09</v>
      </c>
      <c r="G39" s="336">
        <f t="shared" si="3"/>
        <v>1</v>
      </c>
      <c r="H39" s="336">
        <f t="shared" si="3"/>
        <v>1</v>
      </c>
      <c r="I39" s="616">
        <f t="shared" si="8"/>
        <v>178530.09</v>
      </c>
      <c r="K39" s="322">
        <v>178530.09000000003</v>
      </c>
      <c r="L39" s="336">
        <f t="shared" si="7"/>
        <v>1</v>
      </c>
      <c r="M39" s="336">
        <f t="shared" si="7"/>
        <v>1</v>
      </c>
      <c r="N39" s="616">
        <f t="shared" si="9"/>
        <v>178530.09000000003</v>
      </c>
    </row>
    <row r="40" spans="1:15">
      <c r="A40" s="209">
        <f t="shared" si="1"/>
        <v>26</v>
      </c>
      <c r="B40" s="1038">
        <v>35211</v>
      </c>
      <c r="C40" s="233" t="s">
        <v>590</v>
      </c>
      <c r="D40" s="322">
        <v>54614.27</v>
      </c>
      <c r="E40" s="616">
        <v>0</v>
      </c>
      <c r="F40" s="616">
        <f t="shared" si="10"/>
        <v>54614.27</v>
      </c>
      <c r="G40" s="336">
        <f t="shared" si="3"/>
        <v>1</v>
      </c>
      <c r="H40" s="336">
        <f t="shared" si="3"/>
        <v>1</v>
      </c>
      <c r="I40" s="616">
        <f t="shared" si="8"/>
        <v>54614.27</v>
      </c>
      <c r="K40" s="322">
        <v>54614.270000000011</v>
      </c>
      <c r="L40" s="336">
        <f t="shared" si="7"/>
        <v>1</v>
      </c>
      <c r="M40" s="336">
        <f t="shared" si="7"/>
        <v>1</v>
      </c>
      <c r="N40" s="616">
        <f t="shared" si="9"/>
        <v>54614.270000000011</v>
      </c>
    </row>
    <row r="41" spans="1:15">
      <c r="A41" s="209">
        <f t="shared" si="1"/>
        <v>27</v>
      </c>
      <c r="B41" s="1038">
        <v>35301</v>
      </c>
      <c r="C41" s="195" t="s">
        <v>162</v>
      </c>
      <c r="D41" s="322">
        <v>175350.37</v>
      </c>
      <c r="E41" s="616">
        <v>0</v>
      </c>
      <c r="F41" s="616">
        <f t="shared" si="10"/>
        <v>175350.37</v>
      </c>
      <c r="G41" s="336">
        <f t="shared" si="3"/>
        <v>1</v>
      </c>
      <c r="H41" s="336">
        <f t="shared" si="3"/>
        <v>1</v>
      </c>
      <c r="I41" s="616">
        <f t="shared" si="8"/>
        <v>175350.37</v>
      </c>
      <c r="K41" s="322">
        <v>175350.37000000005</v>
      </c>
      <c r="L41" s="336">
        <f t="shared" si="7"/>
        <v>1</v>
      </c>
      <c r="M41" s="336">
        <f t="shared" si="7"/>
        <v>1</v>
      </c>
      <c r="N41" s="616">
        <f t="shared" si="9"/>
        <v>175350.37000000005</v>
      </c>
    </row>
    <row r="42" spans="1:15">
      <c r="A42" s="209">
        <f t="shared" si="1"/>
        <v>28</v>
      </c>
      <c r="B42" s="1038">
        <v>35302</v>
      </c>
      <c r="C42" s="233" t="s">
        <v>596</v>
      </c>
      <c r="D42" s="322">
        <v>209318.9</v>
      </c>
      <c r="E42" s="616">
        <v>0</v>
      </c>
      <c r="F42" s="616">
        <f t="shared" si="10"/>
        <v>209318.9</v>
      </c>
      <c r="G42" s="336">
        <f t="shared" si="3"/>
        <v>1</v>
      </c>
      <c r="H42" s="336">
        <f t="shared" si="3"/>
        <v>1</v>
      </c>
      <c r="I42" s="616">
        <f t="shared" si="8"/>
        <v>209318.9</v>
      </c>
      <c r="K42" s="322">
        <v>209318.89999999994</v>
      </c>
      <c r="L42" s="336">
        <f t="shared" si="7"/>
        <v>1</v>
      </c>
      <c r="M42" s="336">
        <f t="shared" si="7"/>
        <v>1</v>
      </c>
      <c r="N42" s="616">
        <f t="shared" si="9"/>
        <v>209318.89999999994</v>
      </c>
    </row>
    <row r="43" spans="1:15">
      <c r="A43" s="209">
        <f t="shared" si="1"/>
        <v>29</v>
      </c>
      <c r="B43" s="1038">
        <v>35400</v>
      </c>
      <c r="C43" s="233" t="s">
        <v>591</v>
      </c>
      <c r="D43" s="322">
        <v>923446.05</v>
      </c>
      <c r="E43" s="616">
        <v>0</v>
      </c>
      <c r="F43" s="616">
        <f t="shared" si="10"/>
        <v>923446.05</v>
      </c>
      <c r="G43" s="336">
        <f t="shared" si="3"/>
        <v>1</v>
      </c>
      <c r="H43" s="336">
        <f t="shared" si="3"/>
        <v>1</v>
      </c>
      <c r="I43" s="616">
        <f t="shared" si="8"/>
        <v>923446.05</v>
      </c>
      <c r="K43" s="322">
        <v>923446.05000000016</v>
      </c>
      <c r="L43" s="336">
        <f t="shared" si="7"/>
        <v>1</v>
      </c>
      <c r="M43" s="336">
        <f t="shared" si="7"/>
        <v>1</v>
      </c>
      <c r="N43" s="616">
        <f t="shared" si="9"/>
        <v>923446.05000000016</v>
      </c>
    </row>
    <row r="44" spans="1:15">
      <c r="A44" s="209">
        <f t="shared" si="1"/>
        <v>30</v>
      </c>
      <c r="B44" s="1038">
        <v>35500</v>
      </c>
      <c r="C44" s="233" t="s">
        <v>992</v>
      </c>
      <c r="D44" s="322">
        <v>273084.38</v>
      </c>
      <c r="E44" s="616">
        <v>0</v>
      </c>
      <c r="F44" s="616">
        <f t="shared" si="10"/>
        <v>273084.38</v>
      </c>
      <c r="G44" s="336">
        <f t="shared" si="3"/>
        <v>1</v>
      </c>
      <c r="H44" s="336">
        <f t="shared" si="3"/>
        <v>1</v>
      </c>
      <c r="I44" s="616">
        <f t="shared" si="8"/>
        <v>273084.38</v>
      </c>
      <c r="K44" s="322">
        <v>273084.37999999995</v>
      </c>
      <c r="L44" s="336">
        <f t="shared" si="7"/>
        <v>1</v>
      </c>
      <c r="M44" s="336">
        <f t="shared" si="7"/>
        <v>1</v>
      </c>
      <c r="N44" s="616">
        <f t="shared" si="9"/>
        <v>273084.37999999995</v>
      </c>
    </row>
    <row r="45" spans="1:15">
      <c r="A45" s="209">
        <f t="shared" si="1"/>
        <v>31</v>
      </c>
      <c r="B45" s="1038">
        <v>35600</v>
      </c>
      <c r="C45" s="233" t="s">
        <v>1040</v>
      </c>
      <c r="D45" s="322">
        <v>414663.45</v>
      </c>
      <c r="E45" s="1052">
        <v>0</v>
      </c>
      <c r="F45" s="1052">
        <f t="shared" si="10"/>
        <v>414663.45</v>
      </c>
      <c r="G45" s="336">
        <f t="shared" ref="G45:H79" si="11">$G$16</f>
        <v>1</v>
      </c>
      <c r="H45" s="336">
        <f t="shared" si="11"/>
        <v>1</v>
      </c>
      <c r="I45" s="1045">
        <f t="shared" si="8"/>
        <v>414663.45</v>
      </c>
      <c r="K45" s="322">
        <v>414663.45000000013</v>
      </c>
      <c r="L45" s="336">
        <f t="shared" si="7"/>
        <v>1</v>
      </c>
      <c r="M45" s="336">
        <f t="shared" si="7"/>
        <v>1</v>
      </c>
      <c r="N45" s="1045">
        <f t="shared" si="9"/>
        <v>414663.45000000013</v>
      </c>
    </row>
    <row r="46" spans="1:15">
      <c r="A46" s="209">
        <f t="shared" si="1"/>
        <v>32</v>
      </c>
      <c r="B46" s="1047"/>
      <c r="C46" s="233"/>
      <c r="D46" s="618"/>
      <c r="E46" s="618"/>
      <c r="F46" s="618"/>
      <c r="G46" s="336"/>
      <c r="H46" s="336"/>
      <c r="I46" s="723"/>
      <c r="K46" s="618"/>
      <c r="N46" s="618"/>
    </row>
    <row r="47" spans="1:15">
      <c r="A47" s="209">
        <f t="shared" si="1"/>
        <v>33</v>
      </c>
      <c r="B47" s="1047"/>
      <c r="C47" s="233" t="s">
        <v>215</v>
      </c>
      <c r="D47" s="360">
        <f>SUM(D29:D46)</f>
        <v>15022905.970000001</v>
      </c>
      <c r="E47" s="360">
        <f>SUM(E29:E46)</f>
        <v>0</v>
      </c>
      <c r="F47" s="360">
        <f>SUM(F29:F46)</f>
        <v>15022905.970000001</v>
      </c>
      <c r="G47" s="336"/>
      <c r="H47" s="336"/>
      <c r="I47" s="360">
        <f>SUM(I29:I46)</f>
        <v>15022905.970000001</v>
      </c>
      <c r="K47" s="360">
        <f>SUM(K29:K46)</f>
        <v>15022976.584615387</v>
      </c>
      <c r="N47" s="360">
        <f>SUM(N29:N46)</f>
        <v>15022976.584615387</v>
      </c>
      <c r="O47" s="670"/>
    </row>
    <row r="48" spans="1:15">
      <c r="A48" s="209">
        <f t="shared" si="1"/>
        <v>34</v>
      </c>
      <c r="B48" s="1047"/>
      <c r="C48" s="233"/>
      <c r="G48" s="336"/>
      <c r="H48" s="336"/>
      <c r="I48" s="360"/>
    </row>
    <row r="49" spans="1:14">
      <c r="A49" s="209">
        <f t="shared" si="1"/>
        <v>35</v>
      </c>
      <c r="B49" s="1047"/>
      <c r="C49" s="619" t="s">
        <v>993</v>
      </c>
      <c r="G49" s="336"/>
      <c r="H49" s="336"/>
      <c r="I49" s="360"/>
    </row>
    <row r="50" spans="1:14">
      <c r="A50" s="209">
        <f t="shared" si="1"/>
        <v>36</v>
      </c>
      <c r="B50" s="1038">
        <v>36510</v>
      </c>
      <c r="C50" s="233" t="s">
        <v>292</v>
      </c>
      <c r="D50" s="322">
        <v>26970.37</v>
      </c>
      <c r="E50" s="458">
        <v>0</v>
      </c>
      <c r="F50" s="360">
        <f>D50+E50</f>
        <v>26970.37</v>
      </c>
      <c r="G50" s="336">
        <f t="shared" si="11"/>
        <v>1</v>
      </c>
      <c r="H50" s="336">
        <f t="shared" si="11"/>
        <v>1</v>
      </c>
      <c r="I50" s="360">
        <f>F50*G50*H50</f>
        <v>26970.37</v>
      </c>
      <c r="K50" s="322">
        <v>26970.37</v>
      </c>
      <c r="L50" s="336">
        <f t="shared" ref="L50:M58" si="12">$G$16</f>
        <v>1</v>
      </c>
      <c r="M50" s="336">
        <f t="shared" si="12"/>
        <v>1</v>
      </c>
      <c r="N50" s="360">
        <f>K50*L50*M50</f>
        <v>26970.37</v>
      </c>
    </row>
    <row r="51" spans="1:14">
      <c r="A51" s="209">
        <f t="shared" si="1"/>
        <v>37</v>
      </c>
      <c r="B51" s="1038">
        <v>36520</v>
      </c>
      <c r="C51" s="233" t="s">
        <v>792</v>
      </c>
      <c r="D51" s="322">
        <v>867772</v>
      </c>
      <c r="E51" s="616">
        <v>0</v>
      </c>
      <c r="F51" s="616">
        <f>D51+E51</f>
        <v>867772</v>
      </c>
      <c r="G51" s="336">
        <f t="shared" si="11"/>
        <v>1</v>
      </c>
      <c r="H51" s="336">
        <f t="shared" si="11"/>
        <v>1</v>
      </c>
      <c r="I51" s="616">
        <f t="shared" ref="I51:I58" si="13">F51*G51*H51</f>
        <v>867772</v>
      </c>
      <c r="K51" s="322">
        <v>867772</v>
      </c>
      <c r="L51" s="336">
        <f t="shared" si="12"/>
        <v>1</v>
      </c>
      <c r="M51" s="336">
        <f t="shared" si="12"/>
        <v>1</v>
      </c>
      <c r="N51" s="616">
        <f t="shared" ref="N51:N58" si="14">K51*L51*M51</f>
        <v>867772</v>
      </c>
    </row>
    <row r="52" spans="1:14">
      <c r="A52" s="209">
        <f t="shared" si="1"/>
        <v>38</v>
      </c>
      <c r="B52" s="1038">
        <v>36602</v>
      </c>
      <c r="C52" s="233" t="s">
        <v>856</v>
      </c>
      <c r="D52" s="322">
        <v>49001.72</v>
      </c>
      <c r="E52" s="616">
        <v>0</v>
      </c>
      <c r="F52" s="616">
        <f t="shared" ref="F52:F58" si="15">D52+E52</f>
        <v>49001.72</v>
      </c>
      <c r="G52" s="336">
        <f t="shared" si="11"/>
        <v>1</v>
      </c>
      <c r="H52" s="336">
        <f t="shared" si="11"/>
        <v>1</v>
      </c>
      <c r="I52" s="616">
        <f t="shared" si="13"/>
        <v>49001.72</v>
      </c>
      <c r="K52" s="322">
        <v>49001.719999999987</v>
      </c>
      <c r="L52" s="336">
        <f t="shared" si="12"/>
        <v>1</v>
      </c>
      <c r="M52" s="336">
        <f t="shared" si="12"/>
        <v>1</v>
      </c>
      <c r="N52" s="616">
        <f t="shared" si="14"/>
        <v>49001.719999999987</v>
      </c>
    </row>
    <row r="53" spans="1:14">
      <c r="A53" s="209">
        <f t="shared" si="1"/>
        <v>39</v>
      </c>
      <c r="B53" s="1038">
        <v>36603</v>
      </c>
      <c r="C53" s="233" t="s">
        <v>994</v>
      </c>
      <c r="D53" s="322">
        <v>60826.29</v>
      </c>
      <c r="E53" s="616">
        <v>0</v>
      </c>
      <c r="F53" s="616">
        <f t="shared" si="15"/>
        <v>60826.29</v>
      </c>
      <c r="G53" s="336">
        <f t="shared" si="11"/>
        <v>1</v>
      </c>
      <c r="H53" s="336">
        <f t="shared" si="11"/>
        <v>1</v>
      </c>
      <c r="I53" s="616">
        <f t="shared" si="13"/>
        <v>60826.29</v>
      </c>
      <c r="K53" s="322">
        <v>60826.290000000008</v>
      </c>
      <c r="L53" s="336">
        <f t="shared" si="12"/>
        <v>1</v>
      </c>
      <c r="M53" s="336">
        <f t="shared" si="12"/>
        <v>1</v>
      </c>
      <c r="N53" s="616">
        <f t="shared" si="14"/>
        <v>60826.290000000008</v>
      </c>
    </row>
    <row r="54" spans="1:14">
      <c r="A54" s="209">
        <f t="shared" si="1"/>
        <v>40</v>
      </c>
      <c r="B54" s="1038">
        <v>36700</v>
      </c>
      <c r="C54" s="233" t="s">
        <v>844</v>
      </c>
      <c r="D54" s="322">
        <v>132744.54999999999</v>
      </c>
      <c r="E54" s="616">
        <v>0</v>
      </c>
      <c r="F54" s="616">
        <f t="shared" si="15"/>
        <v>132744.54999999999</v>
      </c>
      <c r="G54" s="336">
        <f t="shared" si="11"/>
        <v>1</v>
      </c>
      <c r="H54" s="336">
        <f t="shared" si="11"/>
        <v>1</v>
      </c>
      <c r="I54" s="616">
        <f t="shared" si="13"/>
        <v>132744.54999999999</v>
      </c>
      <c r="K54" s="322">
        <v>138046.95769230768</v>
      </c>
      <c r="L54" s="336">
        <f t="shared" si="12"/>
        <v>1</v>
      </c>
      <c r="M54" s="336">
        <f t="shared" si="12"/>
        <v>1</v>
      </c>
      <c r="N54" s="616">
        <f t="shared" si="14"/>
        <v>138046.95769230768</v>
      </c>
    </row>
    <row r="55" spans="1:14">
      <c r="A55" s="209">
        <f t="shared" si="1"/>
        <v>41</v>
      </c>
      <c r="B55" s="1038">
        <v>36701</v>
      </c>
      <c r="C55" s="233" t="s">
        <v>16</v>
      </c>
      <c r="D55" s="322">
        <v>27268589.329999998</v>
      </c>
      <c r="E55" s="616">
        <v>0</v>
      </c>
      <c r="F55" s="616">
        <f t="shared" si="15"/>
        <v>27268589.329999998</v>
      </c>
      <c r="G55" s="336">
        <f t="shared" si="11"/>
        <v>1</v>
      </c>
      <c r="H55" s="336">
        <f t="shared" si="11"/>
        <v>1</v>
      </c>
      <c r="I55" s="616">
        <f t="shared" si="13"/>
        <v>27268589.329999998</v>
      </c>
      <c r="K55" s="322">
        <v>27334146.808461543</v>
      </c>
      <c r="L55" s="336">
        <f t="shared" si="12"/>
        <v>1</v>
      </c>
      <c r="M55" s="336">
        <f t="shared" si="12"/>
        <v>1</v>
      </c>
      <c r="N55" s="616">
        <f t="shared" si="14"/>
        <v>27334146.808461543</v>
      </c>
    </row>
    <row r="56" spans="1:14">
      <c r="A56" s="209">
        <f t="shared" si="1"/>
        <v>42</v>
      </c>
      <c r="B56" s="1038">
        <v>36703</v>
      </c>
      <c r="C56" s="233" t="s">
        <v>1640</v>
      </c>
      <c r="D56" s="322"/>
      <c r="E56" s="616">
        <v>0</v>
      </c>
      <c r="F56" s="616">
        <f t="shared" ref="F56" si="16">D56+E56</f>
        <v>0</v>
      </c>
      <c r="G56" s="336">
        <f t="shared" si="11"/>
        <v>1</v>
      </c>
      <c r="H56" s="336">
        <f t="shared" si="11"/>
        <v>1</v>
      </c>
      <c r="I56" s="616">
        <f t="shared" ref="I56" si="17">F56*G56*H56</f>
        <v>0</v>
      </c>
      <c r="K56" s="322"/>
      <c r="L56" s="336">
        <f t="shared" si="12"/>
        <v>1</v>
      </c>
      <c r="M56" s="336">
        <f t="shared" si="12"/>
        <v>1</v>
      </c>
      <c r="N56" s="616">
        <f t="shared" ref="N56" si="18">K56*L56*M56</f>
        <v>0</v>
      </c>
    </row>
    <row r="57" spans="1:14">
      <c r="A57" s="209">
        <f t="shared" si="1"/>
        <v>43</v>
      </c>
      <c r="B57" s="1038">
        <v>36900</v>
      </c>
      <c r="C57" s="233" t="s">
        <v>995</v>
      </c>
      <c r="D57" s="322">
        <v>787078.54</v>
      </c>
      <c r="E57" s="616">
        <v>0</v>
      </c>
      <c r="F57" s="616">
        <f t="shared" si="15"/>
        <v>787078.54</v>
      </c>
      <c r="G57" s="336">
        <f t="shared" si="11"/>
        <v>1</v>
      </c>
      <c r="H57" s="336">
        <f t="shared" si="11"/>
        <v>1</v>
      </c>
      <c r="I57" s="616">
        <f t="shared" si="13"/>
        <v>787078.54</v>
      </c>
      <c r="K57" s="322">
        <v>748622.81769230764</v>
      </c>
      <c r="L57" s="336">
        <f t="shared" si="12"/>
        <v>1</v>
      </c>
      <c r="M57" s="336">
        <f t="shared" si="12"/>
        <v>1</v>
      </c>
      <c r="N57" s="616">
        <f t="shared" si="14"/>
        <v>748622.81769230764</v>
      </c>
    </row>
    <row r="58" spans="1:14">
      <c r="A58" s="209">
        <f t="shared" si="1"/>
        <v>44</v>
      </c>
      <c r="B58" s="1038">
        <v>36901</v>
      </c>
      <c r="C58" s="233" t="s">
        <v>995</v>
      </c>
      <c r="D58" s="322">
        <v>2269506.86</v>
      </c>
      <c r="E58" s="1052">
        <v>0</v>
      </c>
      <c r="F58" s="1052">
        <f t="shared" si="15"/>
        <v>2269506.86</v>
      </c>
      <c r="G58" s="336">
        <f t="shared" si="11"/>
        <v>1</v>
      </c>
      <c r="H58" s="336">
        <f t="shared" si="11"/>
        <v>1</v>
      </c>
      <c r="I58" s="1045">
        <f t="shared" si="13"/>
        <v>2269506.86</v>
      </c>
      <c r="K58" s="322">
        <v>2269544.5907692309</v>
      </c>
      <c r="L58" s="336">
        <f t="shared" si="12"/>
        <v>1</v>
      </c>
      <c r="M58" s="336">
        <f t="shared" si="12"/>
        <v>1</v>
      </c>
      <c r="N58" s="1045">
        <f t="shared" si="14"/>
        <v>2269544.5907692309</v>
      </c>
    </row>
    <row r="59" spans="1:14">
      <c r="A59" s="209">
        <f t="shared" si="1"/>
        <v>45</v>
      </c>
      <c r="B59" s="1047"/>
      <c r="C59" s="233"/>
      <c r="D59" s="618"/>
      <c r="E59" s="618"/>
      <c r="F59" s="618"/>
      <c r="G59" s="336"/>
      <c r="H59" s="336"/>
      <c r="I59" s="723"/>
      <c r="K59" s="723"/>
      <c r="N59" s="618"/>
    </row>
    <row r="60" spans="1:14">
      <c r="A60" s="209">
        <f t="shared" si="1"/>
        <v>46</v>
      </c>
      <c r="B60" s="1047"/>
      <c r="C60" s="233" t="s">
        <v>1349</v>
      </c>
      <c r="D60" s="360">
        <f>SUM(D50:D59)</f>
        <v>31462489.659999996</v>
      </c>
      <c r="E60" s="360">
        <f>SUM(E50:E59)</f>
        <v>0</v>
      </c>
      <c r="F60" s="360">
        <f>SUM(F50:F59)</f>
        <v>31462489.659999996</v>
      </c>
      <c r="G60" s="336"/>
      <c r="H60" s="336"/>
      <c r="I60" s="360">
        <f>SUM(I50:I59)</f>
        <v>31462489.659999996</v>
      </c>
      <c r="K60" s="360">
        <f>SUM(K50:K59)</f>
        <v>31494931.55461539</v>
      </c>
      <c r="N60" s="360">
        <f>SUM(N50:N59)</f>
        <v>31494931.55461539</v>
      </c>
    </row>
    <row r="61" spans="1:14">
      <c r="A61" s="209">
        <f t="shared" si="1"/>
        <v>47</v>
      </c>
      <c r="B61" s="1047"/>
      <c r="C61" s="195"/>
      <c r="G61" s="336"/>
      <c r="H61" s="336"/>
      <c r="I61" s="360"/>
      <c r="K61" s="360"/>
    </row>
    <row r="62" spans="1:14">
      <c r="A62" s="209">
        <f t="shared" si="1"/>
        <v>48</v>
      </c>
      <c r="B62" s="1047"/>
      <c r="C62" s="619" t="s">
        <v>299</v>
      </c>
      <c r="G62" s="336"/>
      <c r="H62" s="336"/>
      <c r="I62" s="360"/>
      <c r="K62" s="360"/>
    </row>
    <row r="63" spans="1:14">
      <c r="A63" s="209">
        <f t="shared" si="1"/>
        <v>49</v>
      </c>
      <c r="B63" s="1038">
        <v>37400</v>
      </c>
      <c r="C63" s="233" t="s">
        <v>1147</v>
      </c>
      <c r="D63" s="322">
        <v>531166.79</v>
      </c>
      <c r="E63" s="458">
        <v>0</v>
      </c>
      <c r="F63" s="360">
        <f>D63+E63</f>
        <v>531166.79</v>
      </c>
      <c r="G63" s="336">
        <f t="shared" si="11"/>
        <v>1</v>
      </c>
      <c r="H63" s="336">
        <f t="shared" si="11"/>
        <v>1</v>
      </c>
      <c r="I63" s="360">
        <f>F63*G63*H63</f>
        <v>531166.79</v>
      </c>
      <c r="K63" s="322">
        <v>531166.79</v>
      </c>
      <c r="L63" s="336">
        <f t="shared" ref="L63:M84" si="19">$G$16</f>
        <v>1</v>
      </c>
      <c r="M63" s="336">
        <f t="shared" si="19"/>
        <v>1</v>
      </c>
      <c r="N63" s="360">
        <f>K63*L63*M63</f>
        <v>531166.79</v>
      </c>
    </row>
    <row r="64" spans="1:14">
      <c r="A64" s="209">
        <f t="shared" si="1"/>
        <v>50</v>
      </c>
      <c r="B64" s="1038">
        <v>37401</v>
      </c>
      <c r="C64" s="233" t="s">
        <v>292</v>
      </c>
      <c r="D64" s="322">
        <v>37326.42</v>
      </c>
      <c r="E64" s="616">
        <v>0</v>
      </c>
      <c r="F64" s="616">
        <f>D64+E64</f>
        <v>37326.42</v>
      </c>
      <c r="G64" s="336">
        <f t="shared" si="11"/>
        <v>1</v>
      </c>
      <c r="H64" s="336">
        <f t="shared" si="11"/>
        <v>1</v>
      </c>
      <c r="I64" s="616">
        <f t="shared" ref="I64:I84" si="20">F64*G64*H64</f>
        <v>37326.42</v>
      </c>
      <c r="J64" s="616"/>
      <c r="K64" s="322">
        <v>37326.419999999991</v>
      </c>
      <c r="L64" s="336">
        <f t="shared" si="19"/>
        <v>1</v>
      </c>
      <c r="M64" s="336">
        <f t="shared" si="19"/>
        <v>1</v>
      </c>
      <c r="N64" s="616">
        <f t="shared" ref="N64:N84" si="21">K64*L64*M64</f>
        <v>37326.419999999991</v>
      </c>
    </row>
    <row r="65" spans="1:17">
      <c r="A65" s="209">
        <f t="shared" si="1"/>
        <v>51</v>
      </c>
      <c r="B65" s="1038">
        <v>37402</v>
      </c>
      <c r="C65" s="233" t="s">
        <v>999</v>
      </c>
      <c r="D65" s="322">
        <v>3529929</v>
      </c>
      <c r="E65" s="616">
        <v>0</v>
      </c>
      <c r="F65" s="616">
        <f t="shared" ref="F65:F84" si="22">D65+E65</f>
        <v>3529929</v>
      </c>
      <c r="G65" s="336">
        <f t="shared" si="11"/>
        <v>1</v>
      </c>
      <c r="H65" s="336">
        <f t="shared" si="11"/>
        <v>1</v>
      </c>
      <c r="I65" s="616">
        <f t="shared" si="20"/>
        <v>3529929</v>
      </c>
      <c r="J65" s="616"/>
      <c r="K65" s="322">
        <v>3006867.1269230768</v>
      </c>
      <c r="L65" s="336">
        <f t="shared" si="19"/>
        <v>1</v>
      </c>
      <c r="M65" s="336">
        <f t="shared" si="19"/>
        <v>1</v>
      </c>
      <c r="N65" s="616">
        <f t="shared" si="21"/>
        <v>3006867.1269230768</v>
      </c>
    </row>
    <row r="66" spans="1:17">
      <c r="A66" s="209">
        <f t="shared" si="1"/>
        <v>52</v>
      </c>
      <c r="B66" s="1038">
        <v>37403</v>
      </c>
      <c r="C66" s="233" t="s">
        <v>996</v>
      </c>
      <c r="D66" s="322">
        <v>2783.89</v>
      </c>
      <c r="E66" s="616">
        <v>0</v>
      </c>
      <c r="F66" s="616">
        <f t="shared" si="22"/>
        <v>2783.89</v>
      </c>
      <c r="G66" s="336">
        <f t="shared" si="11"/>
        <v>1</v>
      </c>
      <c r="H66" s="336">
        <f t="shared" si="11"/>
        <v>1</v>
      </c>
      <c r="I66" s="616">
        <f t="shared" si="20"/>
        <v>2783.89</v>
      </c>
      <c r="J66" s="616"/>
      <c r="K66" s="322">
        <v>2783.89</v>
      </c>
      <c r="L66" s="336">
        <f t="shared" si="19"/>
        <v>1</v>
      </c>
      <c r="M66" s="336">
        <f t="shared" si="19"/>
        <v>1</v>
      </c>
      <c r="N66" s="616">
        <f t="shared" si="21"/>
        <v>2783.89</v>
      </c>
    </row>
    <row r="67" spans="1:17">
      <c r="A67" s="209">
        <f t="shared" si="1"/>
        <v>53</v>
      </c>
      <c r="B67" s="1038">
        <v>37500</v>
      </c>
      <c r="C67" s="233" t="s">
        <v>856</v>
      </c>
      <c r="D67" s="322">
        <v>336167.54</v>
      </c>
      <c r="E67" s="616">
        <v>0</v>
      </c>
      <c r="F67" s="616">
        <f t="shared" si="22"/>
        <v>336167.54</v>
      </c>
      <c r="G67" s="336">
        <f t="shared" si="11"/>
        <v>1</v>
      </c>
      <c r="H67" s="336">
        <f t="shared" si="11"/>
        <v>1</v>
      </c>
      <c r="I67" s="616">
        <f t="shared" si="20"/>
        <v>336167.54</v>
      </c>
      <c r="J67" s="616"/>
      <c r="K67" s="322">
        <v>336167.54</v>
      </c>
      <c r="L67" s="336">
        <f t="shared" si="19"/>
        <v>1</v>
      </c>
      <c r="M67" s="336">
        <f t="shared" si="19"/>
        <v>1</v>
      </c>
      <c r="N67" s="616">
        <f t="shared" si="21"/>
        <v>336167.54</v>
      </c>
    </row>
    <row r="68" spans="1:17">
      <c r="A68" s="209">
        <f t="shared" si="1"/>
        <v>54</v>
      </c>
      <c r="B68" s="1038">
        <v>37501</v>
      </c>
      <c r="C68" s="233" t="s">
        <v>997</v>
      </c>
      <c r="D68" s="322">
        <v>99818.13</v>
      </c>
      <c r="E68" s="616">
        <v>0</v>
      </c>
      <c r="F68" s="616">
        <f t="shared" si="22"/>
        <v>99818.13</v>
      </c>
      <c r="G68" s="336">
        <f t="shared" si="11"/>
        <v>1</v>
      </c>
      <c r="H68" s="336">
        <f t="shared" si="11"/>
        <v>1</v>
      </c>
      <c r="I68" s="616">
        <f t="shared" si="20"/>
        <v>99818.13</v>
      </c>
      <c r="J68" s="616"/>
      <c r="K68" s="322">
        <v>99818.12999999999</v>
      </c>
      <c r="L68" s="336">
        <f t="shared" si="19"/>
        <v>1</v>
      </c>
      <c r="M68" s="336">
        <f t="shared" si="19"/>
        <v>1</v>
      </c>
      <c r="N68" s="616">
        <f t="shared" si="21"/>
        <v>99818.12999999999</v>
      </c>
    </row>
    <row r="69" spans="1:17">
      <c r="A69" s="209">
        <f t="shared" si="1"/>
        <v>55</v>
      </c>
      <c r="B69" s="1038">
        <v>37502</v>
      </c>
      <c r="C69" s="233" t="s">
        <v>999</v>
      </c>
      <c r="D69" s="322">
        <v>46264.19</v>
      </c>
      <c r="E69" s="616">
        <v>0</v>
      </c>
      <c r="F69" s="616">
        <f t="shared" si="22"/>
        <v>46264.19</v>
      </c>
      <c r="G69" s="336">
        <f t="shared" si="11"/>
        <v>1</v>
      </c>
      <c r="H69" s="336">
        <f t="shared" si="11"/>
        <v>1</v>
      </c>
      <c r="I69" s="616">
        <f t="shared" si="20"/>
        <v>46264.19</v>
      </c>
      <c r="J69" s="616"/>
      <c r="K69" s="322">
        <v>46264.189999999995</v>
      </c>
      <c r="L69" s="336">
        <f t="shared" si="19"/>
        <v>1</v>
      </c>
      <c r="M69" s="336">
        <f t="shared" si="19"/>
        <v>1</v>
      </c>
      <c r="N69" s="616">
        <f t="shared" si="21"/>
        <v>46264.189999999995</v>
      </c>
    </row>
    <row r="70" spans="1:17">
      <c r="A70" s="209">
        <f t="shared" si="1"/>
        <v>56</v>
      </c>
      <c r="B70" s="1038">
        <v>37503</v>
      </c>
      <c r="C70" s="233" t="s">
        <v>998</v>
      </c>
      <c r="D70" s="322">
        <v>4005.08</v>
      </c>
      <c r="E70" s="616">
        <v>0</v>
      </c>
      <c r="F70" s="616">
        <f t="shared" si="22"/>
        <v>4005.08</v>
      </c>
      <c r="G70" s="336">
        <f t="shared" si="11"/>
        <v>1</v>
      </c>
      <c r="H70" s="336">
        <f t="shared" si="11"/>
        <v>1</v>
      </c>
      <c r="I70" s="616">
        <f t="shared" si="20"/>
        <v>4005.08</v>
      </c>
      <c r="J70" s="616"/>
      <c r="K70" s="322">
        <v>4005.0800000000013</v>
      </c>
      <c r="L70" s="336">
        <f t="shared" si="19"/>
        <v>1</v>
      </c>
      <c r="M70" s="336">
        <f t="shared" si="19"/>
        <v>1</v>
      </c>
      <c r="N70" s="616">
        <f t="shared" si="21"/>
        <v>4005.0800000000013</v>
      </c>
    </row>
    <row r="71" spans="1:17">
      <c r="A71" s="209">
        <f t="shared" si="1"/>
        <v>57</v>
      </c>
      <c r="B71" s="1038">
        <v>37600</v>
      </c>
      <c r="C71" s="233" t="s">
        <v>844</v>
      </c>
      <c r="D71" s="322">
        <v>18156822.52</v>
      </c>
      <c r="E71" s="616">
        <v>0</v>
      </c>
      <c r="F71" s="616">
        <f t="shared" si="22"/>
        <v>18156822.52</v>
      </c>
      <c r="G71" s="336">
        <f t="shared" si="11"/>
        <v>1</v>
      </c>
      <c r="H71" s="336">
        <f t="shared" si="11"/>
        <v>1</v>
      </c>
      <c r="I71" s="616">
        <f t="shared" si="20"/>
        <v>18156822.52</v>
      </c>
      <c r="J71" s="616"/>
      <c r="K71" s="322">
        <v>19541853.42615385</v>
      </c>
      <c r="L71" s="336">
        <f t="shared" si="19"/>
        <v>1</v>
      </c>
      <c r="M71" s="336">
        <f t="shared" si="19"/>
        <v>1</v>
      </c>
      <c r="N71" s="616">
        <f t="shared" si="21"/>
        <v>19541853.42615385</v>
      </c>
    </row>
    <row r="72" spans="1:17">
      <c r="A72" s="209">
        <f t="shared" si="1"/>
        <v>58</v>
      </c>
      <c r="B72" s="1038">
        <v>37601</v>
      </c>
      <c r="C72" s="233" t="s">
        <v>16</v>
      </c>
      <c r="D72" s="322">
        <v>158972490.47</v>
      </c>
      <c r="E72" s="616">
        <v>0</v>
      </c>
      <c r="F72" s="616">
        <f t="shared" si="22"/>
        <v>158972490.47</v>
      </c>
      <c r="G72" s="336">
        <f t="shared" si="11"/>
        <v>1</v>
      </c>
      <c r="H72" s="336">
        <f t="shared" si="11"/>
        <v>1</v>
      </c>
      <c r="I72" s="616">
        <f t="shared" si="20"/>
        <v>158972490.47</v>
      </c>
      <c r="J72" s="616"/>
      <c r="K72" s="322">
        <v>153072267.71461537</v>
      </c>
      <c r="L72" s="336">
        <f t="shared" si="19"/>
        <v>1</v>
      </c>
      <c r="M72" s="336">
        <f t="shared" si="19"/>
        <v>1</v>
      </c>
      <c r="N72" s="616">
        <f t="shared" si="21"/>
        <v>153072267.71461537</v>
      </c>
    </row>
    <row r="73" spans="1:17">
      <c r="A73" s="209">
        <f t="shared" si="1"/>
        <v>59</v>
      </c>
      <c r="B73" s="1038">
        <v>37602</v>
      </c>
      <c r="C73" s="233" t="s">
        <v>845</v>
      </c>
      <c r="D73" s="322">
        <v>127037362.37</v>
      </c>
      <c r="E73" s="616">
        <v>0</v>
      </c>
      <c r="F73" s="616">
        <f t="shared" si="22"/>
        <v>127037362.37</v>
      </c>
      <c r="G73" s="336">
        <f t="shared" si="11"/>
        <v>1</v>
      </c>
      <c r="H73" s="336">
        <f t="shared" si="11"/>
        <v>1</v>
      </c>
      <c r="I73" s="616">
        <f t="shared" si="20"/>
        <v>127037362.37</v>
      </c>
      <c r="J73" s="616"/>
      <c r="K73" s="322">
        <v>113372255.17692305</v>
      </c>
      <c r="L73" s="336">
        <f t="shared" si="19"/>
        <v>1</v>
      </c>
      <c r="M73" s="336">
        <f t="shared" si="19"/>
        <v>1</v>
      </c>
      <c r="N73" s="616">
        <f t="shared" si="21"/>
        <v>113372255.17692305</v>
      </c>
      <c r="Q73" s="670"/>
    </row>
    <row r="74" spans="1:17">
      <c r="A74" s="209">
        <f t="shared" si="1"/>
        <v>60</v>
      </c>
      <c r="B74" s="1038">
        <v>37603</v>
      </c>
      <c r="C74" s="233" t="s">
        <v>1640</v>
      </c>
      <c r="D74" s="322"/>
      <c r="E74" s="616">
        <v>0</v>
      </c>
      <c r="F74" s="616">
        <f t="shared" si="22"/>
        <v>0</v>
      </c>
      <c r="G74" s="336">
        <f t="shared" si="11"/>
        <v>1</v>
      </c>
      <c r="H74" s="336">
        <f t="shared" si="11"/>
        <v>1</v>
      </c>
      <c r="I74" s="616">
        <f t="shared" ref="I74:I75" si="23">F74*G74*H74</f>
        <v>0</v>
      </c>
      <c r="J74" s="616"/>
      <c r="K74" s="322"/>
      <c r="L74" s="336">
        <f t="shared" si="19"/>
        <v>1</v>
      </c>
      <c r="M74" s="336">
        <f t="shared" si="19"/>
        <v>1</v>
      </c>
      <c r="N74" s="616">
        <f t="shared" ref="N74:N75" si="24">K74*L74*M74</f>
        <v>0</v>
      </c>
      <c r="Q74" s="670"/>
    </row>
    <row r="75" spans="1:17">
      <c r="A75" s="209">
        <f t="shared" si="1"/>
        <v>61</v>
      </c>
      <c r="B75" s="1038">
        <v>37604</v>
      </c>
      <c r="C75" s="233" t="s">
        <v>1641</v>
      </c>
      <c r="D75" s="322"/>
      <c r="E75" s="616">
        <v>0</v>
      </c>
      <c r="F75" s="616">
        <f t="shared" si="22"/>
        <v>0</v>
      </c>
      <c r="G75" s="336">
        <f t="shared" si="11"/>
        <v>1</v>
      </c>
      <c r="H75" s="336">
        <f t="shared" si="11"/>
        <v>1</v>
      </c>
      <c r="I75" s="616">
        <f t="shared" si="23"/>
        <v>0</v>
      </c>
      <c r="J75" s="616"/>
      <c r="K75" s="322"/>
      <c r="L75" s="336">
        <f t="shared" si="19"/>
        <v>1</v>
      </c>
      <c r="M75" s="336">
        <f t="shared" si="19"/>
        <v>1</v>
      </c>
      <c r="N75" s="616">
        <f t="shared" si="24"/>
        <v>0</v>
      </c>
      <c r="Q75" s="670"/>
    </row>
    <row r="76" spans="1:17">
      <c r="A76" s="209">
        <f t="shared" si="1"/>
        <v>62</v>
      </c>
      <c r="B76" s="1038">
        <v>37800</v>
      </c>
      <c r="C76" s="233" t="s">
        <v>229</v>
      </c>
      <c r="D76" s="322">
        <v>17135308</v>
      </c>
      <c r="E76" s="616">
        <v>0</v>
      </c>
      <c r="F76" s="616">
        <f t="shared" si="22"/>
        <v>17135308</v>
      </c>
      <c r="G76" s="336">
        <f t="shared" si="11"/>
        <v>1</v>
      </c>
      <c r="H76" s="336">
        <f t="shared" si="11"/>
        <v>1</v>
      </c>
      <c r="I76" s="616">
        <f t="shared" si="20"/>
        <v>17135308</v>
      </c>
      <c r="J76" s="616"/>
      <c r="K76" s="322">
        <v>16410123.237692308</v>
      </c>
      <c r="L76" s="336">
        <f t="shared" si="19"/>
        <v>1</v>
      </c>
      <c r="M76" s="336">
        <f t="shared" si="19"/>
        <v>1</v>
      </c>
      <c r="N76" s="616">
        <f t="shared" si="21"/>
        <v>16410123.237692308</v>
      </c>
    </row>
    <row r="77" spans="1:17">
      <c r="A77" s="209">
        <f t="shared" si="1"/>
        <v>63</v>
      </c>
      <c r="B77" s="1038">
        <v>37900</v>
      </c>
      <c r="C77" s="233" t="s">
        <v>1190</v>
      </c>
      <c r="D77" s="322">
        <v>4306656.8</v>
      </c>
      <c r="E77" s="616">
        <v>0</v>
      </c>
      <c r="F77" s="616">
        <f t="shared" si="22"/>
        <v>4306656.8</v>
      </c>
      <c r="G77" s="336">
        <f t="shared" si="11"/>
        <v>1</v>
      </c>
      <c r="H77" s="336">
        <f t="shared" si="11"/>
        <v>1</v>
      </c>
      <c r="I77" s="616">
        <f t="shared" si="20"/>
        <v>4306656.8</v>
      </c>
      <c r="J77" s="616"/>
      <c r="K77" s="322">
        <v>4158944.151538461</v>
      </c>
      <c r="L77" s="336">
        <f t="shared" si="19"/>
        <v>1</v>
      </c>
      <c r="M77" s="336">
        <f t="shared" si="19"/>
        <v>1</v>
      </c>
      <c r="N77" s="616">
        <f t="shared" si="21"/>
        <v>4158944.151538461</v>
      </c>
    </row>
    <row r="78" spans="1:17">
      <c r="A78" s="209">
        <f t="shared" si="1"/>
        <v>64</v>
      </c>
      <c r="B78" s="1038">
        <v>37905</v>
      </c>
      <c r="C78" s="233" t="s">
        <v>725</v>
      </c>
      <c r="D78" s="322">
        <v>1666178.3</v>
      </c>
      <c r="E78" s="616">
        <v>0</v>
      </c>
      <c r="F78" s="616">
        <f t="shared" si="22"/>
        <v>1666178.3</v>
      </c>
      <c r="G78" s="336">
        <f t="shared" si="11"/>
        <v>1</v>
      </c>
      <c r="H78" s="336">
        <f t="shared" si="11"/>
        <v>1</v>
      </c>
      <c r="I78" s="616">
        <f t="shared" si="20"/>
        <v>1666178.3</v>
      </c>
      <c r="J78" s="616"/>
      <c r="K78" s="322">
        <v>1656893.6207692309</v>
      </c>
      <c r="L78" s="336">
        <f t="shared" si="19"/>
        <v>1</v>
      </c>
      <c r="M78" s="336">
        <f t="shared" si="19"/>
        <v>1</v>
      </c>
      <c r="N78" s="616">
        <f t="shared" si="21"/>
        <v>1656893.6207692309</v>
      </c>
    </row>
    <row r="79" spans="1:17">
      <c r="A79" s="209">
        <f t="shared" si="1"/>
        <v>65</v>
      </c>
      <c r="B79" s="1038">
        <v>38000</v>
      </c>
      <c r="C79" s="233" t="s">
        <v>1052</v>
      </c>
      <c r="D79" s="322">
        <v>132625094.08</v>
      </c>
      <c r="E79" s="616">
        <v>0</v>
      </c>
      <c r="F79" s="616">
        <f t="shared" si="22"/>
        <v>132625094.08</v>
      </c>
      <c r="G79" s="336">
        <f t="shared" si="11"/>
        <v>1</v>
      </c>
      <c r="H79" s="336">
        <f t="shared" si="11"/>
        <v>1</v>
      </c>
      <c r="I79" s="616">
        <f t="shared" si="20"/>
        <v>132625094.08</v>
      </c>
      <c r="J79" s="616"/>
      <c r="K79" s="322">
        <v>125879363.35846154</v>
      </c>
      <c r="L79" s="336">
        <f t="shared" si="19"/>
        <v>1</v>
      </c>
      <c r="M79" s="336">
        <f t="shared" si="19"/>
        <v>1</v>
      </c>
      <c r="N79" s="616">
        <f t="shared" si="21"/>
        <v>125879363.35846154</v>
      </c>
    </row>
    <row r="80" spans="1:17">
      <c r="A80" s="209">
        <f t="shared" si="1"/>
        <v>66</v>
      </c>
      <c r="B80" s="1038">
        <v>38100</v>
      </c>
      <c r="C80" s="233" t="s">
        <v>846</v>
      </c>
      <c r="D80" s="322">
        <v>36000036.07</v>
      </c>
      <c r="E80" s="616">
        <v>0</v>
      </c>
      <c r="F80" s="616">
        <f t="shared" si="22"/>
        <v>36000036.07</v>
      </c>
      <c r="G80" s="336">
        <f t="shared" ref="G80:H113" si="25">$G$16</f>
        <v>1</v>
      </c>
      <c r="H80" s="336">
        <f t="shared" si="25"/>
        <v>1</v>
      </c>
      <c r="I80" s="616">
        <f t="shared" si="20"/>
        <v>36000036.07</v>
      </c>
      <c r="J80" s="616"/>
      <c r="K80" s="322">
        <v>33682617.486923076</v>
      </c>
      <c r="L80" s="336">
        <f t="shared" si="19"/>
        <v>1</v>
      </c>
      <c r="M80" s="336">
        <f t="shared" si="19"/>
        <v>1</v>
      </c>
      <c r="N80" s="616">
        <f t="shared" si="21"/>
        <v>33682617.486923076</v>
      </c>
    </row>
    <row r="81" spans="1:15">
      <c r="A81" s="209">
        <f t="shared" si="1"/>
        <v>67</v>
      </c>
      <c r="B81" s="1038">
        <v>38200</v>
      </c>
      <c r="C81" s="233" t="s">
        <v>442</v>
      </c>
      <c r="D81" s="322">
        <v>55979927.759999998</v>
      </c>
      <c r="E81" s="616">
        <v>0</v>
      </c>
      <c r="F81" s="616">
        <f t="shared" si="22"/>
        <v>55979927.759999998</v>
      </c>
      <c r="G81" s="336">
        <f t="shared" si="25"/>
        <v>1</v>
      </c>
      <c r="H81" s="336">
        <f t="shared" si="25"/>
        <v>1</v>
      </c>
      <c r="I81" s="616">
        <f t="shared" si="20"/>
        <v>55979927.759999998</v>
      </c>
      <c r="J81" s="616"/>
      <c r="K81" s="322">
        <v>55716447.638461538</v>
      </c>
      <c r="L81" s="336">
        <f t="shared" si="19"/>
        <v>1</v>
      </c>
      <c r="M81" s="336">
        <f t="shared" si="19"/>
        <v>1</v>
      </c>
      <c r="N81" s="616">
        <f t="shared" si="21"/>
        <v>55716447.638461538</v>
      </c>
    </row>
    <row r="82" spans="1:15">
      <c r="A82" s="209">
        <f t="shared" si="1"/>
        <v>68</v>
      </c>
      <c r="B82" s="1038">
        <v>38300</v>
      </c>
      <c r="C82" s="233" t="s">
        <v>1053</v>
      </c>
      <c r="D82" s="322">
        <v>11676910.810000001</v>
      </c>
      <c r="E82" s="616">
        <v>0</v>
      </c>
      <c r="F82" s="616">
        <f t="shared" si="22"/>
        <v>11676910.810000001</v>
      </c>
      <c r="G82" s="336">
        <f t="shared" si="25"/>
        <v>1</v>
      </c>
      <c r="H82" s="336">
        <f t="shared" si="25"/>
        <v>1</v>
      </c>
      <c r="I82" s="616">
        <f t="shared" si="20"/>
        <v>11676910.810000001</v>
      </c>
      <c r="J82" s="616"/>
      <c r="K82" s="322">
        <v>11230476.829230769</v>
      </c>
      <c r="L82" s="336">
        <f t="shared" si="19"/>
        <v>1</v>
      </c>
      <c r="M82" s="336">
        <f t="shared" si="19"/>
        <v>1</v>
      </c>
      <c r="N82" s="616">
        <f t="shared" si="21"/>
        <v>11230476.829230769</v>
      </c>
    </row>
    <row r="83" spans="1:15">
      <c r="A83" s="209">
        <f t="shared" si="1"/>
        <v>69</v>
      </c>
      <c r="B83" s="1038">
        <v>38400</v>
      </c>
      <c r="C83" s="233" t="s">
        <v>443</v>
      </c>
      <c r="D83" s="322">
        <v>219785.04</v>
      </c>
      <c r="E83" s="616">
        <v>0</v>
      </c>
      <c r="F83" s="616">
        <f t="shared" si="22"/>
        <v>219785.04</v>
      </c>
      <c r="G83" s="336">
        <f t="shared" si="25"/>
        <v>1</v>
      </c>
      <c r="H83" s="336">
        <f t="shared" si="25"/>
        <v>1</v>
      </c>
      <c r="I83" s="616">
        <f t="shared" si="20"/>
        <v>219785.04</v>
      </c>
      <c r="J83" s="616"/>
      <c r="K83" s="322">
        <v>212556.00461538465</v>
      </c>
      <c r="L83" s="336">
        <f t="shared" si="19"/>
        <v>1</v>
      </c>
      <c r="M83" s="336">
        <f t="shared" si="19"/>
        <v>1</v>
      </c>
      <c r="N83" s="616">
        <f t="shared" si="21"/>
        <v>212556.00461538465</v>
      </c>
    </row>
    <row r="84" spans="1:15">
      <c r="A84" s="209">
        <f t="shared" ref="A84:A147" si="26">A83+1</f>
        <v>70</v>
      </c>
      <c r="B84" s="1038">
        <v>38500</v>
      </c>
      <c r="C84" s="233" t="s">
        <v>444</v>
      </c>
      <c r="D84" s="322">
        <v>5203207.28</v>
      </c>
      <c r="E84" s="616">
        <v>0</v>
      </c>
      <c r="F84" s="616">
        <f t="shared" si="22"/>
        <v>5203207.28</v>
      </c>
      <c r="G84" s="336">
        <f t="shared" si="25"/>
        <v>1</v>
      </c>
      <c r="H84" s="336">
        <f t="shared" si="25"/>
        <v>1</v>
      </c>
      <c r="I84" s="616">
        <f t="shared" si="20"/>
        <v>5203207.28</v>
      </c>
      <c r="J84" s="616"/>
      <c r="K84" s="322">
        <v>5189897.3107692301</v>
      </c>
      <c r="L84" s="336">
        <f t="shared" si="19"/>
        <v>1</v>
      </c>
      <c r="M84" s="336">
        <f t="shared" si="19"/>
        <v>1</v>
      </c>
      <c r="N84" s="616">
        <f t="shared" si="21"/>
        <v>5189897.3107692301</v>
      </c>
    </row>
    <row r="85" spans="1:15">
      <c r="A85" s="209">
        <f t="shared" si="26"/>
        <v>71</v>
      </c>
      <c r="B85" s="1047"/>
      <c r="C85" s="233"/>
      <c r="D85" s="618"/>
      <c r="E85" s="618"/>
      <c r="F85" s="618"/>
      <c r="G85" s="336"/>
      <c r="H85" s="336"/>
      <c r="I85" s="618"/>
      <c r="K85" s="723"/>
      <c r="N85" s="618"/>
    </row>
    <row r="86" spans="1:15">
      <c r="A86" s="209">
        <f t="shared" si="26"/>
        <v>72</v>
      </c>
      <c r="B86" s="1047"/>
      <c r="C86" s="233" t="s">
        <v>300</v>
      </c>
      <c r="D86" s="360">
        <f>SUM(D63:D85)</f>
        <v>573567240.53999984</v>
      </c>
      <c r="E86" s="360">
        <f>SUM(E63:E85)</f>
        <v>0</v>
      </c>
      <c r="F86" s="360">
        <f>SUM(F63:F85)</f>
        <v>573567240.53999984</v>
      </c>
      <c r="G86" s="336"/>
      <c r="H86" s="336"/>
      <c r="I86" s="360">
        <f>SUM(I63:I85)</f>
        <v>573567240.53999984</v>
      </c>
      <c r="K86" s="360">
        <f>SUM(K63:K85)</f>
        <v>544188095.1230768</v>
      </c>
      <c r="N86" s="360">
        <f>SUM(N63:N85)</f>
        <v>544188095.1230768</v>
      </c>
      <c r="O86" s="670"/>
    </row>
    <row r="87" spans="1:15">
      <c r="A87" s="209">
        <f t="shared" si="26"/>
        <v>73</v>
      </c>
      <c r="B87" s="1047"/>
      <c r="C87" s="233"/>
      <c r="G87" s="336"/>
      <c r="H87" s="336"/>
      <c r="K87" s="360"/>
    </row>
    <row r="88" spans="1:15">
      <c r="A88" s="209">
        <f t="shared" si="26"/>
        <v>74</v>
      </c>
      <c r="B88" s="1047"/>
      <c r="C88" s="619" t="s">
        <v>1169</v>
      </c>
      <c r="G88" s="336"/>
      <c r="H88" s="336"/>
      <c r="K88" s="360"/>
    </row>
    <row r="89" spans="1:15">
      <c r="A89" s="209">
        <f t="shared" si="26"/>
        <v>75</v>
      </c>
      <c r="B89" s="1038">
        <v>38900</v>
      </c>
      <c r="C89" s="233" t="s">
        <v>1147</v>
      </c>
      <c r="D89" s="322">
        <v>1211697.3</v>
      </c>
      <c r="E89" s="458">
        <v>0</v>
      </c>
      <c r="F89" s="360">
        <f t="shared" ref="F89:F113" si="27">D89+E89</f>
        <v>1211697.3</v>
      </c>
      <c r="G89" s="336">
        <f t="shared" si="25"/>
        <v>1</v>
      </c>
      <c r="H89" s="336">
        <f t="shared" si="25"/>
        <v>1</v>
      </c>
      <c r="I89" s="360">
        <f>F89*G89*H89</f>
        <v>1211697.3</v>
      </c>
      <c r="K89" s="322">
        <v>1211697.3000000003</v>
      </c>
      <c r="L89" s="336">
        <f t="shared" ref="L89:M113" si="28">$G$16</f>
        <v>1</v>
      </c>
      <c r="M89" s="336">
        <f t="shared" si="28"/>
        <v>1</v>
      </c>
      <c r="N89" s="360">
        <f>K89*L89*M89</f>
        <v>1211697.3000000003</v>
      </c>
    </row>
    <row r="90" spans="1:15">
      <c r="A90" s="209">
        <f t="shared" si="26"/>
        <v>76</v>
      </c>
      <c r="B90" s="1038">
        <v>39000</v>
      </c>
      <c r="C90" s="233" t="s">
        <v>856</v>
      </c>
      <c r="D90" s="322">
        <v>7927625.1699999999</v>
      </c>
      <c r="E90" s="616">
        <v>0</v>
      </c>
      <c r="F90" s="616">
        <f>D90+E90</f>
        <v>7927625.1699999999</v>
      </c>
      <c r="G90" s="336">
        <f t="shared" si="25"/>
        <v>1</v>
      </c>
      <c r="H90" s="336">
        <f t="shared" si="25"/>
        <v>1</v>
      </c>
      <c r="I90" s="616">
        <f t="shared" ref="I90:I113" si="29">F90*G90*H90</f>
        <v>7927625.1699999999</v>
      </c>
      <c r="K90" s="322">
        <v>7448077.1100000003</v>
      </c>
      <c r="L90" s="336">
        <f t="shared" si="28"/>
        <v>1</v>
      </c>
      <c r="M90" s="336">
        <f t="shared" si="28"/>
        <v>1</v>
      </c>
      <c r="N90" s="616">
        <f t="shared" ref="N90:N113" si="30">K90*L90*M90</f>
        <v>7448077.1100000003</v>
      </c>
    </row>
    <row r="91" spans="1:15">
      <c r="A91" s="209">
        <f t="shared" si="26"/>
        <v>77</v>
      </c>
      <c r="B91" s="1038">
        <v>39002</v>
      </c>
      <c r="C91" s="233" t="s">
        <v>747</v>
      </c>
      <c r="D91" s="322">
        <v>173114.85</v>
      </c>
      <c r="E91" s="616">
        <v>0</v>
      </c>
      <c r="F91" s="616">
        <f t="shared" si="27"/>
        <v>173114.85</v>
      </c>
      <c r="G91" s="336">
        <f t="shared" si="25"/>
        <v>1</v>
      </c>
      <c r="H91" s="336">
        <f t="shared" si="25"/>
        <v>1</v>
      </c>
      <c r="I91" s="616">
        <f t="shared" si="29"/>
        <v>173114.85</v>
      </c>
      <c r="K91" s="322">
        <v>173114.85000000003</v>
      </c>
      <c r="L91" s="336">
        <f t="shared" si="28"/>
        <v>1</v>
      </c>
      <c r="M91" s="336">
        <f t="shared" si="28"/>
        <v>1</v>
      </c>
      <c r="N91" s="616">
        <f t="shared" si="30"/>
        <v>173114.85000000003</v>
      </c>
    </row>
    <row r="92" spans="1:15">
      <c r="A92" s="209">
        <f t="shared" si="26"/>
        <v>78</v>
      </c>
      <c r="B92" s="1038">
        <v>39003</v>
      </c>
      <c r="C92" s="233" t="s">
        <v>998</v>
      </c>
      <c r="D92" s="322">
        <v>709199.18</v>
      </c>
      <c r="E92" s="616">
        <v>0</v>
      </c>
      <c r="F92" s="616">
        <f t="shared" si="27"/>
        <v>709199.18</v>
      </c>
      <c r="G92" s="336">
        <f t="shared" si="25"/>
        <v>1</v>
      </c>
      <c r="H92" s="336">
        <f t="shared" si="25"/>
        <v>1</v>
      </c>
      <c r="I92" s="616">
        <f t="shared" si="29"/>
        <v>709199.18</v>
      </c>
      <c r="K92" s="322">
        <v>709199.17999999982</v>
      </c>
      <c r="L92" s="336">
        <f t="shared" si="28"/>
        <v>1</v>
      </c>
      <c r="M92" s="336">
        <f t="shared" si="28"/>
        <v>1</v>
      </c>
      <c r="N92" s="616">
        <f t="shared" si="30"/>
        <v>709199.17999999982</v>
      </c>
    </row>
    <row r="93" spans="1:15">
      <c r="A93" s="209">
        <f t="shared" si="26"/>
        <v>79</v>
      </c>
      <c r="B93" s="1038">
        <v>39004</v>
      </c>
      <c r="C93" s="233" t="s">
        <v>445</v>
      </c>
      <c r="D93" s="322">
        <v>12954.74</v>
      </c>
      <c r="E93" s="616">
        <v>0</v>
      </c>
      <c r="F93" s="616">
        <f t="shared" si="27"/>
        <v>12954.74</v>
      </c>
      <c r="G93" s="336">
        <f t="shared" si="25"/>
        <v>1</v>
      </c>
      <c r="H93" s="336">
        <f t="shared" si="25"/>
        <v>1</v>
      </c>
      <c r="I93" s="616">
        <f t="shared" si="29"/>
        <v>12954.74</v>
      </c>
      <c r="K93" s="322">
        <v>12954.74</v>
      </c>
      <c r="L93" s="336">
        <f t="shared" si="28"/>
        <v>1</v>
      </c>
      <c r="M93" s="336">
        <f t="shared" si="28"/>
        <v>1</v>
      </c>
      <c r="N93" s="616">
        <f t="shared" si="30"/>
        <v>12954.74</v>
      </c>
    </row>
    <row r="94" spans="1:15">
      <c r="A94" s="209">
        <f t="shared" si="26"/>
        <v>80</v>
      </c>
      <c r="B94" s="1038">
        <v>39009</v>
      </c>
      <c r="C94" s="233" t="s">
        <v>1036</v>
      </c>
      <c r="D94" s="322">
        <v>1246194.18</v>
      </c>
      <c r="E94" s="616">
        <v>0</v>
      </c>
      <c r="F94" s="616">
        <f t="shared" si="27"/>
        <v>1246194.18</v>
      </c>
      <c r="G94" s="336">
        <f t="shared" si="25"/>
        <v>1</v>
      </c>
      <c r="H94" s="336">
        <f t="shared" si="25"/>
        <v>1</v>
      </c>
      <c r="I94" s="616">
        <f t="shared" si="29"/>
        <v>1246194.18</v>
      </c>
      <c r="K94" s="322">
        <v>1246194.18</v>
      </c>
      <c r="L94" s="336">
        <f t="shared" si="28"/>
        <v>1</v>
      </c>
      <c r="M94" s="336">
        <f t="shared" si="28"/>
        <v>1</v>
      </c>
      <c r="N94" s="616">
        <f t="shared" si="30"/>
        <v>1246194.18</v>
      </c>
    </row>
    <row r="95" spans="1:15">
      <c r="A95" s="209">
        <f t="shared" si="26"/>
        <v>81</v>
      </c>
      <c r="B95" s="1038">
        <v>39100</v>
      </c>
      <c r="C95" s="233" t="s">
        <v>779</v>
      </c>
      <c r="D95" s="322">
        <v>1738748.48</v>
      </c>
      <c r="E95" s="616">
        <v>0</v>
      </c>
      <c r="F95" s="616">
        <f t="shared" si="27"/>
        <v>1738748.48</v>
      </c>
      <c r="G95" s="336">
        <f t="shared" si="25"/>
        <v>1</v>
      </c>
      <c r="H95" s="336">
        <f t="shared" si="25"/>
        <v>1</v>
      </c>
      <c r="I95" s="616">
        <f t="shared" si="29"/>
        <v>1738748.48</v>
      </c>
      <c r="K95" s="322">
        <v>1750051.0692307693</v>
      </c>
      <c r="L95" s="336">
        <f t="shared" si="28"/>
        <v>1</v>
      </c>
      <c r="M95" s="336">
        <f t="shared" si="28"/>
        <v>1</v>
      </c>
      <c r="N95" s="616">
        <f t="shared" si="30"/>
        <v>1750051.0692307693</v>
      </c>
    </row>
    <row r="96" spans="1:15">
      <c r="A96" s="209">
        <f t="shared" si="26"/>
        <v>82</v>
      </c>
      <c r="B96" s="1038">
        <v>39103</v>
      </c>
      <c r="C96" s="80" t="s">
        <v>780</v>
      </c>
      <c r="D96" s="322"/>
      <c r="E96" s="616">
        <v>0</v>
      </c>
      <c r="F96" s="616">
        <f t="shared" si="27"/>
        <v>0</v>
      </c>
      <c r="G96" s="336">
        <f t="shared" si="25"/>
        <v>1</v>
      </c>
      <c r="H96" s="336">
        <f t="shared" si="25"/>
        <v>1</v>
      </c>
      <c r="I96" s="616">
        <f t="shared" si="29"/>
        <v>0</v>
      </c>
      <c r="K96" s="322"/>
      <c r="L96" s="336">
        <f t="shared" si="28"/>
        <v>1</v>
      </c>
      <c r="M96" s="336">
        <f t="shared" si="28"/>
        <v>1</v>
      </c>
      <c r="N96" s="616">
        <f t="shared" si="30"/>
        <v>0</v>
      </c>
    </row>
    <row r="97" spans="1:14">
      <c r="A97" s="209">
        <f t="shared" si="26"/>
        <v>83</v>
      </c>
      <c r="B97" s="1038">
        <v>39200</v>
      </c>
      <c r="C97" s="233" t="s">
        <v>1076</v>
      </c>
      <c r="D97" s="322">
        <v>220986.9</v>
      </c>
      <c r="E97" s="616">
        <v>0</v>
      </c>
      <c r="F97" s="616">
        <f t="shared" si="27"/>
        <v>220986.9</v>
      </c>
      <c r="G97" s="336">
        <f t="shared" si="25"/>
        <v>1</v>
      </c>
      <c r="H97" s="336">
        <f t="shared" si="25"/>
        <v>1</v>
      </c>
      <c r="I97" s="616">
        <f t="shared" si="29"/>
        <v>220986.9</v>
      </c>
      <c r="K97" s="322">
        <v>220986.89999999994</v>
      </c>
      <c r="L97" s="336">
        <f t="shared" si="28"/>
        <v>1</v>
      </c>
      <c r="M97" s="336">
        <f t="shared" si="28"/>
        <v>1</v>
      </c>
      <c r="N97" s="616">
        <f t="shared" si="30"/>
        <v>220986.89999999994</v>
      </c>
    </row>
    <row r="98" spans="1:14">
      <c r="A98" s="209">
        <f t="shared" si="26"/>
        <v>84</v>
      </c>
      <c r="B98" s="1038">
        <v>39202</v>
      </c>
      <c r="C98" s="233" t="s">
        <v>86</v>
      </c>
      <c r="D98" s="322">
        <v>15749.78</v>
      </c>
      <c r="E98" s="616">
        <v>0</v>
      </c>
      <c r="F98" s="616">
        <f t="shared" si="27"/>
        <v>15749.78</v>
      </c>
      <c r="G98" s="336">
        <f t="shared" si="25"/>
        <v>1</v>
      </c>
      <c r="H98" s="336">
        <f t="shared" si="25"/>
        <v>1</v>
      </c>
      <c r="I98" s="616">
        <f t="shared" si="29"/>
        <v>15749.78</v>
      </c>
      <c r="K98" s="322">
        <v>15749.78</v>
      </c>
      <c r="L98" s="336">
        <f t="shared" si="28"/>
        <v>1</v>
      </c>
      <c r="M98" s="336">
        <f t="shared" si="28"/>
        <v>1</v>
      </c>
      <c r="N98" s="616">
        <f t="shared" si="30"/>
        <v>15749.78</v>
      </c>
    </row>
    <row r="99" spans="1:14">
      <c r="A99" s="209">
        <f t="shared" si="26"/>
        <v>85</v>
      </c>
      <c r="B99" s="1038">
        <v>39400</v>
      </c>
      <c r="C99" s="233" t="s">
        <v>1035</v>
      </c>
      <c r="D99" s="322">
        <v>3708442.84</v>
      </c>
      <c r="E99" s="616">
        <v>0</v>
      </c>
      <c r="F99" s="616">
        <f t="shared" si="27"/>
        <v>3708442.84</v>
      </c>
      <c r="G99" s="336">
        <f t="shared" si="25"/>
        <v>1</v>
      </c>
      <c r="H99" s="336">
        <f t="shared" si="25"/>
        <v>1</v>
      </c>
      <c r="I99" s="616">
        <f t="shared" si="29"/>
        <v>3708442.84</v>
      </c>
      <c r="K99" s="322">
        <v>3449935.2038461543</v>
      </c>
      <c r="L99" s="336">
        <f t="shared" si="28"/>
        <v>1</v>
      </c>
      <c r="M99" s="336">
        <f t="shared" si="28"/>
        <v>1</v>
      </c>
      <c r="N99" s="616">
        <f t="shared" si="30"/>
        <v>3449935.2038461543</v>
      </c>
    </row>
    <row r="100" spans="1:14">
      <c r="A100" s="209">
        <f t="shared" si="26"/>
        <v>86</v>
      </c>
      <c r="B100" s="1038">
        <v>39603</v>
      </c>
      <c r="C100" s="233" t="s">
        <v>87</v>
      </c>
      <c r="D100" s="322">
        <v>39610.080000000002</v>
      </c>
      <c r="E100" s="616">
        <v>0</v>
      </c>
      <c r="F100" s="616">
        <f t="shared" si="27"/>
        <v>39610.080000000002</v>
      </c>
      <c r="G100" s="336">
        <f t="shared" si="25"/>
        <v>1</v>
      </c>
      <c r="H100" s="336">
        <f t="shared" si="25"/>
        <v>1</v>
      </c>
      <c r="I100" s="616">
        <f t="shared" si="29"/>
        <v>39610.080000000002</v>
      </c>
      <c r="K100" s="322">
        <v>39610.080000000009</v>
      </c>
      <c r="L100" s="336">
        <f t="shared" si="28"/>
        <v>1</v>
      </c>
      <c r="M100" s="336">
        <f t="shared" si="28"/>
        <v>1</v>
      </c>
      <c r="N100" s="616">
        <f t="shared" si="30"/>
        <v>39610.080000000009</v>
      </c>
    </row>
    <row r="101" spans="1:14">
      <c r="A101" s="209">
        <f t="shared" si="26"/>
        <v>87</v>
      </c>
      <c r="B101" s="1038">
        <v>39604</v>
      </c>
      <c r="C101" s="233" t="s">
        <v>88</v>
      </c>
      <c r="D101" s="322">
        <v>62747.29</v>
      </c>
      <c r="E101" s="616">
        <v>0</v>
      </c>
      <c r="F101" s="616">
        <f t="shared" si="27"/>
        <v>62747.29</v>
      </c>
      <c r="G101" s="336">
        <f t="shared" si="25"/>
        <v>1</v>
      </c>
      <c r="H101" s="336">
        <f t="shared" si="25"/>
        <v>1</v>
      </c>
      <c r="I101" s="616">
        <f t="shared" si="29"/>
        <v>62747.29</v>
      </c>
      <c r="K101" s="322">
        <v>62747.290000000008</v>
      </c>
      <c r="L101" s="336">
        <f t="shared" si="28"/>
        <v>1</v>
      </c>
      <c r="M101" s="336">
        <f t="shared" si="28"/>
        <v>1</v>
      </c>
      <c r="N101" s="616">
        <f t="shared" si="30"/>
        <v>62747.290000000008</v>
      </c>
    </row>
    <row r="102" spans="1:14">
      <c r="A102" s="209">
        <f t="shared" si="26"/>
        <v>88</v>
      </c>
      <c r="B102" s="1038">
        <v>39605</v>
      </c>
      <c r="C102" s="195" t="s">
        <v>89</v>
      </c>
      <c r="D102" s="322">
        <v>19427.23</v>
      </c>
      <c r="E102" s="616">
        <v>0</v>
      </c>
      <c r="F102" s="616">
        <f t="shared" si="27"/>
        <v>19427.23</v>
      </c>
      <c r="G102" s="336">
        <f t="shared" si="25"/>
        <v>1</v>
      </c>
      <c r="H102" s="336">
        <f t="shared" si="25"/>
        <v>1</v>
      </c>
      <c r="I102" s="616">
        <f t="shared" si="29"/>
        <v>19427.23</v>
      </c>
      <c r="K102" s="322">
        <v>19427.230000000003</v>
      </c>
      <c r="L102" s="336">
        <f t="shared" si="28"/>
        <v>1</v>
      </c>
      <c r="M102" s="336">
        <f t="shared" si="28"/>
        <v>1</v>
      </c>
      <c r="N102" s="616">
        <f t="shared" si="30"/>
        <v>19427.230000000003</v>
      </c>
    </row>
    <row r="103" spans="1:14">
      <c r="A103" s="209">
        <f t="shared" si="26"/>
        <v>89</v>
      </c>
      <c r="B103" s="1038">
        <v>39700</v>
      </c>
      <c r="C103" s="233" t="s">
        <v>440</v>
      </c>
      <c r="D103" s="322">
        <v>524257.15</v>
      </c>
      <c r="E103" s="616">
        <v>0</v>
      </c>
      <c r="F103" s="616">
        <f t="shared" si="27"/>
        <v>524257.15</v>
      </c>
      <c r="G103" s="336">
        <f t="shared" si="25"/>
        <v>1</v>
      </c>
      <c r="H103" s="336">
        <f t="shared" si="25"/>
        <v>1</v>
      </c>
      <c r="I103" s="616">
        <f t="shared" si="29"/>
        <v>524257.15</v>
      </c>
      <c r="K103" s="322">
        <v>524257.15000000008</v>
      </c>
      <c r="L103" s="336">
        <f t="shared" si="28"/>
        <v>1</v>
      </c>
      <c r="M103" s="336">
        <f t="shared" si="28"/>
        <v>1</v>
      </c>
      <c r="N103" s="616">
        <f t="shared" si="30"/>
        <v>524257.15000000008</v>
      </c>
    </row>
    <row r="104" spans="1:14">
      <c r="A104" s="209">
        <f t="shared" si="26"/>
        <v>90</v>
      </c>
      <c r="B104" s="1038">
        <v>39701</v>
      </c>
      <c r="C104" s="80" t="s">
        <v>1496</v>
      </c>
      <c r="D104" s="322"/>
      <c r="E104" s="616">
        <v>0</v>
      </c>
      <c r="F104" s="616">
        <f t="shared" si="27"/>
        <v>0</v>
      </c>
      <c r="G104" s="336">
        <f t="shared" si="25"/>
        <v>1</v>
      </c>
      <c r="H104" s="336">
        <f t="shared" si="25"/>
        <v>1</v>
      </c>
      <c r="I104" s="616">
        <f t="shared" si="29"/>
        <v>0</v>
      </c>
      <c r="K104" s="322"/>
      <c r="L104" s="336">
        <f t="shared" si="28"/>
        <v>1</v>
      </c>
      <c r="M104" s="336">
        <f t="shared" si="28"/>
        <v>1</v>
      </c>
      <c r="N104" s="616">
        <f t="shared" si="30"/>
        <v>0</v>
      </c>
    </row>
    <row r="105" spans="1:14">
      <c r="A105" s="209">
        <f t="shared" si="26"/>
        <v>91</v>
      </c>
      <c r="B105" s="1038">
        <v>39702</v>
      </c>
      <c r="C105" s="80" t="s">
        <v>1496</v>
      </c>
      <c r="D105" s="322"/>
      <c r="E105" s="616">
        <v>0</v>
      </c>
      <c r="F105" s="616">
        <f t="shared" si="27"/>
        <v>0</v>
      </c>
      <c r="G105" s="336">
        <f t="shared" si="25"/>
        <v>1</v>
      </c>
      <c r="H105" s="336">
        <f t="shared" si="25"/>
        <v>1</v>
      </c>
      <c r="I105" s="616">
        <f t="shared" si="29"/>
        <v>0</v>
      </c>
      <c r="K105" s="322"/>
      <c r="L105" s="336">
        <f t="shared" si="28"/>
        <v>1</v>
      </c>
      <c r="M105" s="336">
        <f t="shared" si="28"/>
        <v>1</v>
      </c>
      <c r="N105" s="616">
        <f t="shared" si="30"/>
        <v>0</v>
      </c>
    </row>
    <row r="106" spans="1:14">
      <c r="A106" s="209">
        <f t="shared" si="26"/>
        <v>92</v>
      </c>
      <c r="B106" s="1038">
        <v>39705</v>
      </c>
      <c r="C106" s="233" t="s">
        <v>721</v>
      </c>
      <c r="D106" s="322"/>
      <c r="E106" s="616">
        <v>0</v>
      </c>
      <c r="F106" s="616">
        <f t="shared" si="27"/>
        <v>0</v>
      </c>
      <c r="G106" s="336">
        <f t="shared" si="25"/>
        <v>1</v>
      </c>
      <c r="H106" s="336">
        <f t="shared" si="25"/>
        <v>1</v>
      </c>
      <c r="I106" s="616">
        <f t="shared" si="29"/>
        <v>0</v>
      </c>
      <c r="K106" s="322"/>
      <c r="L106" s="336">
        <f t="shared" si="28"/>
        <v>1</v>
      </c>
      <c r="M106" s="336">
        <f t="shared" si="28"/>
        <v>1</v>
      </c>
      <c r="N106" s="616">
        <f t="shared" si="30"/>
        <v>0</v>
      </c>
    </row>
    <row r="107" spans="1:14">
      <c r="A107" s="209">
        <f t="shared" si="26"/>
        <v>93</v>
      </c>
      <c r="B107" s="1038">
        <v>39800</v>
      </c>
      <c r="C107" s="233" t="s">
        <v>650</v>
      </c>
      <c r="D107" s="322">
        <v>3889659.04</v>
      </c>
      <c r="E107" s="616">
        <v>0</v>
      </c>
      <c r="F107" s="616">
        <f t="shared" si="27"/>
        <v>3889659.04</v>
      </c>
      <c r="G107" s="336">
        <f t="shared" si="25"/>
        <v>1</v>
      </c>
      <c r="H107" s="336">
        <f t="shared" si="25"/>
        <v>1</v>
      </c>
      <c r="I107" s="616">
        <f t="shared" si="29"/>
        <v>3889659.04</v>
      </c>
      <c r="K107" s="322">
        <v>3891706.1884615379</v>
      </c>
      <c r="L107" s="336">
        <f t="shared" si="28"/>
        <v>1</v>
      </c>
      <c r="M107" s="336">
        <f t="shared" si="28"/>
        <v>1</v>
      </c>
      <c r="N107" s="616">
        <f t="shared" si="30"/>
        <v>3891706.1884615379</v>
      </c>
    </row>
    <row r="108" spans="1:14">
      <c r="A108" s="209">
        <f t="shared" si="26"/>
        <v>94</v>
      </c>
      <c r="B108" s="1038">
        <v>39901</v>
      </c>
      <c r="C108" s="80" t="s">
        <v>1497</v>
      </c>
      <c r="D108" s="322">
        <v>14389.76</v>
      </c>
      <c r="E108" s="616">
        <v>0</v>
      </c>
      <c r="F108" s="616">
        <f t="shared" si="27"/>
        <v>14389.76</v>
      </c>
      <c r="G108" s="336">
        <f t="shared" si="25"/>
        <v>1</v>
      </c>
      <c r="H108" s="336">
        <f t="shared" si="25"/>
        <v>1</v>
      </c>
      <c r="I108" s="616">
        <f t="shared" si="29"/>
        <v>14389.76</v>
      </c>
      <c r="K108" s="322">
        <v>14389.76</v>
      </c>
      <c r="L108" s="336">
        <f t="shared" si="28"/>
        <v>1</v>
      </c>
      <c r="M108" s="336">
        <f t="shared" si="28"/>
        <v>1</v>
      </c>
      <c r="N108" s="616">
        <f t="shared" si="30"/>
        <v>14389.76</v>
      </c>
    </row>
    <row r="109" spans="1:14">
      <c r="A109" s="209">
        <f t="shared" si="26"/>
        <v>95</v>
      </c>
      <c r="B109" s="1038">
        <v>39902</v>
      </c>
      <c r="C109" s="80" t="s">
        <v>1498</v>
      </c>
      <c r="D109" s="322"/>
      <c r="E109" s="616">
        <v>0</v>
      </c>
      <c r="F109" s="616">
        <f t="shared" si="27"/>
        <v>0</v>
      </c>
      <c r="G109" s="336">
        <f t="shared" si="25"/>
        <v>1</v>
      </c>
      <c r="H109" s="336">
        <f t="shared" si="25"/>
        <v>1</v>
      </c>
      <c r="I109" s="616">
        <f t="shared" si="29"/>
        <v>0</v>
      </c>
      <c r="K109" s="322">
        <v>0</v>
      </c>
      <c r="L109" s="336">
        <f t="shared" si="28"/>
        <v>1</v>
      </c>
      <c r="M109" s="336">
        <f t="shared" si="28"/>
        <v>1</v>
      </c>
      <c r="N109" s="616">
        <f t="shared" si="30"/>
        <v>0</v>
      </c>
    </row>
    <row r="110" spans="1:14">
      <c r="A110" s="209">
        <f t="shared" si="26"/>
        <v>96</v>
      </c>
      <c r="B110" s="1038">
        <v>39903</v>
      </c>
      <c r="C110" s="233" t="s">
        <v>1003</v>
      </c>
      <c r="D110" s="322">
        <v>134598.85999999999</v>
      </c>
      <c r="E110" s="616">
        <v>0</v>
      </c>
      <c r="F110" s="616">
        <f t="shared" si="27"/>
        <v>134598.85999999999</v>
      </c>
      <c r="G110" s="336">
        <f t="shared" si="25"/>
        <v>1</v>
      </c>
      <c r="H110" s="336">
        <f t="shared" si="25"/>
        <v>1</v>
      </c>
      <c r="I110" s="616">
        <f t="shared" si="29"/>
        <v>134598.85999999999</v>
      </c>
      <c r="K110" s="322">
        <v>134598.85999999993</v>
      </c>
      <c r="L110" s="336">
        <f t="shared" si="28"/>
        <v>1</v>
      </c>
      <c r="M110" s="336">
        <f t="shared" si="28"/>
        <v>1</v>
      </c>
      <c r="N110" s="616">
        <f t="shared" si="30"/>
        <v>134598.85999999993</v>
      </c>
    </row>
    <row r="111" spans="1:14">
      <c r="A111" s="209">
        <f t="shared" si="26"/>
        <v>97</v>
      </c>
      <c r="B111" s="1038">
        <v>39906</v>
      </c>
      <c r="C111" s="233" t="s">
        <v>451</v>
      </c>
      <c r="D111" s="322">
        <v>985121.66</v>
      </c>
      <c r="E111" s="616">
        <v>0</v>
      </c>
      <c r="F111" s="616">
        <f t="shared" si="27"/>
        <v>985121.66</v>
      </c>
      <c r="G111" s="336">
        <f t="shared" si="25"/>
        <v>1</v>
      </c>
      <c r="H111" s="336">
        <f t="shared" si="25"/>
        <v>1</v>
      </c>
      <c r="I111" s="616">
        <f t="shared" si="29"/>
        <v>985121.66</v>
      </c>
      <c r="K111" s="322">
        <v>980348.4261538462</v>
      </c>
      <c r="L111" s="336">
        <f t="shared" si="28"/>
        <v>1</v>
      </c>
      <c r="M111" s="336">
        <f t="shared" si="28"/>
        <v>1</v>
      </c>
      <c r="N111" s="616">
        <f t="shared" si="30"/>
        <v>980348.4261538462</v>
      </c>
    </row>
    <row r="112" spans="1:14">
      <c r="A112" s="209">
        <f t="shared" si="26"/>
        <v>98</v>
      </c>
      <c r="B112" s="1038">
        <v>39907</v>
      </c>
      <c r="C112" s="233" t="s">
        <v>505</v>
      </c>
      <c r="D112" s="322"/>
      <c r="E112" s="616">
        <v>0</v>
      </c>
      <c r="F112" s="616">
        <f t="shared" si="27"/>
        <v>0</v>
      </c>
      <c r="G112" s="336">
        <f t="shared" si="25"/>
        <v>1</v>
      </c>
      <c r="H112" s="336">
        <f t="shared" si="25"/>
        <v>1</v>
      </c>
      <c r="I112" s="616">
        <f t="shared" si="29"/>
        <v>0</v>
      </c>
      <c r="K112" s="322"/>
      <c r="L112" s="336">
        <f t="shared" si="28"/>
        <v>1</v>
      </c>
      <c r="M112" s="336">
        <f t="shared" si="28"/>
        <v>1</v>
      </c>
      <c r="N112" s="616">
        <f t="shared" si="30"/>
        <v>0</v>
      </c>
    </row>
    <row r="113" spans="1:18">
      <c r="A113" s="209">
        <f t="shared" si="26"/>
        <v>99</v>
      </c>
      <c r="B113" s="1038">
        <v>39908</v>
      </c>
      <c r="C113" s="233" t="s">
        <v>179</v>
      </c>
      <c r="D113" s="322">
        <v>123514.83</v>
      </c>
      <c r="E113" s="616">
        <v>0</v>
      </c>
      <c r="F113" s="616">
        <f t="shared" si="27"/>
        <v>123514.83</v>
      </c>
      <c r="G113" s="336">
        <f t="shared" si="25"/>
        <v>1</v>
      </c>
      <c r="H113" s="336">
        <f t="shared" si="25"/>
        <v>1</v>
      </c>
      <c r="I113" s="616">
        <f t="shared" si="29"/>
        <v>123514.83</v>
      </c>
      <c r="K113" s="322">
        <v>123514.83000000002</v>
      </c>
      <c r="L113" s="336">
        <f t="shared" si="28"/>
        <v>1</v>
      </c>
      <c r="M113" s="336">
        <f t="shared" si="28"/>
        <v>1</v>
      </c>
      <c r="N113" s="616">
        <f t="shared" si="30"/>
        <v>123514.83000000002</v>
      </c>
    </row>
    <row r="114" spans="1:18">
      <c r="A114" s="209">
        <f t="shared" si="26"/>
        <v>100</v>
      </c>
      <c r="B114" s="1047"/>
      <c r="C114" s="233"/>
      <c r="D114" s="618"/>
      <c r="E114" s="618"/>
      <c r="F114" s="618"/>
      <c r="I114" s="618"/>
      <c r="K114" s="723"/>
      <c r="N114" s="618"/>
    </row>
    <row r="115" spans="1:18">
      <c r="A115" s="209">
        <f t="shared" si="26"/>
        <v>101</v>
      </c>
      <c r="B115" s="1047"/>
      <c r="C115" s="233" t="s">
        <v>4</v>
      </c>
      <c r="D115" s="360">
        <f>SUM(D89:D114)</f>
        <v>22758039.319999997</v>
      </c>
      <c r="E115" s="360">
        <f>SUM(E89:E114)</f>
        <v>0</v>
      </c>
      <c r="F115" s="360">
        <f>SUM(F89:F114)</f>
        <v>22758039.319999997</v>
      </c>
      <c r="G115" s="336"/>
      <c r="H115" s="336"/>
      <c r="I115" s="360">
        <f>SUM(I89:I114)</f>
        <v>22758039.319999997</v>
      </c>
      <c r="K115" s="360">
        <f>SUM(K89:K114)</f>
        <v>22028560.127692305</v>
      </c>
      <c r="N115" s="360">
        <f>SUM(N89:N114)</f>
        <v>22028560.127692305</v>
      </c>
    </row>
    <row r="116" spans="1:18">
      <c r="A116" s="209">
        <f t="shared" si="26"/>
        <v>102</v>
      </c>
      <c r="B116" s="1047"/>
      <c r="C116" s="233"/>
      <c r="K116" s="360"/>
    </row>
    <row r="117" spans="1:18" ht="15.75" thickBot="1">
      <c r="A117" s="209">
        <f t="shared" si="26"/>
        <v>103</v>
      </c>
      <c r="B117" s="1047"/>
      <c r="C117" s="233" t="s">
        <v>1317</v>
      </c>
      <c r="D117" s="1009">
        <f>D19+D26+D47+D60+D86+D115</f>
        <v>642938857.89999986</v>
      </c>
      <c r="E117" s="1009">
        <f>E19+E26+E47+E60+E86+E115</f>
        <v>0</v>
      </c>
      <c r="F117" s="1009">
        <f>F19+F26+F47+F60+F86+F115</f>
        <v>642938857.89999986</v>
      </c>
      <c r="I117" s="1009">
        <f>I19+I26+I47+I60+I86+I115</f>
        <v>642938857.89999986</v>
      </c>
      <c r="K117" s="1009">
        <f>K19+K26+K47+K60+K86+K115</f>
        <v>612862745.79999995</v>
      </c>
      <c r="N117" s="1009">
        <f>N19+N26+N47+N60+N86+N115</f>
        <v>612862745.79999995</v>
      </c>
    </row>
    <row r="118" spans="1:18" ht="15.75" thickTop="1">
      <c r="A118" s="209">
        <f t="shared" si="26"/>
        <v>104</v>
      </c>
      <c r="B118" s="1047"/>
      <c r="C118" s="233"/>
      <c r="K118" s="360"/>
    </row>
    <row r="119" spans="1:18">
      <c r="A119" s="209">
        <f t="shared" si="26"/>
        <v>105</v>
      </c>
      <c r="B119" s="1047"/>
      <c r="C119" s="195" t="s">
        <v>749</v>
      </c>
      <c r="D119" s="322">
        <v>40555253.049999997</v>
      </c>
      <c r="E119" s="322">
        <v>0</v>
      </c>
      <c r="F119" s="322">
        <f>D119+E119</f>
        <v>40555253.049999997</v>
      </c>
      <c r="G119" s="615">
        <f>$G$16</f>
        <v>1</v>
      </c>
      <c r="H119" s="615">
        <f>$G$16</f>
        <v>1</v>
      </c>
      <c r="I119" s="322">
        <f>F119*G119*H119</f>
        <v>40555253.049999997</v>
      </c>
      <c r="K119" s="322">
        <v>34192337.257692307</v>
      </c>
      <c r="L119" s="336">
        <f>$G$16</f>
        <v>1</v>
      </c>
      <c r="M119" s="336">
        <f>$G$16</f>
        <v>1</v>
      </c>
      <c r="N119" s="322">
        <f>K119*L119*M119</f>
        <v>34192337.257692307</v>
      </c>
      <c r="R119" s="423"/>
    </row>
    <row r="120" spans="1:18">
      <c r="A120" s="209">
        <f t="shared" si="26"/>
        <v>106</v>
      </c>
      <c r="B120" s="1047"/>
      <c r="K120" s="360"/>
    </row>
    <row r="121" spans="1:18" ht="15.75">
      <c r="A121" s="209">
        <f t="shared" si="26"/>
        <v>107</v>
      </c>
      <c r="B121" s="1043" t="s">
        <v>7</v>
      </c>
      <c r="K121" s="360"/>
    </row>
    <row r="122" spans="1:18">
      <c r="A122" s="209">
        <f t="shared" si="26"/>
        <v>108</v>
      </c>
      <c r="B122" s="1047"/>
      <c r="K122" s="360"/>
    </row>
    <row r="123" spans="1:18">
      <c r="A123" s="209">
        <f t="shared" si="26"/>
        <v>109</v>
      </c>
      <c r="B123" s="1047"/>
      <c r="C123" s="619" t="s">
        <v>297</v>
      </c>
      <c r="K123" s="360"/>
    </row>
    <row r="124" spans="1:18">
      <c r="A124" s="209">
        <f t="shared" si="26"/>
        <v>110</v>
      </c>
      <c r="B124" s="1046">
        <v>30100</v>
      </c>
      <c r="C124" s="233" t="s">
        <v>291</v>
      </c>
      <c r="D124" s="322">
        <v>185309.27</v>
      </c>
      <c r="E124" s="360">
        <v>0</v>
      </c>
      <c r="F124" s="360">
        <f>D124+E124</f>
        <v>185309.27</v>
      </c>
      <c r="G124" s="336">
        <f>$G$16</f>
        <v>1</v>
      </c>
      <c r="H124" s="324">
        <f>Allocation!$H$17</f>
        <v>0.49780000000000002</v>
      </c>
      <c r="I124" s="360">
        <f>F124*G124*H124</f>
        <v>92246.954605999999</v>
      </c>
      <c r="K124" s="322">
        <v>185309.27</v>
      </c>
      <c r="L124" s="336">
        <f t="shared" ref="L124:M125" si="31">G124</f>
        <v>1</v>
      </c>
      <c r="M124" s="324">
        <f t="shared" si="31"/>
        <v>0.49780000000000002</v>
      </c>
      <c r="N124" s="616">
        <f t="shared" ref="N124:N125" si="32">K124*L124*M124</f>
        <v>92246.954605999999</v>
      </c>
      <c r="R124" s="423"/>
    </row>
    <row r="125" spans="1:18">
      <c r="A125" s="209">
        <f t="shared" si="26"/>
        <v>111</v>
      </c>
      <c r="B125" s="1046">
        <v>30300</v>
      </c>
      <c r="C125" s="233" t="s">
        <v>542</v>
      </c>
      <c r="D125" s="322">
        <v>1109551.68</v>
      </c>
      <c r="E125" s="1052">
        <v>0</v>
      </c>
      <c r="F125" s="1052">
        <f>D125+E125</f>
        <v>1109551.68</v>
      </c>
      <c r="G125" s="336">
        <f>$G$16</f>
        <v>1</v>
      </c>
      <c r="H125" s="324">
        <f>$H$124</f>
        <v>0.49780000000000002</v>
      </c>
      <c r="I125" s="1045">
        <f>F125*G125*H125</f>
        <v>552334.82630399999</v>
      </c>
      <c r="K125" s="322">
        <v>1109551.68</v>
      </c>
      <c r="L125" s="336">
        <f t="shared" si="31"/>
        <v>1</v>
      </c>
      <c r="M125" s="324">
        <f t="shared" si="31"/>
        <v>0.49780000000000002</v>
      </c>
      <c r="N125" s="616">
        <f t="shared" si="32"/>
        <v>552334.82630399999</v>
      </c>
      <c r="R125" s="423"/>
    </row>
    <row r="126" spans="1:18">
      <c r="A126" s="209">
        <f t="shared" si="26"/>
        <v>112</v>
      </c>
      <c r="B126" s="1047"/>
      <c r="C126" s="233"/>
      <c r="D126" s="618"/>
      <c r="E126" s="618"/>
      <c r="F126" s="618"/>
      <c r="I126" s="618"/>
      <c r="K126" s="723"/>
      <c r="N126" s="618"/>
    </row>
    <row r="127" spans="1:18">
      <c r="A127" s="209">
        <f t="shared" si="26"/>
        <v>113</v>
      </c>
      <c r="B127" s="1047"/>
      <c r="C127" s="233" t="s">
        <v>298</v>
      </c>
      <c r="D127" s="360">
        <f>SUM(D124:D126)</f>
        <v>1294860.95</v>
      </c>
      <c r="E127" s="360">
        <f>SUM(E124:E126)</f>
        <v>0</v>
      </c>
      <c r="F127" s="360">
        <f>SUM(F124:F126)</f>
        <v>1294860.95</v>
      </c>
      <c r="G127" s="336"/>
      <c r="H127" s="336"/>
      <c r="I127" s="360">
        <f>SUM(I124:I126)</f>
        <v>644581.78090999997</v>
      </c>
      <c r="K127" s="360">
        <f>SUM(K124:K126)</f>
        <v>1294860.95</v>
      </c>
      <c r="N127" s="360">
        <f>SUM(N124:N126)</f>
        <v>644581.78090999997</v>
      </c>
    </row>
    <row r="128" spans="1:18">
      <c r="A128" s="209">
        <f t="shared" si="26"/>
        <v>114</v>
      </c>
      <c r="B128" s="1047"/>
      <c r="K128" s="360"/>
    </row>
    <row r="129" spans="1:14">
      <c r="A129" s="209">
        <f t="shared" si="26"/>
        <v>115</v>
      </c>
      <c r="B129" s="1047"/>
      <c r="C129" s="619" t="s">
        <v>299</v>
      </c>
      <c r="K129" s="360"/>
    </row>
    <row r="130" spans="1:14">
      <c r="A130" s="209">
        <f t="shared" si="26"/>
        <v>116</v>
      </c>
      <c r="B130" s="1046">
        <v>37400</v>
      </c>
      <c r="C130" s="233" t="s">
        <v>1147</v>
      </c>
      <c r="D130" s="360"/>
      <c r="E130" s="360">
        <v>0</v>
      </c>
      <c r="F130" s="360">
        <f>D130+E130</f>
        <v>0</v>
      </c>
      <c r="G130" s="336">
        <f>$G$16</f>
        <v>1</v>
      </c>
      <c r="H130" s="324">
        <f>$H$124</f>
        <v>0.49780000000000002</v>
      </c>
      <c r="I130" s="360">
        <f>F130*G130*H130</f>
        <v>0</v>
      </c>
      <c r="K130" s="360">
        <v>0</v>
      </c>
      <c r="L130" s="336">
        <f>G130</f>
        <v>1</v>
      </c>
      <c r="M130" s="324">
        <f>H130</f>
        <v>0.49780000000000002</v>
      </c>
      <c r="N130" s="360">
        <f>K130*L130*M130</f>
        <v>0</v>
      </c>
    </row>
    <row r="131" spans="1:14">
      <c r="A131" s="209">
        <f t="shared" si="26"/>
        <v>117</v>
      </c>
      <c r="B131" s="1046">
        <v>35010</v>
      </c>
      <c r="C131" s="233" t="s">
        <v>292</v>
      </c>
      <c r="D131" s="616"/>
      <c r="E131" s="616">
        <v>0</v>
      </c>
      <c r="F131" s="616">
        <f>D131+E131</f>
        <v>0</v>
      </c>
      <c r="G131" s="336">
        <f>$G$16</f>
        <v>1</v>
      </c>
      <c r="H131" s="324">
        <f>$H$124</f>
        <v>0.49780000000000002</v>
      </c>
      <c r="I131" s="616">
        <f>F131*G131*H131</f>
        <v>0</v>
      </c>
      <c r="K131" s="616">
        <v>0</v>
      </c>
      <c r="L131" s="336">
        <f t="shared" ref="L131:L150" si="33">G131</f>
        <v>1</v>
      </c>
      <c r="M131" s="324">
        <f t="shared" ref="M131:M150" si="34">H131</f>
        <v>0.49780000000000002</v>
      </c>
      <c r="N131" s="616">
        <f t="shared" ref="N131:N150" si="35">K131*L131*M131</f>
        <v>0</v>
      </c>
    </row>
    <row r="132" spans="1:14">
      <c r="A132" s="209">
        <f t="shared" si="26"/>
        <v>118</v>
      </c>
      <c r="B132" s="1046">
        <v>37402</v>
      </c>
      <c r="C132" s="233" t="s">
        <v>999</v>
      </c>
      <c r="D132" s="616"/>
      <c r="E132" s="616">
        <v>0</v>
      </c>
      <c r="F132" s="616">
        <f t="shared" ref="F132:F150" si="36">D132+E132</f>
        <v>0</v>
      </c>
      <c r="G132" s="336">
        <f t="shared" ref="G132:G150" si="37">$G$16</f>
        <v>1</v>
      </c>
      <c r="H132" s="324">
        <f t="shared" ref="H132:H150" si="38">$H$124</f>
        <v>0.49780000000000002</v>
      </c>
      <c r="I132" s="616">
        <f t="shared" ref="I132:I150" si="39">F132*G132*H132</f>
        <v>0</v>
      </c>
      <c r="K132" s="616">
        <v>0</v>
      </c>
      <c r="L132" s="336">
        <f t="shared" si="33"/>
        <v>1</v>
      </c>
      <c r="M132" s="324">
        <f t="shared" si="34"/>
        <v>0.49780000000000002</v>
      </c>
      <c r="N132" s="616">
        <f t="shared" si="35"/>
        <v>0</v>
      </c>
    </row>
    <row r="133" spans="1:14">
      <c r="A133" s="209">
        <f t="shared" si="26"/>
        <v>119</v>
      </c>
      <c r="B133" s="1046">
        <v>37403</v>
      </c>
      <c r="C133" s="233" t="s">
        <v>996</v>
      </c>
      <c r="D133" s="616"/>
      <c r="E133" s="616">
        <v>0</v>
      </c>
      <c r="F133" s="616">
        <f t="shared" si="36"/>
        <v>0</v>
      </c>
      <c r="G133" s="336">
        <f t="shared" si="37"/>
        <v>1</v>
      </c>
      <c r="H133" s="324">
        <f t="shared" si="38"/>
        <v>0.49780000000000002</v>
      </c>
      <c r="I133" s="616">
        <f t="shared" si="39"/>
        <v>0</v>
      </c>
      <c r="K133" s="616">
        <v>0</v>
      </c>
      <c r="L133" s="336">
        <f t="shared" si="33"/>
        <v>1</v>
      </c>
      <c r="M133" s="324">
        <f t="shared" si="34"/>
        <v>0.49780000000000002</v>
      </c>
      <c r="N133" s="616">
        <f t="shared" si="35"/>
        <v>0</v>
      </c>
    </row>
    <row r="134" spans="1:14">
      <c r="A134" s="209">
        <f t="shared" si="26"/>
        <v>120</v>
      </c>
      <c r="B134" s="1046">
        <v>36602</v>
      </c>
      <c r="C134" s="233" t="s">
        <v>856</v>
      </c>
      <c r="D134" s="616"/>
      <c r="E134" s="616">
        <v>0</v>
      </c>
      <c r="F134" s="616">
        <f t="shared" si="36"/>
        <v>0</v>
      </c>
      <c r="G134" s="336">
        <f t="shared" si="37"/>
        <v>1</v>
      </c>
      <c r="H134" s="324">
        <f t="shared" si="38"/>
        <v>0.49780000000000002</v>
      </c>
      <c r="I134" s="616">
        <f t="shared" si="39"/>
        <v>0</v>
      </c>
      <c r="K134" s="616">
        <v>0</v>
      </c>
      <c r="L134" s="336">
        <f t="shared" si="33"/>
        <v>1</v>
      </c>
      <c r="M134" s="324">
        <f t="shared" si="34"/>
        <v>0.49780000000000002</v>
      </c>
      <c r="N134" s="616">
        <f t="shared" si="35"/>
        <v>0</v>
      </c>
    </row>
    <row r="135" spans="1:14">
      <c r="A135" s="209">
        <f t="shared" si="26"/>
        <v>121</v>
      </c>
      <c r="B135" s="1046">
        <v>37402</v>
      </c>
      <c r="C135" s="233" t="s">
        <v>999</v>
      </c>
      <c r="D135" s="616"/>
      <c r="E135" s="616">
        <v>0</v>
      </c>
      <c r="F135" s="616">
        <f>D135+E135</f>
        <v>0</v>
      </c>
      <c r="G135" s="336">
        <f t="shared" si="37"/>
        <v>1</v>
      </c>
      <c r="H135" s="324">
        <f t="shared" si="38"/>
        <v>0.49780000000000002</v>
      </c>
      <c r="I135" s="616">
        <f>F135*G135*H135</f>
        <v>0</v>
      </c>
      <c r="K135" s="616">
        <v>0</v>
      </c>
      <c r="L135" s="336">
        <f>G135</f>
        <v>1</v>
      </c>
      <c r="M135" s="324">
        <f>H135</f>
        <v>0.49780000000000002</v>
      </c>
      <c r="N135" s="616">
        <f>K135*L135*M135</f>
        <v>0</v>
      </c>
    </row>
    <row r="136" spans="1:14">
      <c r="A136" s="209">
        <f t="shared" si="26"/>
        <v>122</v>
      </c>
      <c r="B136" s="1046">
        <v>37501</v>
      </c>
      <c r="C136" s="233" t="s">
        <v>997</v>
      </c>
      <c r="D136" s="616"/>
      <c r="E136" s="616">
        <v>0</v>
      </c>
      <c r="F136" s="616">
        <f t="shared" si="36"/>
        <v>0</v>
      </c>
      <c r="G136" s="336">
        <f t="shared" si="37"/>
        <v>1</v>
      </c>
      <c r="H136" s="324">
        <f t="shared" si="38"/>
        <v>0.49780000000000002</v>
      </c>
      <c r="I136" s="616">
        <f t="shared" si="39"/>
        <v>0</v>
      </c>
      <c r="K136" s="616">
        <v>0</v>
      </c>
      <c r="L136" s="336">
        <f t="shared" si="33"/>
        <v>1</v>
      </c>
      <c r="M136" s="324">
        <f t="shared" si="34"/>
        <v>0.49780000000000002</v>
      </c>
      <c r="N136" s="616">
        <f t="shared" si="35"/>
        <v>0</v>
      </c>
    </row>
    <row r="137" spans="1:14">
      <c r="A137" s="209">
        <f t="shared" si="26"/>
        <v>123</v>
      </c>
      <c r="B137" s="1046">
        <v>37503</v>
      </c>
      <c r="C137" s="233" t="s">
        <v>998</v>
      </c>
      <c r="D137" s="616"/>
      <c r="E137" s="616">
        <v>0</v>
      </c>
      <c r="F137" s="616">
        <f t="shared" si="36"/>
        <v>0</v>
      </c>
      <c r="G137" s="336">
        <f t="shared" si="37"/>
        <v>1</v>
      </c>
      <c r="H137" s="324">
        <f t="shared" si="38"/>
        <v>0.49780000000000002</v>
      </c>
      <c r="I137" s="616">
        <f t="shared" si="39"/>
        <v>0</v>
      </c>
      <c r="K137" s="616">
        <v>0</v>
      </c>
      <c r="L137" s="336">
        <f t="shared" si="33"/>
        <v>1</v>
      </c>
      <c r="M137" s="324">
        <f t="shared" si="34"/>
        <v>0.49780000000000002</v>
      </c>
      <c r="N137" s="616">
        <f t="shared" si="35"/>
        <v>0</v>
      </c>
    </row>
    <row r="138" spans="1:14">
      <c r="A138" s="209">
        <f t="shared" si="26"/>
        <v>124</v>
      </c>
      <c r="B138" s="1046">
        <v>36700</v>
      </c>
      <c r="C138" s="233" t="s">
        <v>844</v>
      </c>
      <c r="D138" s="616"/>
      <c r="E138" s="616">
        <v>0</v>
      </c>
      <c r="F138" s="616">
        <f t="shared" si="36"/>
        <v>0</v>
      </c>
      <c r="G138" s="336">
        <f t="shared" si="37"/>
        <v>1</v>
      </c>
      <c r="H138" s="324">
        <f t="shared" si="38"/>
        <v>0.49780000000000002</v>
      </c>
      <c r="I138" s="616">
        <f t="shared" si="39"/>
        <v>0</v>
      </c>
      <c r="K138" s="616">
        <v>0</v>
      </c>
      <c r="L138" s="336">
        <f t="shared" si="33"/>
        <v>1</v>
      </c>
      <c r="M138" s="324">
        <f t="shared" si="34"/>
        <v>0.49780000000000002</v>
      </c>
      <c r="N138" s="616">
        <f t="shared" si="35"/>
        <v>0</v>
      </c>
    </row>
    <row r="139" spans="1:14">
      <c r="A139" s="209">
        <f t="shared" si="26"/>
        <v>125</v>
      </c>
      <c r="B139" s="1046">
        <v>36701</v>
      </c>
      <c r="C139" s="233" t="s">
        <v>16</v>
      </c>
      <c r="D139" s="616"/>
      <c r="E139" s="616">
        <v>0</v>
      </c>
      <c r="F139" s="616">
        <f t="shared" si="36"/>
        <v>0</v>
      </c>
      <c r="G139" s="336">
        <f t="shared" si="37"/>
        <v>1</v>
      </c>
      <c r="H139" s="324">
        <f t="shared" si="38"/>
        <v>0.49780000000000002</v>
      </c>
      <c r="I139" s="616">
        <f t="shared" si="39"/>
        <v>0</v>
      </c>
      <c r="K139" s="616">
        <v>0</v>
      </c>
      <c r="L139" s="336">
        <f t="shared" si="33"/>
        <v>1</v>
      </c>
      <c r="M139" s="324">
        <f t="shared" si="34"/>
        <v>0.49780000000000002</v>
      </c>
      <c r="N139" s="616">
        <f t="shared" si="35"/>
        <v>0</v>
      </c>
    </row>
    <row r="140" spans="1:14">
      <c r="A140" s="209">
        <f t="shared" si="26"/>
        <v>126</v>
      </c>
      <c r="B140" s="1046">
        <v>37602</v>
      </c>
      <c r="C140" s="233" t="s">
        <v>845</v>
      </c>
      <c r="D140" s="616"/>
      <c r="E140" s="616">
        <v>0</v>
      </c>
      <c r="F140" s="616">
        <f t="shared" si="36"/>
        <v>0</v>
      </c>
      <c r="G140" s="336">
        <f t="shared" si="37"/>
        <v>1</v>
      </c>
      <c r="H140" s="324">
        <f t="shared" si="38"/>
        <v>0.49780000000000002</v>
      </c>
      <c r="I140" s="616">
        <f t="shared" si="39"/>
        <v>0</v>
      </c>
      <c r="K140" s="616">
        <v>0</v>
      </c>
      <c r="L140" s="336">
        <f t="shared" si="33"/>
        <v>1</v>
      </c>
      <c r="M140" s="324">
        <f t="shared" si="34"/>
        <v>0.49780000000000002</v>
      </c>
      <c r="N140" s="616">
        <f t="shared" si="35"/>
        <v>0</v>
      </c>
    </row>
    <row r="141" spans="1:14">
      <c r="A141" s="209">
        <f t="shared" si="26"/>
        <v>127</v>
      </c>
      <c r="B141" s="1046">
        <v>37800</v>
      </c>
      <c r="C141" s="233" t="s">
        <v>229</v>
      </c>
      <c r="D141" s="616"/>
      <c r="E141" s="616">
        <v>0</v>
      </c>
      <c r="F141" s="616">
        <f t="shared" si="36"/>
        <v>0</v>
      </c>
      <c r="G141" s="336">
        <f t="shared" si="37"/>
        <v>1</v>
      </c>
      <c r="H141" s="324">
        <f t="shared" si="38"/>
        <v>0.49780000000000002</v>
      </c>
      <c r="I141" s="616">
        <f t="shared" si="39"/>
        <v>0</v>
      </c>
      <c r="K141" s="616">
        <v>0</v>
      </c>
      <c r="L141" s="336">
        <f t="shared" si="33"/>
        <v>1</v>
      </c>
      <c r="M141" s="324">
        <f t="shared" si="34"/>
        <v>0.49780000000000002</v>
      </c>
      <c r="N141" s="616">
        <f t="shared" si="35"/>
        <v>0</v>
      </c>
    </row>
    <row r="142" spans="1:14">
      <c r="A142" s="209">
        <f t="shared" si="26"/>
        <v>128</v>
      </c>
      <c r="B142" s="1046">
        <v>37900</v>
      </c>
      <c r="C142" s="233" t="s">
        <v>1190</v>
      </c>
      <c r="D142" s="616"/>
      <c r="E142" s="616">
        <v>0</v>
      </c>
      <c r="F142" s="616">
        <f t="shared" si="36"/>
        <v>0</v>
      </c>
      <c r="G142" s="336">
        <f t="shared" si="37"/>
        <v>1</v>
      </c>
      <c r="H142" s="324">
        <f t="shared" si="38"/>
        <v>0.49780000000000002</v>
      </c>
      <c r="I142" s="616">
        <f t="shared" si="39"/>
        <v>0</v>
      </c>
      <c r="K142" s="616">
        <v>0</v>
      </c>
      <c r="L142" s="336">
        <f t="shared" si="33"/>
        <v>1</v>
      </c>
      <c r="M142" s="324">
        <f t="shared" si="34"/>
        <v>0.49780000000000002</v>
      </c>
      <c r="N142" s="616">
        <f t="shared" si="35"/>
        <v>0</v>
      </c>
    </row>
    <row r="143" spans="1:14">
      <c r="A143" s="209">
        <f t="shared" si="26"/>
        <v>129</v>
      </c>
      <c r="B143" s="1046">
        <v>37905</v>
      </c>
      <c r="C143" s="233" t="s">
        <v>725</v>
      </c>
      <c r="D143" s="616"/>
      <c r="E143" s="616">
        <v>0</v>
      </c>
      <c r="F143" s="616">
        <f t="shared" si="36"/>
        <v>0</v>
      </c>
      <c r="G143" s="336">
        <f t="shared" si="37"/>
        <v>1</v>
      </c>
      <c r="H143" s="324">
        <f t="shared" si="38"/>
        <v>0.49780000000000002</v>
      </c>
      <c r="I143" s="616">
        <f t="shared" si="39"/>
        <v>0</v>
      </c>
      <c r="K143" s="616">
        <v>0</v>
      </c>
      <c r="L143" s="336">
        <f t="shared" si="33"/>
        <v>1</v>
      </c>
      <c r="M143" s="324">
        <f t="shared" si="34"/>
        <v>0.49780000000000002</v>
      </c>
      <c r="N143" s="616">
        <f t="shared" si="35"/>
        <v>0</v>
      </c>
    </row>
    <row r="144" spans="1:14">
      <c r="A144" s="209">
        <f t="shared" si="26"/>
        <v>130</v>
      </c>
      <c r="B144" s="1046">
        <v>38000</v>
      </c>
      <c r="C144" s="233" t="s">
        <v>1052</v>
      </c>
      <c r="D144" s="616"/>
      <c r="E144" s="616">
        <v>0</v>
      </c>
      <c r="F144" s="616">
        <f t="shared" si="36"/>
        <v>0</v>
      </c>
      <c r="G144" s="336">
        <f t="shared" si="37"/>
        <v>1</v>
      </c>
      <c r="H144" s="324">
        <f t="shared" si="38"/>
        <v>0.49780000000000002</v>
      </c>
      <c r="I144" s="616">
        <f t="shared" si="39"/>
        <v>0</v>
      </c>
      <c r="K144" s="616">
        <v>0</v>
      </c>
      <c r="L144" s="336">
        <f t="shared" si="33"/>
        <v>1</v>
      </c>
      <c r="M144" s="324">
        <f t="shared" si="34"/>
        <v>0.49780000000000002</v>
      </c>
      <c r="N144" s="616">
        <f t="shared" si="35"/>
        <v>0</v>
      </c>
    </row>
    <row r="145" spans="1:18">
      <c r="A145" s="209">
        <f t="shared" si="26"/>
        <v>131</v>
      </c>
      <c r="B145" s="1046">
        <v>38100</v>
      </c>
      <c r="C145" s="233" t="s">
        <v>846</v>
      </c>
      <c r="D145" s="616"/>
      <c r="E145" s="616">
        <v>0</v>
      </c>
      <c r="F145" s="616">
        <f t="shared" si="36"/>
        <v>0</v>
      </c>
      <c r="G145" s="336">
        <f t="shared" si="37"/>
        <v>1</v>
      </c>
      <c r="H145" s="324">
        <f t="shared" si="38"/>
        <v>0.49780000000000002</v>
      </c>
      <c r="I145" s="616">
        <f t="shared" si="39"/>
        <v>0</v>
      </c>
      <c r="K145" s="616">
        <v>0</v>
      </c>
      <c r="L145" s="336">
        <f t="shared" si="33"/>
        <v>1</v>
      </c>
      <c r="M145" s="324">
        <f t="shared" si="34"/>
        <v>0.49780000000000002</v>
      </c>
      <c r="N145" s="616">
        <f t="shared" si="35"/>
        <v>0</v>
      </c>
    </row>
    <row r="146" spans="1:18">
      <c r="A146" s="209">
        <f t="shared" si="26"/>
        <v>132</v>
      </c>
      <c r="B146" s="1046">
        <v>38200</v>
      </c>
      <c r="C146" s="233" t="s">
        <v>442</v>
      </c>
      <c r="D146" s="616"/>
      <c r="E146" s="616">
        <v>0</v>
      </c>
      <c r="F146" s="616">
        <f t="shared" si="36"/>
        <v>0</v>
      </c>
      <c r="G146" s="336">
        <f t="shared" si="37"/>
        <v>1</v>
      </c>
      <c r="H146" s="324">
        <f t="shared" si="38"/>
        <v>0.49780000000000002</v>
      </c>
      <c r="I146" s="616">
        <f t="shared" si="39"/>
        <v>0</v>
      </c>
      <c r="K146" s="616">
        <v>0</v>
      </c>
      <c r="L146" s="336">
        <f t="shared" si="33"/>
        <v>1</v>
      </c>
      <c r="M146" s="324">
        <f t="shared" si="34"/>
        <v>0.49780000000000002</v>
      </c>
      <c r="N146" s="616">
        <f t="shared" si="35"/>
        <v>0</v>
      </c>
    </row>
    <row r="147" spans="1:18">
      <c r="A147" s="209">
        <f t="shared" si="26"/>
        <v>133</v>
      </c>
      <c r="B147" s="1046">
        <v>38300</v>
      </c>
      <c r="C147" s="233" t="s">
        <v>1053</v>
      </c>
      <c r="D147" s="616"/>
      <c r="E147" s="616">
        <v>0</v>
      </c>
      <c r="F147" s="616">
        <f t="shared" si="36"/>
        <v>0</v>
      </c>
      <c r="G147" s="336">
        <f t="shared" si="37"/>
        <v>1</v>
      </c>
      <c r="H147" s="324">
        <f t="shared" si="38"/>
        <v>0.49780000000000002</v>
      </c>
      <c r="I147" s="616">
        <f t="shared" si="39"/>
        <v>0</v>
      </c>
      <c r="K147" s="616">
        <v>0</v>
      </c>
      <c r="L147" s="336">
        <f t="shared" si="33"/>
        <v>1</v>
      </c>
      <c r="M147" s="324">
        <f t="shared" si="34"/>
        <v>0.49780000000000002</v>
      </c>
      <c r="N147" s="616">
        <f t="shared" si="35"/>
        <v>0</v>
      </c>
    </row>
    <row r="148" spans="1:18">
      <c r="A148" s="209">
        <f t="shared" ref="A148:A211" si="40">A147+1</f>
        <v>134</v>
      </c>
      <c r="B148" s="1046">
        <v>38400</v>
      </c>
      <c r="C148" s="233" t="s">
        <v>443</v>
      </c>
      <c r="D148" s="616"/>
      <c r="E148" s="616">
        <v>0</v>
      </c>
      <c r="F148" s="616">
        <f t="shared" si="36"/>
        <v>0</v>
      </c>
      <c r="G148" s="336">
        <f t="shared" si="37"/>
        <v>1</v>
      </c>
      <c r="H148" s="324">
        <f t="shared" si="38"/>
        <v>0.49780000000000002</v>
      </c>
      <c r="I148" s="616">
        <f t="shared" si="39"/>
        <v>0</v>
      </c>
      <c r="K148" s="616">
        <v>0</v>
      </c>
      <c r="L148" s="336">
        <f t="shared" si="33"/>
        <v>1</v>
      </c>
      <c r="M148" s="324">
        <f t="shared" si="34"/>
        <v>0.49780000000000002</v>
      </c>
      <c r="N148" s="616">
        <f t="shared" si="35"/>
        <v>0</v>
      </c>
    </row>
    <row r="149" spans="1:18">
      <c r="A149" s="209">
        <f t="shared" si="40"/>
        <v>135</v>
      </c>
      <c r="B149" s="1046">
        <v>38500</v>
      </c>
      <c r="C149" s="233" t="s">
        <v>444</v>
      </c>
      <c r="D149" s="616"/>
      <c r="E149" s="616">
        <v>0</v>
      </c>
      <c r="F149" s="616">
        <f t="shared" si="36"/>
        <v>0</v>
      </c>
      <c r="G149" s="336">
        <f t="shared" si="37"/>
        <v>1</v>
      </c>
      <c r="H149" s="324">
        <f t="shared" si="38"/>
        <v>0.49780000000000002</v>
      </c>
      <c r="I149" s="616">
        <f t="shared" si="39"/>
        <v>0</v>
      </c>
      <c r="K149" s="616">
        <v>0</v>
      </c>
      <c r="L149" s="336">
        <f t="shared" si="33"/>
        <v>1</v>
      </c>
      <c r="M149" s="324">
        <f t="shared" si="34"/>
        <v>0.49780000000000002</v>
      </c>
      <c r="N149" s="616">
        <f t="shared" si="35"/>
        <v>0</v>
      </c>
    </row>
    <row r="150" spans="1:18">
      <c r="A150" s="209">
        <f t="shared" si="40"/>
        <v>136</v>
      </c>
      <c r="B150" s="1046">
        <v>38600</v>
      </c>
      <c r="C150" s="233" t="s">
        <v>106</v>
      </c>
      <c r="D150" s="1045"/>
      <c r="E150" s="1045">
        <v>0</v>
      </c>
      <c r="F150" s="1045">
        <f t="shared" si="36"/>
        <v>0</v>
      </c>
      <c r="G150" s="336">
        <f t="shared" si="37"/>
        <v>1</v>
      </c>
      <c r="H150" s="324">
        <f t="shared" si="38"/>
        <v>0.49780000000000002</v>
      </c>
      <c r="I150" s="1045">
        <f t="shared" si="39"/>
        <v>0</v>
      </c>
      <c r="K150" s="1045">
        <v>0</v>
      </c>
      <c r="L150" s="336">
        <f t="shared" si="33"/>
        <v>1</v>
      </c>
      <c r="M150" s="324">
        <f t="shared" si="34"/>
        <v>0.49780000000000002</v>
      </c>
      <c r="N150" s="1045">
        <f t="shared" si="35"/>
        <v>0</v>
      </c>
    </row>
    <row r="151" spans="1:18">
      <c r="A151" s="209">
        <f t="shared" si="40"/>
        <v>137</v>
      </c>
      <c r="B151" s="1047"/>
      <c r="C151" s="233"/>
      <c r="M151" s="324"/>
    </row>
    <row r="152" spans="1:18">
      <c r="A152" s="209">
        <f t="shared" si="40"/>
        <v>138</v>
      </c>
      <c r="B152" s="1047"/>
      <c r="C152" s="233" t="s">
        <v>300</v>
      </c>
      <c r="D152" s="360">
        <f>SUM(D130:D151)</f>
        <v>0</v>
      </c>
      <c r="E152" s="360">
        <f>SUM(E130:E151)</f>
        <v>0</v>
      </c>
      <c r="F152" s="360">
        <f>SUM(F130:F151)</f>
        <v>0</v>
      </c>
      <c r="I152" s="360">
        <f>SUM(I130:I151)</f>
        <v>0</v>
      </c>
      <c r="K152" s="360">
        <f>SUM(K130:K151)</f>
        <v>0</v>
      </c>
      <c r="M152" s="324"/>
      <c r="N152" s="360">
        <f>SUM(N130:N151)</f>
        <v>0</v>
      </c>
    </row>
    <row r="153" spans="1:18">
      <c r="A153" s="209">
        <f t="shared" si="40"/>
        <v>139</v>
      </c>
      <c r="B153" s="1047"/>
      <c r="C153" s="233"/>
      <c r="M153" s="324"/>
    </row>
    <row r="154" spans="1:18">
      <c r="A154" s="209">
        <f t="shared" si="40"/>
        <v>140</v>
      </c>
      <c r="B154" s="1047"/>
      <c r="C154" s="619" t="s">
        <v>301</v>
      </c>
      <c r="M154" s="324"/>
    </row>
    <row r="155" spans="1:18">
      <c r="A155" s="209">
        <f t="shared" si="40"/>
        <v>141</v>
      </c>
      <c r="B155" s="1046">
        <v>39001</v>
      </c>
      <c r="C155" s="233" t="s">
        <v>540</v>
      </c>
      <c r="D155" s="322">
        <v>179338.52</v>
      </c>
      <c r="E155" s="616">
        <v>0</v>
      </c>
      <c r="F155" s="616">
        <f>D155+E155</f>
        <v>179338.52</v>
      </c>
      <c r="G155" s="336">
        <f>$G$16</f>
        <v>1</v>
      </c>
      <c r="H155" s="324">
        <f>$H$124</f>
        <v>0.49780000000000002</v>
      </c>
      <c r="I155" s="616">
        <f>F155*G155*H155</f>
        <v>89274.715255999996</v>
      </c>
      <c r="K155" s="322">
        <v>179338.52</v>
      </c>
      <c r="L155" s="336">
        <f t="shared" ref="L155:L175" si="41">G155</f>
        <v>1</v>
      </c>
      <c r="M155" s="324">
        <f t="shared" ref="M155:M175" si="42">H155</f>
        <v>0.49780000000000002</v>
      </c>
      <c r="N155" s="616">
        <f t="shared" ref="N155:N175" si="43">K155*L155*M155</f>
        <v>89274.715255999996</v>
      </c>
      <c r="R155" s="423"/>
    </row>
    <row r="156" spans="1:18">
      <c r="A156" s="209">
        <f t="shared" si="40"/>
        <v>142</v>
      </c>
      <c r="B156" s="1046">
        <v>39004</v>
      </c>
      <c r="C156" s="233" t="s">
        <v>445</v>
      </c>
      <c r="D156" s="322">
        <v>15383.91</v>
      </c>
      <c r="E156" s="616">
        <v>0</v>
      </c>
      <c r="F156" s="616">
        <f t="shared" ref="F156:F175" si="44">D156+E156</f>
        <v>15383.91</v>
      </c>
      <c r="G156" s="336">
        <f t="shared" ref="G156:G175" si="45">$G$16</f>
        <v>1</v>
      </c>
      <c r="H156" s="324">
        <f t="shared" ref="H156:H175" si="46">$H$124</f>
        <v>0.49780000000000002</v>
      </c>
      <c r="I156" s="616">
        <f t="shared" ref="I156:I158" si="47">F156*G156*H156</f>
        <v>7658.1103979999998</v>
      </c>
      <c r="K156" s="322">
        <v>15383.910000000002</v>
      </c>
      <c r="L156" s="336">
        <f t="shared" si="41"/>
        <v>1</v>
      </c>
      <c r="M156" s="324">
        <f t="shared" si="42"/>
        <v>0.49780000000000002</v>
      </c>
      <c r="N156" s="616">
        <f t="shared" si="43"/>
        <v>7658.1103980000007</v>
      </c>
      <c r="R156" s="423"/>
    </row>
    <row r="157" spans="1:18">
      <c r="A157" s="209">
        <f t="shared" si="40"/>
        <v>143</v>
      </c>
      <c r="B157" s="1046">
        <v>39009</v>
      </c>
      <c r="C157" s="233" t="s">
        <v>1036</v>
      </c>
      <c r="D157" s="322">
        <v>38834</v>
      </c>
      <c r="E157" s="616">
        <v>0</v>
      </c>
      <c r="F157" s="616">
        <f t="shared" si="44"/>
        <v>38834</v>
      </c>
      <c r="G157" s="336">
        <f t="shared" si="45"/>
        <v>1</v>
      </c>
      <c r="H157" s="324">
        <f t="shared" si="46"/>
        <v>0.49780000000000002</v>
      </c>
      <c r="I157" s="616">
        <f t="shared" si="47"/>
        <v>19331.565200000001</v>
      </c>
      <c r="K157" s="322">
        <v>38834</v>
      </c>
      <c r="L157" s="336">
        <f t="shared" si="41"/>
        <v>1</v>
      </c>
      <c r="M157" s="324">
        <f t="shared" si="42"/>
        <v>0.49780000000000002</v>
      </c>
      <c r="N157" s="616">
        <f t="shared" si="43"/>
        <v>19331.565200000001</v>
      </c>
      <c r="R157" s="423"/>
    </row>
    <row r="158" spans="1:18">
      <c r="A158" s="209">
        <f t="shared" si="40"/>
        <v>144</v>
      </c>
      <c r="B158" s="1046">
        <v>39100</v>
      </c>
      <c r="C158" s="233" t="s">
        <v>779</v>
      </c>
      <c r="D158" s="322">
        <v>53753.13</v>
      </c>
      <c r="E158" s="616">
        <v>0</v>
      </c>
      <c r="F158" s="616">
        <f t="shared" si="44"/>
        <v>53753.13</v>
      </c>
      <c r="G158" s="336">
        <f t="shared" si="45"/>
        <v>1</v>
      </c>
      <c r="H158" s="324">
        <f t="shared" si="46"/>
        <v>0.49780000000000002</v>
      </c>
      <c r="I158" s="616">
        <f t="shared" si="47"/>
        <v>26758.308113999999</v>
      </c>
      <c r="K158" s="322">
        <v>46242.133076923084</v>
      </c>
      <c r="L158" s="336">
        <f t="shared" si="41"/>
        <v>1</v>
      </c>
      <c r="M158" s="324">
        <f t="shared" si="42"/>
        <v>0.49780000000000002</v>
      </c>
      <c r="N158" s="616">
        <f t="shared" si="43"/>
        <v>23019.333845692312</v>
      </c>
      <c r="R158" s="423"/>
    </row>
    <row r="159" spans="1:18">
      <c r="A159" s="209">
        <f t="shared" si="40"/>
        <v>145</v>
      </c>
      <c r="B159" s="1046">
        <v>39101</v>
      </c>
      <c r="C159" s="233" t="s">
        <v>1499</v>
      </c>
      <c r="D159" s="322"/>
      <c r="E159" s="616">
        <v>0</v>
      </c>
      <c r="F159" s="616">
        <f t="shared" si="44"/>
        <v>0</v>
      </c>
      <c r="G159" s="336">
        <f t="shared" si="45"/>
        <v>1</v>
      </c>
      <c r="H159" s="324">
        <f t="shared" si="46"/>
        <v>0.49780000000000002</v>
      </c>
      <c r="I159" s="616">
        <f t="shared" ref="I159:I175" si="48">F159*G159*H159</f>
        <v>0</v>
      </c>
      <c r="K159" s="322"/>
      <c r="L159" s="336">
        <f t="shared" ref="L159:L171" si="49">G159</f>
        <v>1</v>
      </c>
      <c r="M159" s="324">
        <f t="shared" ref="M159:M171" si="50">H159</f>
        <v>0.49780000000000002</v>
      </c>
      <c r="N159" s="616">
        <f t="shared" ref="N159:N171" si="51">K159*L159*M159</f>
        <v>0</v>
      </c>
      <c r="R159" s="423"/>
    </row>
    <row r="160" spans="1:18">
      <c r="A160" s="209">
        <f t="shared" si="40"/>
        <v>146</v>
      </c>
      <c r="B160" s="1046">
        <v>39103</v>
      </c>
      <c r="C160" s="233" t="s">
        <v>780</v>
      </c>
      <c r="D160" s="322"/>
      <c r="E160" s="616">
        <v>0</v>
      </c>
      <c r="F160" s="616">
        <f t="shared" si="44"/>
        <v>0</v>
      </c>
      <c r="G160" s="336">
        <f t="shared" si="45"/>
        <v>1</v>
      </c>
      <c r="H160" s="324">
        <f t="shared" si="46"/>
        <v>0.49780000000000002</v>
      </c>
      <c r="I160" s="616">
        <f t="shared" si="48"/>
        <v>0</v>
      </c>
      <c r="K160" s="322"/>
      <c r="L160" s="336">
        <f t="shared" si="49"/>
        <v>1</v>
      </c>
      <c r="M160" s="324">
        <f t="shared" si="50"/>
        <v>0.49780000000000002</v>
      </c>
      <c r="N160" s="616">
        <f t="shared" si="51"/>
        <v>0</v>
      </c>
      <c r="R160" s="423"/>
    </row>
    <row r="161" spans="1:18">
      <c r="A161" s="209">
        <f t="shared" si="40"/>
        <v>147</v>
      </c>
      <c r="B161" s="1046">
        <v>39200</v>
      </c>
      <c r="C161" s="233" t="s">
        <v>1076</v>
      </c>
      <c r="D161" s="322">
        <v>27284.69</v>
      </c>
      <c r="E161" s="616">
        <v>0</v>
      </c>
      <c r="F161" s="616">
        <f t="shared" si="44"/>
        <v>27284.69</v>
      </c>
      <c r="G161" s="336">
        <f t="shared" si="45"/>
        <v>1</v>
      </c>
      <c r="H161" s="324">
        <f t="shared" si="46"/>
        <v>0.49780000000000002</v>
      </c>
      <c r="I161" s="616">
        <f t="shared" si="48"/>
        <v>13582.318681999999</v>
      </c>
      <c r="K161" s="322">
        <v>27284.69</v>
      </c>
      <c r="L161" s="336">
        <f t="shared" si="49"/>
        <v>1</v>
      </c>
      <c r="M161" s="324">
        <f t="shared" si="50"/>
        <v>0.49780000000000002</v>
      </c>
      <c r="N161" s="616">
        <f t="shared" si="51"/>
        <v>13582.318681999999</v>
      </c>
      <c r="R161" s="423"/>
    </row>
    <row r="162" spans="1:18">
      <c r="A162" s="209">
        <f t="shared" si="40"/>
        <v>148</v>
      </c>
      <c r="B162" s="1046">
        <v>39300</v>
      </c>
      <c r="C162" s="233" t="s">
        <v>649</v>
      </c>
      <c r="D162" s="322"/>
      <c r="E162" s="616">
        <v>0</v>
      </c>
      <c r="F162" s="616">
        <f t="shared" si="44"/>
        <v>0</v>
      </c>
      <c r="G162" s="336">
        <f t="shared" si="45"/>
        <v>1</v>
      </c>
      <c r="H162" s="324">
        <f t="shared" si="46"/>
        <v>0.49780000000000002</v>
      </c>
      <c r="I162" s="616">
        <f t="shared" si="48"/>
        <v>0</v>
      </c>
      <c r="K162" s="322"/>
      <c r="L162" s="336">
        <f t="shared" si="49"/>
        <v>1</v>
      </c>
      <c r="M162" s="324">
        <f t="shared" si="50"/>
        <v>0.49780000000000002</v>
      </c>
      <c r="N162" s="616">
        <f t="shared" si="51"/>
        <v>0</v>
      </c>
      <c r="R162" s="423"/>
    </row>
    <row r="163" spans="1:18">
      <c r="A163" s="209">
        <f t="shared" si="40"/>
        <v>149</v>
      </c>
      <c r="B163" s="1046">
        <v>39400</v>
      </c>
      <c r="C163" s="233" t="s">
        <v>1035</v>
      </c>
      <c r="D163" s="322">
        <v>175867.44</v>
      </c>
      <c r="E163" s="616">
        <v>0</v>
      </c>
      <c r="F163" s="616">
        <f t="shared" si="44"/>
        <v>175867.44</v>
      </c>
      <c r="G163" s="336">
        <f t="shared" si="45"/>
        <v>1</v>
      </c>
      <c r="H163" s="324">
        <f t="shared" si="46"/>
        <v>0.49780000000000002</v>
      </c>
      <c r="I163" s="616">
        <f t="shared" si="48"/>
        <v>87546.811632000012</v>
      </c>
      <c r="K163" s="322">
        <v>175867.43999999997</v>
      </c>
      <c r="L163" s="336">
        <f t="shared" si="49"/>
        <v>1</v>
      </c>
      <c r="M163" s="324">
        <f t="shared" si="50"/>
        <v>0.49780000000000002</v>
      </c>
      <c r="N163" s="616">
        <f t="shared" si="51"/>
        <v>87546.811631999997</v>
      </c>
      <c r="R163" s="423"/>
    </row>
    <row r="164" spans="1:18">
      <c r="A164" s="209">
        <f t="shared" si="40"/>
        <v>150</v>
      </c>
      <c r="B164" s="1046">
        <v>39600</v>
      </c>
      <c r="C164" s="233" t="s">
        <v>541</v>
      </c>
      <c r="D164" s="322">
        <v>20515.689999999999</v>
      </c>
      <c r="E164" s="616">
        <v>0</v>
      </c>
      <c r="F164" s="616">
        <f t="shared" si="44"/>
        <v>20515.689999999999</v>
      </c>
      <c r="G164" s="336">
        <f t="shared" si="45"/>
        <v>1</v>
      </c>
      <c r="H164" s="324">
        <f t="shared" si="46"/>
        <v>0.49780000000000002</v>
      </c>
      <c r="I164" s="616">
        <f t="shared" si="48"/>
        <v>10212.710482</v>
      </c>
      <c r="K164" s="322">
        <v>20515.689999999999</v>
      </c>
      <c r="L164" s="336">
        <f t="shared" si="49"/>
        <v>1</v>
      </c>
      <c r="M164" s="324">
        <f t="shared" si="50"/>
        <v>0.49780000000000002</v>
      </c>
      <c r="N164" s="616">
        <f t="shared" si="51"/>
        <v>10212.710482</v>
      </c>
      <c r="R164" s="423"/>
    </row>
    <row r="165" spans="1:18">
      <c r="A165" s="209">
        <f t="shared" si="40"/>
        <v>151</v>
      </c>
      <c r="B165" s="1046">
        <v>39700</v>
      </c>
      <c r="C165" s="233" t="s">
        <v>440</v>
      </c>
      <c r="D165" s="322">
        <v>37541</v>
      </c>
      <c r="E165" s="616">
        <v>0</v>
      </c>
      <c r="F165" s="616">
        <f t="shared" si="44"/>
        <v>37541</v>
      </c>
      <c r="G165" s="336">
        <f t="shared" si="45"/>
        <v>1</v>
      </c>
      <c r="H165" s="324">
        <f t="shared" si="46"/>
        <v>0.49780000000000002</v>
      </c>
      <c r="I165" s="616">
        <f t="shared" si="48"/>
        <v>18687.909800000001</v>
      </c>
      <c r="K165" s="322">
        <v>37541</v>
      </c>
      <c r="L165" s="336">
        <f t="shared" si="49"/>
        <v>1</v>
      </c>
      <c r="M165" s="324">
        <f t="shared" si="50"/>
        <v>0.49780000000000002</v>
      </c>
      <c r="N165" s="616">
        <f t="shared" si="51"/>
        <v>18687.909800000001</v>
      </c>
      <c r="R165" s="423"/>
    </row>
    <row r="166" spans="1:18">
      <c r="A166" s="209">
        <f t="shared" si="40"/>
        <v>152</v>
      </c>
      <c r="B166" s="1046">
        <v>39701</v>
      </c>
      <c r="C166" s="233" t="s">
        <v>1496</v>
      </c>
      <c r="D166" s="322"/>
      <c r="E166" s="616">
        <v>0</v>
      </c>
      <c r="F166" s="616">
        <f t="shared" si="44"/>
        <v>0</v>
      </c>
      <c r="G166" s="336">
        <f t="shared" si="45"/>
        <v>1</v>
      </c>
      <c r="H166" s="324">
        <f t="shared" si="46"/>
        <v>0.49780000000000002</v>
      </c>
      <c r="I166" s="616">
        <f t="shared" si="48"/>
        <v>0</v>
      </c>
      <c r="K166" s="322"/>
      <c r="L166" s="336">
        <f t="shared" si="49"/>
        <v>1</v>
      </c>
      <c r="M166" s="324">
        <f t="shared" si="50"/>
        <v>0.49780000000000002</v>
      </c>
      <c r="N166" s="616">
        <f t="shared" si="51"/>
        <v>0</v>
      </c>
      <c r="R166" s="423"/>
    </row>
    <row r="167" spans="1:18">
      <c r="A167" s="209">
        <f t="shared" si="40"/>
        <v>153</v>
      </c>
      <c r="B167" s="1046">
        <v>39702</v>
      </c>
      <c r="C167" s="233" t="s">
        <v>1496</v>
      </c>
      <c r="D167" s="322"/>
      <c r="E167" s="616">
        <v>0</v>
      </c>
      <c r="F167" s="616">
        <f t="shared" si="44"/>
        <v>0</v>
      </c>
      <c r="G167" s="336">
        <f t="shared" si="45"/>
        <v>1</v>
      </c>
      <c r="H167" s="324">
        <f t="shared" si="46"/>
        <v>0.49780000000000002</v>
      </c>
      <c r="I167" s="616">
        <f t="shared" si="48"/>
        <v>0</v>
      </c>
      <c r="K167" s="322"/>
      <c r="L167" s="336">
        <f t="shared" si="49"/>
        <v>1</v>
      </c>
      <c r="M167" s="324">
        <f t="shared" si="50"/>
        <v>0.49780000000000002</v>
      </c>
      <c r="N167" s="616">
        <f t="shared" si="51"/>
        <v>0</v>
      </c>
      <c r="R167" s="423"/>
    </row>
    <row r="168" spans="1:18">
      <c r="A168" s="209">
        <f t="shared" si="40"/>
        <v>154</v>
      </c>
      <c r="B168" s="1046">
        <v>39800</v>
      </c>
      <c r="C168" s="233" t="s">
        <v>650</v>
      </c>
      <c r="D168" s="322">
        <v>814166.88</v>
      </c>
      <c r="E168" s="616">
        <v>0</v>
      </c>
      <c r="F168" s="616">
        <f t="shared" si="44"/>
        <v>814166.88</v>
      </c>
      <c r="G168" s="336">
        <f t="shared" si="45"/>
        <v>1</v>
      </c>
      <c r="H168" s="324">
        <f t="shared" si="46"/>
        <v>0.49780000000000002</v>
      </c>
      <c r="I168" s="616">
        <f t="shared" si="48"/>
        <v>405292.272864</v>
      </c>
      <c r="K168" s="322">
        <v>814166.88000000012</v>
      </c>
      <c r="L168" s="336">
        <f t="shared" si="49"/>
        <v>1</v>
      </c>
      <c r="M168" s="324">
        <f t="shared" si="50"/>
        <v>0.49780000000000002</v>
      </c>
      <c r="N168" s="616">
        <f t="shared" si="51"/>
        <v>405292.27286400006</v>
      </c>
      <c r="R168" s="423"/>
    </row>
    <row r="169" spans="1:18">
      <c r="A169" s="209">
        <f t="shared" si="40"/>
        <v>155</v>
      </c>
      <c r="B169" s="1046">
        <v>39900</v>
      </c>
      <c r="C169" s="233" t="s">
        <v>1152</v>
      </c>
      <c r="D169" s="322"/>
      <c r="E169" s="616">
        <v>0</v>
      </c>
      <c r="F169" s="616">
        <f t="shared" si="44"/>
        <v>0</v>
      </c>
      <c r="G169" s="336">
        <f t="shared" si="45"/>
        <v>1</v>
      </c>
      <c r="H169" s="324">
        <f t="shared" si="46"/>
        <v>0.49780000000000002</v>
      </c>
      <c r="I169" s="616">
        <f t="shared" si="48"/>
        <v>0</v>
      </c>
      <c r="K169" s="322"/>
      <c r="L169" s="336">
        <f t="shared" si="49"/>
        <v>1</v>
      </c>
      <c r="M169" s="324">
        <f t="shared" si="50"/>
        <v>0.49780000000000002</v>
      </c>
      <c r="N169" s="616">
        <f t="shared" si="51"/>
        <v>0</v>
      </c>
      <c r="R169" s="423"/>
    </row>
    <row r="170" spans="1:18">
      <c r="A170" s="209">
        <f t="shared" si="40"/>
        <v>156</v>
      </c>
      <c r="B170" s="1046">
        <v>39901</v>
      </c>
      <c r="C170" s="233" t="s">
        <v>474</v>
      </c>
      <c r="D170" s="322"/>
      <c r="E170" s="616">
        <v>0</v>
      </c>
      <c r="F170" s="616">
        <f t="shared" si="44"/>
        <v>0</v>
      </c>
      <c r="G170" s="336">
        <f t="shared" si="45"/>
        <v>1</v>
      </c>
      <c r="H170" s="324">
        <f t="shared" si="46"/>
        <v>0.49780000000000002</v>
      </c>
      <c r="I170" s="616">
        <f t="shared" si="48"/>
        <v>0</v>
      </c>
      <c r="K170" s="322"/>
      <c r="L170" s="336">
        <f t="shared" si="49"/>
        <v>1</v>
      </c>
      <c r="M170" s="324">
        <f t="shared" si="50"/>
        <v>0.49780000000000002</v>
      </c>
      <c r="N170" s="616">
        <f t="shared" si="51"/>
        <v>0</v>
      </c>
      <c r="R170" s="423"/>
    </row>
    <row r="171" spans="1:18">
      <c r="A171" s="209">
        <f t="shared" si="40"/>
        <v>157</v>
      </c>
      <c r="B171" s="1046">
        <v>39902</v>
      </c>
      <c r="C171" s="233" t="s">
        <v>960</v>
      </c>
      <c r="D171" s="322"/>
      <c r="E171" s="616">
        <v>0</v>
      </c>
      <c r="F171" s="616">
        <f t="shared" si="44"/>
        <v>0</v>
      </c>
      <c r="G171" s="336">
        <f t="shared" si="45"/>
        <v>1</v>
      </c>
      <c r="H171" s="324">
        <f t="shared" si="46"/>
        <v>0.49780000000000002</v>
      </c>
      <c r="I171" s="616">
        <f t="shared" si="48"/>
        <v>0</v>
      </c>
      <c r="K171" s="322"/>
      <c r="L171" s="336">
        <f t="shared" si="49"/>
        <v>1</v>
      </c>
      <c r="M171" s="324">
        <f t="shared" si="50"/>
        <v>0.49780000000000002</v>
      </c>
      <c r="N171" s="616">
        <f t="shared" si="51"/>
        <v>0</v>
      </c>
      <c r="R171" s="423"/>
    </row>
    <row r="172" spans="1:18">
      <c r="A172" s="209">
        <f t="shared" si="40"/>
        <v>158</v>
      </c>
      <c r="B172" s="1046">
        <v>39903</v>
      </c>
      <c r="C172" s="233" t="s">
        <v>1003</v>
      </c>
      <c r="D172" s="322"/>
      <c r="E172" s="616">
        <v>0</v>
      </c>
      <c r="F172" s="616">
        <f t="shared" si="44"/>
        <v>0</v>
      </c>
      <c r="G172" s="336">
        <f t="shared" si="45"/>
        <v>1</v>
      </c>
      <c r="H172" s="324">
        <f t="shared" si="46"/>
        <v>0.49780000000000002</v>
      </c>
      <c r="I172" s="616">
        <f t="shared" si="48"/>
        <v>0</v>
      </c>
      <c r="K172" s="322"/>
      <c r="L172" s="336">
        <f t="shared" si="41"/>
        <v>1</v>
      </c>
      <c r="M172" s="324">
        <f t="shared" si="42"/>
        <v>0.49780000000000002</v>
      </c>
      <c r="N172" s="616">
        <f t="shared" si="43"/>
        <v>0</v>
      </c>
      <c r="R172" s="423"/>
    </row>
    <row r="173" spans="1:18">
      <c r="A173" s="209">
        <f t="shared" si="40"/>
        <v>159</v>
      </c>
      <c r="B173" s="1046">
        <v>39906</v>
      </c>
      <c r="C173" s="233" t="s">
        <v>451</v>
      </c>
      <c r="D173" s="322">
        <v>70177.67</v>
      </c>
      <c r="E173" s="616">
        <v>0</v>
      </c>
      <c r="F173" s="616">
        <f t="shared" si="44"/>
        <v>70177.67</v>
      </c>
      <c r="G173" s="336">
        <f t="shared" si="45"/>
        <v>1</v>
      </c>
      <c r="H173" s="324">
        <f t="shared" si="46"/>
        <v>0.49780000000000002</v>
      </c>
      <c r="I173" s="616">
        <f t="shared" si="48"/>
        <v>34934.444126000002</v>
      </c>
      <c r="K173" s="322">
        <v>70177.670000000013</v>
      </c>
      <c r="L173" s="336">
        <f t="shared" si="41"/>
        <v>1</v>
      </c>
      <c r="M173" s="324">
        <f t="shared" si="42"/>
        <v>0.49780000000000002</v>
      </c>
      <c r="N173" s="616">
        <f t="shared" si="43"/>
        <v>34934.444126000009</v>
      </c>
      <c r="R173" s="423"/>
    </row>
    <row r="174" spans="1:18">
      <c r="A174" s="209">
        <f t="shared" si="40"/>
        <v>160</v>
      </c>
      <c r="B174" s="1046">
        <v>39907</v>
      </c>
      <c r="C174" s="233" t="s">
        <v>505</v>
      </c>
      <c r="D174" s="322">
        <v>78585.679999999993</v>
      </c>
      <c r="E174" s="616">
        <v>0</v>
      </c>
      <c r="F174" s="616">
        <f t="shared" si="44"/>
        <v>78585.679999999993</v>
      </c>
      <c r="G174" s="336">
        <f t="shared" si="45"/>
        <v>1</v>
      </c>
      <c r="H174" s="324">
        <f t="shared" si="46"/>
        <v>0.49780000000000002</v>
      </c>
      <c r="I174" s="616">
        <f t="shared" si="48"/>
        <v>39119.951503999997</v>
      </c>
      <c r="K174" s="322">
        <v>75114.89999999998</v>
      </c>
      <c r="L174" s="336">
        <f t="shared" si="41"/>
        <v>1</v>
      </c>
      <c r="M174" s="324">
        <f t="shared" si="42"/>
        <v>0.49780000000000002</v>
      </c>
      <c r="N174" s="616">
        <f t="shared" si="43"/>
        <v>37392.197219999995</v>
      </c>
      <c r="R174" s="423"/>
    </row>
    <row r="175" spans="1:18">
      <c r="A175" s="209">
        <f t="shared" si="40"/>
        <v>161</v>
      </c>
      <c r="B175" s="1046">
        <v>39908</v>
      </c>
      <c r="C175" s="233" t="s">
        <v>179</v>
      </c>
      <c r="D175" s="322">
        <v>828509.36</v>
      </c>
      <c r="E175" s="1045">
        <v>0</v>
      </c>
      <c r="F175" s="1045">
        <f t="shared" si="44"/>
        <v>828509.36</v>
      </c>
      <c r="G175" s="336">
        <f t="shared" si="45"/>
        <v>1</v>
      </c>
      <c r="H175" s="324">
        <f t="shared" si="46"/>
        <v>0.49780000000000002</v>
      </c>
      <c r="I175" s="616">
        <f t="shared" si="48"/>
        <v>412431.959408</v>
      </c>
      <c r="K175" s="322">
        <v>828509.36</v>
      </c>
      <c r="L175" s="336">
        <f t="shared" si="41"/>
        <v>1</v>
      </c>
      <c r="M175" s="324">
        <f t="shared" si="42"/>
        <v>0.49780000000000002</v>
      </c>
      <c r="N175" s="1045">
        <f t="shared" si="43"/>
        <v>412431.959408</v>
      </c>
      <c r="R175" s="423"/>
    </row>
    <row r="176" spans="1:18">
      <c r="A176" s="209">
        <f t="shared" si="40"/>
        <v>162</v>
      </c>
      <c r="B176" s="1047"/>
      <c r="C176" s="233"/>
      <c r="D176" s="618"/>
      <c r="E176" s="618"/>
      <c r="F176" s="618"/>
      <c r="I176" s="618"/>
      <c r="K176" s="618"/>
      <c r="N176" s="618"/>
    </row>
    <row r="177" spans="1:18">
      <c r="A177" s="209">
        <f t="shared" si="40"/>
        <v>163</v>
      </c>
      <c r="B177" s="1047"/>
      <c r="C177" s="233" t="s">
        <v>4</v>
      </c>
      <c r="D177" s="360">
        <f>SUM(D155:D176)</f>
        <v>2339957.9699999997</v>
      </c>
      <c r="E177" s="360">
        <f>SUM(E155:E176)</f>
        <v>0</v>
      </c>
      <c r="F177" s="360">
        <f>SUM(F155:F176)</f>
        <v>2339957.9699999997</v>
      </c>
      <c r="I177" s="322">
        <f>SUM(I155:I176)</f>
        <v>1164831.0774660001</v>
      </c>
      <c r="K177" s="322">
        <f>SUM(K155:K176)</f>
        <v>2328976.193076923</v>
      </c>
      <c r="N177" s="322">
        <f>SUM(N155:N176)</f>
        <v>1159364.3489136924</v>
      </c>
    </row>
    <row r="178" spans="1:18">
      <c r="A178" s="209">
        <f t="shared" si="40"/>
        <v>164</v>
      </c>
      <c r="B178" s="1047"/>
      <c r="C178" s="233"/>
    </row>
    <row r="179" spans="1:18" ht="15.75" thickBot="1">
      <c r="A179" s="209">
        <f t="shared" si="40"/>
        <v>165</v>
      </c>
      <c r="B179" s="1047"/>
      <c r="C179" s="233" t="s">
        <v>1316</v>
      </c>
      <c r="D179" s="1009">
        <f>D127+D152+D177</f>
        <v>3634818.92</v>
      </c>
      <c r="E179" s="1009">
        <f>E127+E152+E177</f>
        <v>0</v>
      </c>
      <c r="F179" s="1009">
        <f>F127+F152+F177</f>
        <v>3634818.92</v>
      </c>
      <c r="I179" s="1009">
        <f>I127+I152+I177</f>
        <v>1809412.8583760001</v>
      </c>
      <c r="K179" s="1009">
        <f>K127+K152+K177</f>
        <v>3623837.1430769227</v>
      </c>
      <c r="N179" s="1009">
        <f>N127+N152+N177</f>
        <v>1803946.1298236924</v>
      </c>
    </row>
    <row r="180" spans="1:18" ht="15.75" thickTop="1">
      <c r="A180" s="209">
        <f t="shared" si="40"/>
        <v>166</v>
      </c>
      <c r="B180" s="1047"/>
      <c r="C180" s="233"/>
      <c r="D180" s="322"/>
      <c r="E180" s="322"/>
      <c r="F180" s="322"/>
      <c r="I180" s="322"/>
    </row>
    <row r="181" spans="1:18">
      <c r="A181" s="209">
        <f t="shared" si="40"/>
        <v>167</v>
      </c>
      <c r="B181" s="1047"/>
      <c r="C181" s="195" t="s">
        <v>749</v>
      </c>
      <c r="D181" s="322">
        <v>-10502.07</v>
      </c>
      <c r="E181" s="322">
        <v>0</v>
      </c>
      <c r="F181" s="322">
        <f>D181+E181</f>
        <v>-10502.07</v>
      </c>
      <c r="G181" s="336">
        <f>$G$16</f>
        <v>1</v>
      </c>
      <c r="H181" s="324">
        <f>$H$124</f>
        <v>0.49780000000000002</v>
      </c>
      <c r="I181" s="322">
        <f>F181*G181*H181</f>
        <v>-5227.9304460000003</v>
      </c>
      <c r="K181" s="322">
        <v>-90639.462307692302</v>
      </c>
      <c r="L181" s="336">
        <f>G181</f>
        <v>1</v>
      </c>
      <c r="M181" s="324">
        <f>H181</f>
        <v>0.49780000000000002</v>
      </c>
      <c r="N181" s="322">
        <f>K181*L181*M181</f>
        <v>-45120.324336769227</v>
      </c>
    </row>
    <row r="182" spans="1:18">
      <c r="A182" s="209">
        <f t="shared" si="40"/>
        <v>168</v>
      </c>
      <c r="B182" s="1047"/>
    </row>
    <row r="183" spans="1:18" ht="15.75">
      <c r="A183" s="209">
        <f t="shared" si="40"/>
        <v>169</v>
      </c>
      <c r="B183" s="1043" t="s">
        <v>8</v>
      </c>
    </row>
    <row r="184" spans="1:18">
      <c r="A184" s="209">
        <f t="shared" si="40"/>
        <v>170</v>
      </c>
      <c r="B184" s="1047"/>
      <c r="H184" s="324"/>
    </row>
    <row r="185" spans="1:18">
      <c r="A185" s="209">
        <f t="shared" si="40"/>
        <v>171</v>
      </c>
      <c r="B185" s="1047"/>
      <c r="C185" s="619" t="s">
        <v>301</v>
      </c>
    </row>
    <row r="186" spans="1:18" ht="14.25" customHeight="1">
      <c r="A186" s="209">
        <f t="shared" si="40"/>
        <v>172</v>
      </c>
      <c r="B186" s="1046">
        <v>39000</v>
      </c>
      <c r="C186" s="233" t="s">
        <v>856</v>
      </c>
      <c r="D186" s="322">
        <v>1411389.93</v>
      </c>
      <c r="E186" s="360">
        <v>0</v>
      </c>
      <c r="F186" s="360">
        <f>D186+E186</f>
        <v>1411389.93</v>
      </c>
      <c r="G186" s="324">
        <f>Allocation!$G$14</f>
        <v>0.104</v>
      </c>
      <c r="H186" s="324">
        <f>Allocation!$H$14</f>
        <v>0.49780000000000002</v>
      </c>
      <c r="I186" s="360">
        <f>F186*G186*H186</f>
        <v>73069.350344015998</v>
      </c>
      <c r="K186" s="322">
        <v>1416390.5792307691</v>
      </c>
      <c r="L186" s="324">
        <f>G186</f>
        <v>0.104</v>
      </c>
      <c r="M186" s="324">
        <f>H186</f>
        <v>0.49780000000000002</v>
      </c>
      <c r="N186" s="360">
        <f>K186*L186*M186</f>
        <v>73328.239955472003</v>
      </c>
      <c r="R186" s="423"/>
    </row>
    <row r="187" spans="1:18">
      <c r="A187" s="209">
        <f t="shared" si="40"/>
        <v>173</v>
      </c>
      <c r="B187" s="1046">
        <v>39005</v>
      </c>
      <c r="C187" s="233" t="s">
        <v>1196</v>
      </c>
      <c r="D187" s="322">
        <v>9187141.9700000007</v>
      </c>
      <c r="E187" s="620">
        <v>0</v>
      </c>
      <c r="F187" s="616">
        <f>D187+E187</f>
        <v>9187141.9700000007</v>
      </c>
      <c r="G187" s="466">
        <v>1</v>
      </c>
      <c r="H187" s="466">
        <f>Allocation!$I$20</f>
        <v>1.570628E-2</v>
      </c>
      <c r="I187" s="616">
        <f>F187*G187*H187</f>
        <v>144295.8241805716</v>
      </c>
      <c r="K187" s="322">
        <v>9187158.2392307688</v>
      </c>
      <c r="L187" s="324">
        <f>G187</f>
        <v>1</v>
      </c>
      <c r="M187" s="324">
        <f t="shared" ref="M187:M221" si="52">H187</f>
        <v>1.570628E-2</v>
      </c>
      <c r="N187" s="616">
        <f t="shared" ref="N187:N223" si="53">K187*L187*M187</f>
        <v>144296.07970966544</v>
      </c>
      <c r="R187" s="423"/>
    </row>
    <row r="188" spans="1:18">
      <c r="A188" s="209">
        <f t="shared" si="40"/>
        <v>174</v>
      </c>
      <c r="B188" s="1046">
        <v>39009</v>
      </c>
      <c r="C188" s="233" t="s">
        <v>1036</v>
      </c>
      <c r="D188" s="322">
        <v>9437418.9199999999</v>
      </c>
      <c r="E188" s="620">
        <v>0</v>
      </c>
      <c r="F188" s="616">
        <f t="shared" ref="F188:F223" si="54">D188+E188</f>
        <v>9437418.9199999999</v>
      </c>
      <c r="G188" s="324">
        <f>G186</f>
        <v>0.104</v>
      </c>
      <c r="H188" s="324">
        <f>H186</f>
        <v>0.49780000000000002</v>
      </c>
      <c r="I188" s="616">
        <f t="shared" ref="I188:I223" si="55">F188*G188*H188</f>
        <v>488586.502391104</v>
      </c>
      <c r="K188" s="322">
        <v>9353360.4846153855</v>
      </c>
      <c r="L188" s="324">
        <f t="shared" ref="L188:L218" si="56">G188</f>
        <v>0.104</v>
      </c>
      <c r="M188" s="324">
        <f t="shared" si="52"/>
        <v>0.49780000000000002</v>
      </c>
      <c r="N188" s="616">
        <f t="shared" si="53"/>
        <v>484234.69632112002</v>
      </c>
      <c r="R188" s="423"/>
    </row>
    <row r="189" spans="1:18">
      <c r="A189" s="209">
        <f t="shared" si="40"/>
        <v>175</v>
      </c>
      <c r="B189" s="1046">
        <v>39020</v>
      </c>
      <c r="C189" s="233" t="s">
        <v>1500</v>
      </c>
      <c r="D189" s="322">
        <v>2116.08</v>
      </c>
      <c r="E189" s="620">
        <v>0</v>
      </c>
      <c r="F189" s="616">
        <f t="shared" si="54"/>
        <v>2116.08</v>
      </c>
      <c r="G189" s="324">
        <f t="shared" ref="G189" si="57">G187</f>
        <v>1</v>
      </c>
      <c r="H189" s="324">
        <f>Allocation!E22</f>
        <v>6.3622429999999994E-2</v>
      </c>
      <c r="I189" s="616">
        <f t="shared" si="55"/>
        <v>134.63015167439997</v>
      </c>
      <c r="K189" s="322">
        <v>2116.08</v>
      </c>
      <c r="L189" s="324">
        <f t="shared" ref="L189:L190" si="58">G189</f>
        <v>1</v>
      </c>
      <c r="M189" s="324">
        <f t="shared" si="52"/>
        <v>6.3622429999999994E-2</v>
      </c>
      <c r="N189" s="616">
        <f t="shared" si="53"/>
        <v>134.63015167439997</v>
      </c>
      <c r="R189" s="423"/>
    </row>
    <row r="190" spans="1:18">
      <c r="A190" s="209">
        <f t="shared" si="40"/>
        <v>176</v>
      </c>
      <c r="B190" s="1046">
        <v>39029</v>
      </c>
      <c r="C190" s="233" t="s">
        <v>1501</v>
      </c>
      <c r="D190" s="322">
        <v>1418.86</v>
      </c>
      <c r="E190" s="620">
        <v>0</v>
      </c>
      <c r="F190" s="616">
        <f t="shared" si="54"/>
        <v>1418.86</v>
      </c>
      <c r="G190" s="324">
        <f t="shared" ref="G190" si="59">G188</f>
        <v>0.104</v>
      </c>
      <c r="H190" s="324">
        <f>H189</f>
        <v>6.3622429999999994E-2</v>
      </c>
      <c r="I190" s="616">
        <f t="shared" si="55"/>
        <v>9.3882173870991981</v>
      </c>
      <c r="K190" s="322">
        <v>1506.9355555555558</v>
      </c>
      <c r="L190" s="324">
        <f t="shared" si="58"/>
        <v>0.104</v>
      </c>
      <c r="M190" s="324">
        <f t="shared" si="52"/>
        <v>6.3622429999999994E-2</v>
      </c>
      <c r="N190" s="616">
        <f t="shared" si="53"/>
        <v>9.9709897973758235</v>
      </c>
      <c r="R190" s="423"/>
    </row>
    <row r="191" spans="1:18">
      <c r="A191" s="209">
        <f t="shared" si="40"/>
        <v>177</v>
      </c>
      <c r="B191" s="1046">
        <v>39100</v>
      </c>
      <c r="C191" s="233" t="s">
        <v>779</v>
      </c>
      <c r="D191" s="322">
        <v>5436256.9500000002</v>
      </c>
      <c r="E191" s="620">
        <v>0</v>
      </c>
      <c r="F191" s="616">
        <f t="shared" si="54"/>
        <v>5436256.9500000002</v>
      </c>
      <c r="G191" s="324">
        <f>G188</f>
        <v>0.104</v>
      </c>
      <c r="H191" s="324">
        <f>H188</f>
        <v>0.49780000000000002</v>
      </c>
      <c r="I191" s="616">
        <f t="shared" si="55"/>
        <v>281441.54580984003</v>
      </c>
      <c r="K191" s="322">
        <v>5218663.6984615391</v>
      </c>
      <c r="L191" s="324">
        <f t="shared" si="56"/>
        <v>0.104</v>
      </c>
      <c r="M191" s="324">
        <f t="shared" si="52"/>
        <v>0.49780000000000002</v>
      </c>
      <c r="N191" s="616">
        <f t="shared" si="53"/>
        <v>270176.48206579202</v>
      </c>
      <c r="R191" s="423"/>
    </row>
    <row r="192" spans="1:18">
      <c r="A192" s="209">
        <f t="shared" si="40"/>
        <v>178</v>
      </c>
      <c r="B192" s="1046">
        <v>39102</v>
      </c>
      <c r="C192" s="233" t="s">
        <v>527</v>
      </c>
      <c r="D192" s="322"/>
      <c r="E192" s="620">
        <v>0</v>
      </c>
      <c r="F192" s="616">
        <f t="shared" si="54"/>
        <v>0</v>
      </c>
      <c r="G192" s="324">
        <f t="shared" ref="G192:G208" si="60">G191</f>
        <v>0.104</v>
      </c>
      <c r="H192" s="324">
        <f t="shared" ref="H192:H193" si="61">H191</f>
        <v>0.49780000000000002</v>
      </c>
      <c r="I192" s="616">
        <f t="shared" si="55"/>
        <v>0</v>
      </c>
      <c r="K192" s="322"/>
      <c r="L192" s="324">
        <f t="shared" si="56"/>
        <v>0.104</v>
      </c>
      <c r="M192" s="324">
        <f t="shared" si="52"/>
        <v>0.49780000000000002</v>
      </c>
      <c r="N192" s="616">
        <f t="shared" si="53"/>
        <v>0</v>
      </c>
      <c r="R192" s="423"/>
    </row>
    <row r="193" spans="1:18">
      <c r="A193" s="209">
        <f t="shared" si="40"/>
        <v>179</v>
      </c>
      <c r="B193" s="1046">
        <v>39103</v>
      </c>
      <c r="C193" s="233" t="s">
        <v>780</v>
      </c>
      <c r="D193" s="322"/>
      <c r="E193" s="620">
        <v>0</v>
      </c>
      <c r="F193" s="616">
        <f t="shared" si="54"/>
        <v>0</v>
      </c>
      <c r="G193" s="324">
        <f t="shared" si="60"/>
        <v>0.104</v>
      </c>
      <c r="H193" s="324">
        <f t="shared" si="61"/>
        <v>0.49780000000000002</v>
      </c>
      <c r="I193" s="616">
        <f t="shared" si="55"/>
        <v>0</v>
      </c>
      <c r="K193" s="322"/>
      <c r="L193" s="324">
        <f t="shared" si="56"/>
        <v>0.104</v>
      </c>
      <c r="M193" s="324">
        <f t="shared" si="52"/>
        <v>0.49780000000000002</v>
      </c>
      <c r="N193" s="616">
        <f t="shared" si="53"/>
        <v>0</v>
      </c>
      <c r="R193" s="423"/>
    </row>
    <row r="194" spans="1:18">
      <c r="A194" s="209">
        <f t="shared" si="40"/>
        <v>180</v>
      </c>
      <c r="B194" s="1046">
        <v>39104</v>
      </c>
      <c r="C194" s="233" t="s">
        <v>1197</v>
      </c>
      <c r="D194" s="322">
        <v>71036.47</v>
      </c>
      <c r="E194" s="620">
        <v>0</v>
      </c>
      <c r="F194" s="616">
        <f t="shared" si="54"/>
        <v>71036.47</v>
      </c>
      <c r="G194" s="466">
        <v>1</v>
      </c>
      <c r="H194" s="466">
        <f>$H$187</f>
        <v>1.570628E-2</v>
      </c>
      <c r="I194" s="616">
        <f t="shared" si="55"/>
        <v>1115.7186880316001</v>
      </c>
      <c r="K194" s="322">
        <v>69352.865384615361</v>
      </c>
      <c r="L194" s="324">
        <f t="shared" ref="L194" si="62">G194</f>
        <v>1</v>
      </c>
      <c r="M194" s="324">
        <f t="shared" si="52"/>
        <v>1.570628E-2</v>
      </c>
      <c r="N194" s="616">
        <f t="shared" si="53"/>
        <v>1089.2755225330766</v>
      </c>
      <c r="R194" s="423"/>
    </row>
    <row r="195" spans="1:18">
      <c r="A195" s="209">
        <f t="shared" si="40"/>
        <v>181</v>
      </c>
      <c r="B195" s="1046">
        <v>39120</v>
      </c>
      <c r="C195" s="233" t="s">
        <v>1502</v>
      </c>
      <c r="D195" s="322">
        <v>263337.89</v>
      </c>
      <c r="E195" s="620">
        <v>0</v>
      </c>
      <c r="F195" s="616">
        <f t="shared" si="54"/>
        <v>263337.89</v>
      </c>
      <c r="G195" s="466">
        <v>1</v>
      </c>
      <c r="H195" s="466">
        <f>Allocation!E22</f>
        <v>6.3622429999999994E-2</v>
      </c>
      <c r="I195" s="616">
        <f t="shared" si="55"/>
        <v>16754.1964728727</v>
      </c>
      <c r="K195" s="322">
        <v>263337.89000000007</v>
      </c>
      <c r="L195" s="324">
        <v>1</v>
      </c>
      <c r="M195" s="324">
        <f t="shared" si="52"/>
        <v>6.3622429999999994E-2</v>
      </c>
      <c r="N195" s="616">
        <f t="shared" si="53"/>
        <v>16754.196472872703</v>
      </c>
      <c r="R195" s="423"/>
    </row>
    <row r="196" spans="1:18">
      <c r="A196" s="209">
        <f t="shared" si="40"/>
        <v>182</v>
      </c>
      <c r="B196" s="1046">
        <v>39200</v>
      </c>
      <c r="C196" s="233" t="s">
        <v>1076</v>
      </c>
      <c r="D196" s="322">
        <v>7125.41</v>
      </c>
      <c r="E196" s="620">
        <v>0</v>
      </c>
      <c r="F196" s="616">
        <f t="shared" si="54"/>
        <v>7125.41</v>
      </c>
      <c r="G196" s="324">
        <f>G193</f>
        <v>0.104</v>
      </c>
      <c r="H196" s="324">
        <f>H193</f>
        <v>0.49780000000000002</v>
      </c>
      <c r="I196" s="616">
        <f t="shared" si="55"/>
        <v>368.89102619200003</v>
      </c>
      <c r="K196" s="322">
        <v>7125.4100000000026</v>
      </c>
      <c r="L196" s="324">
        <f t="shared" si="56"/>
        <v>0.104</v>
      </c>
      <c r="M196" s="324">
        <f t="shared" si="52"/>
        <v>0.49780000000000002</v>
      </c>
      <c r="N196" s="616">
        <f t="shared" si="53"/>
        <v>368.89102619200014</v>
      </c>
      <c r="R196" s="423"/>
    </row>
    <row r="197" spans="1:18">
      <c r="A197" s="209">
        <f t="shared" si="40"/>
        <v>183</v>
      </c>
      <c r="B197" s="1046">
        <v>39300</v>
      </c>
      <c r="C197" s="233" t="s">
        <v>649</v>
      </c>
      <c r="D197" s="322"/>
      <c r="E197" s="620">
        <v>0</v>
      </c>
      <c r="F197" s="616">
        <f t="shared" si="54"/>
        <v>0</v>
      </c>
      <c r="G197" s="324">
        <f t="shared" si="60"/>
        <v>0.104</v>
      </c>
      <c r="H197" s="324">
        <f t="shared" ref="H197:H213" si="63">H196</f>
        <v>0.49780000000000002</v>
      </c>
      <c r="I197" s="616">
        <f t="shared" si="55"/>
        <v>0</v>
      </c>
      <c r="K197" s="322"/>
      <c r="L197" s="324">
        <f t="shared" si="56"/>
        <v>0.104</v>
      </c>
      <c r="M197" s="324">
        <f t="shared" si="52"/>
        <v>0.49780000000000002</v>
      </c>
      <c r="N197" s="616">
        <f t="shared" si="53"/>
        <v>0</v>
      </c>
      <c r="R197" s="423"/>
    </row>
    <row r="198" spans="1:18">
      <c r="A198" s="209">
        <f t="shared" si="40"/>
        <v>184</v>
      </c>
      <c r="B198" s="1046">
        <v>39400</v>
      </c>
      <c r="C198" s="233" t="s">
        <v>1035</v>
      </c>
      <c r="D198" s="322">
        <v>76071.34</v>
      </c>
      <c r="E198" s="620">
        <v>0</v>
      </c>
      <c r="F198" s="616">
        <f t="shared" si="54"/>
        <v>76071.34</v>
      </c>
      <c r="G198" s="324">
        <f t="shared" si="60"/>
        <v>0.104</v>
      </c>
      <c r="H198" s="324">
        <f t="shared" si="63"/>
        <v>0.49780000000000002</v>
      </c>
      <c r="I198" s="616">
        <f t="shared" si="55"/>
        <v>3938.3045574079997</v>
      </c>
      <c r="K198" s="322">
        <v>76071.339999999982</v>
      </c>
      <c r="L198" s="324">
        <f t="shared" si="56"/>
        <v>0.104</v>
      </c>
      <c r="M198" s="324">
        <f t="shared" si="52"/>
        <v>0.49780000000000002</v>
      </c>
      <c r="N198" s="616">
        <f t="shared" si="53"/>
        <v>3938.3045574079993</v>
      </c>
      <c r="R198" s="423"/>
    </row>
    <row r="199" spans="1:18">
      <c r="A199" s="209">
        <f t="shared" si="40"/>
        <v>185</v>
      </c>
      <c r="B199" s="1046">
        <v>39420</v>
      </c>
      <c r="C199" s="233" t="s">
        <v>1503</v>
      </c>
      <c r="D199" s="322"/>
      <c r="E199" s="620">
        <v>0</v>
      </c>
      <c r="F199" s="616">
        <f t="shared" si="54"/>
        <v>0</v>
      </c>
      <c r="G199" s="324">
        <v>1</v>
      </c>
      <c r="H199" s="324">
        <f>H195</f>
        <v>6.3622429999999994E-2</v>
      </c>
      <c r="I199" s="616">
        <f t="shared" si="55"/>
        <v>0</v>
      </c>
      <c r="K199" s="322"/>
      <c r="L199" s="324">
        <v>1</v>
      </c>
      <c r="M199" s="324">
        <f t="shared" si="52"/>
        <v>6.3622429999999994E-2</v>
      </c>
      <c r="N199" s="616">
        <f t="shared" si="53"/>
        <v>0</v>
      </c>
      <c r="R199" s="423"/>
    </row>
    <row r="200" spans="1:18">
      <c r="A200" s="209">
        <f t="shared" si="40"/>
        <v>186</v>
      </c>
      <c r="B200" s="1046">
        <v>39500</v>
      </c>
      <c r="C200" s="233" t="s">
        <v>1198</v>
      </c>
      <c r="D200" s="322"/>
      <c r="E200" s="620">
        <v>0</v>
      </c>
      <c r="F200" s="616">
        <f t="shared" si="54"/>
        <v>0</v>
      </c>
      <c r="G200" s="324">
        <f>G198</f>
        <v>0.104</v>
      </c>
      <c r="H200" s="324">
        <f>H198</f>
        <v>0.49780000000000002</v>
      </c>
      <c r="I200" s="616">
        <f t="shared" si="55"/>
        <v>0</v>
      </c>
      <c r="K200" s="322"/>
      <c r="L200" s="324">
        <f t="shared" si="56"/>
        <v>0.104</v>
      </c>
      <c r="M200" s="324">
        <f t="shared" si="52"/>
        <v>0.49780000000000002</v>
      </c>
      <c r="N200" s="616">
        <f t="shared" si="53"/>
        <v>0</v>
      </c>
      <c r="R200" s="423"/>
    </row>
    <row r="201" spans="1:18">
      <c r="A201" s="209">
        <f t="shared" si="40"/>
        <v>187</v>
      </c>
      <c r="B201" s="1046">
        <v>39700</v>
      </c>
      <c r="C201" s="233" t="s">
        <v>440</v>
      </c>
      <c r="D201" s="322">
        <v>1039344.41</v>
      </c>
      <c r="E201" s="620">
        <v>0</v>
      </c>
      <c r="F201" s="616">
        <f t="shared" si="54"/>
        <v>1039344.41</v>
      </c>
      <c r="G201" s="324">
        <f t="shared" si="60"/>
        <v>0.104</v>
      </c>
      <c r="H201" s="324">
        <f t="shared" si="63"/>
        <v>0.49780000000000002</v>
      </c>
      <c r="I201" s="616">
        <f t="shared" si="55"/>
        <v>53808.107318991999</v>
      </c>
      <c r="K201" s="322">
        <v>1039344.41</v>
      </c>
      <c r="L201" s="324">
        <f t="shared" si="56"/>
        <v>0.104</v>
      </c>
      <c r="M201" s="324">
        <f t="shared" si="52"/>
        <v>0.49780000000000002</v>
      </c>
      <c r="N201" s="616">
        <f t="shared" si="53"/>
        <v>53808.107318991999</v>
      </c>
      <c r="R201" s="423"/>
    </row>
    <row r="202" spans="1:18">
      <c r="A202" s="209">
        <f t="shared" si="40"/>
        <v>188</v>
      </c>
      <c r="B202" s="1046">
        <v>39720</v>
      </c>
      <c r="C202" s="233" t="s">
        <v>1504</v>
      </c>
      <c r="D202" s="322">
        <v>8824.34</v>
      </c>
      <c r="E202" s="620">
        <v>0</v>
      </c>
      <c r="F202" s="616">
        <f t="shared" si="54"/>
        <v>8824.34</v>
      </c>
      <c r="G202" s="324">
        <v>1</v>
      </c>
      <c r="H202" s="324">
        <f>H195</f>
        <v>6.3622429999999994E-2</v>
      </c>
      <c r="I202" s="616">
        <f t="shared" si="55"/>
        <v>561.42595394619991</v>
      </c>
      <c r="K202" s="322">
        <v>8824.3399999999983</v>
      </c>
      <c r="L202" s="324">
        <v>1</v>
      </c>
      <c r="M202" s="324">
        <f t="shared" si="52"/>
        <v>6.3622429999999994E-2</v>
      </c>
      <c r="N202" s="616">
        <f t="shared" si="53"/>
        <v>561.4259539461998</v>
      </c>
      <c r="R202" s="423"/>
    </row>
    <row r="203" spans="1:18">
      <c r="A203" s="209">
        <f t="shared" si="40"/>
        <v>189</v>
      </c>
      <c r="B203" s="1046">
        <v>39800</v>
      </c>
      <c r="C203" s="233" t="s">
        <v>650</v>
      </c>
      <c r="D203" s="322">
        <v>136509.51999999999</v>
      </c>
      <c r="E203" s="620">
        <v>0</v>
      </c>
      <c r="F203" s="616">
        <f t="shared" si="54"/>
        <v>136509.51999999999</v>
      </c>
      <c r="G203" s="324">
        <f>G201</f>
        <v>0.104</v>
      </c>
      <c r="H203" s="324">
        <f>H201</f>
        <v>0.49780000000000002</v>
      </c>
      <c r="I203" s="616">
        <f t="shared" si="55"/>
        <v>7067.261661823999</v>
      </c>
      <c r="K203" s="322">
        <v>136509.51999999999</v>
      </c>
      <c r="L203" s="324">
        <f t="shared" si="56"/>
        <v>0.104</v>
      </c>
      <c r="M203" s="324">
        <f t="shared" si="52"/>
        <v>0.49780000000000002</v>
      </c>
      <c r="N203" s="616">
        <f t="shared" si="53"/>
        <v>7067.261661823999</v>
      </c>
      <c r="R203" s="423"/>
    </row>
    <row r="204" spans="1:18">
      <c r="A204" s="209">
        <f t="shared" si="40"/>
        <v>190</v>
      </c>
      <c r="B204" s="1046">
        <v>39820</v>
      </c>
      <c r="C204" s="233" t="s">
        <v>1505</v>
      </c>
      <c r="D204" s="322">
        <v>7388.39</v>
      </c>
      <c r="E204" s="620">
        <v>0</v>
      </c>
      <c r="F204" s="616">
        <f t="shared" si="54"/>
        <v>7388.39</v>
      </c>
      <c r="G204" s="324">
        <v>1</v>
      </c>
      <c r="H204" s="324">
        <f>H195</f>
        <v>6.3622429999999994E-2</v>
      </c>
      <c r="I204" s="616">
        <f t="shared" si="55"/>
        <v>470.0673255877</v>
      </c>
      <c r="K204" s="322">
        <v>7388.39</v>
      </c>
      <c r="L204" s="324">
        <v>1</v>
      </c>
      <c r="M204" s="324">
        <f t="shared" si="52"/>
        <v>6.3622429999999994E-2</v>
      </c>
      <c r="N204" s="616">
        <f t="shared" si="53"/>
        <v>470.0673255877</v>
      </c>
      <c r="R204" s="423"/>
    </row>
    <row r="205" spans="1:18">
      <c r="A205" s="209">
        <f t="shared" si="40"/>
        <v>191</v>
      </c>
      <c r="B205" s="1046">
        <v>39900</v>
      </c>
      <c r="C205" s="233" t="s">
        <v>1152</v>
      </c>
      <c r="D205" s="322">
        <v>162267.97</v>
      </c>
      <c r="E205" s="620">
        <v>0</v>
      </c>
      <c r="F205" s="616">
        <f t="shared" si="54"/>
        <v>162267.97</v>
      </c>
      <c r="G205" s="324">
        <f>G203</f>
        <v>0.104</v>
      </c>
      <c r="H205" s="324">
        <f>H203</f>
        <v>0.49780000000000002</v>
      </c>
      <c r="I205" s="616">
        <f t="shared" si="55"/>
        <v>8400.8075284639999</v>
      </c>
      <c r="K205" s="322">
        <v>162254.95461538463</v>
      </c>
      <c r="L205" s="324">
        <f t="shared" si="56"/>
        <v>0.104</v>
      </c>
      <c r="M205" s="324">
        <f t="shared" si="52"/>
        <v>0.49780000000000002</v>
      </c>
      <c r="N205" s="616">
        <f t="shared" si="53"/>
        <v>8400.1337063840001</v>
      </c>
      <c r="R205" s="423"/>
    </row>
    <row r="206" spans="1:18">
      <c r="A206" s="209">
        <f t="shared" si="40"/>
        <v>192</v>
      </c>
      <c r="B206" s="1046">
        <v>39901</v>
      </c>
      <c r="C206" s="233" t="s">
        <v>474</v>
      </c>
      <c r="D206" s="322">
        <v>20472392.780000001</v>
      </c>
      <c r="E206" s="620">
        <v>0</v>
      </c>
      <c r="F206" s="616">
        <f t="shared" si="54"/>
        <v>20472392.780000001</v>
      </c>
      <c r="G206" s="324">
        <f t="shared" si="60"/>
        <v>0.104</v>
      </c>
      <c r="H206" s="324">
        <f t="shared" si="63"/>
        <v>0.49780000000000002</v>
      </c>
      <c r="I206" s="616">
        <f t="shared" si="55"/>
        <v>1059880.341091936</v>
      </c>
      <c r="K206" s="322">
        <v>31779771.076153848</v>
      </c>
      <c r="L206" s="324">
        <f t="shared" si="56"/>
        <v>0.104</v>
      </c>
      <c r="M206" s="324">
        <f t="shared" si="52"/>
        <v>0.49780000000000002</v>
      </c>
      <c r="N206" s="616">
        <f t="shared" si="53"/>
        <v>1645276.8843377761</v>
      </c>
      <c r="R206" s="423"/>
    </row>
    <row r="207" spans="1:18">
      <c r="A207" s="209">
        <f t="shared" si="40"/>
        <v>193</v>
      </c>
      <c r="B207" s="1046">
        <v>39902</v>
      </c>
      <c r="C207" s="233" t="s">
        <v>960</v>
      </c>
      <c r="D207" s="322">
        <v>16988209.329999998</v>
      </c>
      <c r="E207" s="620">
        <v>0</v>
      </c>
      <c r="F207" s="616">
        <f t="shared" si="54"/>
        <v>16988209.329999998</v>
      </c>
      <c r="G207" s="324">
        <f t="shared" si="60"/>
        <v>0.104</v>
      </c>
      <c r="H207" s="324">
        <f t="shared" si="63"/>
        <v>0.49780000000000002</v>
      </c>
      <c r="I207" s="616">
        <f t="shared" si="55"/>
        <v>879499.98286529584</v>
      </c>
      <c r="K207" s="322">
        <v>18726620.273846153</v>
      </c>
      <c r="L207" s="324">
        <f t="shared" si="56"/>
        <v>0.104</v>
      </c>
      <c r="M207" s="324">
        <f t="shared" si="52"/>
        <v>0.49780000000000002</v>
      </c>
      <c r="N207" s="616">
        <f t="shared" si="53"/>
        <v>969499.60352134402</v>
      </c>
      <c r="R207" s="423"/>
    </row>
    <row r="208" spans="1:18">
      <c r="A208" s="209">
        <f t="shared" si="40"/>
        <v>194</v>
      </c>
      <c r="B208" s="1046">
        <v>39903</v>
      </c>
      <c r="C208" s="233" t="s">
        <v>1003</v>
      </c>
      <c r="D208" s="322">
        <v>4732586.8899999997</v>
      </c>
      <c r="E208" s="620">
        <v>0</v>
      </c>
      <c r="F208" s="616">
        <f t="shared" si="54"/>
        <v>4732586.8899999997</v>
      </c>
      <c r="G208" s="324">
        <f t="shared" si="60"/>
        <v>0.104</v>
      </c>
      <c r="H208" s="324">
        <f t="shared" si="63"/>
        <v>0.49780000000000002</v>
      </c>
      <c r="I208" s="616">
        <f t="shared" si="55"/>
        <v>245011.70239956796</v>
      </c>
      <c r="K208" s="322">
        <v>3833992.9669230762</v>
      </c>
      <c r="L208" s="324">
        <f t="shared" si="56"/>
        <v>0.104</v>
      </c>
      <c r="M208" s="324">
        <f t="shared" si="52"/>
        <v>0.49780000000000002</v>
      </c>
      <c r="N208" s="616">
        <f t="shared" si="53"/>
        <v>198490.41668916793</v>
      </c>
      <c r="R208" s="423"/>
    </row>
    <row r="209" spans="1:18">
      <c r="A209" s="209">
        <f t="shared" si="40"/>
        <v>195</v>
      </c>
      <c r="B209" s="1046">
        <v>39904</v>
      </c>
      <c r="C209" s="233" t="s">
        <v>1177</v>
      </c>
      <c r="D209" s="322"/>
      <c r="E209" s="620">
        <v>0</v>
      </c>
      <c r="F209" s="616">
        <f t="shared" si="54"/>
        <v>0</v>
      </c>
      <c r="G209" s="324">
        <f t="shared" ref="G209:G213" si="64">G208</f>
        <v>0.104</v>
      </c>
      <c r="H209" s="324">
        <f t="shared" si="63"/>
        <v>0.49780000000000002</v>
      </c>
      <c r="I209" s="616">
        <f t="shared" si="55"/>
        <v>0</v>
      </c>
      <c r="K209" s="322"/>
      <c r="L209" s="324">
        <f t="shared" si="56"/>
        <v>0.104</v>
      </c>
      <c r="M209" s="324">
        <f t="shared" si="52"/>
        <v>0.49780000000000002</v>
      </c>
      <c r="N209" s="616">
        <f t="shared" si="53"/>
        <v>0</v>
      </c>
      <c r="R209" s="423"/>
    </row>
    <row r="210" spans="1:18">
      <c r="A210" s="209">
        <f t="shared" si="40"/>
        <v>196</v>
      </c>
      <c r="B210" s="1046">
        <v>39905</v>
      </c>
      <c r="C210" s="233" t="s">
        <v>497</v>
      </c>
      <c r="D210" s="322"/>
      <c r="E210" s="620">
        <v>0</v>
      </c>
      <c r="F210" s="616">
        <f t="shared" si="54"/>
        <v>0</v>
      </c>
      <c r="G210" s="324">
        <f t="shared" si="64"/>
        <v>0.104</v>
      </c>
      <c r="H210" s="324">
        <f t="shared" si="63"/>
        <v>0.49780000000000002</v>
      </c>
      <c r="I210" s="616">
        <f t="shared" si="55"/>
        <v>0</v>
      </c>
      <c r="K210" s="322"/>
      <c r="L210" s="324">
        <f t="shared" si="56"/>
        <v>0.104</v>
      </c>
      <c r="M210" s="324">
        <f t="shared" si="52"/>
        <v>0.49780000000000002</v>
      </c>
      <c r="N210" s="616">
        <f t="shared" si="53"/>
        <v>0</v>
      </c>
      <c r="R210" s="423"/>
    </row>
    <row r="211" spans="1:18">
      <c r="A211" s="209">
        <f t="shared" si="40"/>
        <v>197</v>
      </c>
      <c r="B211" s="1046">
        <v>39906</v>
      </c>
      <c r="C211" s="233" t="s">
        <v>451</v>
      </c>
      <c r="D211" s="322">
        <v>2290495.25</v>
      </c>
      <c r="E211" s="620">
        <v>0</v>
      </c>
      <c r="F211" s="616">
        <f t="shared" si="54"/>
        <v>2290495.25</v>
      </c>
      <c r="G211" s="324">
        <f t="shared" si="64"/>
        <v>0.104</v>
      </c>
      <c r="H211" s="324">
        <f t="shared" si="63"/>
        <v>0.49780000000000002</v>
      </c>
      <c r="I211" s="616">
        <f t="shared" si="55"/>
        <v>118581.6876868</v>
      </c>
      <c r="K211" s="322">
        <v>2235035.7369230767</v>
      </c>
      <c r="L211" s="324">
        <f t="shared" si="56"/>
        <v>0.104</v>
      </c>
      <c r="M211" s="324">
        <f t="shared" si="52"/>
        <v>0.49780000000000002</v>
      </c>
      <c r="N211" s="616">
        <f t="shared" si="53"/>
        <v>115710.48214339199</v>
      </c>
      <c r="R211" s="423"/>
    </row>
    <row r="212" spans="1:18">
      <c r="A212" s="209">
        <f t="shared" ref="A212:A268" si="65">A211+1</f>
        <v>198</v>
      </c>
      <c r="B212" s="1046">
        <v>39907</v>
      </c>
      <c r="C212" s="233" t="s">
        <v>505</v>
      </c>
      <c r="D212" s="322">
        <v>1487685.7</v>
      </c>
      <c r="E212" s="620">
        <v>0</v>
      </c>
      <c r="F212" s="616">
        <f t="shared" si="54"/>
        <v>1487685.7</v>
      </c>
      <c r="G212" s="324">
        <f t="shared" si="64"/>
        <v>0.104</v>
      </c>
      <c r="H212" s="324">
        <f t="shared" si="63"/>
        <v>0.49780000000000002</v>
      </c>
      <c r="I212" s="616">
        <f t="shared" si="55"/>
        <v>77019.273911839991</v>
      </c>
      <c r="K212" s="322">
        <v>1484010.969230769</v>
      </c>
      <c r="L212" s="324">
        <f t="shared" si="56"/>
        <v>0.104</v>
      </c>
      <c r="M212" s="324">
        <f t="shared" si="52"/>
        <v>0.49780000000000002</v>
      </c>
      <c r="N212" s="616">
        <f t="shared" si="53"/>
        <v>76829.028690239982</v>
      </c>
      <c r="R212" s="423"/>
    </row>
    <row r="213" spans="1:18">
      <c r="A213" s="209">
        <f t="shared" si="65"/>
        <v>199</v>
      </c>
      <c r="B213" s="1046">
        <v>39908</v>
      </c>
      <c r="C213" s="233" t="s">
        <v>179</v>
      </c>
      <c r="D213" s="322">
        <v>71205684.810000002</v>
      </c>
      <c r="E213" s="620">
        <v>0</v>
      </c>
      <c r="F213" s="616">
        <f t="shared" si="54"/>
        <v>71205684.810000002</v>
      </c>
      <c r="G213" s="324">
        <f t="shared" si="64"/>
        <v>0.104</v>
      </c>
      <c r="H213" s="324">
        <f t="shared" si="63"/>
        <v>0.49780000000000002</v>
      </c>
      <c r="I213" s="616">
        <f t="shared" si="55"/>
        <v>3686403.7494354718</v>
      </c>
      <c r="K213" s="322">
        <v>68295927.431538478</v>
      </c>
      <c r="L213" s="324">
        <f t="shared" si="56"/>
        <v>0.104</v>
      </c>
      <c r="M213" s="324">
        <f t="shared" si="52"/>
        <v>0.49780000000000002</v>
      </c>
      <c r="N213" s="616">
        <f t="shared" si="53"/>
        <v>3535762.118243665</v>
      </c>
      <c r="R213" s="423"/>
    </row>
    <row r="214" spans="1:18">
      <c r="A214" s="209">
        <f t="shared" si="65"/>
        <v>200</v>
      </c>
      <c r="B214" s="1046">
        <v>39909</v>
      </c>
      <c r="C214" s="233" t="s">
        <v>342</v>
      </c>
      <c r="D214" s="322">
        <v>39251.620000000003</v>
      </c>
      <c r="E214" s="620">
        <v>0</v>
      </c>
      <c r="F214" s="616">
        <f t="shared" si="54"/>
        <v>39251.620000000003</v>
      </c>
      <c r="G214" s="324">
        <f>G212</f>
        <v>0.104</v>
      </c>
      <c r="H214" s="324">
        <f>H212</f>
        <v>0.49780000000000002</v>
      </c>
      <c r="I214" s="616">
        <f t="shared" si="55"/>
        <v>2032.1034693440001</v>
      </c>
      <c r="K214" s="322">
        <v>39251.620000000003</v>
      </c>
      <c r="L214" s="324">
        <f t="shared" ref="L214" si="66">G214</f>
        <v>0.104</v>
      </c>
      <c r="M214" s="324">
        <f>H214</f>
        <v>0.49780000000000002</v>
      </c>
      <c r="N214" s="616">
        <f t="shared" si="53"/>
        <v>2032.1034693440001</v>
      </c>
      <c r="R214" s="423"/>
    </row>
    <row r="215" spans="1:18">
      <c r="A215" s="209">
        <f t="shared" si="65"/>
        <v>201</v>
      </c>
      <c r="B215" s="1046">
        <v>39921</v>
      </c>
      <c r="C215" s="233" t="s">
        <v>1506</v>
      </c>
      <c r="D215" s="322">
        <v>1063472.95</v>
      </c>
      <c r="E215" s="620">
        <v>0</v>
      </c>
      <c r="F215" s="616">
        <f t="shared" si="54"/>
        <v>1063472.95</v>
      </c>
      <c r="G215" s="324">
        <v>1</v>
      </c>
      <c r="H215" s="324">
        <f>$H$195</f>
        <v>6.3622429999999994E-2</v>
      </c>
      <c r="I215" s="616">
        <f t="shared" si="55"/>
        <v>67660.733318268496</v>
      </c>
      <c r="K215" s="322">
        <v>1475138.91</v>
      </c>
      <c r="L215" s="324">
        <v>1</v>
      </c>
      <c r="M215" s="324">
        <f t="shared" si="52"/>
        <v>6.3622429999999994E-2</v>
      </c>
      <c r="N215" s="616">
        <f t="shared" si="53"/>
        <v>93851.922041751284</v>
      </c>
      <c r="R215" s="423"/>
    </row>
    <row r="216" spans="1:18">
      <c r="A216" s="209">
        <f t="shared" si="65"/>
        <v>202</v>
      </c>
      <c r="B216" s="1046">
        <v>39922</v>
      </c>
      <c r="C216" s="233" t="s">
        <v>1507</v>
      </c>
      <c r="D216" s="322">
        <v>1461672.01</v>
      </c>
      <c r="E216" s="620">
        <v>0</v>
      </c>
      <c r="F216" s="616">
        <f t="shared" si="54"/>
        <v>1461672.01</v>
      </c>
      <c r="G216" s="324">
        <v>1</v>
      </c>
      <c r="H216" s="324">
        <f t="shared" ref="H216:H217" si="67">$H$195</f>
        <v>6.3622429999999994E-2</v>
      </c>
      <c r="I216" s="616">
        <f t="shared" si="55"/>
        <v>92995.125139184296</v>
      </c>
      <c r="K216" s="322">
        <v>1159468.8430769229</v>
      </c>
      <c r="L216" s="324">
        <v>1</v>
      </c>
      <c r="M216" s="324">
        <f t="shared" si="52"/>
        <v>6.3622429999999994E-2</v>
      </c>
      <c r="N216" s="616">
        <f t="shared" si="53"/>
        <v>73768.225305842512</v>
      </c>
      <c r="R216" s="423"/>
    </row>
    <row r="217" spans="1:18">
      <c r="A217" s="209">
        <f t="shared" si="65"/>
        <v>203</v>
      </c>
      <c r="B217" s="1046">
        <v>39923</v>
      </c>
      <c r="C217" s="233" t="s">
        <v>1508</v>
      </c>
      <c r="D217" s="322">
        <v>22205.23</v>
      </c>
      <c r="E217" s="620">
        <v>0</v>
      </c>
      <c r="F217" s="616">
        <f t="shared" si="54"/>
        <v>22205.23</v>
      </c>
      <c r="G217" s="324">
        <v>1</v>
      </c>
      <c r="H217" s="324">
        <f t="shared" si="67"/>
        <v>6.3622429999999994E-2</v>
      </c>
      <c r="I217" s="616">
        <f t="shared" si="55"/>
        <v>1412.7506913088998</v>
      </c>
      <c r="K217" s="322">
        <v>57249.965384615381</v>
      </c>
      <c r="L217" s="324">
        <v>1</v>
      </c>
      <c r="M217" s="324">
        <f t="shared" si="52"/>
        <v>6.3622429999999994E-2</v>
      </c>
      <c r="N217" s="616">
        <f t="shared" si="53"/>
        <v>3642.3819151851148</v>
      </c>
      <c r="R217" s="423"/>
    </row>
    <row r="218" spans="1:18">
      <c r="A218" s="209">
        <f t="shared" si="65"/>
        <v>204</v>
      </c>
      <c r="B218" s="1046">
        <v>39924</v>
      </c>
      <c r="C218" s="233" t="s">
        <v>1389</v>
      </c>
      <c r="D218" s="322"/>
      <c r="E218" s="620">
        <v>0</v>
      </c>
      <c r="F218" s="616">
        <f t="shared" si="54"/>
        <v>0</v>
      </c>
      <c r="G218" s="324">
        <f>G213</f>
        <v>0.104</v>
      </c>
      <c r="H218" s="324">
        <f>H213</f>
        <v>0.49780000000000002</v>
      </c>
      <c r="I218" s="616">
        <f t="shared" si="55"/>
        <v>0</v>
      </c>
      <c r="K218" s="322"/>
      <c r="L218" s="324">
        <f t="shared" si="56"/>
        <v>0.104</v>
      </c>
      <c r="M218" s="324">
        <f t="shared" si="52"/>
        <v>0.49780000000000002</v>
      </c>
      <c r="N218" s="616">
        <f t="shared" si="53"/>
        <v>0</v>
      </c>
      <c r="R218" s="423"/>
    </row>
    <row r="219" spans="1:18">
      <c r="A219" s="209">
        <f t="shared" si="65"/>
        <v>205</v>
      </c>
      <c r="B219" s="1046">
        <v>39926</v>
      </c>
      <c r="C219" s="233" t="s">
        <v>1517</v>
      </c>
      <c r="D219" s="322">
        <v>314379.42</v>
      </c>
      <c r="E219" s="620">
        <v>0</v>
      </c>
      <c r="F219" s="616">
        <f t="shared" si="54"/>
        <v>314379.42</v>
      </c>
      <c r="G219" s="324">
        <v>1</v>
      </c>
      <c r="H219" s="324">
        <f>$H$217</f>
        <v>6.3622429999999994E-2</v>
      </c>
      <c r="I219" s="616">
        <f t="shared" si="55"/>
        <v>20001.582642390596</v>
      </c>
      <c r="K219" s="322">
        <v>314379.42</v>
      </c>
      <c r="L219" s="324">
        <v>1</v>
      </c>
      <c r="M219" s="324">
        <f t="shared" si="52"/>
        <v>6.3622429999999994E-2</v>
      </c>
      <c r="N219" s="616">
        <f t="shared" si="53"/>
        <v>20001.582642390596</v>
      </c>
      <c r="R219" s="423"/>
    </row>
    <row r="220" spans="1:18">
      <c r="A220" s="209">
        <f t="shared" si="65"/>
        <v>206</v>
      </c>
      <c r="B220" s="1046">
        <v>39928</v>
      </c>
      <c r="C220" s="233" t="s">
        <v>1518</v>
      </c>
      <c r="D220" s="322">
        <v>20681359.809999999</v>
      </c>
      <c r="E220" s="620">
        <v>0</v>
      </c>
      <c r="F220" s="616">
        <f t="shared" si="54"/>
        <v>20681359.809999999</v>
      </c>
      <c r="G220" s="324">
        <v>1</v>
      </c>
      <c r="H220" s="324">
        <f t="shared" ref="H220" si="68">$H$217</f>
        <v>6.3622429999999994E-2</v>
      </c>
      <c r="I220" s="616">
        <f t="shared" si="55"/>
        <v>1315798.3668165382</v>
      </c>
      <c r="K220" s="322">
        <v>21111794.754615385</v>
      </c>
      <c r="L220" s="324">
        <v>1</v>
      </c>
      <c r="M220" s="324">
        <f t="shared" si="52"/>
        <v>6.3622429999999994E-2</v>
      </c>
      <c r="N220" s="616">
        <f t="shared" si="53"/>
        <v>1343183.6839498845</v>
      </c>
      <c r="R220" s="423"/>
    </row>
    <row r="221" spans="1:18">
      <c r="A221" s="209">
        <f t="shared" si="65"/>
        <v>207</v>
      </c>
      <c r="B221" s="1046">
        <v>39931</v>
      </c>
      <c r="C221" s="233" t="s">
        <v>1519</v>
      </c>
      <c r="D221" s="322">
        <v>297266.61</v>
      </c>
      <c r="E221" s="620">
        <v>0</v>
      </c>
      <c r="F221" s="616">
        <f t="shared" si="54"/>
        <v>297266.61</v>
      </c>
      <c r="G221" s="324">
        <v>1</v>
      </c>
      <c r="H221" s="324">
        <f>Allocation!$E$23</f>
        <v>0</v>
      </c>
      <c r="I221" s="616">
        <f t="shared" si="55"/>
        <v>0</v>
      </c>
      <c r="K221" s="322">
        <v>297266.60999999993</v>
      </c>
      <c r="L221" s="324">
        <v>1</v>
      </c>
      <c r="M221" s="324">
        <f t="shared" si="52"/>
        <v>0</v>
      </c>
      <c r="N221" s="616">
        <f t="shared" si="53"/>
        <v>0</v>
      </c>
      <c r="R221" s="423"/>
    </row>
    <row r="222" spans="1:18">
      <c r="A222" s="209">
        <f t="shared" si="65"/>
        <v>208</v>
      </c>
      <c r="B222" s="1046">
        <v>39932</v>
      </c>
      <c r="C222" s="233" t="s">
        <v>1520</v>
      </c>
      <c r="D222" s="322">
        <v>345729.64</v>
      </c>
      <c r="E222" s="620">
        <v>0</v>
      </c>
      <c r="F222" s="616">
        <f t="shared" si="54"/>
        <v>345729.64</v>
      </c>
      <c r="G222" s="324">
        <v>1</v>
      </c>
      <c r="H222" s="324">
        <f>Allocation!$E$23</f>
        <v>0</v>
      </c>
      <c r="I222" s="616">
        <f t="shared" si="55"/>
        <v>0</v>
      </c>
      <c r="K222" s="322">
        <v>345729.64000000007</v>
      </c>
      <c r="L222" s="324">
        <v>1</v>
      </c>
      <c r="M222" s="324">
        <f t="shared" ref="M222:M223" si="69">H222</f>
        <v>0</v>
      </c>
      <c r="N222" s="616">
        <f t="shared" si="53"/>
        <v>0</v>
      </c>
      <c r="R222" s="423"/>
    </row>
    <row r="223" spans="1:18">
      <c r="A223" s="209">
        <f t="shared" si="65"/>
        <v>209</v>
      </c>
      <c r="B223" s="1046">
        <v>39938</v>
      </c>
      <c r="C223" s="233" t="s">
        <v>1521</v>
      </c>
      <c r="D223" s="322">
        <v>19553370.460000001</v>
      </c>
      <c r="E223" s="620">
        <v>0</v>
      </c>
      <c r="F223" s="616">
        <f t="shared" si="54"/>
        <v>19553370.460000001</v>
      </c>
      <c r="G223" s="324">
        <v>1</v>
      </c>
      <c r="H223" s="324">
        <f>Allocation!$E$23</f>
        <v>0</v>
      </c>
      <c r="I223" s="616">
        <f t="shared" si="55"/>
        <v>0</v>
      </c>
      <c r="K223" s="322">
        <v>17951012.507692311</v>
      </c>
      <c r="L223" s="324">
        <v>1</v>
      </c>
      <c r="M223" s="324">
        <f t="shared" si="69"/>
        <v>0</v>
      </c>
      <c r="N223" s="616">
        <f t="shared" si="53"/>
        <v>0</v>
      </c>
      <c r="R223" s="423"/>
    </row>
    <row r="224" spans="1:18">
      <c r="A224" s="209">
        <f t="shared" si="65"/>
        <v>210</v>
      </c>
      <c r="B224" s="1047"/>
      <c r="C224" s="233"/>
      <c r="D224" s="618"/>
      <c r="E224" s="618"/>
      <c r="F224" s="618"/>
      <c r="H224" s="324"/>
      <c r="K224" s="618"/>
      <c r="N224" s="618"/>
    </row>
    <row r="225" spans="1:18" ht="15.75" thickBot="1">
      <c r="A225" s="209">
        <f t="shared" si="65"/>
        <v>211</v>
      </c>
      <c r="B225" s="1047"/>
      <c r="C225" s="233" t="s">
        <v>1318</v>
      </c>
      <c r="D225" s="511">
        <f>SUM(D186:D223)</f>
        <v>188203410.95999995</v>
      </c>
      <c r="E225" s="511">
        <f>SUM(E186:E223)</f>
        <v>0</v>
      </c>
      <c r="F225" s="511">
        <f>SUM(F186:F223)</f>
        <v>188203410.95999995</v>
      </c>
      <c r="G225" s="1025"/>
      <c r="H225" s="1025"/>
      <c r="I225" s="511">
        <f>SUM(I186:I223)</f>
        <v>8646319.4210958574</v>
      </c>
      <c r="J225" s="806"/>
      <c r="K225" s="511">
        <f>SUM(K186:K223)</f>
        <v>196056055.86247864</v>
      </c>
      <c r="L225" s="1025"/>
      <c r="M225" s="1025"/>
      <c r="N225" s="511">
        <f>SUM(N186:N223)</f>
        <v>9142686.1956892423</v>
      </c>
    </row>
    <row r="226" spans="1:18" ht="15.75" thickTop="1">
      <c r="A226" s="209">
        <f t="shared" si="65"/>
        <v>212</v>
      </c>
      <c r="B226" s="1047"/>
      <c r="C226" s="233"/>
      <c r="D226" s="322"/>
      <c r="E226" s="322"/>
      <c r="F226" s="322"/>
      <c r="I226" s="322"/>
    </row>
    <row r="227" spans="1:18">
      <c r="A227" s="209">
        <f t="shared" si="65"/>
        <v>213</v>
      </c>
      <c r="B227" s="1047"/>
      <c r="C227" s="195" t="s">
        <v>749</v>
      </c>
      <c r="D227" s="322">
        <v>13621396.35</v>
      </c>
      <c r="E227" s="322">
        <v>0</v>
      </c>
      <c r="F227" s="322">
        <f>D227+E227</f>
        <v>13621396.35</v>
      </c>
      <c r="G227" s="324">
        <f>G218</f>
        <v>0.104</v>
      </c>
      <c r="H227" s="324">
        <f>H218</f>
        <v>0.49780000000000002</v>
      </c>
      <c r="I227" s="322">
        <f>F227*G227*H227</f>
        <v>705196.03471511998</v>
      </c>
      <c r="K227" s="322">
        <v>13608803.748461537</v>
      </c>
      <c r="L227" s="324">
        <f>G227</f>
        <v>0.104</v>
      </c>
      <c r="M227" s="324">
        <f>H227</f>
        <v>0.49780000000000002</v>
      </c>
      <c r="N227" s="322">
        <f>K227*L227*M227</f>
        <v>704544.10062235198</v>
      </c>
    </row>
    <row r="228" spans="1:18">
      <c r="A228" s="209">
        <f t="shared" si="65"/>
        <v>214</v>
      </c>
      <c r="B228" s="1047"/>
    </row>
    <row r="229" spans="1:18" ht="15.75">
      <c r="A229" s="209">
        <f t="shared" si="65"/>
        <v>215</v>
      </c>
      <c r="B229" s="1043" t="s">
        <v>9</v>
      </c>
    </row>
    <row r="230" spans="1:18">
      <c r="A230" s="209">
        <f t="shared" si="65"/>
        <v>216</v>
      </c>
      <c r="B230" s="1047"/>
    </row>
    <row r="231" spans="1:18">
      <c r="A231" s="209">
        <f t="shared" si="65"/>
        <v>217</v>
      </c>
      <c r="B231" s="1047"/>
      <c r="C231" s="619" t="s">
        <v>301</v>
      </c>
    </row>
    <row r="232" spans="1:18">
      <c r="A232" s="209">
        <f t="shared" si="65"/>
        <v>218</v>
      </c>
      <c r="B232" s="1046">
        <v>38900</v>
      </c>
      <c r="C232" s="233" t="s">
        <v>292</v>
      </c>
      <c r="D232" s="322">
        <v>2874239.86</v>
      </c>
      <c r="E232" s="360">
        <v>0</v>
      </c>
      <c r="F232" s="360">
        <f>D232+E232</f>
        <v>2874239.86</v>
      </c>
      <c r="G232" s="324">
        <f>Allocation!$G$15</f>
        <v>0.1095</v>
      </c>
      <c r="H232" s="324">
        <f>Allocation!$H$15</f>
        <v>0.51517972406888612</v>
      </c>
      <c r="I232" s="360">
        <f>F232*G232*H232</f>
        <v>162142.13572909404</v>
      </c>
      <c r="K232" s="322">
        <v>2874239.86</v>
      </c>
      <c r="L232" s="324">
        <f>G232</f>
        <v>0.1095</v>
      </c>
      <c r="M232" s="324">
        <f>H232</f>
        <v>0.51517972406888612</v>
      </c>
      <c r="N232" s="360">
        <f>K232*L232*M232</f>
        <v>162142.13572909404</v>
      </c>
      <c r="P232" s="1046"/>
      <c r="R232" s="423"/>
    </row>
    <row r="233" spans="1:18">
      <c r="A233" s="209">
        <f t="shared" si="65"/>
        <v>219</v>
      </c>
      <c r="B233" s="1046">
        <v>38910</v>
      </c>
      <c r="C233" s="233" t="s">
        <v>1199</v>
      </c>
      <c r="D233" s="322">
        <v>1886442.92</v>
      </c>
      <c r="E233" s="616">
        <v>0</v>
      </c>
      <c r="F233" s="617">
        <f>D233+E233</f>
        <v>1886442.92</v>
      </c>
      <c r="G233" s="466">
        <v>1</v>
      </c>
      <c r="H233" s="466">
        <f>Allocation!$I$21</f>
        <v>2.3186160000000001E-2</v>
      </c>
      <c r="I233" s="616">
        <f>F233*G233*H233</f>
        <v>43739.367373987203</v>
      </c>
      <c r="K233" s="322">
        <v>1886442.9200000006</v>
      </c>
      <c r="L233" s="324">
        <f>G233</f>
        <v>1</v>
      </c>
      <c r="M233" s="324">
        <f>H233</f>
        <v>2.3186160000000001E-2</v>
      </c>
      <c r="N233" s="616">
        <f>K233*L233*M233</f>
        <v>43739.367373987217</v>
      </c>
      <c r="P233" s="1046"/>
      <c r="R233" s="423"/>
    </row>
    <row r="234" spans="1:18">
      <c r="A234" s="209">
        <f t="shared" si="65"/>
        <v>220</v>
      </c>
      <c r="B234" s="1046">
        <v>39000</v>
      </c>
      <c r="C234" s="233" t="s">
        <v>856</v>
      </c>
      <c r="D234" s="322">
        <v>12731367.16</v>
      </c>
      <c r="E234" s="616">
        <v>0</v>
      </c>
      <c r="F234" s="617">
        <f t="shared" ref="F234:F255" si="70">D234+E234</f>
        <v>12731367.16</v>
      </c>
      <c r="G234" s="324">
        <f>$G$232</f>
        <v>0.1095</v>
      </c>
      <c r="H234" s="324">
        <f>$H$232</f>
        <v>0.51517972406888612</v>
      </c>
      <c r="I234" s="616">
        <f t="shared" ref="I234:I260" si="71">F234*G234*H234</f>
        <v>718204.17314567836</v>
      </c>
      <c r="K234" s="322">
        <v>12683475.630769227</v>
      </c>
      <c r="L234" s="324">
        <f t="shared" ref="L234:L255" si="72">G234</f>
        <v>0.1095</v>
      </c>
      <c r="M234" s="324">
        <f t="shared" ref="M234:M255" si="73">H234</f>
        <v>0.51517972406888612</v>
      </c>
      <c r="N234" s="616">
        <f t="shared" ref="N234:N260" si="74">K234*L234*M234</f>
        <v>715502.50758850749</v>
      </c>
      <c r="P234" s="1046"/>
      <c r="R234" s="423"/>
    </row>
    <row r="235" spans="1:18">
      <c r="A235" s="209">
        <f t="shared" si="65"/>
        <v>221</v>
      </c>
      <c r="B235" s="1046">
        <v>39009</v>
      </c>
      <c r="C235" s="233" t="s">
        <v>1036</v>
      </c>
      <c r="D235" s="322">
        <v>2820613.55</v>
      </c>
      <c r="E235" s="616">
        <v>0</v>
      </c>
      <c r="F235" s="617">
        <f t="shared" si="70"/>
        <v>2820613.55</v>
      </c>
      <c r="G235" s="324">
        <f>$G$232</f>
        <v>0.1095</v>
      </c>
      <c r="H235" s="324">
        <f>$H$232</f>
        <v>0.51517972406888612</v>
      </c>
      <c r="I235" s="616">
        <f t="shared" si="71"/>
        <v>159116.95868813875</v>
      </c>
      <c r="K235" s="322">
        <v>2820613.55</v>
      </c>
      <c r="L235" s="324">
        <f t="shared" si="72"/>
        <v>0.1095</v>
      </c>
      <c r="M235" s="324">
        <f t="shared" si="73"/>
        <v>0.51517972406888612</v>
      </c>
      <c r="N235" s="616">
        <f t="shared" si="74"/>
        <v>159116.95868813875</v>
      </c>
      <c r="P235" s="1046"/>
      <c r="R235" s="423"/>
    </row>
    <row r="236" spans="1:18">
      <c r="A236" s="209">
        <f t="shared" si="65"/>
        <v>222</v>
      </c>
      <c r="B236" s="1046">
        <v>39010</v>
      </c>
      <c r="C236" s="233" t="s">
        <v>1200</v>
      </c>
      <c r="D236" s="322">
        <v>12505540.800000001</v>
      </c>
      <c r="E236" s="616">
        <v>0</v>
      </c>
      <c r="F236" s="617">
        <f t="shared" ref="F236" si="75">D236+E236</f>
        <v>12505540.800000001</v>
      </c>
      <c r="G236" s="466">
        <v>1</v>
      </c>
      <c r="H236" s="466">
        <f>$H$233</f>
        <v>2.3186160000000001E-2</v>
      </c>
      <c r="I236" s="616">
        <f t="shared" si="71"/>
        <v>289955.46987532801</v>
      </c>
      <c r="K236" s="322">
        <v>12364890.05692308</v>
      </c>
      <c r="L236" s="324">
        <f t="shared" ref="L236" si="76">G236</f>
        <v>1</v>
      </c>
      <c r="M236" s="324">
        <f t="shared" ref="M236" si="77">H236</f>
        <v>2.3186160000000001E-2</v>
      </c>
      <c r="N236" s="616">
        <f t="shared" si="74"/>
        <v>286694.31924222765</v>
      </c>
      <c r="P236" s="1046"/>
      <c r="R236" s="423"/>
    </row>
    <row r="237" spans="1:18">
      <c r="A237" s="209">
        <f t="shared" si="65"/>
        <v>223</v>
      </c>
      <c r="B237" s="1046">
        <v>39100</v>
      </c>
      <c r="C237" s="233" t="s">
        <v>779</v>
      </c>
      <c r="D237" s="322">
        <v>2395182.5699999998</v>
      </c>
      <c r="E237" s="616">
        <v>0</v>
      </c>
      <c r="F237" s="617">
        <f t="shared" si="70"/>
        <v>2395182.5699999998</v>
      </c>
      <c r="G237" s="324">
        <f>$G$232</f>
        <v>0.1095</v>
      </c>
      <c r="H237" s="324">
        <f>$H$232</f>
        <v>0.51517972406888612</v>
      </c>
      <c r="I237" s="616">
        <f t="shared" si="71"/>
        <v>135117.46975803899</v>
      </c>
      <c r="K237" s="322">
        <v>2384630.4023076924</v>
      </c>
      <c r="L237" s="324">
        <f t="shared" si="72"/>
        <v>0.1095</v>
      </c>
      <c r="M237" s="324">
        <f t="shared" si="73"/>
        <v>0.51517972406888612</v>
      </c>
      <c r="N237" s="616">
        <f t="shared" si="74"/>
        <v>134522.19897705334</v>
      </c>
      <c r="P237" s="1046"/>
      <c r="R237" s="423"/>
    </row>
    <row r="238" spans="1:18">
      <c r="A238" s="209">
        <f t="shared" si="65"/>
        <v>224</v>
      </c>
      <c r="B238" s="1046">
        <v>39101</v>
      </c>
      <c r="C238" s="233" t="s">
        <v>1499</v>
      </c>
      <c r="D238" s="322"/>
      <c r="E238" s="616">
        <v>0</v>
      </c>
      <c r="F238" s="617">
        <f t="shared" si="70"/>
        <v>0</v>
      </c>
      <c r="G238" s="324">
        <f t="shared" ref="G238:G239" si="78">$G$232</f>
        <v>0.1095</v>
      </c>
      <c r="H238" s="324">
        <f t="shared" ref="H238:H239" si="79">$H$232</f>
        <v>0.51517972406888612</v>
      </c>
      <c r="I238" s="616">
        <f t="shared" si="71"/>
        <v>0</v>
      </c>
      <c r="K238" s="322"/>
      <c r="L238" s="324">
        <f t="shared" ref="L238:L239" si="80">G238</f>
        <v>0.1095</v>
      </c>
      <c r="M238" s="324">
        <f t="shared" ref="M238:M239" si="81">H238</f>
        <v>0.51517972406888612</v>
      </c>
      <c r="N238" s="616">
        <f t="shared" si="74"/>
        <v>0</v>
      </c>
      <c r="P238" s="1046"/>
      <c r="R238" s="423"/>
    </row>
    <row r="239" spans="1:18">
      <c r="A239" s="209">
        <f t="shared" si="65"/>
        <v>225</v>
      </c>
      <c r="B239" s="1046">
        <v>39102</v>
      </c>
      <c r="C239" s="233" t="s">
        <v>1509</v>
      </c>
      <c r="D239" s="322"/>
      <c r="E239" s="616">
        <v>0</v>
      </c>
      <c r="F239" s="617">
        <f t="shared" si="70"/>
        <v>0</v>
      </c>
      <c r="G239" s="324">
        <f t="shared" si="78"/>
        <v>0.1095</v>
      </c>
      <c r="H239" s="324">
        <f t="shared" si="79"/>
        <v>0.51517972406888612</v>
      </c>
      <c r="I239" s="616">
        <f t="shared" si="71"/>
        <v>0</v>
      </c>
      <c r="K239" s="322"/>
      <c r="L239" s="324">
        <f t="shared" si="80"/>
        <v>0.1095</v>
      </c>
      <c r="M239" s="324">
        <f t="shared" si="81"/>
        <v>0.51517972406888612</v>
      </c>
      <c r="N239" s="616">
        <f t="shared" si="74"/>
        <v>0</v>
      </c>
      <c r="P239" s="1046"/>
      <c r="R239" s="423"/>
    </row>
    <row r="240" spans="1:18">
      <c r="A240" s="209">
        <f t="shared" si="65"/>
        <v>226</v>
      </c>
      <c r="B240" s="1046">
        <v>39103</v>
      </c>
      <c r="C240" s="233" t="s">
        <v>1320</v>
      </c>
      <c r="D240" s="322"/>
      <c r="E240" s="616">
        <v>0</v>
      </c>
      <c r="F240" s="617">
        <f t="shared" ref="F240:F244" si="82">D240+E240</f>
        <v>0</v>
      </c>
      <c r="G240" s="324">
        <f>$G$232</f>
        <v>0.1095</v>
      </c>
      <c r="H240" s="324">
        <f>$H$232</f>
        <v>0.51517972406888612</v>
      </c>
      <c r="I240" s="616">
        <f t="shared" si="71"/>
        <v>0</v>
      </c>
      <c r="K240" s="322"/>
      <c r="L240" s="324">
        <f t="shared" ref="L240:L241" si="83">G240</f>
        <v>0.1095</v>
      </c>
      <c r="M240" s="324">
        <f t="shared" ref="M240:M241" si="84">H240</f>
        <v>0.51517972406888612</v>
      </c>
      <c r="N240" s="616">
        <f t="shared" si="74"/>
        <v>0</v>
      </c>
      <c r="P240" s="1046"/>
      <c r="R240" s="423"/>
    </row>
    <row r="241" spans="1:18">
      <c r="A241" s="209">
        <f t="shared" si="65"/>
        <v>227</v>
      </c>
      <c r="B241" s="1046">
        <v>39110</v>
      </c>
      <c r="C241" s="233" t="s">
        <v>1510</v>
      </c>
      <c r="D241" s="322">
        <v>467518.93</v>
      </c>
      <c r="E241" s="616">
        <v>0</v>
      </c>
      <c r="F241" s="617">
        <f t="shared" si="82"/>
        <v>467518.93</v>
      </c>
      <c r="G241" s="466">
        <v>1</v>
      </c>
      <c r="H241" s="466">
        <f>$H$233</f>
        <v>2.3186160000000001E-2</v>
      </c>
      <c r="I241" s="616">
        <f t="shared" si="71"/>
        <v>10839.968714008801</v>
      </c>
      <c r="K241" s="322">
        <v>412297.96692307695</v>
      </c>
      <c r="L241" s="324">
        <f t="shared" si="83"/>
        <v>1</v>
      </c>
      <c r="M241" s="324">
        <f t="shared" si="84"/>
        <v>2.3186160000000001E-2</v>
      </c>
      <c r="N241" s="616">
        <f t="shared" si="74"/>
        <v>9559.6066287531703</v>
      </c>
      <c r="P241" s="1046"/>
      <c r="R241" s="423"/>
    </row>
    <row r="242" spans="1:18">
      <c r="A242" s="209">
        <f t="shared" si="65"/>
        <v>228</v>
      </c>
      <c r="B242" s="1046">
        <v>39210</v>
      </c>
      <c r="C242" s="233" t="s">
        <v>1511</v>
      </c>
      <c r="D242" s="322">
        <v>96290.22</v>
      </c>
      <c r="E242" s="616">
        <v>0</v>
      </c>
      <c r="F242" s="617">
        <f t="shared" si="82"/>
        <v>96290.22</v>
      </c>
      <c r="G242" s="466">
        <v>1</v>
      </c>
      <c r="H242" s="466">
        <f t="shared" ref="H242:H244" si="85">$H$233</f>
        <v>2.3186160000000001E-2</v>
      </c>
      <c r="I242" s="616">
        <f t="shared" si="71"/>
        <v>2232.6004473552002</v>
      </c>
      <c r="K242" s="322">
        <v>96290.219999999987</v>
      </c>
      <c r="L242" s="324">
        <f t="shared" ref="L242:L244" si="86">G242</f>
        <v>1</v>
      </c>
      <c r="M242" s="324">
        <f t="shared" ref="M242:M244" si="87">H242</f>
        <v>2.3186160000000001E-2</v>
      </c>
      <c r="N242" s="616">
        <f t="shared" si="74"/>
        <v>2232.6004473551998</v>
      </c>
      <c r="P242" s="1046"/>
      <c r="R242" s="423"/>
    </row>
    <row r="243" spans="1:18">
      <c r="A243" s="209">
        <f t="shared" si="65"/>
        <v>229</v>
      </c>
      <c r="B243" s="1046">
        <v>39410</v>
      </c>
      <c r="C243" s="233" t="s">
        <v>1512</v>
      </c>
      <c r="D243" s="322">
        <v>517753.65</v>
      </c>
      <c r="E243" s="616">
        <v>0</v>
      </c>
      <c r="F243" s="617">
        <f t="shared" si="82"/>
        <v>517753.65</v>
      </c>
      <c r="G243" s="466">
        <v>1</v>
      </c>
      <c r="H243" s="466">
        <f t="shared" si="85"/>
        <v>2.3186160000000001E-2</v>
      </c>
      <c r="I243" s="616">
        <f t="shared" si="71"/>
        <v>12004.718969484002</v>
      </c>
      <c r="K243" s="322">
        <v>429188.17384615389</v>
      </c>
      <c r="L243" s="324">
        <f t="shared" si="86"/>
        <v>1</v>
      </c>
      <c r="M243" s="324">
        <f t="shared" si="87"/>
        <v>2.3186160000000001E-2</v>
      </c>
      <c r="N243" s="616">
        <f t="shared" si="74"/>
        <v>9951.225668904739</v>
      </c>
      <c r="P243" s="1046"/>
      <c r="R243" s="423"/>
    </row>
    <row r="244" spans="1:18">
      <c r="A244" s="209">
        <f t="shared" si="65"/>
        <v>230</v>
      </c>
      <c r="B244" s="1046">
        <v>39510</v>
      </c>
      <c r="C244" s="233" t="s">
        <v>1513</v>
      </c>
      <c r="D244" s="322">
        <v>23632.07</v>
      </c>
      <c r="E244" s="616">
        <v>0</v>
      </c>
      <c r="F244" s="617">
        <f t="shared" si="82"/>
        <v>23632.07</v>
      </c>
      <c r="G244" s="466">
        <v>1</v>
      </c>
      <c r="H244" s="466">
        <f t="shared" si="85"/>
        <v>2.3186160000000001E-2</v>
      </c>
      <c r="I244" s="616">
        <f t="shared" si="71"/>
        <v>547.93695615119998</v>
      </c>
      <c r="K244" s="322">
        <v>23632.070000000003</v>
      </c>
      <c r="L244" s="324">
        <f t="shared" si="86"/>
        <v>1</v>
      </c>
      <c r="M244" s="324">
        <f t="shared" si="87"/>
        <v>2.3186160000000001E-2</v>
      </c>
      <c r="N244" s="616">
        <f t="shared" si="74"/>
        <v>547.93695615120009</v>
      </c>
      <c r="P244" s="1046"/>
      <c r="R244" s="423"/>
    </row>
    <row r="245" spans="1:18">
      <c r="A245" s="209">
        <f t="shared" si="65"/>
        <v>231</v>
      </c>
      <c r="B245" s="1046">
        <v>39700</v>
      </c>
      <c r="C245" s="233" t="s">
        <v>440</v>
      </c>
      <c r="D245" s="322">
        <v>1913117.11</v>
      </c>
      <c r="E245" s="616">
        <v>0</v>
      </c>
      <c r="F245" s="617">
        <f t="shared" si="70"/>
        <v>1913117.11</v>
      </c>
      <c r="G245" s="324">
        <f>$G$232</f>
        <v>0.1095</v>
      </c>
      <c r="H245" s="324">
        <f>$H$232</f>
        <v>0.51517972406888612</v>
      </c>
      <c r="I245" s="616">
        <f t="shared" si="71"/>
        <v>107923.10636011852</v>
      </c>
      <c r="K245" s="322">
        <v>1913117.1099999996</v>
      </c>
      <c r="L245" s="324">
        <f t="shared" si="72"/>
        <v>0.1095</v>
      </c>
      <c r="M245" s="324">
        <f t="shared" si="73"/>
        <v>0.51517972406888612</v>
      </c>
      <c r="N245" s="616">
        <f t="shared" si="74"/>
        <v>107923.10636011849</v>
      </c>
      <c r="P245" s="1046"/>
      <c r="R245" s="423"/>
    </row>
    <row r="246" spans="1:18">
      <c r="A246" s="209">
        <f t="shared" si="65"/>
        <v>232</v>
      </c>
      <c r="B246" s="1046">
        <v>39710</v>
      </c>
      <c r="C246" s="233" t="s">
        <v>1201</v>
      </c>
      <c r="D246" s="322">
        <v>291500.62</v>
      </c>
      <c r="E246" s="616">
        <v>0</v>
      </c>
      <c r="F246" s="617">
        <f>D246+E246</f>
        <v>291500.62</v>
      </c>
      <c r="G246" s="466">
        <v>1</v>
      </c>
      <c r="H246" s="466">
        <f>$H$233</f>
        <v>2.3186160000000001E-2</v>
      </c>
      <c r="I246" s="616">
        <f t="shared" si="71"/>
        <v>6758.7800154192</v>
      </c>
      <c r="K246" s="322">
        <v>291500.62000000005</v>
      </c>
      <c r="L246" s="324">
        <f>G246</f>
        <v>1</v>
      </c>
      <c r="M246" s="324">
        <f>H246</f>
        <v>2.3186160000000001E-2</v>
      </c>
      <c r="N246" s="616">
        <f t="shared" si="74"/>
        <v>6758.7800154192018</v>
      </c>
      <c r="P246" s="1046"/>
      <c r="R246" s="423"/>
    </row>
    <row r="247" spans="1:18">
      <c r="A247" s="209">
        <f t="shared" si="65"/>
        <v>233</v>
      </c>
      <c r="B247" s="1046">
        <v>39800</v>
      </c>
      <c r="C247" s="233" t="s">
        <v>650</v>
      </c>
      <c r="D247" s="322">
        <v>70015.66</v>
      </c>
      <c r="E247" s="616">
        <v>0</v>
      </c>
      <c r="F247" s="617">
        <f t="shared" si="70"/>
        <v>70015.66</v>
      </c>
      <c r="G247" s="324">
        <f t="shared" ref="G247:G255" si="88">$G$232</f>
        <v>0.1095</v>
      </c>
      <c r="H247" s="324">
        <f t="shared" ref="H247:H255" si="89">$H$232</f>
        <v>0.51517972406888612</v>
      </c>
      <c r="I247" s="616">
        <f t="shared" si="71"/>
        <v>3949.7359997234539</v>
      </c>
      <c r="K247" s="322">
        <v>70015.660000000018</v>
      </c>
      <c r="L247" s="324">
        <f t="shared" si="72"/>
        <v>0.1095</v>
      </c>
      <c r="M247" s="324">
        <f t="shared" si="73"/>
        <v>0.51517972406888612</v>
      </c>
      <c r="N247" s="616">
        <f t="shared" si="74"/>
        <v>3949.7359997234548</v>
      </c>
      <c r="P247" s="1046"/>
      <c r="R247" s="423"/>
    </row>
    <row r="248" spans="1:18">
      <c r="A248" s="209">
        <f t="shared" si="65"/>
        <v>234</v>
      </c>
      <c r="B248" s="1046">
        <v>39810</v>
      </c>
      <c r="C248" s="233" t="s">
        <v>1514</v>
      </c>
      <c r="D248" s="322">
        <v>526525.15</v>
      </c>
      <c r="E248" s="616">
        <v>0</v>
      </c>
      <c r="F248" s="617">
        <f t="shared" si="70"/>
        <v>526525.15</v>
      </c>
      <c r="G248" s="324">
        <v>1</v>
      </c>
      <c r="H248" s="466">
        <f t="shared" ref="H248" si="90">$H$233</f>
        <v>2.3186160000000001E-2</v>
      </c>
      <c r="I248" s="616">
        <f t="shared" si="71"/>
        <v>12208.096371924001</v>
      </c>
      <c r="K248" s="322">
        <v>510609.18076923076</v>
      </c>
      <c r="L248" s="324">
        <f t="shared" si="72"/>
        <v>1</v>
      </c>
      <c r="M248" s="324">
        <f t="shared" si="73"/>
        <v>2.3186160000000001E-2</v>
      </c>
      <c r="N248" s="616">
        <f t="shared" si="74"/>
        <v>11839.066162784307</v>
      </c>
      <c r="P248" s="1046"/>
      <c r="R248" s="423"/>
    </row>
    <row r="249" spans="1:18">
      <c r="A249" s="209">
        <f t="shared" si="65"/>
        <v>235</v>
      </c>
      <c r="B249" s="1046">
        <v>39900</v>
      </c>
      <c r="C249" s="233" t="s">
        <v>1152</v>
      </c>
      <c r="D249" s="322">
        <v>0</v>
      </c>
      <c r="E249" s="616">
        <v>0</v>
      </c>
      <c r="F249" s="617">
        <f t="shared" si="70"/>
        <v>0</v>
      </c>
      <c r="G249" s="324">
        <f t="shared" si="88"/>
        <v>0.1095</v>
      </c>
      <c r="H249" s="324">
        <f t="shared" si="89"/>
        <v>0.51517972406888612</v>
      </c>
      <c r="I249" s="616">
        <f t="shared" si="71"/>
        <v>0</v>
      </c>
      <c r="K249" s="322">
        <v>566249.81400000001</v>
      </c>
      <c r="L249" s="324">
        <f t="shared" si="72"/>
        <v>0.1095</v>
      </c>
      <c r="M249" s="324">
        <f t="shared" si="73"/>
        <v>0.51517972406888612</v>
      </c>
      <c r="N249" s="616">
        <f t="shared" si="74"/>
        <v>31943.386310898302</v>
      </c>
      <c r="P249" s="1046"/>
      <c r="R249" s="423"/>
    </row>
    <row r="250" spans="1:18">
      <c r="A250" s="209">
        <f t="shared" si="65"/>
        <v>236</v>
      </c>
      <c r="B250" s="1046">
        <v>39901</v>
      </c>
      <c r="C250" s="233" t="s">
        <v>474</v>
      </c>
      <c r="D250" s="322">
        <v>9750722.6099999994</v>
      </c>
      <c r="E250" s="616">
        <v>0</v>
      </c>
      <c r="F250" s="617">
        <f t="shared" si="70"/>
        <v>9750722.6099999994</v>
      </c>
      <c r="G250" s="324">
        <f t="shared" si="88"/>
        <v>0.1095</v>
      </c>
      <c r="H250" s="324">
        <f t="shared" si="89"/>
        <v>0.51517972406888612</v>
      </c>
      <c r="I250" s="616">
        <f t="shared" si="71"/>
        <v>550059.51691427943</v>
      </c>
      <c r="K250" s="322">
        <v>10081181.480769232</v>
      </c>
      <c r="L250" s="324">
        <f t="shared" si="72"/>
        <v>0.1095</v>
      </c>
      <c r="M250" s="324">
        <f t="shared" si="73"/>
        <v>0.51517972406888612</v>
      </c>
      <c r="N250" s="616">
        <f t="shared" si="74"/>
        <v>568701.42214384081</v>
      </c>
      <c r="P250" s="1046"/>
      <c r="R250" s="423"/>
    </row>
    <row r="251" spans="1:18">
      <c r="A251" s="209">
        <f t="shared" si="65"/>
        <v>237</v>
      </c>
      <c r="B251" s="1046">
        <v>39902</v>
      </c>
      <c r="C251" s="233" t="s">
        <v>960</v>
      </c>
      <c r="D251" s="322">
        <v>2210825.96</v>
      </c>
      <c r="E251" s="616">
        <v>0</v>
      </c>
      <c r="F251" s="617">
        <f t="shared" si="70"/>
        <v>2210825.96</v>
      </c>
      <c r="G251" s="324">
        <f t="shared" si="88"/>
        <v>0.1095</v>
      </c>
      <c r="H251" s="324">
        <f t="shared" si="89"/>
        <v>0.51517972406888612</v>
      </c>
      <c r="I251" s="616">
        <f t="shared" si="71"/>
        <v>124717.51153006576</v>
      </c>
      <c r="K251" s="322">
        <v>2038026.7538461536</v>
      </c>
      <c r="L251" s="324">
        <f t="shared" si="72"/>
        <v>0.1095</v>
      </c>
      <c r="M251" s="324">
        <f t="shared" si="73"/>
        <v>0.51517972406888612</v>
      </c>
      <c r="N251" s="616">
        <f t="shared" si="74"/>
        <v>114969.53164571586</v>
      </c>
      <c r="P251" s="1046"/>
      <c r="R251" s="423"/>
    </row>
    <row r="252" spans="1:18">
      <c r="A252" s="209">
        <f t="shared" si="65"/>
        <v>238</v>
      </c>
      <c r="B252" s="1046">
        <v>39903</v>
      </c>
      <c r="C252" s="233" t="s">
        <v>1003</v>
      </c>
      <c r="D252" s="322">
        <v>629225.62</v>
      </c>
      <c r="E252" s="616">
        <v>0</v>
      </c>
      <c r="F252" s="617">
        <f t="shared" si="70"/>
        <v>629225.62</v>
      </c>
      <c r="G252" s="324">
        <f t="shared" si="88"/>
        <v>0.1095</v>
      </c>
      <c r="H252" s="324">
        <f t="shared" si="89"/>
        <v>0.51517972406888612</v>
      </c>
      <c r="I252" s="616">
        <f>F252*G252*H252</f>
        <v>35495.988801109779</v>
      </c>
      <c r="K252" s="322">
        <v>629225.62</v>
      </c>
      <c r="L252" s="324">
        <f t="shared" si="72"/>
        <v>0.1095</v>
      </c>
      <c r="M252" s="324">
        <f t="shared" si="73"/>
        <v>0.51517972406888612</v>
      </c>
      <c r="N252" s="616">
        <f t="shared" si="74"/>
        <v>35495.988801109779</v>
      </c>
      <c r="P252" s="1046"/>
      <c r="R252" s="423"/>
    </row>
    <row r="253" spans="1:18">
      <c r="A253" s="209">
        <f t="shared" si="65"/>
        <v>239</v>
      </c>
      <c r="B253" s="1046">
        <v>39906</v>
      </c>
      <c r="C253" s="233" t="s">
        <v>451</v>
      </c>
      <c r="D253" s="322">
        <v>614382.27</v>
      </c>
      <c r="E253" s="616">
        <v>0</v>
      </c>
      <c r="F253" s="617">
        <f t="shared" si="70"/>
        <v>614382.27</v>
      </c>
      <c r="G253" s="324">
        <f t="shared" si="88"/>
        <v>0.1095</v>
      </c>
      <c r="H253" s="324">
        <f t="shared" si="89"/>
        <v>0.51517972406888612</v>
      </c>
      <c r="I253" s="616">
        <f t="shared" si="71"/>
        <v>34658.64307229004</v>
      </c>
      <c r="K253" s="322">
        <v>835374.99769230769</v>
      </c>
      <c r="L253" s="324">
        <f t="shared" si="72"/>
        <v>0.1095</v>
      </c>
      <c r="M253" s="324">
        <f t="shared" si="73"/>
        <v>0.51517972406888612</v>
      </c>
      <c r="N253" s="616">
        <f t="shared" si="74"/>
        <v>47125.324558166059</v>
      </c>
      <c r="P253" s="1046"/>
      <c r="R253" s="423"/>
    </row>
    <row r="254" spans="1:18">
      <c r="A254" s="209">
        <f t="shared" si="65"/>
        <v>240</v>
      </c>
      <c r="B254" s="1046">
        <v>39907</v>
      </c>
      <c r="C254" s="233" t="s">
        <v>505</v>
      </c>
      <c r="D254" s="322">
        <v>0</v>
      </c>
      <c r="E254" s="616">
        <v>0</v>
      </c>
      <c r="F254" s="617">
        <f t="shared" si="70"/>
        <v>0</v>
      </c>
      <c r="G254" s="324">
        <f t="shared" si="88"/>
        <v>0.1095</v>
      </c>
      <c r="H254" s="324">
        <f t="shared" si="89"/>
        <v>0.51517972406888612</v>
      </c>
      <c r="I254" s="616">
        <f t="shared" si="71"/>
        <v>0</v>
      </c>
      <c r="K254" s="322">
        <v>171222.27299999999</v>
      </c>
      <c r="L254" s="324">
        <f t="shared" si="72"/>
        <v>0.1095</v>
      </c>
      <c r="M254" s="324">
        <f t="shared" si="73"/>
        <v>0.51517972406888612</v>
      </c>
      <c r="N254" s="616">
        <f t="shared" si="74"/>
        <v>9659.0216477653303</v>
      </c>
      <c r="P254" s="1046"/>
      <c r="R254" s="423"/>
    </row>
    <row r="255" spans="1:18">
      <c r="A255" s="209">
        <f t="shared" si="65"/>
        <v>241</v>
      </c>
      <c r="B255" s="1046">
        <v>39908</v>
      </c>
      <c r="C255" s="233" t="s">
        <v>179</v>
      </c>
      <c r="D255" s="322">
        <v>95048383.689999998</v>
      </c>
      <c r="E255" s="616">
        <v>0</v>
      </c>
      <c r="F255" s="617">
        <f t="shared" si="70"/>
        <v>95048383.689999998</v>
      </c>
      <c r="G255" s="324">
        <f t="shared" si="88"/>
        <v>0.1095</v>
      </c>
      <c r="H255" s="324">
        <f t="shared" si="89"/>
        <v>0.51517972406888612</v>
      </c>
      <c r="I255" s="616">
        <f t="shared" si="71"/>
        <v>5361886.5090455562</v>
      </c>
      <c r="K255" s="322">
        <v>90635211.633846179</v>
      </c>
      <c r="L255" s="324">
        <f t="shared" si="72"/>
        <v>0.1095</v>
      </c>
      <c r="M255" s="324">
        <f t="shared" si="73"/>
        <v>0.51517972406888612</v>
      </c>
      <c r="N255" s="616">
        <f t="shared" si="74"/>
        <v>5112929.8535892721</v>
      </c>
      <c r="P255" s="1046"/>
      <c r="R255" s="423"/>
    </row>
    <row r="256" spans="1:18">
      <c r="A256" s="209">
        <f t="shared" si="65"/>
        <v>242</v>
      </c>
      <c r="B256" s="1046">
        <v>39910</v>
      </c>
      <c r="C256" s="233" t="s">
        <v>1202</v>
      </c>
      <c r="D256" s="322">
        <v>378332.82</v>
      </c>
      <c r="E256" s="616">
        <v>0</v>
      </c>
      <c r="F256" s="617">
        <f>D256+E256</f>
        <v>378332.82</v>
      </c>
      <c r="G256" s="466">
        <v>1</v>
      </c>
      <c r="H256" s="466">
        <f>$H$233</f>
        <v>2.3186160000000001E-2</v>
      </c>
      <c r="I256" s="616">
        <f t="shared" si="71"/>
        <v>8772.0852977712002</v>
      </c>
      <c r="K256" s="322">
        <v>348715.56923076918</v>
      </c>
      <c r="L256" s="324">
        <f>G256</f>
        <v>1</v>
      </c>
      <c r="M256" s="324">
        <f>H256</f>
        <v>2.3186160000000001E-2</v>
      </c>
      <c r="N256" s="616">
        <f t="shared" si="74"/>
        <v>8085.3749826756912</v>
      </c>
      <c r="P256" s="1046"/>
      <c r="R256" s="423"/>
    </row>
    <row r="257" spans="1:18">
      <c r="A257" s="209">
        <f t="shared" si="65"/>
        <v>243</v>
      </c>
      <c r="B257" s="1046">
        <v>39916</v>
      </c>
      <c r="C257" s="80" t="s">
        <v>1203</v>
      </c>
      <c r="D257" s="322">
        <v>69028.100000000006</v>
      </c>
      <c r="E257" s="616">
        <v>0</v>
      </c>
      <c r="F257" s="617">
        <f t="shared" ref="F257:F260" si="91">D257+E257</f>
        <v>69028.100000000006</v>
      </c>
      <c r="G257" s="466">
        <v>1</v>
      </c>
      <c r="H257" s="466">
        <f>$H$233</f>
        <v>2.3186160000000001E-2</v>
      </c>
      <c r="I257" s="616">
        <f t="shared" si="71"/>
        <v>1600.4965710960003</v>
      </c>
      <c r="K257" s="322">
        <v>203774.32769230771</v>
      </c>
      <c r="L257" s="324">
        <f t="shared" ref="L257:L258" si="92">G257</f>
        <v>1</v>
      </c>
      <c r="M257" s="324">
        <f t="shared" ref="M257:M258" si="93">H257</f>
        <v>2.3186160000000001E-2</v>
      </c>
      <c r="N257" s="616">
        <f t="shared" si="74"/>
        <v>4724.7441657662775</v>
      </c>
      <c r="P257" s="1046"/>
      <c r="R257" s="423"/>
    </row>
    <row r="258" spans="1:18">
      <c r="A258" s="209">
        <f t="shared" si="65"/>
        <v>244</v>
      </c>
      <c r="B258" s="1046">
        <v>39917</v>
      </c>
      <c r="C258" s="80" t="s">
        <v>1204</v>
      </c>
      <c r="D258" s="322">
        <v>3299.04</v>
      </c>
      <c r="E258" s="616">
        <v>0</v>
      </c>
      <c r="F258" s="617">
        <f t="shared" si="91"/>
        <v>3299.04</v>
      </c>
      <c r="G258" s="466">
        <v>1</v>
      </c>
      <c r="H258" s="466">
        <f>$H$233</f>
        <v>2.3186160000000001E-2</v>
      </c>
      <c r="I258" s="616">
        <f t="shared" si="71"/>
        <v>76.492069286399996</v>
      </c>
      <c r="K258" s="322">
        <v>72940.167692307718</v>
      </c>
      <c r="L258" s="324">
        <f t="shared" si="92"/>
        <v>1</v>
      </c>
      <c r="M258" s="324">
        <f t="shared" si="93"/>
        <v>2.3186160000000001E-2</v>
      </c>
      <c r="N258" s="616">
        <f t="shared" si="74"/>
        <v>1691.2023985406777</v>
      </c>
      <c r="P258" s="1046"/>
      <c r="R258" s="423"/>
    </row>
    <row r="259" spans="1:18">
      <c r="A259" s="209">
        <f t="shared" si="65"/>
        <v>245</v>
      </c>
      <c r="B259" s="1046">
        <v>39918</v>
      </c>
      <c r="C259" s="80" t="s">
        <v>1515</v>
      </c>
      <c r="D259" s="322">
        <v>0</v>
      </c>
      <c r="E259" s="616">
        <v>0</v>
      </c>
      <c r="F259" s="617">
        <f t="shared" si="91"/>
        <v>0</v>
      </c>
      <c r="G259" s="466">
        <v>1</v>
      </c>
      <c r="H259" s="466">
        <f>$H$233</f>
        <v>2.3186160000000001E-2</v>
      </c>
      <c r="I259" s="616">
        <f t="shared" si="71"/>
        <v>0</v>
      </c>
      <c r="K259" s="322">
        <v>18504.144</v>
      </c>
      <c r="L259" s="324">
        <f t="shared" ref="L259:L260" si="94">G259</f>
        <v>1</v>
      </c>
      <c r="M259" s="324">
        <f t="shared" ref="M259:M260" si="95">H259</f>
        <v>2.3186160000000001E-2</v>
      </c>
      <c r="N259" s="616">
        <f t="shared" si="74"/>
        <v>429.04004344704003</v>
      </c>
      <c r="P259" s="1046"/>
      <c r="R259" s="423"/>
    </row>
    <row r="260" spans="1:18">
      <c r="A260" s="209">
        <f t="shared" si="65"/>
        <v>246</v>
      </c>
      <c r="B260" s="1046">
        <v>39924</v>
      </c>
      <c r="C260" s="80" t="s">
        <v>1516</v>
      </c>
      <c r="D260" s="322"/>
      <c r="E260" s="616">
        <v>0</v>
      </c>
      <c r="F260" s="617">
        <f t="shared" si="91"/>
        <v>0</v>
      </c>
      <c r="G260" s="324">
        <f t="shared" ref="G260" si="96">$G$232</f>
        <v>0.1095</v>
      </c>
      <c r="H260" s="324">
        <f t="shared" ref="H260" si="97">$H$232</f>
        <v>0.51517972406888612</v>
      </c>
      <c r="I260" s="616">
        <f t="shared" si="71"/>
        <v>0</v>
      </c>
      <c r="K260" s="322"/>
      <c r="L260" s="324">
        <f t="shared" si="94"/>
        <v>0.1095</v>
      </c>
      <c r="M260" s="324">
        <f t="shared" si="95"/>
        <v>0.51517972406888612</v>
      </c>
      <c r="N260" s="616">
        <f t="shared" si="74"/>
        <v>0</v>
      </c>
      <c r="P260" s="1046"/>
      <c r="R260" s="423"/>
    </row>
    <row r="261" spans="1:18">
      <c r="A261" s="209">
        <f t="shared" si="65"/>
        <v>247</v>
      </c>
      <c r="B261" s="195"/>
      <c r="C261" s="233"/>
      <c r="D261" s="618"/>
      <c r="E261" s="618"/>
      <c r="F261" s="618"/>
      <c r="I261" s="618"/>
      <c r="K261" s="618"/>
      <c r="N261" s="618"/>
    </row>
    <row r="262" spans="1:18" ht="15.75" thickBot="1">
      <c r="A262" s="209">
        <f t="shared" si="65"/>
        <v>248</v>
      </c>
      <c r="B262" s="195"/>
      <c r="C262" s="233" t="s">
        <v>1319</v>
      </c>
      <c r="D262" s="511">
        <f>SUM(D232:D260)</f>
        <v>147823940.37999997</v>
      </c>
      <c r="E262" s="511">
        <f>SUM(E232:E260)</f>
        <v>0</v>
      </c>
      <c r="F262" s="511">
        <f>SUM(F232:F260)</f>
        <v>147823940.37999997</v>
      </c>
      <c r="G262" s="1025"/>
      <c r="H262" s="1025"/>
      <c r="I262" s="511">
        <f>SUM(I232:I260)</f>
        <v>7782007.7617059043</v>
      </c>
      <c r="J262" s="806"/>
      <c r="K262" s="511">
        <f>SUM(K232:K260)</f>
        <v>144361370.20330769</v>
      </c>
      <c r="L262" s="1025"/>
      <c r="M262" s="1025"/>
      <c r="N262" s="511">
        <f>SUM(N232:N260)</f>
        <v>7590234.4361254154</v>
      </c>
      <c r="P262" s="616"/>
      <c r="Q262" s="616"/>
    </row>
    <row r="263" spans="1:18" ht="15.75" thickTop="1">
      <c r="A263" s="209">
        <f t="shared" si="65"/>
        <v>249</v>
      </c>
      <c r="B263" s="195"/>
      <c r="C263" s="233"/>
      <c r="D263" s="322"/>
      <c r="E263" s="322"/>
      <c r="F263" s="322"/>
      <c r="I263" s="322"/>
      <c r="K263" s="322"/>
      <c r="N263" s="322"/>
    </row>
    <row r="264" spans="1:18">
      <c r="A264" s="209">
        <f t="shared" si="65"/>
        <v>250</v>
      </c>
      <c r="B264" s="195"/>
      <c r="C264" s="195" t="s">
        <v>749</v>
      </c>
      <c r="D264" s="322">
        <v>253801.16999999998</v>
      </c>
      <c r="E264" s="322">
        <v>0</v>
      </c>
      <c r="F264" s="322">
        <f>D264+E264</f>
        <v>253801.16999999998</v>
      </c>
      <c r="G264" s="324">
        <f>$G$232</f>
        <v>0.1095</v>
      </c>
      <c r="H264" s="324">
        <f>$H$232</f>
        <v>0.51517972406888612</v>
      </c>
      <c r="I264" s="322">
        <f>F264*G264*H264</f>
        <v>14317.477231821169</v>
      </c>
      <c r="K264" s="322">
        <v>3411355.95</v>
      </c>
      <c r="L264" s="324">
        <f>G264</f>
        <v>0.1095</v>
      </c>
      <c r="M264" s="324">
        <f>H264</f>
        <v>0.51517972406888612</v>
      </c>
      <c r="N264" s="322">
        <f>K264*L264*M264</f>
        <v>192442.02516388195</v>
      </c>
    </row>
    <row r="265" spans="1:18">
      <c r="A265" s="209">
        <f t="shared" si="65"/>
        <v>251</v>
      </c>
    </row>
    <row r="266" spans="1:18" ht="15.75" thickBot="1">
      <c r="A266" s="209">
        <f t="shared" si="65"/>
        <v>252</v>
      </c>
      <c r="C266" s="233" t="s">
        <v>748</v>
      </c>
      <c r="D266" s="511">
        <f>D262+D225+D179+D117</f>
        <v>982601028.15999985</v>
      </c>
      <c r="E266" s="511">
        <f>E262+E225+E179+E117</f>
        <v>0</v>
      </c>
      <c r="F266" s="511">
        <f>F262+F225+F179+F117</f>
        <v>982601028.15999985</v>
      </c>
      <c r="I266" s="511">
        <f>I262+I225+I179+I117</f>
        <v>661176597.94117761</v>
      </c>
      <c r="K266" s="511">
        <f>K262+K225+K179+K117</f>
        <v>956904009.00886321</v>
      </c>
      <c r="N266" s="511">
        <f>N262+N225+N179+N117</f>
        <v>631399612.56163836</v>
      </c>
    </row>
    <row r="267" spans="1:18" ht="15.75" thickTop="1">
      <c r="A267" s="209">
        <f t="shared" si="65"/>
        <v>253</v>
      </c>
    </row>
    <row r="268" spans="1:18" ht="30.75" thickBot="1">
      <c r="A268" s="209">
        <f t="shared" si="65"/>
        <v>254</v>
      </c>
      <c r="C268" s="613" t="s">
        <v>5</v>
      </c>
      <c r="D268" s="511">
        <f>D264+D227+D181+D119</f>
        <v>54419948.5</v>
      </c>
      <c r="E268" s="1048"/>
      <c r="F268" s="511">
        <f>F264+F227+F181+F119</f>
        <v>54419948.5</v>
      </c>
      <c r="I268" s="511">
        <f>I264+I227+I181+I119</f>
        <v>41269538.631500937</v>
      </c>
      <c r="K268" s="511">
        <f>K264+K227+K181+K119</f>
        <v>51121857.493846148</v>
      </c>
      <c r="N268" s="511">
        <f>N264+N227+N181+N119</f>
        <v>35044203.05914177</v>
      </c>
    </row>
    <row r="269" spans="1:18" ht="15.75" thickTop="1"/>
    <row r="272" spans="1:18">
      <c r="C272" s="80" t="s">
        <v>518</v>
      </c>
    </row>
    <row r="273" spans="3:3">
      <c r="C273" s="80" t="s">
        <v>1673</v>
      </c>
    </row>
  </sheetData>
  <mergeCells count="4">
    <mergeCell ref="A1:N1"/>
    <mergeCell ref="A2:N2"/>
    <mergeCell ref="A3:N3"/>
    <mergeCell ref="A4:N4"/>
  </mergeCells>
  <phoneticPr fontId="23" type="noConversion"/>
  <pageMargins left="0.72" right="0.57999999999999996" top="1" bottom="1" header="0.5" footer="0.5"/>
  <pageSetup scale="52" orientation="landscape" r:id="rId1"/>
  <headerFooter alignWithMargins="0">
    <oddFooter>&amp;RSchedule &amp;A
Page &amp;P of &amp;N</oddFooter>
  </headerFooter>
  <rowBreaks count="6" manualBreakCount="6">
    <brk id="47" max="13" man="1"/>
    <brk id="86" max="13" man="1"/>
    <brk id="119" max="13" man="1"/>
    <brk id="152" max="13" man="1"/>
    <brk id="181" max="13" man="1"/>
    <brk id="228" max="13" man="1"/>
  </rowBreak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8">
    <pageSetUpPr fitToPage="1"/>
  </sheetPr>
  <dimension ref="A1:N46"/>
  <sheetViews>
    <sheetView view="pageBreakPreview" zoomScale="80" zoomScaleNormal="90" zoomScaleSheetLayoutView="80" workbookViewId="0">
      <selection activeCell="M42" sqref="M42"/>
    </sheetView>
  </sheetViews>
  <sheetFormatPr defaultColWidth="8.5546875" defaultRowHeight="15"/>
  <cols>
    <col min="1" max="1" width="3.88671875" style="103" customWidth="1"/>
    <col min="2" max="2" width="1" style="103" customWidth="1"/>
    <col min="3" max="3" width="34.77734375" style="103" customWidth="1"/>
    <col min="4" max="4" width="4.109375" style="103" customWidth="1"/>
    <col min="5" max="5" width="14.88671875" style="103" customWidth="1"/>
    <col min="6" max="6" width="1.6640625" style="103" customWidth="1"/>
    <col min="7" max="7" width="6.44140625" style="103" customWidth="1"/>
    <col min="8" max="8" width="2" style="103" customWidth="1"/>
    <col min="9" max="9" width="13.33203125" style="103" customWidth="1"/>
    <col min="10" max="10" width="2.109375" style="103" customWidth="1"/>
    <col min="11" max="11" width="8.5546875" style="103" customWidth="1"/>
    <col min="12" max="12" width="8.5546875" style="103"/>
    <col min="13" max="13" width="12.6640625" style="103" customWidth="1"/>
    <col min="14" max="16384" width="8.5546875" style="103"/>
  </cols>
  <sheetData>
    <row r="1" spans="1:12">
      <c r="A1" s="1216" t="str">
        <f>'Table of Contents'!A1:C1</f>
        <v>Atmos Energy Corporation, Kentucky/Mid-States Division</v>
      </c>
      <c r="B1" s="1216"/>
      <c r="C1" s="1216"/>
      <c r="D1" s="1216"/>
      <c r="E1" s="1216"/>
      <c r="F1" s="1216"/>
      <c r="G1" s="1216"/>
      <c r="H1" s="1216"/>
      <c r="I1" s="1216"/>
      <c r="J1" s="1216"/>
      <c r="K1" s="1216"/>
    </row>
    <row r="2" spans="1:12">
      <c r="A2" s="1216" t="str">
        <f>'Table of Contents'!A2:C2</f>
        <v>Kentucky Jurisdiction Case No. 2018-00281</v>
      </c>
      <c r="B2" s="1216"/>
      <c r="C2" s="1216"/>
      <c r="D2" s="1216"/>
      <c r="E2" s="1216"/>
      <c r="F2" s="1216"/>
      <c r="G2" s="1216"/>
      <c r="H2" s="1216"/>
      <c r="I2" s="1216"/>
      <c r="J2" s="1216"/>
      <c r="K2" s="1216"/>
    </row>
    <row r="3" spans="1:12">
      <c r="A3" s="1216" t="s">
        <v>1084</v>
      </c>
      <c r="B3" s="1216"/>
      <c r="C3" s="1216"/>
      <c r="D3" s="1216"/>
      <c r="E3" s="1216"/>
      <c r="F3" s="1216"/>
      <c r="G3" s="1216"/>
      <c r="H3" s="1216"/>
      <c r="I3" s="1216"/>
      <c r="J3" s="1216"/>
      <c r="K3" s="1216"/>
    </row>
    <row r="4" spans="1:12">
      <c r="A4" s="1216" t="str">
        <f>'Table of Contents'!A4:C4</f>
        <v>Forecasted Test Period: Twelve Months Ended March 31, 2020</v>
      </c>
      <c r="B4" s="1216"/>
      <c r="C4" s="1216"/>
      <c r="D4" s="1216"/>
      <c r="E4" s="1216"/>
      <c r="F4" s="1216"/>
      <c r="G4" s="1216"/>
      <c r="H4" s="1216"/>
      <c r="I4" s="1216"/>
      <c r="J4" s="1216"/>
      <c r="K4" s="1216"/>
    </row>
    <row r="5" spans="1:12">
      <c r="A5" s="764"/>
      <c r="B5" s="764"/>
      <c r="C5" s="764"/>
      <c r="D5" s="764"/>
      <c r="E5" s="764"/>
      <c r="F5" s="764"/>
      <c r="G5" s="764"/>
      <c r="H5" s="764"/>
      <c r="I5" s="764"/>
      <c r="J5" s="764"/>
      <c r="K5" s="764"/>
    </row>
    <row r="6" spans="1:12">
      <c r="K6" s="949" t="s">
        <v>1411</v>
      </c>
    </row>
    <row r="7" spans="1:12">
      <c r="A7" s="583" t="s">
        <v>1146</v>
      </c>
      <c r="K7" s="921" t="s">
        <v>48</v>
      </c>
    </row>
    <row r="8" spans="1:12">
      <c r="A8" s="694" t="s">
        <v>615</v>
      </c>
      <c r="K8" s="921" t="s">
        <v>853</v>
      </c>
    </row>
    <row r="9" spans="1:12">
      <c r="A9" s="950" t="s">
        <v>365</v>
      </c>
      <c r="B9" s="929"/>
      <c r="C9" s="929"/>
      <c r="D9" s="929"/>
      <c r="E9" s="929"/>
      <c r="F9" s="929"/>
      <c r="G9" s="929"/>
      <c r="H9" s="929"/>
      <c r="I9" s="929"/>
      <c r="J9" s="957"/>
      <c r="K9" s="981" t="str">
        <f>'J-1 Base'!$M$9</f>
        <v>Witness:  Christian</v>
      </c>
    </row>
    <row r="10" spans="1:12">
      <c r="E10" s="764" t="s">
        <v>1049</v>
      </c>
      <c r="I10" s="121" t="s">
        <v>350</v>
      </c>
      <c r="K10" s="121" t="s">
        <v>1144</v>
      </c>
    </row>
    <row r="11" spans="1:12">
      <c r="A11" s="121" t="s">
        <v>93</v>
      </c>
      <c r="E11" s="121" t="s">
        <v>104</v>
      </c>
      <c r="G11" s="121" t="s">
        <v>269</v>
      </c>
      <c r="I11" s="121" t="s">
        <v>351</v>
      </c>
      <c r="K11" s="121" t="s">
        <v>269</v>
      </c>
    </row>
    <row r="12" spans="1:12">
      <c r="A12" s="648" t="s">
        <v>99</v>
      </c>
      <c r="B12" s="929"/>
      <c r="C12" s="648" t="s">
        <v>352</v>
      </c>
      <c r="D12" s="929"/>
      <c r="E12" s="648" t="s">
        <v>349</v>
      </c>
      <c r="F12" s="929"/>
      <c r="G12" s="648" t="s">
        <v>570</v>
      </c>
      <c r="H12" s="929"/>
      <c r="I12" s="648" t="s">
        <v>0</v>
      </c>
      <c r="J12" s="929"/>
      <c r="K12" s="648" t="s">
        <v>570</v>
      </c>
    </row>
    <row r="13" spans="1:12">
      <c r="C13" s="121" t="s">
        <v>1081</v>
      </c>
      <c r="E13" s="121" t="s">
        <v>1082</v>
      </c>
      <c r="G13" s="121" t="s">
        <v>1083</v>
      </c>
      <c r="I13" s="121" t="s">
        <v>15</v>
      </c>
      <c r="K13" s="121" t="s">
        <v>168</v>
      </c>
    </row>
    <row r="14" spans="1:12">
      <c r="E14" s="121"/>
      <c r="I14" s="121"/>
    </row>
    <row r="16" spans="1:12">
      <c r="A16" s="121">
        <v>1</v>
      </c>
      <c r="C16" s="583" t="str">
        <f>'J-3 B'!C16</f>
        <v>6.75% Debentures Unsecured due July 2028</v>
      </c>
      <c r="E16" s="340">
        <v>150000000</v>
      </c>
      <c r="F16" s="108"/>
      <c r="G16" s="983">
        <v>6.7500000000000004E-2</v>
      </c>
      <c r="H16" s="135"/>
      <c r="I16" s="571">
        <v>10125000</v>
      </c>
      <c r="J16" s="108"/>
      <c r="K16" s="999"/>
      <c r="L16" s="108"/>
    </row>
    <row r="17" spans="1:14">
      <c r="A17" s="121">
        <f>A16+1</f>
        <v>2</v>
      </c>
      <c r="C17" s="583" t="str">
        <f>'J-3 B'!C17</f>
        <v>6.67% MTN A1 due Dec 2025</v>
      </c>
      <c r="E17" s="86">
        <v>10000000</v>
      </c>
      <c r="F17" s="108"/>
      <c r="G17" s="983">
        <v>6.6699999999999995E-2</v>
      </c>
      <c r="H17" s="135"/>
      <c r="I17" s="627">
        <v>667000</v>
      </c>
    </row>
    <row r="18" spans="1:14">
      <c r="A18" s="121">
        <f t="shared" ref="A18:A33" si="0">A17+1</f>
        <v>3</v>
      </c>
      <c r="C18" s="583" t="str">
        <f>'J-3 B'!C18</f>
        <v>5.95% Sr Note due 10/15/2034</v>
      </c>
      <c r="E18" s="86">
        <v>200000000</v>
      </c>
      <c r="G18" s="983">
        <v>5.9499999999999997E-2</v>
      </c>
      <c r="H18" s="108"/>
      <c r="I18" s="627">
        <v>11900000</v>
      </c>
      <c r="J18" s="108"/>
      <c r="K18" s="999"/>
      <c r="L18" s="108"/>
    </row>
    <row r="19" spans="1:14">
      <c r="A19" s="121">
        <f t="shared" si="0"/>
        <v>4</v>
      </c>
      <c r="C19" s="583" t="str">
        <f>'J-3 B'!C20</f>
        <v>Sr Note 5.50% Due 06/15/2041</v>
      </c>
      <c r="E19" s="86">
        <v>400000000</v>
      </c>
      <c r="G19" s="983">
        <v>5.5E-2</v>
      </c>
      <c r="H19" s="135"/>
      <c r="I19" s="627">
        <v>22000000</v>
      </c>
      <c r="J19" s="108"/>
      <c r="K19" s="999"/>
      <c r="L19" s="108"/>
    </row>
    <row r="20" spans="1:14">
      <c r="A20" s="121">
        <f t="shared" si="0"/>
        <v>5</v>
      </c>
      <c r="C20" s="583" t="str">
        <f>'J-3 B'!C21</f>
        <v>8.50% Sr Note due 3/15/2019</v>
      </c>
      <c r="E20" s="1182">
        <v>513000000</v>
      </c>
      <c r="F20" s="1184"/>
      <c r="G20" s="1183">
        <v>5.0743976608187136E-2</v>
      </c>
      <c r="H20" s="135"/>
      <c r="I20" s="627">
        <v>26031660</v>
      </c>
      <c r="J20" s="108"/>
      <c r="K20" s="999"/>
      <c r="L20" s="108"/>
    </row>
    <row r="21" spans="1:14">
      <c r="A21" s="121">
        <f t="shared" si="0"/>
        <v>6</v>
      </c>
      <c r="C21" s="583" t="str">
        <f>'J-3 B'!C22</f>
        <v>4.15% Sr Note due 1/15/2043</v>
      </c>
      <c r="E21" s="86">
        <v>500000000</v>
      </c>
      <c r="G21" s="983">
        <v>4.1500000000000002E-2</v>
      </c>
      <c r="H21" s="135"/>
      <c r="I21" s="627">
        <v>20750000</v>
      </c>
      <c r="J21" s="108"/>
      <c r="K21" s="999"/>
      <c r="L21" s="108"/>
    </row>
    <row r="22" spans="1:14">
      <c r="A22" s="121">
        <f t="shared" si="0"/>
        <v>7</v>
      </c>
      <c r="C22" s="583" t="str">
        <f>'J-3 B'!C23</f>
        <v>4.125% Sr Note due 10/15/2044</v>
      </c>
      <c r="E22" s="86">
        <v>750000000</v>
      </c>
      <c r="G22" s="983">
        <v>4.1250000000000002E-2</v>
      </c>
      <c r="H22" s="135"/>
      <c r="I22" s="627">
        <v>30937500</v>
      </c>
      <c r="K22" s="423"/>
    </row>
    <row r="23" spans="1:14">
      <c r="A23" s="121">
        <f t="shared" si="0"/>
        <v>8</v>
      </c>
      <c r="C23" s="583" t="s">
        <v>1569</v>
      </c>
      <c r="E23" s="86">
        <v>500000000</v>
      </c>
      <c r="G23" s="983">
        <v>0.03</v>
      </c>
      <c r="H23" s="135"/>
      <c r="I23" s="627">
        <v>15000000</v>
      </c>
      <c r="K23" s="423"/>
    </row>
    <row r="24" spans="1:14">
      <c r="A24" s="121">
        <f t="shared" si="0"/>
        <v>9</v>
      </c>
      <c r="C24" s="583" t="s">
        <v>1570</v>
      </c>
      <c r="E24" s="86">
        <v>125000000</v>
      </c>
      <c r="F24" s="108"/>
      <c r="G24" s="983">
        <v>3.0599999999999999E-2</v>
      </c>
      <c r="H24" s="135"/>
      <c r="I24" s="426">
        <v>3825000</v>
      </c>
      <c r="K24" s="423"/>
    </row>
    <row r="25" spans="1:14">
      <c r="A25" s="121">
        <f t="shared" si="0"/>
        <v>10</v>
      </c>
      <c r="C25" s="583" t="s">
        <v>96</v>
      </c>
      <c r="E25" s="729">
        <v>3148000000</v>
      </c>
      <c r="F25" s="108"/>
      <c r="G25" s="1007"/>
      <c r="I25" s="701">
        <v>141236160</v>
      </c>
    </row>
    <row r="26" spans="1:14">
      <c r="A26" s="121">
        <f t="shared" si="0"/>
        <v>11</v>
      </c>
      <c r="C26" s="583"/>
      <c r="E26" s="86"/>
      <c r="G26" s="1007"/>
      <c r="I26" s="108"/>
    </row>
    <row r="27" spans="1:14">
      <c r="A27" s="121">
        <f t="shared" si="0"/>
        <v>12</v>
      </c>
      <c r="C27" s="583" t="s">
        <v>1314</v>
      </c>
      <c r="E27" s="96"/>
      <c r="G27" s="1007"/>
      <c r="I27" s="353">
        <v>6580965.7455365621</v>
      </c>
    </row>
    <row r="28" spans="1:14">
      <c r="A28" s="121">
        <f t="shared" si="0"/>
        <v>13</v>
      </c>
      <c r="C28" s="583" t="s">
        <v>1315</v>
      </c>
      <c r="E28" s="407">
        <v>4425157.5699999994</v>
      </c>
      <c r="F28" s="108"/>
      <c r="G28" s="1007"/>
      <c r="H28" s="135"/>
      <c r="I28" s="108"/>
      <c r="N28" s="694"/>
    </row>
    <row r="29" spans="1:14">
      <c r="A29" s="121">
        <f t="shared" si="0"/>
        <v>14</v>
      </c>
      <c r="C29" s="583" t="s">
        <v>1571</v>
      </c>
      <c r="E29" s="407">
        <v>-21110454.75</v>
      </c>
      <c r="G29" s="1008"/>
    </row>
    <row r="30" spans="1:14">
      <c r="A30" s="121">
        <f t="shared" si="0"/>
        <v>15</v>
      </c>
    </row>
    <row r="31" spans="1:14">
      <c r="A31" s="121">
        <f t="shared" si="0"/>
        <v>16</v>
      </c>
      <c r="E31" s="108"/>
      <c r="G31" s="1008"/>
    </row>
    <row r="32" spans="1:14">
      <c r="A32" s="121">
        <f t="shared" si="0"/>
        <v>17</v>
      </c>
    </row>
    <row r="33" spans="1:11" ht="15.75" thickBot="1">
      <c r="A33" s="121">
        <f t="shared" si="0"/>
        <v>18</v>
      </c>
      <c r="C33" s="583" t="s">
        <v>1179</v>
      </c>
      <c r="E33" s="1009">
        <v>3131314702.8200002</v>
      </c>
      <c r="G33" s="1008"/>
      <c r="I33" s="1009">
        <v>147817125.74553657</v>
      </c>
      <c r="K33" s="1010">
        <v>4.7206090659752398E-2</v>
      </c>
    </row>
    <row r="34" spans="1:11" ht="15.75" thickTop="1"/>
    <row r="35" spans="1:11">
      <c r="A35" s="583"/>
      <c r="C35" s="583"/>
    </row>
    <row r="36" spans="1:11">
      <c r="C36" s="583"/>
    </row>
    <row r="37" spans="1:11">
      <c r="C37" s="583"/>
    </row>
    <row r="39" spans="1:11">
      <c r="G39" s="983"/>
    </row>
    <row r="40" spans="1:11">
      <c r="G40" s="983"/>
    </row>
    <row r="41" spans="1:11">
      <c r="G41" s="983"/>
    </row>
    <row r="42" spans="1:11">
      <c r="G42" s="983"/>
    </row>
    <row r="43" spans="1:11">
      <c r="G43" s="983"/>
    </row>
    <row r="44" spans="1:11">
      <c r="G44" s="983"/>
    </row>
    <row r="45" spans="1:11">
      <c r="G45" s="983"/>
    </row>
    <row r="46" spans="1:11">
      <c r="G46" s="983"/>
    </row>
  </sheetData>
  <mergeCells count="4">
    <mergeCell ref="A1:K1"/>
    <mergeCell ref="A2:K2"/>
    <mergeCell ref="A3:K3"/>
    <mergeCell ref="A4:K4"/>
  </mergeCells>
  <phoneticPr fontId="23" type="noConversion"/>
  <printOptions horizontalCentered="1"/>
  <pageMargins left="0.81" right="0.46" top="1.24" bottom="0.75" header="0.5" footer="0.5"/>
  <pageSetup scale="83" orientation="portrait" verticalDpi="300" r:id="rId1"/>
  <headerFooter alignWithMargins="0">
    <oddFooter>&amp;RSchedule &amp;A
Page &amp;P of &amp;N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AJ138"/>
  <sheetViews>
    <sheetView view="pageBreakPreview" zoomScale="80" zoomScaleNormal="90" zoomScaleSheetLayoutView="80" workbookViewId="0">
      <pane xSplit="6" ySplit="13" topLeftCell="G14" activePane="bottomRight" state="frozen"/>
      <selection activeCell="F37" sqref="F37"/>
      <selection pane="topRight" activeCell="F37" sqref="F37"/>
      <selection pane="bottomLeft" activeCell="F37" sqref="F37"/>
      <selection pane="bottomRight" activeCell="H71" sqref="H71"/>
    </sheetView>
  </sheetViews>
  <sheetFormatPr defaultColWidth="6.44140625" defaultRowHeight="15"/>
  <cols>
    <col min="1" max="1" width="4.33203125" style="81" customWidth="1"/>
    <col min="2" max="2" width="11.44140625" style="81" customWidth="1"/>
    <col min="3" max="4" width="6.44140625" style="81"/>
    <col min="5" max="5" width="7.109375" style="81" customWidth="1"/>
    <col min="6" max="6" width="7.33203125" style="81" customWidth="1"/>
    <col min="7" max="7" width="12.77734375" style="81" customWidth="1"/>
    <col min="8" max="8" width="13.6640625" style="81" customWidth="1"/>
    <col min="9" max="10" width="9.88671875" style="81" customWidth="1"/>
    <col min="11" max="11" width="9.44140625" style="81" customWidth="1"/>
    <col min="12" max="12" width="9.77734375" style="81" customWidth="1"/>
    <col min="13" max="13" width="9.44140625" style="81" bestFit="1" customWidth="1"/>
    <col min="14" max="14" width="9.88671875" style="81" customWidth="1"/>
    <col min="15" max="15" width="9.5546875" style="81" customWidth="1"/>
    <col min="16" max="18" width="9.77734375" style="81" customWidth="1"/>
    <col min="19" max="19" width="9.44140625" style="81" customWidth="1"/>
    <col min="20" max="20" width="7.21875" style="81" customWidth="1"/>
    <col min="21" max="22" width="6.44140625" style="81"/>
    <col min="23" max="23" width="9.33203125" style="81" customWidth="1"/>
    <col min="24" max="24" width="6.44140625" style="81"/>
    <col min="25" max="25" width="10.6640625" style="81" customWidth="1"/>
    <col min="26" max="16384" width="6.44140625" style="81"/>
  </cols>
  <sheetData>
    <row r="1" spans="1:36" ht="15.75">
      <c r="A1" s="1203" t="str">
        <f>'Table of Contents'!A1:C1</f>
        <v>Atmos Energy Corporation, Kentucky/Mid-States Division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1203"/>
      <c r="O1" s="1203"/>
      <c r="P1" s="1203"/>
      <c r="Q1" s="1203"/>
      <c r="R1" s="1203"/>
      <c r="S1" s="1011"/>
    </row>
    <row r="2" spans="1:36">
      <c r="A2" s="1203" t="str">
        <f>'Table of Contents'!A2:C2</f>
        <v>Kentucky Jurisdiction Case No. 2018-00281</v>
      </c>
      <c r="B2" s="1203"/>
      <c r="C2" s="1203"/>
      <c r="D2" s="1203"/>
      <c r="E2" s="1203"/>
      <c r="F2" s="1203"/>
      <c r="G2" s="1203"/>
      <c r="H2" s="1203"/>
      <c r="I2" s="1203"/>
      <c r="J2" s="1203"/>
      <c r="K2" s="1203"/>
      <c r="L2" s="1203"/>
      <c r="M2" s="1203"/>
      <c r="N2" s="1203"/>
      <c r="O2" s="1203"/>
      <c r="P2" s="1203"/>
      <c r="Q2" s="1203"/>
      <c r="R2" s="1203"/>
      <c r="S2" s="1012"/>
    </row>
    <row r="3" spans="1:36">
      <c r="A3" s="1203" t="s">
        <v>25</v>
      </c>
      <c r="B3" s="1203"/>
      <c r="C3" s="1203"/>
      <c r="D3" s="1203"/>
      <c r="E3" s="1203"/>
      <c r="F3" s="1203"/>
      <c r="G3" s="1203"/>
      <c r="H3" s="1203"/>
      <c r="I3" s="1203"/>
      <c r="J3" s="1203"/>
      <c r="K3" s="1203"/>
      <c r="L3" s="1203"/>
      <c r="M3" s="1203"/>
      <c r="N3" s="1203"/>
      <c r="O3" s="1203"/>
      <c r="P3" s="1203"/>
      <c r="Q3" s="1203"/>
      <c r="R3" s="1203"/>
      <c r="S3" s="1013"/>
    </row>
    <row r="4" spans="1:36">
      <c r="A4" s="1203" t="str">
        <f>'Table of Contents'!A3:C3</f>
        <v>Base Period: Twelve Months Ended December 31, 2018</v>
      </c>
      <c r="B4" s="1203"/>
      <c r="C4" s="1203"/>
      <c r="D4" s="1203"/>
      <c r="E4" s="1203"/>
      <c r="F4" s="1203"/>
      <c r="G4" s="1203"/>
      <c r="H4" s="1203"/>
      <c r="I4" s="1203"/>
      <c r="J4" s="1203"/>
      <c r="K4" s="1203"/>
      <c r="L4" s="1203"/>
      <c r="M4" s="1203"/>
      <c r="N4" s="1203"/>
      <c r="O4" s="1203"/>
      <c r="P4" s="1203"/>
      <c r="Q4" s="1203"/>
      <c r="R4" s="1203"/>
    </row>
    <row r="5" spans="1:36">
      <c r="A5" s="1203" t="str">
        <f>'Table of Contents'!A4:C4</f>
        <v>Forecasted Test Period: Twelve Months Ended March 31, 2020</v>
      </c>
      <c r="B5" s="1203"/>
      <c r="C5" s="1203"/>
      <c r="D5" s="1203"/>
      <c r="E5" s="1203"/>
      <c r="F5" s="1203"/>
      <c r="G5" s="1203"/>
      <c r="H5" s="1203"/>
      <c r="I5" s="1203"/>
      <c r="J5" s="1203"/>
      <c r="K5" s="1203"/>
      <c r="L5" s="1203"/>
      <c r="M5" s="1203"/>
      <c r="N5" s="1203"/>
      <c r="O5" s="1203"/>
      <c r="P5" s="1203"/>
      <c r="Q5" s="1203"/>
      <c r="R5" s="1203"/>
    </row>
    <row r="6" spans="1:36">
      <c r="A6" s="1203" t="s">
        <v>1233</v>
      </c>
      <c r="B6" s="1203"/>
      <c r="C6" s="1203"/>
      <c r="D6" s="1203"/>
      <c r="E6" s="1203"/>
      <c r="F6" s="1203"/>
      <c r="G6" s="1203"/>
      <c r="H6" s="1203"/>
      <c r="I6" s="1203"/>
      <c r="J6" s="1203"/>
      <c r="K6" s="1203"/>
      <c r="L6" s="1203"/>
      <c r="M6" s="1203"/>
      <c r="N6" s="1203"/>
      <c r="O6" s="1203"/>
      <c r="P6" s="1203"/>
      <c r="Q6" s="1203"/>
      <c r="R6" s="1203"/>
      <c r="S6" s="670"/>
    </row>
    <row r="7" spans="1:36">
      <c r="A7" s="848"/>
      <c r="N7" s="88"/>
    </row>
    <row r="8" spans="1:36">
      <c r="A8" s="88" t="s">
        <v>198</v>
      </c>
      <c r="N8" s="88"/>
      <c r="O8" s="88"/>
      <c r="Q8" s="88"/>
      <c r="R8" s="170" t="s">
        <v>1412</v>
      </c>
    </row>
    <row r="9" spans="1:36">
      <c r="A9" s="694" t="s">
        <v>1048</v>
      </c>
      <c r="N9" s="88"/>
      <c r="O9" s="88"/>
      <c r="Q9" s="88"/>
      <c r="R9" s="978" t="s">
        <v>46</v>
      </c>
    </row>
    <row r="10" spans="1:36">
      <c r="A10" s="432" t="s">
        <v>365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390"/>
      <c r="P10" s="151"/>
      <c r="Q10" s="432"/>
      <c r="R10" s="1014" t="s">
        <v>1602</v>
      </c>
    </row>
    <row r="11" spans="1:36">
      <c r="T11" s="690"/>
    </row>
    <row r="12" spans="1:36">
      <c r="A12" s="88" t="s">
        <v>93</v>
      </c>
      <c r="G12" s="848" t="s">
        <v>43</v>
      </c>
      <c r="H12" s="848" t="s">
        <v>44</v>
      </c>
      <c r="I12" s="151"/>
      <c r="J12" s="151"/>
      <c r="K12" s="151"/>
      <c r="L12" s="151"/>
      <c r="M12" s="434" t="s">
        <v>619</v>
      </c>
      <c r="N12" s="434"/>
      <c r="O12" s="151"/>
      <c r="P12" s="151"/>
      <c r="Q12" s="151"/>
      <c r="R12" s="151"/>
    </row>
    <row r="13" spans="1:36">
      <c r="A13" s="432" t="s">
        <v>99</v>
      </c>
      <c r="B13" s="151"/>
      <c r="C13" s="434" t="s">
        <v>985</v>
      </c>
      <c r="D13" s="151"/>
      <c r="E13" s="151"/>
      <c r="F13" s="151"/>
      <c r="G13" s="434" t="s">
        <v>538</v>
      </c>
      <c r="H13" s="434" t="s">
        <v>538</v>
      </c>
      <c r="I13" s="689">
        <v>2017</v>
      </c>
      <c r="J13" s="689">
        <v>2016</v>
      </c>
      <c r="K13" s="689">
        <v>2015</v>
      </c>
      <c r="L13" s="689">
        <v>2014</v>
      </c>
      <c r="M13" s="689">
        <v>2013</v>
      </c>
      <c r="N13" s="689">
        <v>2012</v>
      </c>
      <c r="O13" s="689">
        <v>2011</v>
      </c>
      <c r="P13" s="689">
        <v>2010</v>
      </c>
      <c r="Q13" s="689">
        <v>2009</v>
      </c>
      <c r="R13" s="689">
        <v>2008</v>
      </c>
    </row>
    <row r="14" spans="1:36">
      <c r="K14" s="81" t="s">
        <v>323</v>
      </c>
    </row>
    <row r="15" spans="1:36" ht="15.75">
      <c r="A15" s="848">
        <v>1</v>
      </c>
      <c r="B15" s="619" t="s">
        <v>1154</v>
      </c>
      <c r="C15" s="987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11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</row>
    <row r="16" spans="1:36" ht="15.75">
      <c r="A16" s="848">
        <f>A15+1</f>
        <v>2</v>
      </c>
      <c r="B16" s="88" t="s">
        <v>308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11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</row>
    <row r="17" spans="1:36" ht="15.75">
      <c r="A17" s="848">
        <f t="shared" ref="A17:A80" si="0">A16+1</f>
        <v>3</v>
      </c>
      <c r="B17" s="88" t="s">
        <v>178</v>
      </c>
      <c r="G17" s="108">
        <f>('B.2 F'!I19+'B.2 F'!I127)/1000</f>
        <v>772.76419091000002</v>
      </c>
      <c r="H17" s="108">
        <f>('B.2 B'!I19+'B.2 B'!I127)/1000</f>
        <v>772.76419091000002</v>
      </c>
      <c r="I17" s="108">
        <v>128</v>
      </c>
      <c r="J17" s="108">
        <v>128</v>
      </c>
      <c r="K17" s="108">
        <v>128</v>
      </c>
      <c r="L17" s="108">
        <v>128</v>
      </c>
      <c r="M17" s="108">
        <v>128</v>
      </c>
      <c r="N17" s="108">
        <v>128</v>
      </c>
      <c r="O17" s="108">
        <v>128</v>
      </c>
      <c r="P17" s="108">
        <v>128</v>
      </c>
      <c r="Q17" s="108">
        <v>128</v>
      </c>
      <c r="R17" s="108">
        <v>128</v>
      </c>
      <c r="S17" s="1011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</row>
    <row r="18" spans="1:36">
      <c r="A18" s="848">
        <f t="shared" si="0"/>
        <v>4</v>
      </c>
      <c r="B18" s="88" t="s">
        <v>26</v>
      </c>
      <c r="G18" s="108">
        <f>('B.2 F'!I26)/1000</f>
        <v>0</v>
      </c>
      <c r="H18" s="108">
        <f>('B.2 B'!I26)/1000</f>
        <v>0</v>
      </c>
      <c r="I18" s="108">
        <v>0</v>
      </c>
      <c r="J18" s="108">
        <v>0</v>
      </c>
      <c r="K18" s="108">
        <v>0</v>
      </c>
      <c r="L18" s="108">
        <v>636</v>
      </c>
      <c r="M18" s="108">
        <v>901</v>
      </c>
      <c r="N18" s="108">
        <v>901</v>
      </c>
      <c r="O18" s="108">
        <v>901</v>
      </c>
      <c r="P18" s="108">
        <v>901</v>
      </c>
      <c r="Q18" s="108">
        <v>901</v>
      </c>
      <c r="R18" s="108">
        <v>901</v>
      </c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</row>
    <row r="19" spans="1:36">
      <c r="A19" s="848">
        <f t="shared" si="0"/>
        <v>5</v>
      </c>
      <c r="B19" s="88" t="s">
        <v>27</v>
      </c>
      <c r="G19" s="108">
        <f>('B.2 F'!I47)/1000</f>
        <v>15017.625798266803</v>
      </c>
      <c r="H19" s="108">
        <f>('B.2 B'!I47)/1000</f>
        <v>15022.90597</v>
      </c>
      <c r="I19" s="108">
        <v>13329</v>
      </c>
      <c r="J19" s="108">
        <v>12454</v>
      </c>
      <c r="K19" s="108">
        <v>11560</v>
      </c>
      <c r="L19" s="108">
        <v>10792</v>
      </c>
      <c r="M19" s="108">
        <v>9630</v>
      </c>
      <c r="N19" s="108">
        <v>10104</v>
      </c>
      <c r="O19" s="108">
        <v>9388</v>
      </c>
      <c r="P19" s="108">
        <v>7731</v>
      </c>
      <c r="Q19" s="108">
        <v>7540</v>
      </c>
      <c r="R19" s="108">
        <v>6950</v>
      </c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</row>
    <row r="20" spans="1:36">
      <c r="A20" s="848">
        <f t="shared" si="0"/>
        <v>6</v>
      </c>
      <c r="B20" s="88" t="s">
        <v>28</v>
      </c>
      <c r="G20" s="108">
        <f>('B.2 F'!I60)/1000</f>
        <v>31004.373073646973</v>
      </c>
      <c r="H20" s="108">
        <f>('B.2 B'!I60)/1000</f>
        <v>31462.489659999996</v>
      </c>
      <c r="I20" s="108">
        <v>31784</v>
      </c>
      <c r="J20" s="108">
        <v>31814</v>
      </c>
      <c r="K20" s="108">
        <v>31808</v>
      </c>
      <c r="L20" s="108">
        <v>31877</v>
      </c>
      <c r="M20" s="108">
        <v>32962</v>
      </c>
      <c r="N20" s="108">
        <v>32836</v>
      </c>
      <c r="O20" s="108">
        <v>33144</v>
      </c>
      <c r="P20" s="108">
        <v>31189</v>
      </c>
      <c r="Q20" s="108">
        <v>31202</v>
      </c>
      <c r="R20" s="108">
        <v>28807</v>
      </c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</row>
    <row r="21" spans="1:36">
      <c r="A21" s="848">
        <f t="shared" si="0"/>
        <v>7</v>
      </c>
      <c r="B21" s="88" t="s">
        <v>499</v>
      </c>
      <c r="G21" s="108">
        <f>('B.2 F'!I86+'B.2 F'!I152)/1000</f>
        <v>673469.00766965665</v>
      </c>
      <c r="H21" s="108">
        <f>('B.2 B'!I86+'B.2 B'!I152)/1000</f>
        <v>573567.2405399998</v>
      </c>
      <c r="I21" s="108">
        <v>517179</v>
      </c>
      <c r="J21" s="108">
        <v>472849</v>
      </c>
      <c r="K21" s="108">
        <v>413302</v>
      </c>
      <c r="L21" s="108">
        <v>381623</v>
      </c>
      <c r="M21" s="108">
        <v>340200</v>
      </c>
      <c r="N21" s="108">
        <v>323036</v>
      </c>
      <c r="O21" s="108">
        <v>296493</v>
      </c>
      <c r="P21" s="108">
        <v>283474</v>
      </c>
      <c r="Q21" s="108">
        <v>271463</v>
      </c>
      <c r="R21" s="108">
        <v>260621</v>
      </c>
    </row>
    <row r="22" spans="1:36">
      <c r="A22" s="848">
        <f t="shared" si="0"/>
        <v>8</v>
      </c>
      <c r="B22" s="88" t="s">
        <v>956</v>
      </c>
      <c r="G22" s="108">
        <f>('B.2 F'!I115+'B.2 F'!I177+'B.2 F'!I225+'B.2 F'!I262)/1000</f>
        <v>42857.372076581058</v>
      </c>
      <c r="H22" s="108">
        <f>('B.2 B'!I115+'B.2 B'!I177+'B.2 B'!I225+'B.2 B'!I262)/1000</f>
        <v>40351.197580267755</v>
      </c>
      <c r="I22" s="108">
        <v>21675</v>
      </c>
      <c r="J22" s="108">
        <v>21271</v>
      </c>
      <c r="K22" s="108">
        <v>18126</v>
      </c>
      <c r="L22" s="108">
        <v>16683</v>
      </c>
      <c r="M22" s="108">
        <v>15589</v>
      </c>
      <c r="N22" s="108">
        <v>15238</v>
      </c>
      <c r="O22" s="108">
        <v>16000</v>
      </c>
      <c r="P22" s="108">
        <v>15103</v>
      </c>
      <c r="Q22" s="108">
        <v>14696</v>
      </c>
      <c r="R22" s="108">
        <v>15422</v>
      </c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</row>
    <row r="23" spans="1:36">
      <c r="A23" s="848">
        <f t="shared" si="0"/>
        <v>9</v>
      </c>
      <c r="B23" s="88" t="s">
        <v>382</v>
      </c>
      <c r="G23" s="108"/>
      <c r="H23" s="108"/>
      <c r="I23" s="108">
        <v>3279</v>
      </c>
      <c r="J23" s="108">
        <v>3279</v>
      </c>
      <c r="K23" s="108">
        <v>3279</v>
      </c>
      <c r="L23" s="108">
        <v>3279</v>
      </c>
      <c r="M23" s="108">
        <v>3279</v>
      </c>
      <c r="N23" s="108">
        <v>3279</v>
      </c>
      <c r="O23" s="108">
        <v>3279</v>
      </c>
      <c r="P23" s="108">
        <v>3337</v>
      </c>
      <c r="Q23" s="108">
        <v>3337</v>
      </c>
      <c r="R23" s="108">
        <v>3337</v>
      </c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</row>
    <row r="24" spans="1:36">
      <c r="A24" s="848">
        <f t="shared" si="0"/>
        <v>10</v>
      </c>
      <c r="B24" s="88" t="s">
        <v>323</v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</row>
    <row r="25" spans="1:36">
      <c r="A25" s="848">
        <f t="shared" si="0"/>
        <v>11</v>
      </c>
      <c r="B25" s="88" t="s">
        <v>165</v>
      </c>
      <c r="G25" s="108">
        <f t="shared" ref="G25:R25" si="1">SUM(G17:G24)</f>
        <v>763121.14280906157</v>
      </c>
      <c r="H25" s="108">
        <f t="shared" si="1"/>
        <v>661176.59794117755</v>
      </c>
      <c r="I25" s="108">
        <f t="shared" si="1"/>
        <v>587374</v>
      </c>
      <c r="J25" s="108">
        <f t="shared" si="1"/>
        <v>541795</v>
      </c>
      <c r="K25" s="108">
        <f t="shared" si="1"/>
        <v>478203</v>
      </c>
      <c r="L25" s="108">
        <f t="shared" si="1"/>
        <v>445018</v>
      </c>
      <c r="M25" s="108">
        <f t="shared" si="1"/>
        <v>402689</v>
      </c>
      <c r="N25" s="108">
        <f t="shared" si="1"/>
        <v>385522</v>
      </c>
      <c r="O25" s="108">
        <f t="shared" si="1"/>
        <v>359333</v>
      </c>
      <c r="P25" s="108">
        <f t="shared" si="1"/>
        <v>341863</v>
      </c>
      <c r="Q25" s="108">
        <f t="shared" si="1"/>
        <v>329267</v>
      </c>
      <c r="R25" s="108">
        <f t="shared" si="1"/>
        <v>316166</v>
      </c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</row>
    <row r="26" spans="1:36">
      <c r="A26" s="848">
        <f t="shared" si="0"/>
        <v>12</v>
      </c>
      <c r="B26" s="88" t="s">
        <v>383</v>
      </c>
      <c r="G26" s="109">
        <f>-'B.1 F '!D17/1000</f>
        <v>199412.54512952574</v>
      </c>
      <c r="H26" s="426">
        <f>-'B.1 B'!D17/1000</f>
        <v>183543.12853202302</v>
      </c>
      <c r="I26" s="108">
        <v>175150</v>
      </c>
      <c r="J26" s="108">
        <v>167228</v>
      </c>
      <c r="K26" s="108">
        <v>165298</v>
      </c>
      <c r="L26" s="108">
        <v>160839</v>
      </c>
      <c r="M26" s="108">
        <v>158300</v>
      </c>
      <c r="N26" s="108">
        <v>151849</v>
      </c>
      <c r="O26" s="108">
        <v>150795</v>
      </c>
      <c r="P26" s="108">
        <v>147462</v>
      </c>
      <c r="Q26" s="108">
        <v>144016</v>
      </c>
      <c r="R26" s="108">
        <v>139212</v>
      </c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</row>
    <row r="27" spans="1:36">
      <c r="A27" s="848">
        <f t="shared" si="0"/>
        <v>13</v>
      </c>
      <c r="B27" s="88" t="s">
        <v>384</v>
      </c>
      <c r="G27" s="108">
        <f t="shared" ref="G27:R27" si="2">G25-G26</f>
        <v>563708.59767953586</v>
      </c>
      <c r="H27" s="683">
        <f t="shared" si="2"/>
        <v>477633.4694091545</v>
      </c>
      <c r="I27" s="1015">
        <f t="shared" si="2"/>
        <v>412224</v>
      </c>
      <c r="J27" s="1015">
        <f t="shared" si="2"/>
        <v>374567</v>
      </c>
      <c r="K27" s="1015">
        <f t="shared" si="2"/>
        <v>312905</v>
      </c>
      <c r="L27" s="1015">
        <f t="shared" si="2"/>
        <v>284179</v>
      </c>
      <c r="M27" s="1015">
        <f t="shared" si="2"/>
        <v>244389</v>
      </c>
      <c r="N27" s="1015">
        <f t="shared" si="2"/>
        <v>233673</v>
      </c>
      <c r="O27" s="1015">
        <f t="shared" si="2"/>
        <v>208538</v>
      </c>
      <c r="P27" s="1015">
        <f t="shared" si="2"/>
        <v>194401</v>
      </c>
      <c r="Q27" s="1015">
        <f t="shared" si="2"/>
        <v>185251</v>
      </c>
      <c r="R27" s="1015">
        <f t="shared" si="2"/>
        <v>176954</v>
      </c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</row>
    <row r="28" spans="1:36">
      <c r="A28" s="848">
        <f t="shared" si="0"/>
        <v>14</v>
      </c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</row>
    <row r="29" spans="1:36">
      <c r="A29" s="848">
        <f t="shared" si="0"/>
        <v>15</v>
      </c>
      <c r="B29" s="88" t="s">
        <v>783</v>
      </c>
      <c r="G29" s="108">
        <f>'B.1 F '!D16/1000</f>
        <v>39130.198175474179</v>
      </c>
      <c r="H29" s="108">
        <f>'B.1 B'!D16/1000</f>
        <v>41269.538631500938</v>
      </c>
      <c r="I29" s="108">
        <v>32838</v>
      </c>
      <c r="J29" s="108">
        <v>10146.378000000001</v>
      </c>
      <c r="K29" s="108">
        <v>26310.035</v>
      </c>
      <c r="L29" s="108">
        <v>12708</v>
      </c>
      <c r="M29" s="108">
        <v>16578</v>
      </c>
      <c r="N29" s="108">
        <v>6006</v>
      </c>
      <c r="O29" s="108">
        <v>3306</v>
      </c>
      <c r="P29" s="108">
        <v>7197</v>
      </c>
      <c r="Q29" s="108">
        <v>4851</v>
      </c>
      <c r="R29" s="108">
        <v>5215</v>
      </c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</row>
    <row r="30" spans="1:36">
      <c r="A30" s="848">
        <f t="shared" si="0"/>
        <v>16</v>
      </c>
      <c r="B30" s="88" t="s">
        <v>323</v>
      </c>
      <c r="G30" s="109"/>
      <c r="H30" s="109"/>
      <c r="I30" s="109"/>
      <c r="J30" s="109"/>
      <c r="K30" s="1016"/>
      <c r="L30" s="109"/>
      <c r="M30" s="109"/>
      <c r="N30" s="109"/>
      <c r="O30" s="109"/>
      <c r="P30" s="109"/>
      <c r="Q30" s="109"/>
      <c r="R30" s="109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</row>
    <row r="31" spans="1:36">
      <c r="A31" s="848">
        <f t="shared" si="0"/>
        <v>17</v>
      </c>
      <c r="B31" s="88" t="s">
        <v>1178</v>
      </c>
      <c r="G31" s="108">
        <f t="shared" ref="G31:R31" si="3">SUM(G29:G30)</f>
        <v>39130.198175474179</v>
      </c>
      <c r="H31" s="108">
        <f t="shared" si="3"/>
        <v>41269.538631500938</v>
      </c>
      <c r="I31" s="108">
        <f t="shared" si="3"/>
        <v>32838</v>
      </c>
      <c r="J31" s="108">
        <f t="shared" si="3"/>
        <v>10146.378000000001</v>
      </c>
      <c r="K31" s="108">
        <f t="shared" si="3"/>
        <v>26310.035</v>
      </c>
      <c r="L31" s="108">
        <f t="shared" si="3"/>
        <v>12708</v>
      </c>
      <c r="M31" s="108">
        <f t="shared" si="3"/>
        <v>16578</v>
      </c>
      <c r="N31" s="108">
        <f t="shared" si="3"/>
        <v>6006</v>
      </c>
      <c r="O31" s="108">
        <f t="shared" si="3"/>
        <v>3306</v>
      </c>
      <c r="P31" s="108">
        <f t="shared" si="3"/>
        <v>7197</v>
      </c>
      <c r="Q31" s="108">
        <f t="shared" si="3"/>
        <v>4851</v>
      </c>
      <c r="R31" s="108">
        <f t="shared" si="3"/>
        <v>5215</v>
      </c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</row>
    <row r="32" spans="1:36">
      <c r="A32" s="848">
        <f t="shared" si="0"/>
        <v>18</v>
      </c>
      <c r="G32" s="108"/>
      <c r="H32" s="108"/>
      <c r="I32" s="108"/>
      <c r="J32" s="108"/>
      <c r="K32" s="108"/>
      <c r="L32" s="108"/>
      <c r="M32" s="108"/>
      <c r="N32" s="108"/>
      <c r="O32" s="103"/>
      <c r="P32" s="108"/>
      <c r="Q32" s="108"/>
      <c r="R32" s="108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</row>
    <row r="33" spans="1:36">
      <c r="A33" s="848">
        <f t="shared" si="0"/>
        <v>19</v>
      </c>
      <c r="B33" s="88" t="s">
        <v>96</v>
      </c>
      <c r="G33" s="113">
        <f t="shared" ref="G33:R33" si="4">G27+G31</f>
        <v>602838.79585501004</v>
      </c>
      <c r="H33" s="113">
        <f t="shared" si="4"/>
        <v>518903.0080406554</v>
      </c>
      <c r="I33" s="113">
        <f t="shared" si="4"/>
        <v>445062</v>
      </c>
      <c r="J33" s="113">
        <f t="shared" si="4"/>
        <v>384713.37800000003</v>
      </c>
      <c r="K33" s="113">
        <f t="shared" si="4"/>
        <v>339215.03499999997</v>
      </c>
      <c r="L33" s="113">
        <f t="shared" si="4"/>
        <v>296887</v>
      </c>
      <c r="M33" s="113">
        <f t="shared" si="4"/>
        <v>260967</v>
      </c>
      <c r="N33" s="113">
        <f t="shared" si="4"/>
        <v>239679</v>
      </c>
      <c r="O33" s="113">
        <f t="shared" si="4"/>
        <v>211844</v>
      </c>
      <c r="P33" s="113">
        <f t="shared" si="4"/>
        <v>201598</v>
      </c>
      <c r="Q33" s="113">
        <f t="shared" si="4"/>
        <v>190102</v>
      </c>
      <c r="R33" s="113">
        <f t="shared" si="4"/>
        <v>182169</v>
      </c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</row>
    <row r="34" spans="1:36">
      <c r="A34" s="848">
        <f t="shared" si="0"/>
        <v>20</v>
      </c>
      <c r="G34" s="108"/>
      <c r="H34" s="103"/>
      <c r="I34" s="108"/>
      <c r="J34" s="108"/>
      <c r="K34" s="108"/>
      <c r="L34" s="103"/>
      <c r="M34" s="108"/>
      <c r="N34" s="108"/>
      <c r="O34" s="108"/>
      <c r="P34" s="108"/>
      <c r="Q34" s="108"/>
      <c r="R34" s="108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</row>
    <row r="35" spans="1:36">
      <c r="A35" s="848">
        <f t="shared" si="0"/>
        <v>21</v>
      </c>
      <c r="B35" s="88" t="s">
        <v>385</v>
      </c>
      <c r="G35" s="114">
        <v>0</v>
      </c>
      <c r="H35" s="114">
        <v>0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  <c r="N35" s="114">
        <v>0</v>
      </c>
      <c r="O35" s="114">
        <v>0</v>
      </c>
      <c r="P35" s="114">
        <v>0</v>
      </c>
      <c r="Q35" s="114">
        <v>0</v>
      </c>
      <c r="R35" s="114">
        <v>0</v>
      </c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</row>
    <row r="36" spans="1:36">
      <c r="A36" s="848">
        <f t="shared" si="0"/>
        <v>22</v>
      </c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>
      <c r="A37" s="848">
        <f t="shared" si="0"/>
        <v>23</v>
      </c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</row>
    <row r="38" spans="1:36">
      <c r="A38" s="848">
        <f t="shared" si="0"/>
        <v>24</v>
      </c>
      <c r="B38" s="655" t="s">
        <v>1234</v>
      </c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73"/>
      <c r="T38" s="73"/>
      <c r="U38" s="73"/>
      <c r="AA38" s="110"/>
    </row>
    <row r="39" spans="1:36">
      <c r="A39" s="848">
        <f t="shared" si="0"/>
        <v>25</v>
      </c>
      <c r="B39" s="619" t="s">
        <v>1068</v>
      </c>
      <c r="C39" s="987"/>
      <c r="D39" s="987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73"/>
      <c r="T39" s="73"/>
      <c r="U39" s="73"/>
      <c r="X39" s="110"/>
      <c r="AA39" s="110"/>
      <c r="AC39" s="110"/>
      <c r="AD39" s="110"/>
      <c r="AE39" s="110"/>
      <c r="AF39" s="110"/>
      <c r="AG39" s="110"/>
      <c r="AH39" s="110"/>
    </row>
    <row r="40" spans="1:36" ht="15.75">
      <c r="A40" s="848">
        <f t="shared" si="0"/>
        <v>26</v>
      </c>
      <c r="B40" s="88" t="s">
        <v>1069</v>
      </c>
      <c r="G40" s="131">
        <f>'J-1 F'!G20</f>
        <v>281542.43134917947</v>
      </c>
      <c r="H40" s="131">
        <f>'J-1 Base'!G19</f>
        <v>203112.40348182284</v>
      </c>
      <c r="I40" s="131">
        <v>447745</v>
      </c>
      <c r="J40" s="131">
        <v>829811</v>
      </c>
      <c r="K40" s="131">
        <v>457927</v>
      </c>
      <c r="L40" s="131">
        <v>196695</v>
      </c>
      <c r="M40" s="131">
        <v>367984</v>
      </c>
      <c r="N40" s="131">
        <v>570929</v>
      </c>
      <c r="O40" s="131">
        <v>206396</v>
      </c>
      <c r="P40" s="131">
        <v>126100</v>
      </c>
      <c r="Q40" s="131">
        <v>72550</v>
      </c>
      <c r="R40" s="131">
        <v>350542</v>
      </c>
      <c r="S40" s="1011"/>
      <c r="X40" s="110"/>
      <c r="Z40" s="110"/>
      <c r="AA40" s="110"/>
      <c r="AC40" s="110"/>
      <c r="AD40" s="110"/>
      <c r="AE40" s="110"/>
      <c r="AF40" s="110"/>
      <c r="AG40" s="110"/>
      <c r="AH40" s="110"/>
    </row>
    <row r="41" spans="1:36" ht="15.75">
      <c r="A41" s="848">
        <f t="shared" si="0"/>
        <v>27</v>
      </c>
      <c r="B41" s="88" t="s">
        <v>1070</v>
      </c>
      <c r="G41" s="131">
        <f>'J-1 F'!G22</f>
        <v>3131314.7028200002</v>
      </c>
      <c r="H41" s="131">
        <f>'J-1 Base'!G21</f>
        <v>3659778.85971</v>
      </c>
      <c r="I41" s="131">
        <v>3067045</v>
      </c>
      <c r="J41" s="131">
        <v>2438779</v>
      </c>
      <c r="K41" s="131">
        <v>2437515</v>
      </c>
      <c r="L41" s="131">
        <v>2455986</v>
      </c>
      <c r="M41" s="131">
        <v>2455671</v>
      </c>
      <c r="N41" s="131">
        <v>1956305</v>
      </c>
      <c r="O41" s="131">
        <v>2206117</v>
      </c>
      <c r="P41" s="131">
        <v>1809551</v>
      </c>
      <c r="Q41" s="131">
        <v>2169400</v>
      </c>
      <c r="R41" s="131">
        <v>2119792</v>
      </c>
      <c r="S41" s="1011"/>
      <c r="AA41" s="110"/>
    </row>
    <row r="42" spans="1:36">
      <c r="A42" s="848">
        <f t="shared" si="0"/>
        <v>28</v>
      </c>
      <c r="B42" s="88" t="s">
        <v>256</v>
      </c>
      <c r="G42" s="684"/>
      <c r="H42" s="684"/>
      <c r="I42" s="131">
        <v>0</v>
      </c>
      <c r="J42" s="131">
        <v>0</v>
      </c>
      <c r="K42" s="131">
        <v>0</v>
      </c>
      <c r="L42" s="131">
        <v>0</v>
      </c>
      <c r="M42" s="131">
        <v>0</v>
      </c>
      <c r="N42" s="131">
        <v>0</v>
      </c>
      <c r="O42" s="131">
        <v>0</v>
      </c>
      <c r="P42" s="131">
        <v>0</v>
      </c>
      <c r="Q42" s="131">
        <v>0</v>
      </c>
      <c r="R42" s="131">
        <v>0</v>
      </c>
      <c r="X42" s="110"/>
      <c r="AA42" s="110"/>
      <c r="AC42" s="110"/>
      <c r="AD42" s="110"/>
      <c r="AE42" s="110"/>
      <c r="AF42" s="110"/>
      <c r="AG42" s="110"/>
      <c r="AH42" s="110"/>
    </row>
    <row r="43" spans="1:36" ht="15.75">
      <c r="A43" s="848">
        <f t="shared" si="0"/>
        <v>29</v>
      </c>
      <c r="B43" s="88" t="s">
        <v>257</v>
      </c>
      <c r="G43" s="644">
        <f>'J-1 F'!G26</f>
        <v>4760180.6776799997</v>
      </c>
      <c r="H43" s="644">
        <f>'J-1 Base'!G25</f>
        <v>5370321.5454500001</v>
      </c>
      <c r="I43" s="131">
        <v>3898666</v>
      </c>
      <c r="J43" s="131">
        <v>3463059</v>
      </c>
      <c r="K43" s="131">
        <v>3194797</v>
      </c>
      <c r="L43" s="131">
        <v>3086232</v>
      </c>
      <c r="M43" s="131">
        <v>2580409</v>
      </c>
      <c r="N43" s="131">
        <v>2359243</v>
      </c>
      <c r="O43" s="131">
        <v>2255421</v>
      </c>
      <c r="P43" s="131">
        <v>2178348</v>
      </c>
      <c r="Q43" s="131">
        <v>2176761</v>
      </c>
      <c r="R43" s="131">
        <v>2052492</v>
      </c>
      <c r="S43" s="1011"/>
      <c r="AA43" s="110"/>
    </row>
    <row r="44" spans="1:36">
      <c r="A44" s="848">
        <f t="shared" si="0"/>
        <v>30</v>
      </c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X44" s="110"/>
      <c r="Z44" s="110"/>
      <c r="AA44" s="110"/>
      <c r="AC44" s="110"/>
      <c r="AD44" s="110"/>
      <c r="AE44" s="110"/>
      <c r="AF44" s="110"/>
      <c r="AG44" s="110"/>
      <c r="AH44" s="110"/>
    </row>
    <row r="45" spans="1:36">
      <c r="A45" s="848">
        <f t="shared" si="0"/>
        <v>31</v>
      </c>
      <c r="B45" s="88" t="s">
        <v>96</v>
      </c>
      <c r="G45" s="113">
        <f>'J-1 F'!G28</f>
        <v>8173037.8118491797</v>
      </c>
      <c r="H45" s="113">
        <f>'J-1 Base'!G27</f>
        <v>9233212.808641823</v>
      </c>
      <c r="I45" s="113">
        <f t="shared" ref="I45:R45" si="5">SUM(I40:I43)</f>
        <v>7413456</v>
      </c>
      <c r="J45" s="113">
        <f t="shared" si="5"/>
        <v>6731649</v>
      </c>
      <c r="K45" s="113">
        <f t="shared" si="5"/>
        <v>6090239</v>
      </c>
      <c r="L45" s="113">
        <f t="shared" si="5"/>
        <v>5738913</v>
      </c>
      <c r="M45" s="113">
        <f t="shared" si="5"/>
        <v>5404064</v>
      </c>
      <c r="N45" s="113">
        <f t="shared" si="5"/>
        <v>4886477</v>
      </c>
      <c r="O45" s="113">
        <f>SUM(O40:O43)</f>
        <v>4667934</v>
      </c>
      <c r="P45" s="113">
        <f t="shared" si="5"/>
        <v>4113999</v>
      </c>
      <c r="Q45" s="113">
        <f t="shared" si="5"/>
        <v>4418711</v>
      </c>
      <c r="R45" s="113">
        <f t="shared" si="5"/>
        <v>4522826</v>
      </c>
      <c r="AA45" s="110"/>
    </row>
    <row r="46" spans="1:36">
      <c r="A46" s="848">
        <f t="shared" si="0"/>
        <v>32</v>
      </c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X46" s="110"/>
      <c r="Z46" s="110"/>
      <c r="AA46" s="110"/>
      <c r="AB46" s="110"/>
      <c r="AC46" s="110"/>
      <c r="AD46" s="110"/>
      <c r="AE46" s="110"/>
      <c r="AF46" s="110"/>
      <c r="AG46" s="110"/>
      <c r="AH46" s="110"/>
    </row>
    <row r="47" spans="1:36">
      <c r="A47" s="848">
        <f t="shared" si="0"/>
        <v>33</v>
      </c>
      <c r="B47" s="619" t="s">
        <v>258</v>
      </c>
      <c r="C47" s="987"/>
      <c r="D47" s="987"/>
      <c r="E47" s="987"/>
      <c r="F47" s="987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AA47" s="110"/>
    </row>
    <row r="48" spans="1:36" ht="15.75">
      <c r="A48" s="848">
        <f t="shared" si="0"/>
        <v>34</v>
      </c>
      <c r="B48" s="88" t="s">
        <v>1187</v>
      </c>
      <c r="G48" s="131">
        <f>+I.1!L19</f>
        <v>169717.86583695575</v>
      </c>
      <c r="H48" s="131">
        <f>+I.1!J19</f>
        <v>182278.59203999999</v>
      </c>
      <c r="I48" s="131">
        <v>164102</v>
      </c>
      <c r="J48" s="131">
        <v>147431</v>
      </c>
      <c r="K48" s="131">
        <v>170468</v>
      </c>
      <c r="L48" s="131">
        <v>196882</v>
      </c>
      <c r="M48" s="131">
        <v>162968</v>
      </c>
      <c r="N48" s="131">
        <v>134778</v>
      </c>
      <c r="O48" s="131">
        <v>149662</v>
      </c>
      <c r="P48" s="131">
        <v>156816</v>
      </c>
      <c r="Q48" s="131">
        <v>190356</v>
      </c>
      <c r="R48" s="131">
        <v>244308.47516</v>
      </c>
      <c r="S48" s="1011"/>
      <c r="AA48" s="110"/>
    </row>
    <row r="49" spans="1:34" ht="15.75">
      <c r="A49" s="848">
        <f t="shared" si="0"/>
        <v>35</v>
      </c>
      <c r="B49" s="88" t="s">
        <v>288</v>
      </c>
      <c r="G49" s="108"/>
      <c r="H49" s="108"/>
      <c r="I49" s="131">
        <v>0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31">
        <v>0</v>
      </c>
      <c r="Q49" s="131">
        <v>0</v>
      </c>
      <c r="R49" s="131">
        <v>0</v>
      </c>
      <c r="S49" s="1011"/>
      <c r="X49" s="110"/>
      <c r="Z49" s="110"/>
      <c r="AA49" s="110"/>
      <c r="AC49" s="110"/>
      <c r="AD49" s="110"/>
      <c r="AE49" s="110"/>
      <c r="AF49" s="110"/>
      <c r="AG49" s="110"/>
      <c r="AH49" s="110"/>
    </row>
    <row r="50" spans="1:34">
      <c r="A50" s="848">
        <f t="shared" si="0"/>
        <v>36</v>
      </c>
      <c r="B50" s="88" t="s">
        <v>620</v>
      </c>
      <c r="G50" s="131">
        <f>+I.1!L29+I.1!L21</f>
        <v>136217.83342021634</v>
      </c>
      <c r="H50" s="131">
        <f>+I.1!J29+I.1!J21</f>
        <v>145591.81787</v>
      </c>
      <c r="I50" s="131">
        <v>124455</v>
      </c>
      <c r="J50" s="131">
        <v>113447</v>
      </c>
      <c r="K50" s="131">
        <v>141526</v>
      </c>
      <c r="L50" s="131">
        <v>166452</v>
      </c>
      <c r="M50" s="131">
        <v>139358</v>
      </c>
      <c r="N50" s="131">
        <v>112027</v>
      </c>
      <c r="O50" s="131">
        <v>126219</v>
      </c>
      <c r="P50" s="131">
        <v>136649</v>
      </c>
      <c r="Q50" s="131">
        <v>176587</v>
      </c>
      <c r="R50" s="131">
        <v>224347.66394</v>
      </c>
      <c r="Z50" s="110"/>
      <c r="AA50" s="110"/>
    </row>
    <row r="51" spans="1:34">
      <c r="A51" s="848">
        <f t="shared" si="0"/>
        <v>37</v>
      </c>
      <c r="B51" s="88" t="s">
        <v>259</v>
      </c>
      <c r="G51" s="131"/>
      <c r="H51" s="131"/>
      <c r="I51" s="131">
        <v>0</v>
      </c>
      <c r="J51" s="131">
        <v>0</v>
      </c>
      <c r="K51" s="131">
        <v>0</v>
      </c>
      <c r="L51" s="131">
        <v>0</v>
      </c>
      <c r="M51" s="131">
        <v>0</v>
      </c>
      <c r="N51" s="131">
        <v>0</v>
      </c>
      <c r="O51" s="131">
        <v>0</v>
      </c>
      <c r="P51" s="131">
        <v>0</v>
      </c>
      <c r="Q51" s="131">
        <v>0</v>
      </c>
      <c r="R51" s="131">
        <v>0</v>
      </c>
      <c r="X51" s="110"/>
      <c r="Z51" s="110"/>
      <c r="AA51" s="110"/>
      <c r="AC51" s="110"/>
      <c r="AD51" s="110"/>
      <c r="AE51" s="110"/>
      <c r="AF51" s="110"/>
      <c r="AG51" s="110"/>
      <c r="AH51" s="110"/>
    </row>
    <row r="52" spans="1:34">
      <c r="A52" s="848">
        <f t="shared" si="0"/>
        <v>38</v>
      </c>
      <c r="B52" s="88" t="s">
        <v>260</v>
      </c>
      <c r="G52" s="131"/>
      <c r="H52" s="131"/>
      <c r="I52" s="131">
        <v>0</v>
      </c>
      <c r="J52" s="131">
        <v>0</v>
      </c>
      <c r="K52" s="131">
        <v>0</v>
      </c>
      <c r="L52" s="131">
        <v>0</v>
      </c>
      <c r="M52" s="131">
        <v>0</v>
      </c>
      <c r="N52" s="131">
        <v>0</v>
      </c>
      <c r="O52" s="131">
        <v>0</v>
      </c>
      <c r="P52" s="131">
        <v>0</v>
      </c>
      <c r="Q52" s="131">
        <v>0</v>
      </c>
      <c r="R52" s="131">
        <v>0</v>
      </c>
      <c r="Z52" s="110"/>
      <c r="AA52" s="110"/>
    </row>
    <row r="53" spans="1:34">
      <c r="A53" s="848">
        <f t="shared" si="0"/>
        <v>39</v>
      </c>
      <c r="B53" s="88" t="s">
        <v>261</v>
      </c>
      <c r="G53" s="108">
        <f>+I.1!L43</f>
        <v>6648.8842812873245</v>
      </c>
      <c r="H53" s="108">
        <f>+I.1!J43</f>
        <v>7515.8473125037508</v>
      </c>
      <c r="I53" s="131">
        <v>9697</v>
      </c>
      <c r="J53" s="131">
        <v>9516</v>
      </c>
      <c r="K53" s="131">
        <v>9884</v>
      </c>
      <c r="L53" s="131">
        <v>9671</v>
      </c>
      <c r="M53" s="131">
        <v>7060</v>
      </c>
      <c r="N53" s="131">
        <v>8157</v>
      </c>
      <c r="O53" s="131">
        <v>8094</v>
      </c>
      <c r="P53" s="131">
        <v>5654</v>
      </c>
      <c r="Q53" s="131">
        <v>2889</v>
      </c>
      <c r="R53" s="131">
        <v>6985</v>
      </c>
      <c r="X53" s="110"/>
      <c r="Z53" s="110"/>
      <c r="AA53" s="110"/>
      <c r="AC53" s="110"/>
      <c r="AD53" s="110"/>
      <c r="AE53" s="110"/>
      <c r="AF53" s="110"/>
      <c r="AG53" s="110"/>
      <c r="AH53" s="110"/>
    </row>
    <row r="54" spans="1:34">
      <c r="A54" s="848">
        <f t="shared" si="0"/>
        <v>40</v>
      </c>
      <c r="B54" s="88" t="s">
        <v>262</v>
      </c>
      <c r="G54" s="644">
        <v>0</v>
      </c>
      <c r="H54" s="644">
        <v>0</v>
      </c>
      <c r="I54" s="131">
        <v>0</v>
      </c>
      <c r="J54" s="131">
        <v>0</v>
      </c>
      <c r="K54" s="131">
        <v>0</v>
      </c>
      <c r="L54" s="131">
        <v>0</v>
      </c>
      <c r="M54" s="131">
        <v>0</v>
      </c>
      <c r="N54" s="131">
        <v>0</v>
      </c>
      <c r="O54" s="131">
        <v>0</v>
      </c>
      <c r="P54" s="131">
        <v>0</v>
      </c>
      <c r="Q54" s="131">
        <v>0</v>
      </c>
      <c r="R54" s="131">
        <v>0</v>
      </c>
      <c r="Z54" s="110"/>
      <c r="AA54" s="110"/>
    </row>
    <row r="55" spans="1:34">
      <c r="A55" s="848">
        <f t="shared" si="0"/>
        <v>41</v>
      </c>
      <c r="B55" s="88" t="s">
        <v>794</v>
      </c>
      <c r="G55" s="108">
        <f t="shared" ref="G55:R55" si="6">G48-G50-G53-G54</f>
        <v>26851.148135452087</v>
      </c>
      <c r="H55" s="108">
        <f t="shared" si="6"/>
        <v>29170.926857496241</v>
      </c>
      <c r="I55" s="108">
        <f t="shared" si="6"/>
        <v>29950</v>
      </c>
      <c r="J55" s="108">
        <f t="shared" si="6"/>
        <v>24468</v>
      </c>
      <c r="K55" s="108">
        <f t="shared" si="6"/>
        <v>19058</v>
      </c>
      <c r="L55" s="108">
        <f t="shared" si="6"/>
        <v>20759</v>
      </c>
      <c r="M55" s="108">
        <f t="shared" si="6"/>
        <v>16550</v>
      </c>
      <c r="N55" s="108">
        <f t="shared" si="6"/>
        <v>14594</v>
      </c>
      <c r="O55" s="108">
        <f t="shared" si="6"/>
        <v>15349</v>
      </c>
      <c r="P55" s="108">
        <f t="shared" si="6"/>
        <v>14513</v>
      </c>
      <c r="Q55" s="108">
        <f t="shared" si="6"/>
        <v>10880</v>
      </c>
      <c r="R55" s="108">
        <f t="shared" si="6"/>
        <v>12975.811220000003</v>
      </c>
      <c r="Z55" s="110"/>
      <c r="AA55" s="110"/>
    </row>
    <row r="56" spans="1:34" ht="15.75">
      <c r="A56" s="848">
        <f t="shared" si="0"/>
        <v>42</v>
      </c>
      <c r="B56" s="88" t="s">
        <v>974</v>
      </c>
      <c r="G56" s="131">
        <v>0</v>
      </c>
      <c r="H56" s="131">
        <v>0</v>
      </c>
      <c r="I56" s="131">
        <v>379</v>
      </c>
      <c r="J56" s="131">
        <v>179</v>
      </c>
      <c r="K56" s="131">
        <v>182</v>
      </c>
      <c r="L56" s="131">
        <v>139</v>
      </c>
      <c r="M56" s="131">
        <v>88</v>
      </c>
      <c r="N56" s="131">
        <v>101</v>
      </c>
      <c r="O56" s="131">
        <v>22</v>
      </c>
      <c r="P56" s="131">
        <v>286</v>
      </c>
      <c r="Q56" s="131">
        <v>199</v>
      </c>
      <c r="R56" s="131">
        <v>160</v>
      </c>
      <c r="S56" s="1011"/>
      <c r="Z56" s="110"/>
      <c r="AA56" s="110"/>
      <c r="AC56" s="110"/>
      <c r="AD56" s="110"/>
      <c r="AE56" s="110"/>
      <c r="AF56" s="110"/>
      <c r="AG56" s="110"/>
      <c r="AH56" s="110"/>
    </row>
    <row r="57" spans="1:34">
      <c r="A57" s="848">
        <f t="shared" si="0"/>
        <v>43</v>
      </c>
      <c r="B57" s="88" t="s">
        <v>1071</v>
      </c>
      <c r="G57" s="644">
        <f>+I.1!L38</f>
        <v>2513.8272199999992</v>
      </c>
      <c r="H57" s="644">
        <f>+I.1!J38</f>
        <v>2513.8272199999992</v>
      </c>
      <c r="I57" s="131">
        <v>2514</v>
      </c>
      <c r="J57" s="131">
        <v>2087</v>
      </c>
      <c r="K57" s="131">
        <v>2063</v>
      </c>
      <c r="L57" s="131">
        <v>2019</v>
      </c>
      <c r="M57" s="131">
        <v>2033</v>
      </c>
      <c r="N57" s="131">
        <v>2046</v>
      </c>
      <c r="O57" s="131">
        <v>2657</v>
      </c>
      <c r="P57" s="131">
        <v>1748</v>
      </c>
      <c r="Q57" s="131">
        <v>2278</v>
      </c>
      <c r="R57" s="131">
        <v>2529</v>
      </c>
    </row>
    <row r="58" spans="1:34">
      <c r="A58" s="848">
        <f t="shared" si="0"/>
        <v>44</v>
      </c>
      <c r="B58" s="88" t="s">
        <v>1072</v>
      </c>
      <c r="G58" s="108">
        <f t="shared" ref="G58:R58" si="7">G55+G56+G57</f>
        <v>29364.975355452087</v>
      </c>
      <c r="H58" s="108">
        <f t="shared" si="7"/>
        <v>31684.75407749624</v>
      </c>
      <c r="I58" s="108">
        <f t="shared" si="7"/>
        <v>32843</v>
      </c>
      <c r="J58" s="108">
        <f t="shared" si="7"/>
        <v>26734</v>
      </c>
      <c r="K58" s="108">
        <f t="shared" si="7"/>
        <v>21303</v>
      </c>
      <c r="L58" s="108">
        <f t="shared" si="7"/>
        <v>22917</v>
      </c>
      <c r="M58" s="108">
        <f t="shared" si="7"/>
        <v>18671</v>
      </c>
      <c r="N58" s="108">
        <f>N55+N56+N57</f>
        <v>16741</v>
      </c>
      <c r="O58" s="108">
        <f t="shared" si="7"/>
        <v>18028</v>
      </c>
      <c r="P58" s="108">
        <f t="shared" si="7"/>
        <v>16547</v>
      </c>
      <c r="Q58" s="108">
        <f t="shared" si="7"/>
        <v>13357</v>
      </c>
      <c r="R58" s="108">
        <f t="shared" si="7"/>
        <v>15664.811220000003</v>
      </c>
    </row>
    <row r="59" spans="1:34">
      <c r="A59" s="848">
        <f t="shared" si="0"/>
        <v>45</v>
      </c>
      <c r="B59" s="88" t="s">
        <v>1073</v>
      </c>
      <c r="G59" s="644">
        <f>+I.1!L41</f>
        <v>9365.0248420006465</v>
      </c>
      <c r="H59" s="644">
        <f>+I.1!J41</f>
        <v>9076.9648669388644</v>
      </c>
      <c r="I59" s="1017">
        <v>8388</v>
      </c>
      <c r="J59" s="1017">
        <v>7556</v>
      </c>
      <c r="K59" s="1017">
        <v>6926</v>
      </c>
      <c r="L59" s="1017">
        <v>6559</v>
      </c>
      <c r="M59" s="1017">
        <v>6524</v>
      </c>
      <c r="N59" s="1017">
        <v>5612</v>
      </c>
      <c r="O59" s="1017">
        <v>5792</v>
      </c>
      <c r="P59" s="1017">
        <v>6270</v>
      </c>
      <c r="Q59" s="1017">
        <v>6633</v>
      </c>
      <c r="R59" s="1017">
        <v>6138</v>
      </c>
    </row>
    <row r="60" spans="1:34">
      <c r="A60" s="848">
        <f t="shared" si="0"/>
        <v>46</v>
      </c>
      <c r="B60" s="88" t="s">
        <v>1074</v>
      </c>
      <c r="G60" s="108">
        <f t="shared" ref="G60:R60" si="8">G58-G59</f>
        <v>19999.95051345144</v>
      </c>
      <c r="H60" s="108">
        <f t="shared" si="8"/>
        <v>22607.789210557377</v>
      </c>
      <c r="I60" s="108">
        <f t="shared" si="8"/>
        <v>24455</v>
      </c>
      <c r="J60" s="108">
        <f t="shared" si="8"/>
        <v>19178</v>
      </c>
      <c r="K60" s="108">
        <f t="shared" si="8"/>
        <v>14377</v>
      </c>
      <c r="L60" s="108">
        <f t="shared" si="8"/>
        <v>16358</v>
      </c>
      <c r="M60" s="108">
        <f t="shared" si="8"/>
        <v>12147</v>
      </c>
      <c r="N60" s="108">
        <f t="shared" si="8"/>
        <v>11129</v>
      </c>
      <c r="O60" s="108">
        <f t="shared" si="8"/>
        <v>12236</v>
      </c>
      <c r="P60" s="108">
        <f t="shared" si="8"/>
        <v>10277</v>
      </c>
      <c r="Q60" s="108">
        <f t="shared" si="8"/>
        <v>6724</v>
      </c>
      <c r="R60" s="108">
        <f t="shared" si="8"/>
        <v>9526.8112200000032</v>
      </c>
    </row>
    <row r="61" spans="1:34">
      <c r="A61" s="848">
        <f t="shared" si="0"/>
        <v>47</v>
      </c>
      <c r="B61" s="88" t="s">
        <v>1075</v>
      </c>
      <c r="G61" s="1018" t="s">
        <v>339</v>
      </c>
      <c r="H61" s="1018" t="s">
        <v>339</v>
      </c>
      <c r="I61" s="1018" t="s">
        <v>339</v>
      </c>
      <c r="J61" s="1018" t="s">
        <v>339</v>
      </c>
      <c r="K61" s="1018" t="s">
        <v>339</v>
      </c>
      <c r="L61" s="1018" t="s">
        <v>339</v>
      </c>
      <c r="M61" s="1018" t="s">
        <v>339</v>
      </c>
      <c r="N61" s="1018" t="s">
        <v>339</v>
      </c>
      <c r="O61" s="1018" t="s">
        <v>339</v>
      </c>
      <c r="P61" s="1018" t="s">
        <v>339</v>
      </c>
      <c r="Q61" s="1018" t="s">
        <v>339</v>
      </c>
      <c r="R61" s="1018" t="s">
        <v>339</v>
      </c>
    </row>
    <row r="62" spans="1:34" ht="15.75">
      <c r="A62" s="848">
        <f t="shared" si="0"/>
        <v>48</v>
      </c>
      <c r="B62" s="88" t="s">
        <v>381</v>
      </c>
      <c r="G62" s="113">
        <f t="shared" ref="G62:R62" si="9">G60</f>
        <v>19999.95051345144</v>
      </c>
      <c r="H62" s="113">
        <f t="shared" si="9"/>
        <v>22607.789210557377</v>
      </c>
      <c r="I62" s="113">
        <f t="shared" si="9"/>
        <v>24455</v>
      </c>
      <c r="J62" s="113">
        <f t="shared" si="9"/>
        <v>19178</v>
      </c>
      <c r="K62" s="113">
        <f t="shared" si="9"/>
        <v>14377</v>
      </c>
      <c r="L62" s="113">
        <f t="shared" si="9"/>
        <v>16358</v>
      </c>
      <c r="M62" s="113">
        <f t="shared" si="9"/>
        <v>12147</v>
      </c>
      <c r="N62" s="113">
        <f t="shared" si="9"/>
        <v>11129</v>
      </c>
      <c r="O62" s="113">
        <f t="shared" si="9"/>
        <v>12236</v>
      </c>
      <c r="P62" s="113">
        <f t="shared" si="9"/>
        <v>10277</v>
      </c>
      <c r="Q62" s="113">
        <f t="shared" si="9"/>
        <v>6724</v>
      </c>
      <c r="R62" s="113">
        <f t="shared" si="9"/>
        <v>9526.8112200000032</v>
      </c>
      <c r="S62" s="1011"/>
    </row>
    <row r="63" spans="1:34">
      <c r="A63" s="848">
        <f t="shared" si="0"/>
        <v>49</v>
      </c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</row>
    <row r="64" spans="1:34">
      <c r="A64" s="848">
        <f t="shared" si="0"/>
        <v>50</v>
      </c>
      <c r="B64" s="88" t="s">
        <v>726</v>
      </c>
      <c r="G64" s="576">
        <f t="shared" ref="G64:R64" si="10">ROUND(G56/G62,4)</f>
        <v>0</v>
      </c>
      <c r="H64" s="576">
        <f t="shared" si="10"/>
        <v>0</v>
      </c>
      <c r="I64" s="576">
        <f t="shared" ref="I64" si="11">ROUND(I56/I62,4)</f>
        <v>1.55E-2</v>
      </c>
      <c r="J64" s="576">
        <f t="shared" si="10"/>
        <v>9.2999999999999992E-3</v>
      </c>
      <c r="K64" s="576">
        <f t="shared" si="10"/>
        <v>1.2699999999999999E-2</v>
      </c>
      <c r="L64" s="576">
        <f t="shared" si="10"/>
        <v>8.5000000000000006E-3</v>
      </c>
      <c r="M64" s="576">
        <f t="shared" si="10"/>
        <v>7.1999999999999998E-3</v>
      </c>
      <c r="N64" s="576">
        <f t="shared" si="10"/>
        <v>9.1000000000000004E-3</v>
      </c>
      <c r="O64" s="576">
        <f t="shared" si="10"/>
        <v>1.8E-3</v>
      </c>
      <c r="P64" s="576">
        <f t="shared" si="10"/>
        <v>2.7799999999999998E-2</v>
      </c>
      <c r="Q64" s="576">
        <f t="shared" si="10"/>
        <v>2.9600000000000001E-2</v>
      </c>
      <c r="R64" s="576">
        <f t="shared" si="10"/>
        <v>1.6799999999999999E-2</v>
      </c>
    </row>
    <row r="65" spans="1:19">
      <c r="A65" s="848">
        <f t="shared" si="0"/>
        <v>51</v>
      </c>
      <c r="B65" s="88" t="s">
        <v>727</v>
      </c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</row>
    <row r="66" spans="1:19">
      <c r="A66" s="848">
        <f t="shared" si="0"/>
        <v>52</v>
      </c>
      <c r="B66" s="88" t="s">
        <v>728</v>
      </c>
      <c r="G66" s="576">
        <f t="shared" ref="G66:R66" si="12">ROUND(G56/G62,4)</f>
        <v>0</v>
      </c>
      <c r="H66" s="576">
        <f t="shared" si="12"/>
        <v>0</v>
      </c>
      <c r="I66" s="576">
        <f>ROUND(I56/I62,4)</f>
        <v>1.55E-2</v>
      </c>
      <c r="J66" s="576">
        <f>ROUND(J56/J62,4)</f>
        <v>9.2999999999999992E-3</v>
      </c>
      <c r="K66" s="576">
        <f t="shared" si="12"/>
        <v>1.2699999999999999E-2</v>
      </c>
      <c r="L66" s="576">
        <f t="shared" si="12"/>
        <v>8.5000000000000006E-3</v>
      </c>
      <c r="M66" s="576">
        <f t="shared" si="12"/>
        <v>7.1999999999999998E-3</v>
      </c>
      <c r="N66" s="576">
        <f t="shared" si="12"/>
        <v>9.1000000000000004E-3</v>
      </c>
      <c r="O66" s="576">
        <f t="shared" si="12"/>
        <v>1.8E-3</v>
      </c>
      <c r="P66" s="576">
        <f t="shared" si="12"/>
        <v>2.7799999999999998E-2</v>
      </c>
      <c r="Q66" s="576">
        <f t="shared" si="12"/>
        <v>2.9600000000000001E-2</v>
      </c>
      <c r="R66" s="576">
        <f t="shared" si="12"/>
        <v>1.6799999999999999E-2</v>
      </c>
    </row>
    <row r="67" spans="1:19">
      <c r="A67" s="848">
        <f t="shared" si="0"/>
        <v>53</v>
      </c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</row>
    <row r="68" spans="1:19">
      <c r="A68" s="848">
        <f t="shared" si="0"/>
        <v>54</v>
      </c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</row>
    <row r="69" spans="1:19">
      <c r="A69" s="848">
        <f t="shared" si="0"/>
        <v>55</v>
      </c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</row>
    <row r="70" spans="1:19">
      <c r="A70" s="848">
        <f t="shared" si="0"/>
        <v>56</v>
      </c>
      <c r="B70" s="619" t="s">
        <v>729</v>
      </c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</row>
    <row r="71" spans="1:19">
      <c r="A71" s="848">
        <f t="shared" si="0"/>
        <v>57</v>
      </c>
      <c r="B71" s="88" t="s">
        <v>730</v>
      </c>
      <c r="C71" s="987"/>
      <c r="G71" s="576">
        <f>+'J-1 F'!K20</f>
        <v>2.4E-2</v>
      </c>
      <c r="H71" s="576">
        <f>+'J-1 Base'!K19</f>
        <v>3.398388477024282E-2</v>
      </c>
      <c r="I71" s="576">
        <v>1.6799999999999999E-2</v>
      </c>
      <c r="J71" s="576">
        <v>1.12E-2</v>
      </c>
      <c r="K71" s="576">
        <v>1.09E-2</v>
      </c>
      <c r="L71" s="576">
        <v>1.49E-2</v>
      </c>
      <c r="M71" s="576">
        <v>1.17E-2</v>
      </c>
      <c r="N71" s="576">
        <v>1.2200000000000001E-2</v>
      </c>
      <c r="O71" s="576">
        <v>1.03E-2</v>
      </c>
      <c r="P71" s="576">
        <v>3.2300000000000002E-2</v>
      </c>
      <c r="Q71" s="576">
        <v>6.8000000000000005E-2</v>
      </c>
      <c r="R71" s="576">
        <v>4.3999999999999997E-2</v>
      </c>
    </row>
    <row r="72" spans="1:19">
      <c r="A72" s="848">
        <f t="shared" si="0"/>
        <v>58</v>
      </c>
      <c r="B72" s="88" t="s">
        <v>731</v>
      </c>
      <c r="F72" s="73"/>
      <c r="G72" s="576">
        <f>+'J-1 F'!K22</f>
        <v>4.7199999999999999E-2</v>
      </c>
      <c r="H72" s="576">
        <f>+'J-1 Base'!K21</f>
        <v>5.1010821593374375E-2</v>
      </c>
      <c r="I72" s="576">
        <v>5.45E-2</v>
      </c>
      <c r="J72" s="576">
        <v>5.8900000000000001E-2</v>
      </c>
      <c r="K72" s="576">
        <v>5.8999999999999997E-2</v>
      </c>
      <c r="L72" s="576">
        <v>6.0299999999999999E-2</v>
      </c>
      <c r="M72" s="576">
        <v>6.2600000000000003E-2</v>
      </c>
      <c r="N72" s="576">
        <v>6.5100000000000005E-2</v>
      </c>
      <c r="O72" s="576">
        <v>6.7500000000000004E-2</v>
      </c>
      <c r="P72" s="576">
        <v>6.88E-2</v>
      </c>
      <c r="Q72" s="576">
        <v>6.9000000000000006E-2</v>
      </c>
      <c r="R72" s="576">
        <v>6.0999999999999999E-2</v>
      </c>
    </row>
    <row r="73" spans="1:19">
      <c r="A73" s="848">
        <f t="shared" si="0"/>
        <v>59</v>
      </c>
      <c r="B73" s="88" t="s">
        <v>976</v>
      </c>
      <c r="F73" s="73"/>
      <c r="G73" s="684" t="s">
        <v>339</v>
      </c>
      <c r="H73" s="684" t="s">
        <v>339</v>
      </c>
      <c r="I73" s="684" t="s">
        <v>339</v>
      </c>
      <c r="J73" s="684" t="s">
        <v>339</v>
      </c>
      <c r="K73" s="684" t="s">
        <v>339</v>
      </c>
      <c r="L73" s="684" t="s">
        <v>339</v>
      </c>
      <c r="M73" s="684" t="s">
        <v>339</v>
      </c>
      <c r="N73" s="684" t="s">
        <v>339</v>
      </c>
      <c r="O73" s="684" t="s">
        <v>339</v>
      </c>
      <c r="P73" s="684" t="s">
        <v>339</v>
      </c>
      <c r="Q73" s="684" t="s">
        <v>339</v>
      </c>
      <c r="R73" s="684" t="s">
        <v>339</v>
      </c>
    </row>
    <row r="74" spans="1:19">
      <c r="A74" s="848">
        <f t="shared" si="0"/>
        <v>60</v>
      </c>
      <c r="F74" s="73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</row>
    <row r="75" spans="1:19">
      <c r="A75" s="848">
        <f t="shared" si="0"/>
        <v>61</v>
      </c>
      <c r="B75" s="619" t="s">
        <v>984</v>
      </c>
      <c r="F75" s="73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</row>
    <row r="76" spans="1:19" ht="15.75">
      <c r="A76" s="848">
        <f t="shared" si="0"/>
        <v>62</v>
      </c>
      <c r="B76" s="88" t="s">
        <v>809</v>
      </c>
      <c r="C76" s="987"/>
      <c r="D76" s="987"/>
      <c r="F76" s="73"/>
      <c r="G76" s="685">
        <f>(+G53+G58)/G59</f>
        <v>3.8455701126624868</v>
      </c>
      <c r="H76" s="685">
        <f>(+H53+H58)/H59</f>
        <v>4.3186904394420207</v>
      </c>
      <c r="I76" s="685">
        <v>6.03</v>
      </c>
      <c r="J76" s="685">
        <v>5.72</v>
      </c>
      <c r="K76" s="685">
        <v>5.26</v>
      </c>
      <c r="L76" s="685">
        <v>4.6900000000000004</v>
      </c>
      <c r="M76" s="685">
        <v>3.91</v>
      </c>
      <c r="N76" s="685">
        <v>3.0571918341904318</v>
      </c>
      <c r="O76" s="685">
        <v>2.9660460457804634</v>
      </c>
      <c r="P76" s="685">
        <v>3.0043972293563703</v>
      </c>
      <c r="Q76" s="685">
        <v>2.8387360945505051</v>
      </c>
      <c r="R76" s="685">
        <v>3.06</v>
      </c>
      <c r="S76" s="1011"/>
    </row>
    <row r="77" spans="1:19">
      <c r="A77" s="848">
        <f t="shared" si="0"/>
        <v>63</v>
      </c>
      <c r="B77" s="88" t="s">
        <v>810</v>
      </c>
      <c r="F77" s="73"/>
      <c r="G77" s="685">
        <f>(+G53+G58-G56)/G59</f>
        <v>3.8455701126624868</v>
      </c>
      <c r="H77" s="685">
        <f>(+H53+H58-H56)/H59</f>
        <v>4.3186904394420207</v>
      </c>
      <c r="I77" s="685">
        <v>6.06</v>
      </c>
      <c r="J77" s="685">
        <v>5.74</v>
      </c>
      <c r="K77" s="685">
        <v>5.28</v>
      </c>
      <c r="L77" s="685">
        <v>4.7</v>
      </c>
      <c r="M77" s="685">
        <v>3.92</v>
      </c>
      <c r="N77" s="685">
        <v>3.0409960261804581</v>
      </c>
      <c r="O77" s="685">
        <v>2.9527909831987955</v>
      </c>
      <c r="P77" s="685">
        <v>2.9852512711754482</v>
      </c>
      <c r="Q77" s="685">
        <v>2.8022744139729294</v>
      </c>
      <c r="R77" s="685">
        <v>3.12</v>
      </c>
    </row>
    <row r="78" spans="1:19">
      <c r="A78" s="848">
        <f t="shared" si="0"/>
        <v>64</v>
      </c>
      <c r="B78" s="88" t="s">
        <v>1104</v>
      </c>
      <c r="F78" s="73"/>
      <c r="G78" s="685">
        <f>G58/G59</f>
        <v>3.1356003695531958</v>
      </c>
      <c r="H78" s="685">
        <f>H58/H59</f>
        <v>3.4906771748012368</v>
      </c>
      <c r="I78" s="685">
        <v>4.18</v>
      </c>
      <c r="J78" s="685">
        <v>4.01</v>
      </c>
      <c r="K78" s="685">
        <v>3.63</v>
      </c>
      <c r="L78" s="685">
        <v>3.24</v>
      </c>
      <c r="M78" s="685">
        <v>2.89</v>
      </c>
      <c r="N78" s="685">
        <v>2.3614121580460989</v>
      </c>
      <c r="O78" s="685">
        <v>2.2575233976506173</v>
      </c>
      <c r="P78" s="685">
        <v>2.2312955612628738</v>
      </c>
      <c r="Q78" s="685">
        <v>2.200873963233271</v>
      </c>
      <c r="R78" s="685">
        <v>2.2599999999999998</v>
      </c>
    </row>
    <row r="79" spans="1:19">
      <c r="A79" s="848">
        <f t="shared" si="0"/>
        <v>65</v>
      </c>
      <c r="B79" s="88" t="s">
        <v>1105</v>
      </c>
      <c r="F79" s="73"/>
      <c r="G79" s="685">
        <f>(+G53+G58+((1/3)*'C.2.1 F'!D114/1000))/(G59+((1/3)*'C.2.1 F'!D114/1000))</f>
        <v>3.8086051893663031</v>
      </c>
      <c r="H79" s="685">
        <f>(+H53+H58+((1/3)*'C.2.1 B'!D119/1000))/(H59+((1/3)*'C.2.1 B'!D119/1000))</f>
        <v>4.257141218500327</v>
      </c>
      <c r="I79" s="685">
        <v>5.45</v>
      </c>
      <c r="J79" s="685">
        <v>5.16</v>
      </c>
      <c r="K79" s="685">
        <v>4.7699999999999996</v>
      </c>
      <c r="L79" s="685">
        <v>4.1100000000000003</v>
      </c>
      <c r="M79" s="685">
        <v>3.63</v>
      </c>
      <c r="N79" s="685">
        <v>2.84</v>
      </c>
      <c r="O79" s="685">
        <v>2.78</v>
      </c>
      <c r="P79" s="685">
        <v>2.78</v>
      </c>
      <c r="Q79" s="685">
        <v>2.5499999999999998</v>
      </c>
      <c r="R79" s="685">
        <v>2.76</v>
      </c>
    </row>
    <row r="80" spans="1:19">
      <c r="A80" s="848">
        <f t="shared" si="0"/>
        <v>66</v>
      </c>
      <c r="B80" s="88" t="s">
        <v>1106</v>
      </c>
      <c r="F80" s="73"/>
      <c r="G80" s="685">
        <f>(G58-G56)/G59</f>
        <v>3.1356003695531958</v>
      </c>
      <c r="H80" s="685">
        <f>(H58-H56)/H59</f>
        <v>3.4906771748012368</v>
      </c>
      <c r="I80" s="685">
        <v>4.21</v>
      </c>
      <c r="J80" s="685">
        <v>4.03</v>
      </c>
      <c r="K80" s="685">
        <v>3.65</v>
      </c>
      <c r="L80" s="685">
        <v>3.25</v>
      </c>
      <c r="M80" s="685">
        <v>2.91</v>
      </c>
      <c r="N80" s="685">
        <v>2.3452163500361256</v>
      </c>
      <c r="O80" s="685">
        <v>2.244268335068949</v>
      </c>
      <c r="P80" s="685">
        <v>2.2121496030819521</v>
      </c>
      <c r="Q80" s="685">
        <v>2.1644122826556949</v>
      </c>
      <c r="R80" s="685">
        <v>2.31</v>
      </c>
    </row>
    <row r="81" spans="1:19">
      <c r="A81" s="848">
        <f t="shared" ref="A81:A132" si="13">A80+1</f>
        <v>67</v>
      </c>
      <c r="B81" s="88" t="s">
        <v>1107</v>
      </c>
      <c r="F81" s="73"/>
      <c r="G81" s="684" t="s">
        <v>339</v>
      </c>
      <c r="H81" s="684" t="s">
        <v>339</v>
      </c>
      <c r="I81" s="685" t="s">
        <v>339</v>
      </c>
      <c r="J81" s="685" t="s">
        <v>339</v>
      </c>
      <c r="K81" s="685" t="s">
        <v>339</v>
      </c>
      <c r="L81" s="685" t="s">
        <v>339</v>
      </c>
      <c r="M81" s="685" t="s">
        <v>339</v>
      </c>
      <c r="N81" s="685" t="s">
        <v>339</v>
      </c>
      <c r="O81" s="685" t="s">
        <v>339</v>
      </c>
      <c r="P81" s="685" t="s">
        <v>339</v>
      </c>
      <c r="Q81" s="685" t="s">
        <v>339</v>
      </c>
      <c r="R81" s="685" t="s">
        <v>339</v>
      </c>
    </row>
    <row r="82" spans="1:19">
      <c r="A82" s="848">
        <f t="shared" si="13"/>
        <v>68</v>
      </c>
      <c r="B82" s="88" t="s">
        <v>1108</v>
      </c>
      <c r="G82" s="685">
        <f>(+G53+G58)/(G59*(1-0.21))</f>
        <v>4.8678102691930212</v>
      </c>
      <c r="H82" s="685">
        <f>(+H53+H58)/(H59*(1-0.35))</f>
        <v>6.6441391376031094</v>
      </c>
      <c r="I82" s="685">
        <v>3.81</v>
      </c>
      <c r="J82" s="685">
        <v>3.64</v>
      </c>
      <c r="K82" s="685">
        <v>3.32</v>
      </c>
      <c r="L82" s="685">
        <v>3.02</v>
      </c>
      <c r="M82" s="685">
        <v>2.7</v>
      </c>
      <c r="N82" s="685">
        <v>2.2116799519301451</v>
      </c>
      <c r="O82" s="685">
        <v>2.1340881930445068</v>
      </c>
      <c r="P82" s="685">
        <v>2.0837815317021438</v>
      </c>
      <c r="Q82" s="685">
        <v>2.1800332256334456</v>
      </c>
      <c r="R82" s="685">
        <v>2.15</v>
      </c>
    </row>
    <row r="83" spans="1:19">
      <c r="A83" s="848">
        <f t="shared" si="13"/>
        <v>69</v>
      </c>
      <c r="F83" s="112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</row>
    <row r="84" spans="1:19">
      <c r="A84" s="848">
        <f t="shared" si="13"/>
        <v>70</v>
      </c>
      <c r="B84" s="619" t="s">
        <v>1109</v>
      </c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</row>
    <row r="85" spans="1:19" ht="15.75">
      <c r="A85" s="848">
        <f t="shared" si="13"/>
        <v>71</v>
      </c>
      <c r="B85" s="88" t="s">
        <v>744</v>
      </c>
      <c r="C85" s="987"/>
      <c r="D85" s="987"/>
      <c r="G85" s="684" t="s">
        <v>339</v>
      </c>
      <c r="H85" s="684" t="str">
        <f>I85</f>
        <v>A2</v>
      </c>
      <c r="I85" s="684" t="s">
        <v>1773</v>
      </c>
      <c r="J85" s="684" t="s">
        <v>1773</v>
      </c>
      <c r="K85" s="684" t="s">
        <v>1773</v>
      </c>
      <c r="L85" s="684" t="s">
        <v>1773</v>
      </c>
      <c r="M85" s="684" t="s">
        <v>1774</v>
      </c>
      <c r="N85" s="684" t="s">
        <v>1774</v>
      </c>
      <c r="O85" s="684" t="s">
        <v>1774</v>
      </c>
      <c r="P85" s="684" t="s">
        <v>1775</v>
      </c>
      <c r="Q85" s="684" t="s">
        <v>1775</v>
      </c>
      <c r="R85" s="684" t="s">
        <v>1776</v>
      </c>
      <c r="S85" s="1011"/>
    </row>
    <row r="86" spans="1:19" ht="15.75">
      <c r="A86" s="848">
        <f t="shared" si="13"/>
        <v>72</v>
      </c>
      <c r="B86" s="88" t="s">
        <v>745</v>
      </c>
      <c r="F86" s="73"/>
      <c r="G86" s="684" t="s">
        <v>339</v>
      </c>
      <c r="H86" s="684" t="str">
        <f>I86</f>
        <v>A</v>
      </c>
      <c r="I86" s="684" t="s">
        <v>170</v>
      </c>
      <c r="J86" s="684" t="s">
        <v>170</v>
      </c>
      <c r="K86" s="684" t="s">
        <v>1777</v>
      </c>
      <c r="L86" s="684" t="s">
        <v>1777</v>
      </c>
      <c r="M86" s="684" t="s">
        <v>1777</v>
      </c>
      <c r="N86" s="684" t="s">
        <v>1778</v>
      </c>
      <c r="O86" s="684" t="s">
        <v>1778</v>
      </c>
      <c r="P86" s="684" t="s">
        <v>1778</v>
      </c>
      <c r="Q86" s="684" t="s">
        <v>1778</v>
      </c>
      <c r="R86" s="684" t="s">
        <v>1779</v>
      </c>
      <c r="S86" s="1011"/>
    </row>
    <row r="87" spans="1:19">
      <c r="A87" s="848">
        <f t="shared" si="13"/>
        <v>73</v>
      </c>
      <c r="B87" s="88" t="s">
        <v>576</v>
      </c>
      <c r="G87" s="684" t="s">
        <v>339</v>
      </c>
      <c r="H87" s="684" t="s">
        <v>339</v>
      </c>
      <c r="I87" s="684" t="s">
        <v>339</v>
      </c>
      <c r="J87" s="684" t="s">
        <v>339</v>
      </c>
      <c r="K87" s="684" t="s">
        <v>339</v>
      </c>
      <c r="L87" s="684" t="s">
        <v>339</v>
      </c>
      <c r="M87" s="684" t="s">
        <v>339</v>
      </c>
      <c r="N87" s="684" t="s">
        <v>339</v>
      </c>
      <c r="O87" s="684" t="s">
        <v>339</v>
      </c>
      <c r="P87" s="684" t="s">
        <v>339</v>
      </c>
      <c r="Q87" s="684" t="s">
        <v>339</v>
      </c>
      <c r="R87" s="684" t="s">
        <v>339</v>
      </c>
    </row>
    <row r="88" spans="1:19">
      <c r="A88" s="848">
        <f t="shared" si="13"/>
        <v>74</v>
      </c>
      <c r="B88" s="88" t="s">
        <v>577</v>
      </c>
      <c r="G88" s="684" t="s">
        <v>339</v>
      </c>
      <c r="H88" s="684" t="s">
        <v>339</v>
      </c>
      <c r="I88" s="684" t="s">
        <v>339</v>
      </c>
      <c r="J88" s="684" t="s">
        <v>339</v>
      </c>
      <c r="K88" s="684" t="s">
        <v>339</v>
      </c>
      <c r="L88" s="684" t="s">
        <v>339</v>
      </c>
      <c r="M88" s="684" t="s">
        <v>339</v>
      </c>
      <c r="N88" s="684" t="s">
        <v>339</v>
      </c>
      <c r="O88" s="684" t="s">
        <v>339</v>
      </c>
      <c r="P88" s="684" t="s">
        <v>339</v>
      </c>
      <c r="Q88" s="684" t="s">
        <v>339</v>
      </c>
      <c r="R88" s="684" t="s">
        <v>339</v>
      </c>
    </row>
    <row r="89" spans="1:19">
      <c r="A89" s="848">
        <f t="shared" si="13"/>
        <v>75</v>
      </c>
      <c r="G89" s="684" t="s">
        <v>323</v>
      </c>
      <c r="H89" s="684"/>
      <c r="I89" s="108"/>
      <c r="J89" s="108"/>
      <c r="K89" s="108"/>
      <c r="L89" s="108"/>
      <c r="M89" s="108"/>
      <c r="N89" s="108"/>
      <c r="O89" s="108"/>
      <c r="P89" s="108"/>
      <c r="Q89" s="108"/>
      <c r="R89" s="108"/>
    </row>
    <row r="90" spans="1:19">
      <c r="A90" s="848">
        <f t="shared" si="13"/>
        <v>76</v>
      </c>
      <c r="B90" s="619" t="s">
        <v>578</v>
      </c>
      <c r="G90" s="684"/>
      <c r="H90" s="684"/>
      <c r="I90" s="108"/>
      <c r="J90" s="108"/>
      <c r="K90" s="108"/>
      <c r="L90" s="108"/>
      <c r="M90" s="108"/>
      <c r="N90" s="108"/>
      <c r="O90" s="108"/>
      <c r="P90" s="108"/>
      <c r="Q90" s="108"/>
      <c r="R90" s="108"/>
    </row>
    <row r="91" spans="1:19" ht="15.75">
      <c r="A91" s="848">
        <f t="shared" si="13"/>
        <v>77</v>
      </c>
      <c r="B91" s="88" t="s">
        <v>579</v>
      </c>
      <c r="C91" s="987"/>
      <c r="D91" s="987"/>
      <c r="E91" s="987"/>
      <c r="G91" s="684" t="s">
        <v>339</v>
      </c>
      <c r="H91" s="684" t="s">
        <v>339</v>
      </c>
      <c r="I91" s="108">
        <v>106105</v>
      </c>
      <c r="J91" s="108">
        <v>103931</v>
      </c>
      <c r="K91" s="108">
        <v>101479</v>
      </c>
      <c r="L91" s="108">
        <v>100388</v>
      </c>
      <c r="M91" s="108">
        <v>90640</v>
      </c>
      <c r="N91" s="108">
        <v>90240</v>
      </c>
      <c r="O91" s="108">
        <v>90296</v>
      </c>
      <c r="P91" s="108">
        <v>90164</v>
      </c>
      <c r="Q91" s="108">
        <v>92552</v>
      </c>
      <c r="R91" s="108">
        <v>90814</v>
      </c>
      <c r="S91" s="1011"/>
    </row>
    <row r="92" spans="1:19">
      <c r="A92" s="848">
        <f t="shared" si="13"/>
        <v>78</v>
      </c>
      <c r="B92" s="88" t="s">
        <v>859</v>
      </c>
      <c r="G92" s="684" t="s">
        <v>339</v>
      </c>
      <c r="H92" s="684" t="s">
        <v>339</v>
      </c>
      <c r="I92" s="108">
        <v>0</v>
      </c>
      <c r="J92" s="108">
        <v>0</v>
      </c>
      <c r="K92" s="108">
        <v>0</v>
      </c>
      <c r="L92" s="108">
        <v>0</v>
      </c>
      <c r="M92" s="108">
        <v>0</v>
      </c>
      <c r="N92" s="108">
        <v>0</v>
      </c>
      <c r="O92" s="108">
        <v>0</v>
      </c>
      <c r="P92" s="108">
        <v>0</v>
      </c>
      <c r="Q92" s="108">
        <v>0</v>
      </c>
      <c r="R92" s="108">
        <v>0</v>
      </c>
    </row>
    <row r="93" spans="1:19" ht="15.75">
      <c r="A93" s="848">
        <f t="shared" si="13"/>
        <v>79</v>
      </c>
      <c r="B93" s="88" t="s">
        <v>631</v>
      </c>
      <c r="G93" s="684" t="s">
        <v>339</v>
      </c>
      <c r="H93" s="684" t="s">
        <v>339</v>
      </c>
      <c r="I93" s="108">
        <v>106100</v>
      </c>
      <c r="J93" s="108">
        <v>103524</v>
      </c>
      <c r="K93" s="108">
        <v>101892</v>
      </c>
      <c r="L93" s="108">
        <v>97608</v>
      </c>
      <c r="M93" s="108">
        <v>91711</v>
      </c>
      <c r="N93" s="108">
        <v>91172</v>
      </c>
      <c r="O93" s="108">
        <v>90652</v>
      </c>
      <c r="P93" s="108">
        <v>92422</v>
      </c>
      <c r="Q93" s="108">
        <v>91620</v>
      </c>
      <c r="R93" s="108">
        <v>89941</v>
      </c>
      <c r="S93" s="1011"/>
    </row>
    <row r="94" spans="1:19">
      <c r="A94" s="848">
        <f t="shared" si="13"/>
        <v>80</v>
      </c>
      <c r="B94" s="88" t="s">
        <v>1030</v>
      </c>
      <c r="G94" s="684" t="s">
        <v>339</v>
      </c>
      <c r="H94" s="684" t="s">
        <v>339</v>
      </c>
      <c r="I94" s="685">
        <v>3.73</v>
      </c>
      <c r="J94" s="685">
        <v>3.38</v>
      </c>
      <c r="K94" s="685">
        <v>3.09</v>
      </c>
      <c r="L94" s="685">
        <v>2.96</v>
      </c>
      <c r="M94" s="685">
        <v>2.64</v>
      </c>
      <c r="N94" s="685">
        <v>2.37</v>
      </c>
      <c r="O94" s="685">
        <v>2.27</v>
      </c>
      <c r="P94" s="685">
        <v>2.2000000000000002</v>
      </c>
      <c r="Q94" s="685">
        <v>2.0699999999999998</v>
      </c>
      <c r="R94" s="685">
        <v>1.99</v>
      </c>
    </row>
    <row r="95" spans="1:19">
      <c r="A95" s="848">
        <f t="shared" si="13"/>
        <v>81</v>
      </c>
      <c r="B95" s="88" t="s">
        <v>1031</v>
      </c>
      <c r="G95" s="684" t="s">
        <v>339</v>
      </c>
      <c r="H95" s="684" t="s">
        <v>339</v>
      </c>
      <c r="I95" s="685">
        <v>1.8</v>
      </c>
      <c r="J95" s="685">
        <v>1.68</v>
      </c>
      <c r="K95" s="685">
        <v>1.56</v>
      </c>
      <c r="L95" s="685">
        <v>1.48</v>
      </c>
      <c r="M95" s="685">
        <v>1.4</v>
      </c>
      <c r="N95" s="685">
        <v>1.38</v>
      </c>
      <c r="O95" s="685">
        <v>1.36</v>
      </c>
      <c r="P95" s="685">
        <v>1.34</v>
      </c>
      <c r="Q95" s="685">
        <v>1.32</v>
      </c>
      <c r="R95" s="685">
        <v>1.3</v>
      </c>
    </row>
    <row r="96" spans="1:19" ht="15.75">
      <c r="A96" s="848">
        <f t="shared" si="13"/>
        <v>82</v>
      </c>
      <c r="B96" s="88" t="s">
        <v>843</v>
      </c>
      <c r="G96" s="684" t="s">
        <v>339</v>
      </c>
      <c r="H96" s="684" t="s">
        <v>339</v>
      </c>
      <c r="I96" s="685">
        <v>1.8</v>
      </c>
      <c r="J96" s="685">
        <v>1.68</v>
      </c>
      <c r="K96" s="685">
        <v>1.56</v>
      </c>
      <c r="L96" s="685">
        <v>1.48</v>
      </c>
      <c r="M96" s="685">
        <v>1.4</v>
      </c>
      <c r="N96" s="685">
        <v>1.38</v>
      </c>
      <c r="O96" s="685">
        <v>1.36</v>
      </c>
      <c r="P96" s="685">
        <v>1.34</v>
      </c>
      <c r="Q96" s="685">
        <v>1.32</v>
      </c>
      <c r="R96" s="685">
        <v>1.3</v>
      </c>
      <c r="S96" s="1011"/>
    </row>
    <row r="97" spans="1:19">
      <c r="A97" s="848">
        <f t="shared" si="13"/>
        <v>83</v>
      </c>
      <c r="B97" s="88" t="s">
        <v>531</v>
      </c>
      <c r="G97" s="684" t="s">
        <v>339</v>
      </c>
      <c r="H97" s="684" t="s">
        <v>339</v>
      </c>
      <c r="I97" s="108"/>
      <c r="J97" s="108"/>
      <c r="K97" s="108"/>
      <c r="L97" s="108"/>
      <c r="M97" s="108"/>
      <c r="N97" s="108"/>
      <c r="O97" s="108"/>
      <c r="P97" s="108"/>
      <c r="Q97" s="108"/>
      <c r="R97" s="108"/>
    </row>
    <row r="98" spans="1:19">
      <c r="A98" s="848">
        <f t="shared" si="13"/>
        <v>84</v>
      </c>
      <c r="B98" s="88" t="s">
        <v>33</v>
      </c>
      <c r="G98" s="684" t="s">
        <v>339</v>
      </c>
      <c r="H98" s="684" t="s">
        <v>339</v>
      </c>
      <c r="I98" s="686">
        <f>I96/I94</f>
        <v>0.48257372654155495</v>
      </c>
      <c r="J98" s="686">
        <f>J96/J94</f>
        <v>0.49704142011834318</v>
      </c>
      <c r="K98" s="686">
        <f>K96/K94</f>
        <v>0.50485436893203883</v>
      </c>
      <c r="L98" s="686">
        <f>L96/L94</f>
        <v>0.5</v>
      </c>
      <c r="M98" s="1019">
        <f t="shared" ref="M98:R98" si="14">M96/M94</f>
        <v>0.53030303030303028</v>
      </c>
      <c r="N98" s="1019">
        <f t="shared" si="14"/>
        <v>0.58227848101265811</v>
      </c>
      <c r="O98" s="1019">
        <f t="shared" si="14"/>
        <v>0.59911894273127753</v>
      </c>
      <c r="P98" s="1019">
        <f t="shared" si="14"/>
        <v>0.60909090909090913</v>
      </c>
      <c r="Q98" s="1019">
        <f t="shared" si="14"/>
        <v>0.63768115942028991</v>
      </c>
      <c r="R98" s="1019">
        <f t="shared" si="14"/>
        <v>0.65326633165829151</v>
      </c>
    </row>
    <row r="99" spans="1:19">
      <c r="A99" s="848">
        <f t="shared" si="13"/>
        <v>85</v>
      </c>
      <c r="B99" s="88" t="s">
        <v>532</v>
      </c>
      <c r="G99" s="684" t="s">
        <v>339</v>
      </c>
      <c r="H99" s="684" t="s">
        <v>339</v>
      </c>
      <c r="I99" s="108"/>
      <c r="J99" s="108"/>
      <c r="K99" s="108"/>
      <c r="L99" s="108"/>
      <c r="M99" s="108"/>
      <c r="N99" s="108"/>
      <c r="O99" s="108"/>
      <c r="P99" s="108"/>
      <c r="Q99" s="108"/>
      <c r="R99" s="108"/>
    </row>
    <row r="100" spans="1:19" ht="15.75">
      <c r="A100" s="848">
        <f t="shared" si="13"/>
        <v>86</v>
      </c>
      <c r="B100" s="88" t="s">
        <v>533</v>
      </c>
      <c r="G100" s="684" t="s">
        <v>339</v>
      </c>
      <c r="H100" s="684" t="s">
        <v>339</v>
      </c>
      <c r="I100" s="1020">
        <v>74.73</v>
      </c>
      <c r="J100" s="1020">
        <v>64.25</v>
      </c>
      <c r="K100" s="1020">
        <v>58.08</v>
      </c>
      <c r="L100" s="1020">
        <v>47.06</v>
      </c>
      <c r="M100" s="1020">
        <v>36.86</v>
      </c>
      <c r="N100" s="1020">
        <v>35.4</v>
      </c>
      <c r="O100" s="1020">
        <v>31.72</v>
      </c>
      <c r="P100" s="1020">
        <v>30.06</v>
      </c>
      <c r="Q100" s="1020">
        <v>27.88</v>
      </c>
      <c r="R100" s="1020">
        <v>29.46</v>
      </c>
      <c r="S100" s="1011"/>
    </row>
    <row r="101" spans="1:19">
      <c r="A101" s="848">
        <f t="shared" si="13"/>
        <v>87</v>
      </c>
      <c r="B101" s="88" t="s">
        <v>534</v>
      </c>
      <c r="G101" s="684" t="s">
        <v>339</v>
      </c>
      <c r="H101" s="684" t="s">
        <v>339</v>
      </c>
      <c r="I101" s="1020">
        <v>68.959999999999994</v>
      </c>
      <c r="J101" s="1020">
        <v>57.82</v>
      </c>
      <c r="K101" s="1020">
        <v>47.35</v>
      </c>
      <c r="L101" s="1020">
        <v>41.08</v>
      </c>
      <c r="M101" s="1020">
        <v>33.200000000000003</v>
      </c>
      <c r="N101" s="1020">
        <v>30.97</v>
      </c>
      <c r="O101" s="1020">
        <v>29.1</v>
      </c>
      <c r="P101" s="1020">
        <v>27.39</v>
      </c>
      <c r="Q101" s="1020">
        <v>21.17</v>
      </c>
      <c r="R101" s="1020">
        <v>26.11</v>
      </c>
    </row>
    <row r="102" spans="1:19">
      <c r="A102" s="848">
        <f t="shared" si="13"/>
        <v>88</v>
      </c>
      <c r="B102" s="88" t="s">
        <v>535</v>
      </c>
      <c r="G102" s="684" t="s">
        <v>339</v>
      </c>
      <c r="H102" s="684" t="s">
        <v>339</v>
      </c>
      <c r="I102" s="1020">
        <v>80.400000000000006</v>
      </c>
      <c r="J102" s="1020">
        <v>74.33</v>
      </c>
      <c r="K102" s="1020">
        <v>58.81</v>
      </c>
      <c r="L102" s="1020">
        <v>48.01</v>
      </c>
      <c r="M102" s="1020">
        <v>42.69</v>
      </c>
      <c r="N102" s="1020">
        <v>33.15</v>
      </c>
      <c r="O102" s="1020">
        <v>34.979999999999997</v>
      </c>
      <c r="P102" s="1020">
        <v>29.52</v>
      </c>
      <c r="Q102" s="1020">
        <v>25.95</v>
      </c>
      <c r="R102" s="1020">
        <v>28.96</v>
      </c>
    </row>
    <row r="103" spans="1:19">
      <c r="A103" s="848">
        <f t="shared" si="13"/>
        <v>89</v>
      </c>
      <c r="B103" s="88" t="s">
        <v>536</v>
      </c>
      <c r="G103" s="684" t="s">
        <v>339</v>
      </c>
      <c r="H103" s="684" t="s">
        <v>339</v>
      </c>
      <c r="I103" s="1020">
        <v>73.209999999999994</v>
      </c>
      <c r="J103" s="1020">
        <v>61.74</v>
      </c>
      <c r="K103" s="1020">
        <v>52.02</v>
      </c>
      <c r="L103" s="1020">
        <v>44.19</v>
      </c>
      <c r="M103" s="1020">
        <v>35.11</v>
      </c>
      <c r="N103" s="1020">
        <v>30.6</v>
      </c>
      <c r="O103" s="1020">
        <v>31.51</v>
      </c>
      <c r="P103" s="1020">
        <v>26.52</v>
      </c>
      <c r="Q103" s="1020">
        <v>20.2</v>
      </c>
      <c r="R103" s="1020">
        <v>25.09</v>
      </c>
    </row>
    <row r="104" spans="1:19">
      <c r="A104" s="848">
        <f t="shared" si="13"/>
        <v>90</v>
      </c>
      <c r="B104" s="88" t="s">
        <v>537</v>
      </c>
      <c r="G104" s="684" t="s">
        <v>339</v>
      </c>
      <c r="H104" s="684" t="s">
        <v>339</v>
      </c>
      <c r="I104" s="1020">
        <v>85.54</v>
      </c>
      <c r="J104" s="1020">
        <v>81.319999999999993</v>
      </c>
      <c r="K104" s="1020">
        <v>56.41</v>
      </c>
      <c r="L104" s="1020">
        <v>53.4</v>
      </c>
      <c r="M104" s="1020">
        <v>44.87</v>
      </c>
      <c r="N104" s="1020">
        <v>35.07</v>
      </c>
      <c r="O104" s="1020">
        <v>34.94</v>
      </c>
      <c r="P104" s="1020">
        <v>29.98</v>
      </c>
      <c r="Q104" s="1020">
        <v>26.37</v>
      </c>
      <c r="R104" s="1020">
        <v>28.54</v>
      </c>
    </row>
    <row r="105" spans="1:19">
      <c r="A105" s="848">
        <f t="shared" si="13"/>
        <v>91</v>
      </c>
      <c r="B105" s="88" t="s">
        <v>1060</v>
      </c>
      <c r="G105" s="684" t="s">
        <v>339</v>
      </c>
      <c r="H105" s="684" t="s">
        <v>339</v>
      </c>
      <c r="I105" s="1020">
        <v>78.900000000000006</v>
      </c>
      <c r="J105" s="1020">
        <v>70.599999999999994</v>
      </c>
      <c r="K105" s="1020">
        <v>51.28</v>
      </c>
      <c r="L105" s="1020">
        <v>46.94</v>
      </c>
      <c r="M105" s="1020">
        <v>38.590000000000003</v>
      </c>
      <c r="N105" s="1020">
        <v>30.91</v>
      </c>
      <c r="O105" s="1020">
        <v>31.34</v>
      </c>
      <c r="P105" s="1020">
        <v>26.41</v>
      </c>
      <c r="Q105" s="1020">
        <v>22.81</v>
      </c>
      <c r="R105" s="1020">
        <v>25.81</v>
      </c>
    </row>
    <row r="106" spans="1:19">
      <c r="A106" s="848">
        <f t="shared" si="13"/>
        <v>92</v>
      </c>
      <c r="B106" s="88" t="s">
        <v>1061</v>
      </c>
      <c r="G106" s="684" t="s">
        <v>339</v>
      </c>
      <c r="H106" s="684" t="s">
        <v>339</v>
      </c>
      <c r="I106" s="1020">
        <v>88.69</v>
      </c>
      <c r="J106" s="1020">
        <v>81.16</v>
      </c>
      <c r="K106" s="1020">
        <v>58.18</v>
      </c>
      <c r="L106" s="1020">
        <v>52.68</v>
      </c>
      <c r="M106" s="1020">
        <v>45.19</v>
      </c>
      <c r="N106" s="1020">
        <v>36.94</v>
      </c>
      <c r="O106" s="1020">
        <v>34.32</v>
      </c>
      <c r="P106" s="1020">
        <v>29.81</v>
      </c>
      <c r="Q106" s="1020">
        <v>28.8</v>
      </c>
      <c r="R106" s="1020">
        <v>28.25</v>
      </c>
    </row>
    <row r="107" spans="1:19">
      <c r="A107" s="848">
        <f t="shared" si="13"/>
        <v>93</v>
      </c>
      <c r="B107" s="88" t="s">
        <v>1062</v>
      </c>
      <c r="G107" s="684" t="s">
        <v>339</v>
      </c>
      <c r="H107" s="684" t="s">
        <v>339</v>
      </c>
      <c r="I107" s="1020">
        <v>82.42</v>
      </c>
      <c r="J107" s="1020">
        <v>71.88</v>
      </c>
      <c r="K107" s="1020">
        <v>51.48</v>
      </c>
      <c r="L107" s="1020">
        <v>47.01</v>
      </c>
      <c r="M107" s="1020">
        <v>39.4</v>
      </c>
      <c r="N107" s="1020">
        <v>34.94</v>
      </c>
      <c r="O107" s="1020">
        <v>28.87</v>
      </c>
      <c r="P107" s="1020">
        <v>26.82</v>
      </c>
      <c r="Q107" s="1020">
        <v>24.65</v>
      </c>
      <c r="R107" s="1020">
        <v>25.49</v>
      </c>
    </row>
    <row r="108" spans="1:19">
      <c r="A108" s="848">
        <f t="shared" si="13"/>
        <v>94</v>
      </c>
      <c r="B108" s="88" t="s">
        <v>1063</v>
      </c>
      <c r="G108" s="684" t="s">
        <v>339</v>
      </c>
      <c r="H108" s="684" t="s">
        <v>339</v>
      </c>
      <c r="I108" s="1020">
        <v>36.745202639019794</v>
      </c>
      <c r="J108" s="1020">
        <v>33.450000000000003</v>
      </c>
      <c r="K108" s="1020">
        <v>31.35</v>
      </c>
      <c r="L108" s="1020">
        <v>31.62</v>
      </c>
      <c r="M108" s="1020">
        <v>28.14</v>
      </c>
      <c r="N108" s="1020">
        <v>25.876837186855614</v>
      </c>
      <c r="O108" s="1020">
        <v>24.879991616290869</v>
      </c>
      <c r="P108" s="1020">
        <v>23.569582999718683</v>
      </c>
      <c r="Q108" s="1020">
        <v>23.758578912901115</v>
      </c>
      <c r="R108" s="1020">
        <v>22.820426724185854</v>
      </c>
    </row>
    <row r="109" spans="1:19">
      <c r="A109" s="848">
        <f t="shared" si="13"/>
        <v>95</v>
      </c>
      <c r="G109" s="684"/>
      <c r="H109" s="684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</row>
    <row r="110" spans="1:19">
      <c r="A110" s="848">
        <f t="shared" si="13"/>
        <v>96</v>
      </c>
      <c r="B110" s="81" t="s">
        <v>832</v>
      </c>
      <c r="G110" s="108"/>
      <c r="H110" s="108"/>
      <c r="I110" s="108"/>
      <c r="J110" s="108"/>
      <c r="K110" s="108"/>
      <c r="L110" s="108"/>
      <c r="M110" s="108"/>
      <c r="N110" s="108"/>
      <c r="O110" s="687"/>
      <c r="P110" s="687"/>
      <c r="Q110" s="687"/>
      <c r="R110" s="687"/>
    </row>
    <row r="111" spans="1:19">
      <c r="A111" s="848">
        <f t="shared" si="13"/>
        <v>97</v>
      </c>
      <c r="G111" s="108"/>
      <c r="H111" s="108"/>
      <c r="I111" s="108"/>
      <c r="J111" s="108"/>
      <c r="K111" s="108"/>
      <c r="L111" s="108"/>
      <c r="M111" s="108"/>
      <c r="N111" s="108"/>
      <c r="O111" s="687"/>
      <c r="P111" s="108"/>
      <c r="Q111" s="108"/>
      <c r="R111" s="108"/>
    </row>
    <row r="112" spans="1:19">
      <c r="A112" s="848">
        <f t="shared" si="13"/>
        <v>98</v>
      </c>
      <c r="B112" s="619" t="s">
        <v>1086</v>
      </c>
      <c r="C112" s="987"/>
      <c r="D112" s="987"/>
      <c r="E112" s="987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</row>
    <row r="113" spans="1:19" ht="15.75">
      <c r="A113" s="848">
        <f t="shared" si="13"/>
        <v>99</v>
      </c>
      <c r="B113" s="88" t="s">
        <v>618</v>
      </c>
      <c r="G113" s="688">
        <f>(G55-G59)/(G43*Allocation!$I$14)</f>
        <v>7.0954814261258561E-2</v>
      </c>
      <c r="H113" s="688">
        <f>(H55-H59)/(H43*Allocation!$I$14)</f>
        <v>7.2273161897069671E-2</v>
      </c>
      <c r="I113" s="687">
        <v>0.108</v>
      </c>
      <c r="J113" s="687">
        <v>0.105</v>
      </c>
      <c r="K113" s="687">
        <v>0.1</v>
      </c>
      <c r="L113" s="687">
        <v>0.10199999999999999</v>
      </c>
      <c r="M113" s="687">
        <v>9.8000000000000004E-2</v>
      </c>
      <c r="N113" s="687">
        <v>8.3297938918196424E-2</v>
      </c>
      <c r="O113" s="687">
        <v>8.5520016942695926E-2</v>
      </c>
      <c r="P113" s="687">
        <v>8.7185418321332489E-2</v>
      </c>
      <c r="Q113" s="687">
        <v>8.6681501437724351E-2</v>
      </c>
      <c r="R113" s="687">
        <v>8.7999999999999995E-2</v>
      </c>
      <c r="S113" s="1011"/>
    </row>
    <row r="114" spans="1:19">
      <c r="A114" s="848">
        <f t="shared" si="13"/>
        <v>100</v>
      </c>
      <c r="B114" s="88" t="s">
        <v>330</v>
      </c>
      <c r="G114" s="687">
        <f>(G55)/(G45*Allocation!$I$14)</f>
        <v>6.3458692668556596E-2</v>
      </c>
      <c r="H114" s="687">
        <f>(H55)/(H45*Allocation!$I$14)</f>
        <v>6.1025191563931075E-2</v>
      </c>
      <c r="I114" s="687">
        <v>5.6000000000000001E-2</v>
      </c>
      <c r="J114" s="687">
        <v>5.5E-2</v>
      </c>
      <c r="K114" s="687">
        <v>5.1999999999999998E-2</v>
      </c>
      <c r="L114" s="687">
        <v>5.1999999999999998E-2</v>
      </c>
      <c r="M114" s="687">
        <v>4.8000000000000001E-2</v>
      </c>
      <c r="N114" s="687">
        <v>4.0231888705646007E-2</v>
      </c>
      <c r="O114" s="687">
        <v>4.3176826787451009E-2</v>
      </c>
      <c r="P114" s="687">
        <v>4.4499578680161404E-2</v>
      </c>
      <c r="Q114" s="687">
        <v>4.2668457525681526E-2</v>
      </c>
      <c r="R114" s="687">
        <v>4.2999999999999997E-2</v>
      </c>
    </row>
    <row r="115" spans="1:19">
      <c r="A115" s="848">
        <f t="shared" si="13"/>
        <v>101</v>
      </c>
      <c r="B115" s="88" t="s">
        <v>331</v>
      </c>
      <c r="G115" s="687">
        <f>G55/G27</f>
        <v>4.7633029274314467E-2</v>
      </c>
      <c r="H115" s="687">
        <f>H55/H27</f>
        <v>6.107387510674548E-2</v>
      </c>
      <c r="I115" s="687">
        <v>4.4999999999999998E-2</v>
      </c>
      <c r="J115" s="687">
        <v>4.4999999999999998E-2</v>
      </c>
      <c r="K115" s="687">
        <v>4.4999999999999998E-2</v>
      </c>
      <c r="L115" s="687">
        <v>4.4999999999999998E-2</v>
      </c>
      <c r="M115" s="687">
        <v>4.2999999999999997E-2</v>
      </c>
      <c r="N115" s="687">
        <v>3.618310387082551E-2</v>
      </c>
      <c r="O115" s="687">
        <v>3.8142668443685655E-2</v>
      </c>
      <c r="P115" s="687">
        <v>4.1128106498813176E-2</v>
      </c>
      <c r="Q115" s="687">
        <v>4.2747157694961804E-2</v>
      </c>
      <c r="R115" s="687">
        <v>4.4999999999999998E-2</v>
      </c>
    </row>
    <row r="116" spans="1:19">
      <c r="A116" s="848">
        <f t="shared" si="13"/>
        <v>102</v>
      </c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</row>
    <row r="117" spans="1:19">
      <c r="A117" s="848">
        <f t="shared" si="13"/>
        <v>103</v>
      </c>
      <c r="B117" s="619" t="s">
        <v>1153</v>
      </c>
      <c r="C117" s="987"/>
      <c r="D117" s="987"/>
      <c r="E117" s="987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</row>
    <row r="118" spans="1:19">
      <c r="A118" s="848">
        <f t="shared" si="13"/>
        <v>104</v>
      </c>
      <c r="B118" s="88" t="s">
        <v>332</v>
      </c>
      <c r="D118" s="88" t="s">
        <v>55</v>
      </c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</row>
    <row r="119" spans="1:19" ht="15.75">
      <c r="A119" s="848">
        <f t="shared" si="13"/>
        <v>105</v>
      </c>
      <c r="B119" s="88" t="s">
        <v>1037</v>
      </c>
      <c r="G119" s="108">
        <f>+I.3!O16/1000</f>
        <v>10083.093116257895</v>
      </c>
      <c r="H119" s="108">
        <f>+I.3!M16/1000</f>
        <v>10686.621106100001</v>
      </c>
      <c r="I119" s="108">
        <v>8724</v>
      </c>
      <c r="J119" s="108">
        <v>9094</v>
      </c>
      <c r="K119" s="108">
        <v>9826</v>
      </c>
      <c r="L119" s="108">
        <v>11729</v>
      </c>
      <c r="M119" s="108">
        <v>10695</v>
      </c>
      <c r="N119" s="108">
        <v>8433</v>
      </c>
      <c r="O119" s="108">
        <v>10187</v>
      </c>
      <c r="P119" s="108">
        <v>10735</v>
      </c>
      <c r="Q119" s="108">
        <v>10261</v>
      </c>
      <c r="R119" s="108">
        <v>10854.609817299999</v>
      </c>
      <c r="S119" s="1011"/>
    </row>
    <row r="120" spans="1:19">
      <c r="A120" s="848">
        <f t="shared" si="13"/>
        <v>106</v>
      </c>
      <c r="B120" s="88" t="s">
        <v>1038</v>
      </c>
      <c r="G120" s="108">
        <f>+I.3!O17/1000</f>
        <v>5216.7012400000003</v>
      </c>
      <c r="H120" s="108">
        <f>+I.3!M17/1000</f>
        <v>5449.5055900999996</v>
      </c>
      <c r="I120" s="108">
        <v>4575</v>
      </c>
      <c r="J120" s="108">
        <v>4538</v>
      </c>
      <c r="K120" s="108">
        <v>4845</v>
      </c>
      <c r="L120" s="108">
        <v>5650</v>
      </c>
      <c r="M120" s="108">
        <v>5143</v>
      </c>
      <c r="N120" s="108">
        <v>3972</v>
      </c>
      <c r="O120" s="108">
        <v>4642</v>
      </c>
      <c r="P120" s="108">
        <v>5049</v>
      </c>
      <c r="Q120" s="108">
        <v>4659</v>
      </c>
      <c r="R120" s="108">
        <v>5017.1545153999996</v>
      </c>
    </row>
    <row r="121" spans="1:19">
      <c r="A121" s="848">
        <f t="shared" si="13"/>
        <v>107</v>
      </c>
      <c r="B121" s="88" t="s">
        <v>173</v>
      </c>
      <c r="G121" s="108">
        <f>+I.3!O18/1000</f>
        <v>991.58479590000002</v>
      </c>
      <c r="H121" s="108">
        <f>+I.3!M18/1000</f>
        <v>1202.829289</v>
      </c>
      <c r="I121" s="108">
        <v>1517</v>
      </c>
      <c r="J121" s="108">
        <v>1048</v>
      </c>
      <c r="K121" s="108">
        <v>693</v>
      </c>
      <c r="L121" s="108">
        <v>810</v>
      </c>
      <c r="M121" s="108">
        <v>811</v>
      </c>
      <c r="N121" s="108">
        <v>995</v>
      </c>
      <c r="O121" s="108">
        <v>821</v>
      </c>
      <c r="P121" s="108">
        <v>724</v>
      </c>
      <c r="Q121" s="108">
        <v>960</v>
      </c>
      <c r="R121" s="108">
        <v>1714.5599533</v>
      </c>
    </row>
    <row r="122" spans="1:19">
      <c r="A122" s="848">
        <f t="shared" si="13"/>
        <v>108</v>
      </c>
      <c r="B122" s="88" t="s">
        <v>782</v>
      </c>
      <c r="G122" s="108">
        <f>+I.3!O19/1000</f>
        <v>962.45869999999991</v>
      </c>
      <c r="H122" s="108">
        <f>+I.3!M19/1000</f>
        <v>1021.1780067999999</v>
      </c>
      <c r="I122" s="108">
        <v>859</v>
      </c>
      <c r="J122" s="108">
        <v>916</v>
      </c>
      <c r="K122" s="108">
        <v>1025</v>
      </c>
      <c r="L122" s="108">
        <v>1234</v>
      </c>
      <c r="M122" s="108">
        <v>1179</v>
      </c>
      <c r="N122" s="108">
        <v>980</v>
      </c>
      <c r="O122" s="108">
        <v>1111</v>
      </c>
      <c r="P122" s="108">
        <v>1192</v>
      </c>
      <c r="Q122" s="108">
        <v>1176</v>
      </c>
      <c r="R122" s="108">
        <v>1252.6995403999999</v>
      </c>
    </row>
    <row r="123" spans="1:19">
      <c r="A123" s="848">
        <f t="shared" si="13"/>
        <v>109</v>
      </c>
      <c r="B123" s="1021" t="s">
        <v>85</v>
      </c>
      <c r="G123" s="426">
        <f>+I.3!O20/1000</f>
        <v>0</v>
      </c>
      <c r="H123" s="426">
        <f>+I.3!M20/1000</f>
        <v>0</v>
      </c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</row>
    <row r="124" spans="1:19">
      <c r="A124" s="848">
        <f t="shared" si="13"/>
        <v>110</v>
      </c>
      <c r="B124" s="88" t="s">
        <v>305</v>
      </c>
      <c r="G124" s="108">
        <f>SUM(G119:G123)</f>
        <v>17253.837852157896</v>
      </c>
      <c r="H124" s="108">
        <f>SUM(H119:H123)</f>
        <v>18360.133992000003</v>
      </c>
      <c r="I124" s="1015">
        <f t="shared" ref="I124:R124" si="15">I119+I120+I121+I122</f>
        <v>15675</v>
      </c>
      <c r="J124" s="1015">
        <f t="shared" si="15"/>
        <v>15596</v>
      </c>
      <c r="K124" s="1015">
        <f t="shared" si="15"/>
        <v>16389</v>
      </c>
      <c r="L124" s="1015">
        <f t="shared" si="15"/>
        <v>19423</v>
      </c>
      <c r="M124" s="1015">
        <f t="shared" si="15"/>
        <v>17828</v>
      </c>
      <c r="N124" s="1015">
        <f t="shared" si="15"/>
        <v>14380</v>
      </c>
      <c r="O124" s="1015">
        <f t="shared" si="15"/>
        <v>16761</v>
      </c>
      <c r="P124" s="1015">
        <f t="shared" si="15"/>
        <v>17700</v>
      </c>
      <c r="Q124" s="1015">
        <f t="shared" si="15"/>
        <v>17056</v>
      </c>
      <c r="R124" s="1015">
        <f t="shared" si="15"/>
        <v>18839.0238264</v>
      </c>
    </row>
    <row r="125" spans="1:19">
      <c r="A125" s="848">
        <f t="shared" si="13"/>
        <v>111</v>
      </c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</row>
    <row r="126" spans="1:19">
      <c r="A126" s="848">
        <f t="shared" si="13"/>
        <v>112</v>
      </c>
      <c r="B126" s="88" t="s">
        <v>306</v>
      </c>
      <c r="D126" s="88" t="s">
        <v>55</v>
      </c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</row>
    <row r="127" spans="1:19">
      <c r="A127" s="848">
        <f t="shared" si="13"/>
        <v>113</v>
      </c>
      <c r="B127" s="88"/>
      <c r="G127" s="108">
        <v>0</v>
      </c>
      <c r="H127" s="108">
        <v>0</v>
      </c>
      <c r="I127" s="108">
        <v>0</v>
      </c>
      <c r="J127" s="108">
        <v>0</v>
      </c>
      <c r="K127" s="108">
        <v>0</v>
      </c>
      <c r="L127" s="108">
        <v>0</v>
      </c>
      <c r="M127" s="108">
        <v>0</v>
      </c>
      <c r="N127" s="108">
        <v>0</v>
      </c>
      <c r="O127" s="108">
        <v>0</v>
      </c>
      <c r="P127" s="108">
        <v>0</v>
      </c>
      <c r="Q127" s="108">
        <v>0</v>
      </c>
      <c r="R127" s="108">
        <v>0</v>
      </c>
    </row>
    <row r="128" spans="1:19">
      <c r="A128" s="848">
        <f t="shared" si="13"/>
        <v>114</v>
      </c>
      <c r="B128" s="88" t="s">
        <v>432</v>
      </c>
      <c r="G128" s="108">
        <f t="shared" ref="G128:R128" si="16">G130-G127</f>
        <v>17581.660771348896</v>
      </c>
      <c r="H128" s="108">
        <f t="shared" si="16"/>
        <v>18708.976537848004</v>
      </c>
      <c r="I128" s="108">
        <f t="shared" si="16"/>
        <v>16060</v>
      </c>
      <c r="J128" s="108">
        <f t="shared" si="16"/>
        <v>15417</v>
      </c>
      <c r="K128" s="108">
        <f t="shared" si="16"/>
        <v>18606</v>
      </c>
      <c r="L128" s="108">
        <f t="shared" si="16"/>
        <v>21324</v>
      </c>
      <c r="M128" s="108">
        <f t="shared" si="16"/>
        <v>18367</v>
      </c>
      <c r="N128" s="108">
        <f t="shared" si="16"/>
        <v>17441</v>
      </c>
      <c r="O128" s="108">
        <f t="shared" si="16"/>
        <v>16748</v>
      </c>
      <c r="P128" s="108">
        <f t="shared" si="16"/>
        <v>17596</v>
      </c>
      <c r="Q128" s="108">
        <f t="shared" si="16"/>
        <v>17034</v>
      </c>
      <c r="R128" s="108">
        <f t="shared" si="16"/>
        <v>18789.664000000001</v>
      </c>
    </row>
    <row r="129" spans="1:20">
      <c r="A129" s="848">
        <f t="shared" si="13"/>
        <v>115</v>
      </c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</row>
    <row r="130" spans="1:20" ht="15.75">
      <c r="A130" s="848">
        <f t="shared" si="13"/>
        <v>116</v>
      </c>
      <c r="B130" s="88" t="s">
        <v>1163</v>
      </c>
      <c r="G130" s="108">
        <f>+G124+(0.019*G124)</f>
        <v>17581.660771348896</v>
      </c>
      <c r="H130" s="108">
        <f>+H124+(0.019*H124)</f>
        <v>18708.976537848004</v>
      </c>
      <c r="I130" s="108">
        <v>16060</v>
      </c>
      <c r="J130" s="108">
        <v>15417</v>
      </c>
      <c r="K130" s="108">
        <v>18606</v>
      </c>
      <c r="L130" s="108">
        <v>21324</v>
      </c>
      <c r="M130" s="108">
        <v>18367</v>
      </c>
      <c r="N130" s="108">
        <v>17441</v>
      </c>
      <c r="O130" s="108">
        <v>16748</v>
      </c>
      <c r="P130" s="108">
        <v>17596</v>
      </c>
      <c r="Q130" s="108">
        <v>17034</v>
      </c>
      <c r="R130" s="108">
        <v>18789.664000000001</v>
      </c>
      <c r="S130" s="1011"/>
    </row>
    <row r="131" spans="1:20">
      <c r="A131" s="848">
        <f t="shared" si="13"/>
        <v>117</v>
      </c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</row>
    <row r="132" spans="1:20" ht="15.75">
      <c r="A132" s="848">
        <f t="shared" si="13"/>
        <v>118</v>
      </c>
      <c r="B132" s="88" t="s">
        <v>307</v>
      </c>
      <c r="G132" s="576">
        <v>2.9612826598672627E-2</v>
      </c>
      <c r="H132" s="576">
        <v>2.785600084127238E-2</v>
      </c>
      <c r="I132" s="576">
        <v>3.1199999999999999E-2</v>
      </c>
      <c r="J132" s="576">
        <v>3.3300000000000003E-2</v>
      </c>
      <c r="K132" s="576">
        <v>3.6578607167145429E-2</v>
      </c>
      <c r="L132" s="576">
        <v>3.5000000000000003E-2</v>
      </c>
      <c r="M132" s="576">
        <v>3.3099999999999997E-2</v>
      </c>
      <c r="N132" s="576">
        <v>3.49E-2</v>
      </c>
      <c r="O132" s="576">
        <v>3.5799999999999998E-2</v>
      </c>
      <c r="P132" s="576">
        <v>3.4000000000000002E-2</v>
      </c>
      <c r="Q132" s="576">
        <v>3.4299999999999997E-2</v>
      </c>
      <c r="R132" s="576">
        <v>3.1732611870051476E-2</v>
      </c>
      <c r="S132" s="1011"/>
      <c r="T132" s="670"/>
    </row>
    <row r="133" spans="1:20">
      <c r="A133" s="88"/>
      <c r="B133" s="88"/>
      <c r="G133" s="576"/>
      <c r="H133" s="576"/>
      <c r="I133" s="576"/>
      <c r="J133" s="576"/>
      <c r="K133" s="576"/>
      <c r="L133" s="576"/>
      <c r="M133" s="576"/>
      <c r="N133" s="576"/>
      <c r="O133" s="576"/>
      <c r="P133" s="576"/>
      <c r="Q133" s="576"/>
      <c r="R133" s="576"/>
    </row>
    <row r="134" spans="1:20">
      <c r="B134" s="954" t="s">
        <v>1699</v>
      </c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</row>
    <row r="135" spans="1:20">
      <c r="B135" s="1178" t="s">
        <v>1164</v>
      </c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</row>
    <row r="136" spans="1:20"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</row>
    <row r="137" spans="1:20"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</row>
    <row r="138" spans="1:20"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</row>
  </sheetData>
  <mergeCells count="6">
    <mergeCell ref="A5:R5"/>
    <mergeCell ref="A6:R6"/>
    <mergeCell ref="A1:R1"/>
    <mergeCell ref="A2:R2"/>
    <mergeCell ref="A3:R3"/>
    <mergeCell ref="A4:R4"/>
  </mergeCells>
  <phoneticPr fontId="23" type="noConversion"/>
  <printOptions horizontalCentered="1"/>
  <pageMargins left="0.75" right="0.75" top="0.62" bottom="0.81" header="0.5" footer="0.39"/>
  <pageSetup scale="60" fitToHeight="4" orientation="landscape" verticalDpi="300" r:id="rId1"/>
  <headerFooter alignWithMargins="0">
    <oddFooter>&amp;RSchedule &amp;A
Page &amp;P of &amp;N</oddFooter>
  </headerFooter>
  <rowBreaks count="2" manualBreakCount="2">
    <brk id="46" max="17" man="1"/>
    <brk id="88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273"/>
  <sheetViews>
    <sheetView view="pageBreakPreview" zoomScale="60" zoomScaleNormal="70" workbookViewId="0">
      <pane ySplit="12" topLeftCell="A13" activePane="bottomLeft" state="frozen"/>
      <selection activeCell="F59" sqref="F59:F60"/>
      <selection pane="bottomLeft" sqref="A1:N1"/>
    </sheetView>
  </sheetViews>
  <sheetFormatPr defaultRowHeight="15"/>
  <cols>
    <col min="1" max="1" width="5" style="80" customWidth="1"/>
    <col min="2" max="2" width="6.88671875" style="80" customWidth="1"/>
    <col min="3" max="3" width="36.21875" style="80" customWidth="1"/>
    <col min="4" max="4" width="17.5546875" style="80" customWidth="1"/>
    <col min="5" max="5" width="10" style="80" customWidth="1"/>
    <col min="6" max="6" width="15.88671875" style="80" customWidth="1"/>
    <col min="7" max="7" width="13.109375" style="853" bestFit="1" customWidth="1"/>
    <col min="8" max="8" width="12.33203125" style="853" customWidth="1"/>
    <col min="9" max="9" width="16" style="80" customWidth="1"/>
    <col min="10" max="10" width="3.21875" style="80" customWidth="1"/>
    <col min="11" max="11" width="15.44140625" style="80" customWidth="1"/>
    <col min="12" max="12" width="12.6640625" style="853" bestFit="1" customWidth="1"/>
    <col min="13" max="13" width="9.77734375" style="853" bestFit="1" customWidth="1"/>
    <col min="14" max="14" width="14.77734375" style="80" customWidth="1"/>
    <col min="15" max="15" width="8.88671875" style="80"/>
    <col min="16" max="17" width="12" style="80" bestFit="1" customWidth="1"/>
    <col min="18" max="18" width="7.77734375" style="80" customWidth="1"/>
    <col min="19" max="19" width="7.6640625" style="80" customWidth="1"/>
    <col min="20" max="16384" width="8.88671875" style="80"/>
  </cols>
  <sheetData>
    <row r="1" spans="1:17">
      <c r="A1" s="1193" t="str">
        <f>'Table of Contents'!A1:C1</f>
        <v>Atmos Energy Corporation, Kentucky/Mid-States Division</v>
      </c>
      <c r="B1" s="1193"/>
      <c r="C1" s="1193"/>
      <c r="D1" s="1193"/>
      <c r="E1" s="1193"/>
      <c r="F1" s="1193"/>
      <c r="G1" s="1193"/>
      <c r="H1" s="1193"/>
      <c r="I1" s="1193"/>
      <c r="J1" s="1193"/>
      <c r="K1" s="1193"/>
      <c r="L1" s="1193"/>
      <c r="M1" s="1193"/>
      <c r="N1" s="1193"/>
    </row>
    <row r="2" spans="1:17">
      <c r="A2" s="1193" t="str">
        <f>'Table of Contents'!A2:C2</f>
        <v>Kentucky Jurisdiction Case No. 2018-00281</v>
      </c>
      <c r="B2" s="1193"/>
      <c r="C2" s="1193"/>
      <c r="D2" s="1193"/>
      <c r="E2" s="1193"/>
      <c r="F2" s="1193"/>
      <c r="G2" s="1193"/>
      <c r="H2" s="1193"/>
      <c r="I2" s="1193"/>
      <c r="J2" s="1193"/>
      <c r="K2" s="1193"/>
      <c r="L2" s="1193"/>
      <c r="M2" s="1193"/>
      <c r="N2" s="1193"/>
    </row>
    <row r="3" spans="1:17">
      <c r="A3" s="1193" t="s">
        <v>496</v>
      </c>
      <c r="B3" s="1193"/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3"/>
      <c r="N3" s="1193"/>
    </row>
    <row r="4" spans="1:17" ht="15.75">
      <c r="A4" s="1194" t="str">
        <f>'B.1 F '!A4</f>
        <v>as of March 31, 2020</v>
      </c>
      <c r="B4" s="1194"/>
      <c r="C4" s="1194"/>
      <c r="D4" s="1194"/>
      <c r="E4" s="1194"/>
      <c r="F4" s="1194"/>
      <c r="G4" s="1194"/>
      <c r="H4" s="1194"/>
      <c r="I4" s="1194"/>
      <c r="J4" s="1194"/>
      <c r="K4" s="1194"/>
      <c r="L4" s="1194"/>
      <c r="M4" s="1194"/>
      <c r="N4" s="1194"/>
    </row>
    <row r="5" spans="1:17" ht="15.75">
      <c r="A5" s="150"/>
      <c r="B5" s="150"/>
      <c r="C5" s="150"/>
      <c r="D5" s="901"/>
      <c r="E5" s="731"/>
      <c r="F5" s="150"/>
      <c r="G5" s="856"/>
      <c r="H5" s="856"/>
      <c r="I5" s="81"/>
      <c r="J5" s="81"/>
      <c r="K5" s="150"/>
    </row>
    <row r="6" spans="1:17" ht="15.75">
      <c r="A6" s="88" t="str">
        <f>'B.1 F '!A6</f>
        <v>Data:______Base Period__X___Forecasted Period</v>
      </c>
      <c r="B6" s="81"/>
      <c r="C6" s="81"/>
      <c r="D6" s="81"/>
      <c r="E6" s="901"/>
      <c r="F6" s="81"/>
      <c r="G6" s="856"/>
      <c r="K6" s="81"/>
      <c r="N6" s="900" t="s">
        <v>1415</v>
      </c>
    </row>
    <row r="7" spans="1:17">
      <c r="A7" s="88" t="str">
        <f>'B.1 F '!A7</f>
        <v>Type of Filing:___X____Original________Updated ________Revised</v>
      </c>
      <c r="B7" s="88"/>
      <c r="C7" s="81"/>
      <c r="D7" s="81"/>
      <c r="E7" s="81"/>
      <c r="F7" s="81"/>
      <c r="G7" s="856"/>
      <c r="I7" s="88"/>
      <c r="J7" s="88"/>
      <c r="K7" s="81"/>
      <c r="N7" s="978" t="s">
        <v>1008</v>
      </c>
    </row>
    <row r="8" spans="1:17">
      <c r="A8" s="390" t="str">
        <f>'B.1 F '!A8</f>
        <v>Workpaper Reference No(s).</v>
      </c>
      <c r="B8" s="151"/>
      <c r="C8" s="151"/>
      <c r="D8" s="74"/>
      <c r="E8" s="74"/>
      <c r="F8" s="74"/>
      <c r="G8" s="76"/>
      <c r="H8" s="1025"/>
      <c r="I8" s="1026"/>
      <c r="J8" s="1026"/>
      <c r="K8" s="74"/>
      <c r="L8" s="1025"/>
      <c r="N8" s="1027" t="str">
        <f>'B.2 B'!N8</f>
        <v>Witness: Waller</v>
      </c>
    </row>
    <row r="9" spans="1:17">
      <c r="A9" s="1028"/>
      <c r="B9" s="74"/>
      <c r="C9" s="74"/>
      <c r="D9" s="391"/>
      <c r="E9" s="826"/>
      <c r="F9" s="826"/>
      <c r="G9" s="888"/>
      <c r="H9" s="1029"/>
      <c r="I9" s="1030"/>
      <c r="J9" s="1026"/>
      <c r="K9" s="391"/>
      <c r="L9" s="890"/>
      <c r="M9" s="890"/>
      <c r="N9" s="1031"/>
    </row>
    <row r="10" spans="1:17" ht="15.75">
      <c r="A10" s="1032"/>
      <c r="B10" s="74"/>
      <c r="C10" s="74"/>
      <c r="D10" s="593">
        <v>43921</v>
      </c>
      <c r="E10" s="74"/>
      <c r="F10" s="74"/>
      <c r="G10" s="76" t="s">
        <v>13</v>
      </c>
      <c r="H10" s="75" t="s">
        <v>11</v>
      </c>
      <c r="I10" s="1033"/>
      <c r="J10" s="1026"/>
      <c r="K10" s="1034"/>
      <c r="L10" s="76" t="s">
        <v>13</v>
      </c>
      <c r="M10" s="75" t="s">
        <v>11</v>
      </c>
      <c r="N10" s="1033"/>
    </row>
    <row r="11" spans="1:17" ht="15.75">
      <c r="A11" s="1032" t="s">
        <v>93</v>
      </c>
      <c r="B11" s="854" t="s">
        <v>268</v>
      </c>
      <c r="C11" s="485" t="s">
        <v>216</v>
      </c>
      <c r="D11" s="853" t="s">
        <v>1325</v>
      </c>
      <c r="E11" s="75"/>
      <c r="F11" s="75" t="s">
        <v>10</v>
      </c>
      <c r="G11" s="75" t="s">
        <v>14</v>
      </c>
      <c r="H11" s="75" t="s">
        <v>594</v>
      </c>
      <c r="I11" s="485" t="s">
        <v>12</v>
      </c>
      <c r="J11" s="75"/>
      <c r="K11" s="1035" t="s">
        <v>45</v>
      </c>
      <c r="L11" s="75" t="s">
        <v>14</v>
      </c>
      <c r="M11" s="75" t="s">
        <v>594</v>
      </c>
      <c r="N11" s="485" t="s">
        <v>12</v>
      </c>
    </row>
    <row r="12" spans="1:17">
      <c r="A12" s="1036" t="s">
        <v>99</v>
      </c>
      <c r="B12" s="185" t="s">
        <v>99</v>
      </c>
      <c r="C12" s="185" t="s">
        <v>296</v>
      </c>
      <c r="D12" s="1036" t="s">
        <v>105</v>
      </c>
      <c r="E12" s="185" t="s">
        <v>987</v>
      </c>
      <c r="F12" s="185" t="s">
        <v>105</v>
      </c>
      <c r="G12" s="185" t="s">
        <v>627</v>
      </c>
      <c r="H12" s="185" t="s">
        <v>627</v>
      </c>
      <c r="I12" s="1037" t="s">
        <v>104</v>
      </c>
      <c r="J12" s="75"/>
      <c r="K12" s="1036" t="s">
        <v>98</v>
      </c>
      <c r="L12" s="185" t="s">
        <v>627</v>
      </c>
      <c r="M12" s="185" t="s">
        <v>627</v>
      </c>
      <c r="N12" s="1037" t="s">
        <v>104</v>
      </c>
      <c r="P12" s="428"/>
      <c r="Q12" s="428"/>
    </row>
    <row r="13" spans="1:17">
      <c r="A13" s="75"/>
      <c r="B13" s="75"/>
      <c r="C13" s="75"/>
      <c r="D13" s="75" t="s">
        <v>750</v>
      </c>
      <c r="E13" s="75" t="s">
        <v>751</v>
      </c>
      <c r="F13" s="75" t="s">
        <v>757</v>
      </c>
      <c r="G13" s="75" t="s">
        <v>752</v>
      </c>
      <c r="H13" s="75" t="s">
        <v>753</v>
      </c>
      <c r="I13" s="75" t="s">
        <v>758</v>
      </c>
      <c r="J13" s="75"/>
      <c r="K13" s="75" t="s">
        <v>754</v>
      </c>
      <c r="L13" s="75" t="s">
        <v>755</v>
      </c>
      <c r="M13" s="75" t="s">
        <v>756</v>
      </c>
      <c r="N13" s="75" t="s">
        <v>759</v>
      </c>
    </row>
    <row r="14" spans="1:17" ht="15.75">
      <c r="B14" s="941" t="s">
        <v>6</v>
      </c>
    </row>
    <row r="15" spans="1:17">
      <c r="A15" s="854">
        <v>1</v>
      </c>
      <c r="B15" s="81"/>
      <c r="C15" s="619" t="s">
        <v>297</v>
      </c>
    </row>
    <row r="16" spans="1:17">
      <c r="A16" s="854">
        <f>A15+1</f>
        <v>2</v>
      </c>
      <c r="B16" s="1038">
        <v>30100</v>
      </c>
      <c r="C16" s="88" t="s">
        <v>291</v>
      </c>
      <c r="D16" s="322">
        <v>8329.7199999999993</v>
      </c>
      <c r="E16" s="1039">
        <v>0</v>
      </c>
      <c r="F16" s="1039">
        <f>D16+E16</f>
        <v>8329.7199999999993</v>
      </c>
      <c r="G16" s="465">
        <v>1</v>
      </c>
      <c r="H16" s="465">
        <f>$G$16</f>
        <v>1</v>
      </c>
      <c r="I16" s="346">
        <f>F16*G16*H16</f>
        <v>8329.7199999999993</v>
      </c>
      <c r="J16" s="915"/>
      <c r="K16" s="322">
        <v>8329.7199999999993</v>
      </c>
      <c r="L16" s="465">
        <f t="shared" ref="L16:M17" si="0">$G$16</f>
        <v>1</v>
      </c>
      <c r="M16" s="465">
        <f t="shared" si="0"/>
        <v>1</v>
      </c>
      <c r="N16" s="1039">
        <f>K16*L16*M16</f>
        <v>8329.7199999999993</v>
      </c>
    </row>
    <row r="17" spans="1:14">
      <c r="A17" s="854">
        <f t="shared" ref="A17:A83" si="1">A16+1</f>
        <v>3</v>
      </c>
      <c r="B17" s="1038">
        <v>30200</v>
      </c>
      <c r="C17" s="88" t="s">
        <v>153</v>
      </c>
      <c r="D17" s="322">
        <v>119852.69</v>
      </c>
      <c r="E17" s="429">
        <v>0</v>
      </c>
      <c r="F17" s="429">
        <f>D17+E17</f>
        <v>119852.69</v>
      </c>
      <c r="G17" s="465">
        <f>$G$16</f>
        <v>1</v>
      </c>
      <c r="H17" s="465">
        <f>$G$16</f>
        <v>1</v>
      </c>
      <c r="I17" s="429">
        <f>F17*G17*H17</f>
        <v>119852.69</v>
      </c>
      <c r="K17" s="322">
        <v>119852.68999999996</v>
      </c>
      <c r="L17" s="465">
        <f t="shared" si="0"/>
        <v>1</v>
      </c>
      <c r="M17" s="465">
        <f t="shared" si="0"/>
        <v>1</v>
      </c>
      <c r="N17" s="429">
        <f>K17*L17*M17</f>
        <v>119852.68999999996</v>
      </c>
    </row>
    <row r="18" spans="1:14">
      <c r="A18" s="854">
        <f t="shared" si="1"/>
        <v>4</v>
      </c>
      <c r="B18" s="1040"/>
      <c r="C18" s="88"/>
      <c r="D18" s="618"/>
      <c r="E18" s="618"/>
      <c r="F18" s="618"/>
      <c r="G18" s="465"/>
      <c r="H18" s="465"/>
      <c r="I18" s="618"/>
      <c r="K18" s="618"/>
      <c r="N18" s="618"/>
    </row>
    <row r="19" spans="1:14">
      <c r="A19" s="854">
        <f t="shared" si="1"/>
        <v>5</v>
      </c>
      <c r="B19" s="1040"/>
      <c r="C19" s="88" t="s">
        <v>298</v>
      </c>
      <c r="D19" s="360">
        <f>SUM(D16:D17)</f>
        <v>128182.41</v>
      </c>
      <c r="E19" s="346">
        <f>SUM(E16:E17)</f>
        <v>0</v>
      </c>
      <c r="F19" s="346">
        <f>SUM(F16:F17)</f>
        <v>128182.41</v>
      </c>
      <c r="G19" s="1041"/>
      <c r="H19" s="1041"/>
      <c r="I19" s="346">
        <f>SUM(I16:I17)</f>
        <v>128182.41</v>
      </c>
      <c r="K19" s="360">
        <f>SUM(K16:K17)</f>
        <v>128182.40999999996</v>
      </c>
      <c r="N19" s="346">
        <f>SUM(N16:N17)</f>
        <v>128182.40999999996</v>
      </c>
    </row>
    <row r="20" spans="1:14">
      <c r="A20" s="854">
        <f t="shared" si="1"/>
        <v>6</v>
      </c>
      <c r="B20" s="1040"/>
      <c r="C20" s="81"/>
      <c r="G20" s="465"/>
      <c r="H20" s="465"/>
    </row>
    <row r="21" spans="1:14">
      <c r="A21" s="854">
        <f t="shared" si="1"/>
        <v>7</v>
      </c>
      <c r="B21" s="1040"/>
      <c r="C21" s="619" t="s">
        <v>154</v>
      </c>
      <c r="G21" s="465"/>
      <c r="H21" s="465"/>
    </row>
    <row r="22" spans="1:14">
      <c r="A22" s="854">
        <f t="shared" si="1"/>
        <v>8</v>
      </c>
      <c r="B22" s="1038">
        <v>32540</v>
      </c>
      <c r="C22" s="88" t="s">
        <v>161</v>
      </c>
      <c r="D22" s="322">
        <v>0</v>
      </c>
      <c r="E22" s="1039">
        <v>0</v>
      </c>
      <c r="F22" s="1039">
        <f t="shared" ref="F22:F24" si="2">D22+E22</f>
        <v>0</v>
      </c>
      <c r="G22" s="465">
        <f t="shared" ref="G22:H24" si="3">$G$16</f>
        <v>1</v>
      </c>
      <c r="H22" s="465">
        <f t="shared" si="3"/>
        <v>1</v>
      </c>
      <c r="I22" s="1039">
        <f t="shared" ref="I22:I24" si="4">F22*G22*H22</f>
        <v>0</v>
      </c>
      <c r="K22" s="322">
        <v>0</v>
      </c>
      <c r="L22" s="465">
        <f t="shared" ref="L22:M24" si="5">$G$16</f>
        <v>1</v>
      </c>
      <c r="M22" s="465">
        <f t="shared" si="5"/>
        <v>1</v>
      </c>
      <c r="N22" s="1039">
        <f t="shared" ref="N22:N24" si="6">K22*L22*M22</f>
        <v>0</v>
      </c>
    </row>
    <row r="23" spans="1:14">
      <c r="A23" s="854">
        <f t="shared" si="1"/>
        <v>9</v>
      </c>
      <c r="B23" s="1038">
        <v>33202</v>
      </c>
      <c r="C23" s="88" t="s">
        <v>596</v>
      </c>
      <c r="D23" s="322">
        <v>0</v>
      </c>
      <c r="E23" s="429">
        <v>0</v>
      </c>
      <c r="F23" s="429">
        <f t="shared" si="2"/>
        <v>0</v>
      </c>
      <c r="G23" s="465">
        <f t="shared" si="3"/>
        <v>1</v>
      </c>
      <c r="H23" s="465">
        <f t="shared" si="3"/>
        <v>1</v>
      </c>
      <c r="I23" s="429">
        <f t="shared" si="4"/>
        <v>0</v>
      </c>
      <c r="K23" s="322">
        <v>0</v>
      </c>
      <c r="L23" s="465">
        <f t="shared" si="5"/>
        <v>1</v>
      </c>
      <c r="M23" s="465">
        <f t="shared" si="5"/>
        <v>1</v>
      </c>
      <c r="N23" s="429">
        <f t="shared" si="6"/>
        <v>0</v>
      </c>
    </row>
    <row r="24" spans="1:14">
      <c r="A24" s="854">
        <f t="shared" si="1"/>
        <v>10</v>
      </c>
      <c r="B24" s="1038">
        <v>33400</v>
      </c>
      <c r="C24" s="88" t="s">
        <v>1119</v>
      </c>
      <c r="D24" s="322">
        <v>0</v>
      </c>
      <c r="E24" s="429">
        <v>0</v>
      </c>
      <c r="F24" s="429">
        <f t="shared" si="2"/>
        <v>0</v>
      </c>
      <c r="G24" s="465">
        <f t="shared" si="3"/>
        <v>1</v>
      </c>
      <c r="H24" s="465">
        <f t="shared" si="3"/>
        <v>1</v>
      </c>
      <c r="I24" s="429">
        <f t="shared" si="4"/>
        <v>0</v>
      </c>
      <c r="K24" s="322">
        <v>0</v>
      </c>
      <c r="L24" s="465">
        <f t="shared" si="5"/>
        <v>1</v>
      </c>
      <c r="M24" s="465">
        <f t="shared" si="5"/>
        <v>1</v>
      </c>
      <c r="N24" s="429">
        <f t="shared" si="6"/>
        <v>0</v>
      </c>
    </row>
    <row r="25" spans="1:14">
      <c r="A25" s="854">
        <f t="shared" si="1"/>
        <v>11</v>
      </c>
      <c r="B25" s="1040"/>
      <c r="C25" s="81"/>
      <c r="D25" s="618"/>
      <c r="G25" s="465"/>
      <c r="H25" s="465"/>
      <c r="K25" s="618"/>
    </row>
    <row r="26" spans="1:14">
      <c r="A26" s="854">
        <f t="shared" si="1"/>
        <v>12</v>
      </c>
      <c r="B26" s="1040"/>
      <c r="C26" s="81" t="s">
        <v>278</v>
      </c>
      <c r="D26" s="360">
        <f>SUM(D22:D25)</f>
        <v>0</v>
      </c>
      <c r="E26" s="346">
        <f>SUM(E22:E25)</f>
        <v>0</v>
      </c>
      <c r="F26" s="346">
        <f>SUM(F22:F25)</f>
        <v>0</v>
      </c>
      <c r="G26" s="465"/>
      <c r="H26" s="465"/>
      <c r="I26" s="346">
        <f>SUM(I22:I25)</f>
        <v>0</v>
      </c>
      <c r="K26" s="360">
        <f>SUM(K22:K25)</f>
        <v>0</v>
      </c>
      <c r="N26" s="346">
        <f>SUM(N22:N25)</f>
        <v>0</v>
      </c>
    </row>
    <row r="27" spans="1:14">
      <c r="A27" s="854">
        <f t="shared" si="1"/>
        <v>13</v>
      </c>
      <c r="B27" s="1040"/>
      <c r="C27" s="88"/>
      <c r="G27" s="465"/>
      <c r="H27" s="465"/>
    </row>
    <row r="28" spans="1:14">
      <c r="A28" s="854">
        <f t="shared" si="1"/>
        <v>14</v>
      </c>
      <c r="B28" s="1040"/>
      <c r="C28" s="619" t="s">
        <v>279</v>
      </c>
      <c r="G28" s="465"/>
      <c r="H28" s="465"/>
    </row>
    <row r="29" spans="1:14">
      <c r="A29" s="854">
        <f t="shared" si="1"/>
        <v>15</v>
      </c>
      <c r="B29" s="1038">
        <v>35010</v>
      </c>
      <c r="C29" s="88" t="s">
        <v>292</v>
      </c>
      <c r="D29" s="322">
        <v>261126.69</v>
      </c>
      <c r="E29" s="1039">
        <v>0</v>
      </c>
      <c r="F29" s="1039">
        <f t="shared" ref="F29:F45" si="7">D29+E29</f>
        <v>261126.69</v>
      </c>
      <c r="G29" s="465">
        <f t="shared" ref="G29:H45" si="8">$G$16</f>
        <v>1</v>
      </c>
      <c r="H29" s="465">
        <f t="shared" si="8"/>
        <v>1</v>
      </c>
      <c r="I29" s="1039">
        <f t="shared" ref="I29:I45" si="9">F29*G29*H29</f>
        <v>261126.69</v>
      </c>
      <c r="K29" s="322">
        <v>261126.68999999997</v>
      </c>
      <c r="L29" s="465">
        <f t="shared" ref="L29:M45" si="10">$G$16</f>
        <v>1</v>
      </c>
      <c r="M29" s="465">
        <f t="shared" si="10"/>
        <v>1</v>
      </c>
      <c r="N29" s="1039">
        <f t="shared" ref="N29:N45" si="11">K29*L29*M29</f>
        <v>261126.68999999997</v>
      </c>
    </row>
    <row r="30" spans="1:14">
      <c r="A30" s="854">
        <f t="shared" si="1"/>
        <v>16</v>
      </c>
      <c r="B30" s="1038">
        <v>35020</v>
      </c>
      <c r="C30" s="88" t="s">
        <v>792</v>
      </c>
      <c r="D30" s="322">
        <v>4681.58</v>
      </c>
      <c r="E30" s="429">
        <v>0</v>
      </c>
      <c r="F30" s="429">
        <f t="shared" si="7"/>
        <v>4681.58</v>
      </c>
      <c r="G30" s="465">
        <f t="shared" si="8"/>
        <v>1</v>
      </c>
      <c r="H30" s="465">
        <f t="shared" si="8"/>
        <v>1</v>
      </c>
      <c r="I30" s="429">
        <f t="shared" si="9"/>
        <v>4681.58</v>
      </c>
      <c r="K30" s="322">
        <v>4681.5800000000008</v>
      </c>
      <c r="L30" s="465">
        <f t="shared" si="10"/>
        <v>1</v>
      </c>
      <c r="M30" s="465">
        <f t="shared" si="10"/>
        <v>1</v>
      </c>
      <c r="N30" s="429">
        <f t="shared" si="11"/>
        <v>4681.5800000000008</v>
      </c>
    </row>
    <row r="31" spans="1:14">
      <c r="A31" s="854">
        <f t="shared" si="1"/>
        <v>17</v>
      </c>
      <c r="B31" s="1038">
        <v>35100</v>
      </c>
      <c r="C31" s="88" t="s">
        <v>969</v>
      </c>
      <c r="D31" s="322">
        <v>17916.189999999999</v>
      </c>
      <c r="E31" s="429">
        <v>0</v>
      </c>
      <c r="F31" s="429">
        <f t="shared" si="7"/>
        <v>17916.189999999999</v>
      </c>
      <c r="G31" s="465">
        <f t="shared" si="8"/>
        <v>1</v>
      </c>
      <c r="H31" s="465">
        <f t="shared" si="8"/>
        <v>1</v>
      </c>
      <c r="I31" s="429">
        <f t="shared" si="9"/>
        <v>17916.189999999999</v>
      </c>
      <c r="K31" s="322">
        <v>17916.189999999999</v>
      </c>
      <c r="L31" s="465">
        <f t="shared" si="10"/>
        <v>1</v>
      </c>
      <c r="M31" s="465">
        <f t="shared" si="10"/>
        <v>1</v>
      </c>
      <c r="N31" s="429">
        <f t="shared" si="11"/>
        <v>17916.189999999999</v>
      </c>
    </row>
    <row r="32" spans="1:14">
      <c r="A32" s="854">
        <f t="shared" si="1"/>
        <v>18</v>
      </c>
      <c r="B32" s="1038">
        <v>35102</v>
      </c>
      <c r="C32" s="88" t="s">
        <v>280</v>
      </c>
      <c r="D32" s="322">
        <v>153261.29999999999</v>
      </c>
      <c r="E32" s="429">
        <v>0</v>
      </c>
      <c r="F32" s="429">
        <f t="shared" si="7"/>
        <v>153261.29999999999</v>
      </c>
      <c r="G32" s="465">
        <f t="shared" si="8"/>
        <v>1</v>
      </c>
      <c r="H32" s="465">
        <f t="shared" si="8"/>
        <v>1</v>
      </c>
      <c r="I32" s="429">
        <f t="shared" si="9"/>
        <v>153261.29999999999</v>
      </c>
      <c r="K32" s="322">
        <v>153261.30000000002</v>
      </c>
      <c r="L32" s="465">
        <f t="shared" si="10"/>
        <v>1</v>
      </c>
      <c r="M32" s="465">
        <f t="shared" si="10"/>
        <v>1</v>
      </c>
      <c r="N32" s="429">
        <f t="shared" si="11"/>
        <v>153261.30000000002</v>
      </c>
    </row>
    <row r="33" spans="1:14">
      <c r="A33" s="854">
        <f t="shared" si="1"/>
        <v>19</v>
      </c>
      <c r="B33" s="1038">
        <v>35103</v>
      </c>
      <c r="C33" s="88" t="s">
        <v>585</v>
      </c>
      <c r="D33" s="322">
        <v>23138.38</v>
      </c>
      <c r="E33" s="429">
        <v>0</v>
      </c>
      <c r="F33" s="429">
        <f t="shared" si="7"/>
        <v>23138.38</v>
      </c>
      <c r="G33" s="465">
        <f t="shared" si="8"/>
        <v>1</v>
      </c>
      <c r="H33" s="465">
        <f t="shared" si="8"/>
        <v>1</v>
      </c>
      <c r="I33" s="429">
        <f t="shared" si="9"/>
        <v>23138.38</v>
      </c>
      <c r="K33" s="322">
        <v>23138.38</v>
      </c>
      <c r="L33" s="465">
        <f t="shared" si="10"/>
        <v>1</v>
      </c>
      <c r="M33" s="465">
        <f t="shared" si="10"/>
        <v>1</v>
      </c>
      <c r="N33" s="429">
        <f t="shared" si="11"/>
        <v>23138.38</v>
      </c>
    </row>
    <row r="34" spans="1:14">
      <c r="A34" s="854">
        <f t="shared" si="1"/>
        <v>20</v>
      </c>
      <c r="B34" s="1038">
        <v>35104</v>
      </c>
      <c r="C34" s="88" t="s">
        <v>586</v>
      </c>
      <c r="D34" s="322">
        <v>137442.53</v>
      </c>
      <c r="E34" s="429">
        <v>0</v>
      </c>
      <c r="F34" s="429">
        <f t="shared" si="7"/>
        <v>137442.53</v>
      </c>
      <c r="G34" s="465">
        <f t="shared" si="8"/>
        <v>1</v>
      </c>
      <c r="H34" s="465">
        <f t="shared" si="8"/>
        <v>1</v>
      </c>
      <c r="I34" s="429">
        <f t="shared" si="9"/>
        <v>137442.53</v>
      </c>
      <c r="K34" s="322">
        <v>137442.53</v>
      </c>
      <c r="L34" s="465">
        <f t="shared" si="10"/>
        <v>1</v>
      </c>
      <c r="M34" s="465">
        <f t="shared" si="10"/>
        <v>1</v>
      </c>
      <c r="N34" s="429">
        <f t="shared" si="11"/>
        <v>137442.53</v>
      </c>
    </row>
    <row r="35" spans="1:14">
      <c r="A35" s="854">
        <f t="shared" si="1"/>
        <v>21</v>
      </c>
      <c r="B35" s="1038">
        <v>35200</v>
      </c>
      <c r="C35" s="88" t="s">
        <v>441</v>
      </c>
      <c r="D35" s="322">
        <v>8346911.0582668055</v>
      </c>
      <c r="E35" s="429">
        <v>0</v>
      </c>
      <c r="F35" s="429">
        <f t="shared" si="7"/>
        <v>8346911.0582668055</v>
      </c>
      <c r="G35" s="465">
        <f t="shared" si="8"/>
        <v>1</v>
      </c>
      <c r="H35" s="465">
        <f t="shared" si="8"/>
        <v>1</v>
      </c>
      <c r="I35" s="429">
        <f t="shared" si="9"/>
        <v>8346911.0582668055</v>
      </c>
      <c r="K35" s="322">
        <v>8348395.5483970111</v>
      </c>
      <c r="L35" s="465">
        <f t="shared" si="10"/>
        <v>1</v>
      </c>
      <c r="M35" s="465">
        <f t="shared" si="10"/>
        <v>1</v>
      </c>
      <c r="N35" s="429">
        <f t="shared" si="11"/>
        <v>8348395.5483970111</v>
      </c>
    </row>
    <row r="36" spans="1:14">
      <c r="A36" s="854">
        <f t="shared" si="1"/>
        <v>22</v>
      </c>
      <c r="B36" s="1038">
        <v>35201</v>
      </c>
      <c r="C36" s="88" t="s">
        <v>587</v>
      </c>
      <c r="D36" s="322">
        <v>1699998.54</v>
      </c>
      <c r="E36" s="429">
        <v>0</v>
      </c>
      <c r="F36" s="429">
        <f t="shared" si="7"/>
        <v>1699998.54</v>
      </c>
      <c r="G36" s="465">
        <f t="shared" si="8"/>
        <v>1</v>
      </c>
      <c r="H36" s="465">
        <f t="shared" si="8"/>
        <v>1</v>
      </c>
      <c r="I36" s="429">
        <f t="shared" si="9"/>
        <v>1699998.54</v>
      </c>
      <c r="K36" s="322">
        <v>1699998.5399999993</v>
      </c>
      <c r="L36" s="465">
        <f t="shared" si="10"/>
        <v>1</v>
      </c>
      <c r="M36" s="465">
        <f t="shared" si="10"/>
        <v>1</v>
      </c>
      <c r="N36" s="429">
        <f t="shared" si="11"/>
        <v>1699998.5399999993</v>
      </c>
    </row>
    <row r="37" spans="1:14">
      <c r="A37" s="854">
        <f t="shared" si="1"/>
        <v>23</v>
      </c>
      <c r="B37" s="1038">
        <v>35202</v>
      </c>
      <c r="C37" s="88" t="s">
        <v>588</v>
      </c>
      <c r="D37" s="322">
        <v>449309.06</v>
      </c>
      <c r="E37" s="429">
        <v>0</v>
      </c>
      <c r="F37" s="429">
        <f t="shared" si="7"/>
        <v>449309.06</v>
      </c>
      <c r="G37" s="465">
        <f t="shared" si="8"/>
        <v>1</v>
      </c>
      <c r="H37" s="465">
        <f t="shared" si="8"/>
        <v>1</v>
      </c>
      <c r="I37" s="429">
        <f t="shared" si="9"/>
        <v>449309.06</v>
      </c>
      <c r="K37" s="322">
        <v>449309.05999999988</v>
      </c>
      <c r="L37" s="465">
        <f t="shared" si="10"/>
        <v>1</v>
      </c>
      <c r="M37" s="465">
        <f t="shared" si="10"/>
        <v>1</v>
      </c>
      <c r="N37" s="429">
        <f t="shared" si="11"/>
        <v>449309.05999999988</v>
      </c>
    </row>
    <row r="38" spans="1:14">
      <c r="A38" s="854">
        <f t="shared" si="1"/>
        <v>24</v>
      </c>
      <c r="B38" s="1038">
        <v>35203</v>
      </c>
      <c r="C38" s="88" t="s">
        <v>343</v>
      </c>
      <c r="D38" s="322">
        <v>1694832.96</v>
      </c>
      <c r="E38" s="429">
        <v>0</v>
      </c>
      <c r="F38" s="429">
        <f t="shared" si="7"/>
        <v>1694832.96</v>
      </c>
      <c r="G38" s="465">
        <f t="shared" si="8"/>
        <v>1</v>
      </c>
      <c r="H38" s="465">
        <f t="shared" si="8"/>
        <v>1</v>
      </c>
      <c r="I38" s="429">
        <f t="shared" si="9"/>
        <v>1694832.96</v>
      </c>
      <c r="K38" s="322">
        <v>1694832.9600000007</v>
      </c>
      <c r="L38" s="465">
        <f t="shared" si="10"/>
        <v>1</v>
      </c>
      <c r="M38" s="465">
        <f t="shared" si="10"/>
        <v>1</v>
      </c>
      <c r="N38" s="429">
        <f t="shared" si="11"/>
        <v>1694832.9600000007</v>
      </c>
    </row>
    <row r="39" spans="1:14">
      <c r="A39" s="854">
        <f t="shared" si="1"/>
        <v>25</v>
      </c>
      <c r="B39" s="1038">
        <v>35210</v>
      </c>
      <c r="C39" s="88" t="s">
        <v>589</v>
      </c>
      <c r="D39" s="322">
        <v>178530.09</v>
      </c>
      <c r="E39" s="429">
        <v>0</v>
      </c>
      <c r="F39" s="429">
        <f t="shared" si="7"/>
        <v>178530.09</v>
      </c>
      <c r="G39" s="465">
        <f t="shared" si="8"/>
        <v>1</v>
      </c>
      <c r="H39" s="465">
        <f t="shared" si="8"/>
        <v>1</v>
      </c>
      <c r="I39" s="429">
        <f t="shared" si="9"/>
        <v>178530.09</v>
      </c>
      <c r="K39" s="322">
        <v>178530.09000000003</v>
      </c>
      <c r="L39" s="465">
        <f t="shared" si="10"/>
        <v>1</v>
      </c>
      <c r="M39" s="465">
        <f t="shared" si="10"/>
        <v>1</v>
      </c>
      <c r="N39" s="429">
        <f t="shared" si="11"/>
        <v>178530.09000000003</v>
      </c>
    </row>
    <row r="40" spans="1:14">
      <c r="A40" s="854">
        <f t="shared" si="1"/>
        <v>26</v>
      </c>
      <c r="B40" s="1038">
        <v>35211</v>
      </c>
      <c r="C40" s="88" t="s">
        <v>590</v>
      </c>
      <c r="D40" s="322">
        <v>54614.27</v>
      </c>
      <c r="E40" s="429">
        <v>0</v>
      </c>
      <c r="F40" s="429">
        <f t="shared" si="7"/>
        <v>54614.27</v>
      </c>
      <c r="G40" s="465">
        <f t="shared" si="8"/>
        <v>1</v>
      </c>
      <c r="H40" s="465">
        <f t="shared" si="8"/>
        <v>1</v>
      </c>
      <c r="I40" s="429">
        <f t="shared" si="9"/>
        <v>54614.27</v>
      </c>
      <c r="K40" s="322">
        <v>54614.270000000011</v>
      </c>
      <c r="L40" s="465">
        <f t="shared" si="10"/>
        <v>1</v>
      </c>
      <c r="M40" s="465">
        <f t="shared" si="10"/>
        <v>1</v>
      </c>
      <c r="N40" s="429">
        <f t="shared" si="11"/>
        <v>54614.270000000011</v>
      </c>
    </row>
    <row r="41" spans="1:14">
      <c r="A41" s="854">
        <f t="shared" si="1"/>
        <v>27</v>
      </c>
      <c r="B41" s="1038">
        <v>35301</v>
      </c>
      <c r="C41" s="81" t="s">
        <v>162</v>
      </c>
      <c r="D41" s="322">
        <v>175350.37</v>
      </c>
      <c r="E41" s="429">
        <v>0</v>
      </c>
      <c r="F41" s="429">
        <f t="shared" si="7"/>
        <v>175350.37</v>
      </c>
      <c r="G41" s="465">
        <f t="shared" si="8"/>
        <v>1</v>
      </c>
      <c r="H41" s="465">
        <f t="shared" si="8"/>
        <v>1</v>
      </c>
      <c r="I41" s="429">
        <f t="shared" si="9"/>
        <v>175350.37</v>
      </c>
      <c r="K41" s="322">
        <v>175350.37000000005</v>
      </c>
      <c r="L41" s="465">
        <f t="shared" si="10"/>
        <v>1</v>
      </c>
      <c r="M41" s="465">
        <f t="shared" si="10"/>
        <v>1</v>
      </c>
      <c r="N41" s="429">
        <f t="shared" si="11"/>
        <v>175350.37000000005</v>
      </c>
    </row>
    <row r="42" spans="1:14">
      <c r="A42" s="854">
        <f t="shared" si="1"/>
        <v>28</v>
      </c>
      <c r="B42" s="1038">
        <v>35302</v>
      </c>
      <c r="C42" s="88" t="s">
        <v>596</v>
      </c>
      <c r="D42" s="322">
        <v>209318.9</v>
      </c>
      <c r="E42" s="429">
        <v>0</v>
      </c>
      <c r="F42" s="429">
        <f t="shared" si="7"/>
        <v>209318.9</v>
      </c>
      <c r="G42" s="465">
        <f t="shared" si="8"/>
        <v>1</v>
      </c>
      <c r="H42" s="465">
        <f t="shared" si="8"/>
        <v>1</v>
      </c>
      <c r="I42" s="429">
        <f t="shared" si="9"/>
        <v>209318.9</v>
      </c>
      <c r="K42" s="322">
        <v>209318.89999999994</v>
      </c>
      <c r="L42" s="465">
        <f t="shared" si="10"/>
        <v>1</v>
      </c>
      <c r="M42" s="465">
        <f t="shared" si="10"/>
        <v>1</v>
      </c>
      <c r="N42" s="429">
        <f t="shared" si="11"/>
        <v>209318.89999999994</v>
      </c>
    </row>
    <row r="43" spans="1:14">
      <c r="A43" s="854">
        <f t="shared" si="1"/>
        <v>29</v>
      </c>
      <c r="B43" s="1038">
        <v>35400</v>
      </c>
      <c r="C43" s="88" t="s">
        <v>591</v>
      </c>
      <c r="D43" s="322">
        <v>923446.05</v>
      </c>
      <c r="E43" s="429">
        <v>0</v>
      </c>
      <c r="F43" s="429">
        <f t="shared" si="7"/>
        <v>923446.05</v>
      </c>
      <c r="G43" s="465">
        <f t="shared" si="8"/>
        <v>1</v>
      </c>
      <c r="H43" s="465">
        <f t="shared" si="8"/>
        <v>1</v>
      </c>
      <c r="I43" s="429">
        <f t="shared" si="9"/>
        <v>923446.05</v>
      </c>
      <c r="K43" s="322">
        <v>923446.05000000016</v>
      </c>
      <c r="L43" s="465">
        <f t="shared" si="10"/>
        <v>1</v>
      </c>
      <c r="M43" s="465">
        <f t="shared" si="10"/>
        <v>1</v>
      </c>
      <c r="N43" s="429">
        <f t="shared" si="11"/>
        <v>923446.05000000016</v>
      </c>
    </row>
    <row r="44" spans="1:14">
      <c r="A44" s="854">
        <f t="shared" si="1"/>
        <v>30</v>
      </c>
      <c r="B44" s="1038">
        <v>35500</v>
      </c>
      <c r="C44" s="88" t="s">
        <v>992</v>
      </c>
      <c r="D44" s="322">
        <v>273084.38</v>
      </c>
      <c r="E44" s="429">
        <v>0</v>
      </c>
      <c r="F44" s="429">
        <f t="shared" si="7"/>
        <v>273084.38</v>
      </c>
      <c r="G44" s="465">
        <f t="shared" si="8"/>
        <v>1</v>
      </c>
      <c r="H44" s="465">
        <f t="shared" si="8"/>
        <v>1</v>
      </c>
      <c r="I44" s="429">
        <f t="shared" si="9"/>
        <v>273084.38</v>
      </c>
      <c r="K44" s="322">
        <v>273084.37999999995</v>
      </c>
      <c r="L44" s="465">
        <f t="shared" si="10"/>
        <v>1</v>
      </c>
      <c r="M44" s="465">
        <f t="shared" si="10"/>
        <v>1</v>
      </c>
      <c r="N44" s="429">
        <f t="shared" si="11"/>
        <v>273084.37999999995</v>
      </c>
    </row>
    <row r="45" spans="1:14">
      <c r="A45" s="854">
        <f t="shared" si="1"/>
        <v>31</v>
      </c>
      <c r="B45" s="1038">
        <v>35600</v>
      </c>
      <c r="C45" s="88" t="s">
        <v>1040</v>
      </c>
      <c r="D45" s="322">
        <v>414663.45</v>
      </c>
      <c r="E45" s="1042">
        <v>0</v>
      </c>
      <c r="F45" s="1042">
        <f t="shared" si="7"/>
        <v>414663.45</v>
      </c>
      <c r="G45" s="465">
        <f t="shared" si="8"/>
        <v>1</v>
      </c>
      <c r="H45" s="465">
        <f t="shared" si="8"/>
        <v>1</v>
      </c>
      <c r="I45" s="1042">
        <f t="shared" si="9"/>
        <v>414663.45</v>
      </c>
      <c r="K45" s="322">
        <v>414663.45000000013</v>
      </c>
      <c r="L45" s="465">
        <f t="shared" si="10"/>
        <v>1</v>
      </c>
      <c r="M45" s="465">
        <f t="shared" si="10"/>
        <v>1</v>
      </c>
      <c r="N45" s="1042">
        <f t="shared" si="11"/>
        <v>414663.45000000013</v>
      </c>
    </row>
    <row r="46" spans="1:14">
      <c r="A46" s="854">
        <f t="shared" si="1"/>
        <v>32</v>
      </c>
      <c r="B46" s="1040"/>
      <c r="C46" s="88"/>
      <c r="D46" s="618"/>
      <c r="G46" s="465"/>
      <c r="H46" s="465"/>
      <c r="K46" s="618"/>
    </row>
    <row r="47" spans="1:14">
      <c r="A47" s="854">
        <f t="shared" si="1"/>
        <v>33</v>
      </c>
      <c r="B47" s="1040"/>
      <c r="C47" s="88" t="s">
        <v>215</v>
      </c>
      <c r="D47" s="360">
        <f>SUM(D29:D46)</f>
        <v>15017625.798266804</v>
      </c>
      <c r="E47" s="346">
        <f>SUM(E29:E46)</f>
        <v>0</v>
      </c>
      <c r="F47" s="346">
        <f>SUM(F29:F46)</f>
        <v>15017625.798266804</v>
      </c>
      <c r="G47" s="465"/>
      <c r="H47" s="465"/>
      <c r="I47" s="346">
        <f>SUM(I29:I46)</f>
        <v>15017625.798266804</v>
      </c>
      <c r="K47" s="360">
        <f>SUM(K29:K46)</f>
        <v>15019110.288397012</v>
      </c>
      <c r="N47" s="360">
        <f>SUM(N29:N46)</f>
        <v>15019110.288397012</v>
      </c>
    </row>
    <row r="48" spans="1:14">
      <c r="A48" s="854">
        <f t="shared" si="1"/>
        <v>34</v>
      </c>
      <c r="B48" s="1040"/>
      <c r="C48" s="88"/>
      <c r="G48" s="465"/>
      <c r="H48" s="465"/>
    </row>
    <row r="49" spans="1:14">
      <c r="A49" s="854">
        <f t="shared" si="1"/>
        <v>35</v>
      </c>
      <c r="B49" s="1040"/>
      <c r="C49" s="619" t="s">
        <v>993</v>
      </c>
      <c r="G49" s="465"/>
      <c r="H49" s="465"/>
    </row>
    <row r="50" spans="1:14">
      <c r="A50" s="854">
        <f t="shared" si="1"/>
        <v>36</v>
      </c>
      <c r="B50" s="1038">
        <v>36510</v>
      </c>
      <c r="C50" s="88" t="s">
        <v>292</v>
      </c>
      <c r="D50" s="322">
        <v>26970.37</v>
      </c>
      <c r="E50" s="1039">
        <v>0</v>
      </c>
      <c r="F50" s="1039">
        <f t="shared" ref="F50:F58" si="12">D50+E50</f>
        <v>26970.37</v>
      </c>
      <c r="G50" s="465">
        <f t="shared" ref="G50:H58" si="13">$G$16</f>
        <v>1</v>
      </c>
      <c r="H50" s="465">
        <f t="shared" si="13"/>
        <v>1</v>
      </c>
      <c r="I50" s="360">
        <f t="shared" ref="I50:I58" si="14">F50*G50*H50</f>
        <v>26970.37</v>
      </c>
      <c r="K50" s="322">
        <v>26970.37</v>
      </c>
      <c r="L50" s="465">
        <f t="shared" ref="L50:M58" si="15">$G$16</f>
        <v>1</v>
      </c>
      <c r="M50" s="465">
        <f t="shared" si="15"/>
        <v>1</v>
      </c>
      <c r="N50" s="1039">
        <f t="shared" ref="N50:N58" si="16">K50*L50*M50</f>
        <v>26970.37</v>
      </c>
    </row>
    <row r="51" spans="1:14">
      <c r="A51" s="854">
        <f t="shared" si="1"/>
        <v>37</v>
      </c>
      <c r="B51" s="1038">
        <v>36520</v>
      </c>
      <c r="C51" s="88" t="s">
        <v>792</v>
      </c>
      <c r="D51" s="322">
        <v>867772</v>
      </c>
      <c r="E51" s="429">
        <v>0</v>
      </c>
      <c r="F51" s="429">
        <f t="shared" si="12"/>
        <v>867772</v>
      </c>
      <c r="G51" s="465">
        <f t="shared" si="13"/>
        <v>1</v>
      </c>
      <c r="H51" s="465">
        <f t="shared" si="13"/>
        <v>1</v>
      </c>
      <c r="I51" s="429">
        <f t="shared" si="14"/>
        <v>867772</v>
      </c>
      <c r="K51" s="322">
        <v>867772</v>
      </c>
      <c r="L51" s="465">
        <f t="shared" si="15"/>
        <v>1</v>
      </c>
      <c r="M51" s="465">
        <f t="shared" si="15"/>
        <v>1</v>
      </c>
      <c r="N51" s="429">
        <f t="shared" si="16"/>
        <v>867772</v>
      </c>
    </row>
    <row r="52" spans="1:14">
      <c r="A52" s="854">
        <f t="shared" si="1"/>
        <v>38</v>
      </c>
      <c r="B52" s="1038">
        <v>36602</v>
      </c>
      <c r="C52" s="88" t="s">
        <v>856</v>
      </c>
      <c r="D52" s="322">
        <v>49001.72</v>
      </c>
      <c r="E52" s="429">
        <v>0</v>
      </c>
      <c r="F52" s="429">
        <f t="shared" si="12"/>
        <v>49001.72</v>
      </c>
      <c r="G52" s="465">
        <f t="shared" si="13"/>
        <v>1</v>
      </c>
      <c r="H52" s="465">
        <f t="shared" si="13"/>
        <v>1</v>
      </c>
      <c r="I52" s="429">
        <f t="shared" si="14"/>
        <v>49001.72</v>
      </c>
      <c r="K52" s="322">
        <v>49001.719999999987</v>
      </c>
      <c r="L52" s="465">
        <f t="shared" si="15"/>
        <v>1</v>
      </c>
      <c r="M52" s="465">
        <f t="shared" si="15"/>
        <v>1</v>
      </c>
      <c r="N52" s="429">
        <f t="shared" si="16"/>
        <v>49001.719999999987</v>
      </c>
    </row>
    <row r="53" spans="1:14">
      <c r="A53" s="854">
        <f t="shared" si="1"/>
        <v>39</v>
      </c>
      <c r="B53" s="1038">
        <v>36603</v>
      </c>
      <c r="C53" s="88" t="s">
        <v>994</v>
      </c>
      <c r="D53" s="322">
        <v>60826.29</v>
      </c>
      <c r="E53" s="429">
        <v>0</v>
      </c>
      <c r="F53" s="429">
        <f t="shared" si="12"/>
        <v>60826.29</v>
      </c>
      <c r="G53" s="465">
        <f t="shared" si="13"/>
        <v>1</v>
      </c>
      <c r="H53" s="465">
        <f t="shared" si="13"/>
        <v>1</v>
      </c>
      <c r="I53" s="429">
        <f t="shared" si="14"/>
        <v>60826.29</v>
      </c>
      <c r="K53" s="322">
        <v>60826.290000000008</v>
      </c>
      <c r="L53" s="465">
        <f t="shared" si="15"/>
        <v>1</v>
      </c>
      <c r="M53" s="465">
        <f t="shared" si="15"/>
        <v>1</v>
      </c>
      <c r="N53" s="429">
        <f t="shared" si="16"/>
        <v>60826.290000000008</v>
      </c>
    </row>
    <row r="54" spans="1:14">
      <c r="A54" s="854">
        <f t="shared" si="1"/>
        <v>40</v>
      </c>
      <c r="B54" s="1038">
        <v>36700</v>
      </c>
      <c r="C54" s="88" t="s">
        <v>844</v>
      </c>
      <c r="D54" s="322">
        <v>139637.68</v>
      </c>
      <c r="E54" s="429">
        <v>0</v>
      </c>
      <c r="F54" s="429">
        <f t="shared" si="12"/>
        <v>139637.68</v>
      </c>
      <c r="G54" s="465">
        <f t="shared" si="13"/>
        <v>1</v>
      </c>
      <c r="H54" s="465">
        <f t="shared" si="13"/>
        <v>1</v>
      </c>
      <c r="I54" s="429">
        <f t="shared" si="14"/>
        <v>139637.68</v>
      </c>
      <c r="K54" s="322">
        <v>139637.67999999996</v>
      </c>
      <c r="L54" s="465">
        <f t="shared" si="15"/>
        <v>1</v>
      </c>
      <c r="M54" s="465">
        <f t="shared" si="15"/>
        <v>1</v>
      </c>
      <c r="N54" s="429">
        <f t="shared" si="16"/>
        <v>139637.67999999996</v>
      </c>
    </row>
    <row r="55" spans="1:14">
      <c r="A55" s="854">
        <f t="shared" si="1"/>
        <v>41</v>
      </c>
      <c r="B55" s="1038">
        <v>36701</v>
      </c>
      <c r="C55" s="88" t="s">
        <v>16</v>
      </c>
      <c r="D55" s="322">
        <v>26859142.463646974</v>
      </c>
      <c r="E55" s="429">
        <v>0</v>
      </c>
      <c r="F55" s="429">
        <f t="shared" si="12"/>
        <v>26859142.463646974</v>
      </c>
      <c r="G55" s="465">
        <f t="shared" si="13"/>
        <v>1</v>
      </c>
      <c r="H55" s="465">
        <f t="shared" si="13"/>
        <v>1</v>
      </c>
      <c r="I55" s="429">
        <f t="shared" si="14"/>
        <v>26859142.463646974</v>
      </c>
      <c r="K55" s="322">
        <v>27047830.765633367</v>
      </c>
      <c r="L55" s="465">
        <f t="shared" si="15"/>
        <v>1</v>
      </c>
      <c r="M55" s="465">
        <f t="shared" si="15"/>
        <v>1</v>
      </c>
      <c r="N55" s="429">
        <f t="shared" si="16"/>
        <v>27047830.765633367</v>
      </c>
    </row>
    <row r="56" spans="1:14">
      <c r="A56" s="1152">
        <f t="shared" si="1"/>
        <v>42</v>
      </c>
      <c r="B56" s="1038">
        <v>36703</v>
      </c>
      <c r="C56" s="233" t="s">
        <v>1640</v>
      </c>
      <c r="D56" s="322">
        <v>0</v>
      </c>
      <c r="E56" s="429">
        <v>0</v>
      </c>
      <c r="F56" s="429">
        <f t="shared" ref="F56" si="17">D56+E56</f>
        <v>0</v>
      </c>
      <c r="G56" s="465">
        <f t="shared" si="13"/>
        <v>1</v>
      </c>
      <c r="H56" s="465">
        <f t="shared" si="13"/>
        <v>1</v>
      </c>
      <c r="I56" s="429">
        <f t="shared" ref="I56" si="18">F56*G56*H56</f>
        <v>0</v>
      </c>
      <c r="K56" s="322">
        <v>0</v>
      </c>
      <c r="L56" s="465">
        <f t="shared" si="15"/>
        <v>1</v>
      </c>
      <c r="M56" s="465">
        <f t="shared" si="15"/>
        <v>1</v>
      </c>
      <c r="N56" s="429">
        <f t="shared" ref="N56" si="19">K56*L56*M56</f>
        <v>0</v>
      </c>
    </row>
    <row r="57" spans="1:14">
      <c r="A57" s="1152">
        <f t="shared" si="1"/>
        <v>43</v>
      </c>
      <c r="B57" s="1038">
        <v>36900</v>
      </c>
      <c r="C57" s="88" t="s">
        <v>995</v>
      </c>
      <c r="D57" s="322">
        <v>731466.64</v>
      </c>
      <c r="E57" s="429">
        <v>0</v>
      </c>
      <c r="F57" s="429">
        <f t="shared" si="12"/>
        <v>731466.64</v>
      </c>
      <c r="G57" s="465">
        <f t="shared" si="13"/>
        <v>1</v>
      </c>
      <c r="H57" s="465">
        <f t="shared" si="13"/>
        <v>1</v>
      </c>
      <c r="I57" s="429">
        <f t="shared" si="14"/>
        <v>731466.64</v>
      </c>
      <c r="K57" s="322">
        <v>731466.6399999999</v>
      </c>
      <c r="L57" s="465">
        <f t="shared" si="15"/>
        <v>1</v>
      </c>
      <c r="M57" s="465">
        <f t="shared" si="15"/>
        <v>1</v>
      </c>
      <c r="N57" s="429">
        <f t="shared" si="16"/>
        <v>731466.6399999999</v>
      </c>
    </row>
    <row r="58" spans="1:14">
      <c r="A58" s="1152">
        <f t="shared" si="1"/>
        <v>44</v>
      </c>
      <c r="B58" s="1038">
        <v>36901</v>
      </c>
      <c r="C58" s="88" t="s">
        <v>995</v>
      </c>
      <c r="D58" s="322">
        <v>2269555.91</v>
      </c>
      <c r="E58" s="1042">
        <v>0</v>
      </c>
      <c r="F58" s="1042">
        <f t="shared" si="12"/>
        <v>2269555.91</v>
      </c>
      <c r="G58" s="465">
        <f t="shared" si="13"/>
        <v>1</v>
      </c>
      <c r="H58" s="465">
        <f t="shared" si="13"/>
        <v>1</v>
      </c>
      <c r="I58" s="1042">
        <f t="shared" si="14"/>
        <v>2269555.91</v>
      </c>
      <c r="K58" s="322">
        <v>2269555.91</v>
      </c>
      <c r="L58" s="465">
        <f t="shared" si="15"/>
        <v>1</v>
      </c>
      <c r="M58" s="465">
        <f t="shared" si="15"/>
        <v>1</v>
      </c>
      <c r="N58" s="1042">
        <f t="shared" si="16"/>
        <v>2269555.91</v>
      </c>
    </row>
    <row r="59" spans="1:14">
      <c r="A59" s="1152">
        <f t="shared" si="1"/>
        <v>45</v>
      </c>
      <c r="B59" s="1040"/>
      <c r="C59" s="88"/>
      <c r="D59" s="618"/>
      <c r="G59" s="465"/>
      <c r="H59" s="465"/>
      <c r="K59" s="618"/>
    </row>
    <row r="60" spans="1:14">
      <c r="A60" s="1152">
        <f t="shared" si="1"/>
        <v>46</v>
      </c>
      <c r="B60" s="1040"/>
      <c r="C60" s="88" t="s">
        <v>1349</v>
      </c>
      <c r="D60" s="360">
        <f>SUM(D50:D59)</f>
        <v>31004373.073646974</v>
      </c>
      <c r="E60" s="346">
        <f>SUM(E50:E59)</f>
        <v>0</v>
      </c>
      <c r="F60" s="360">
        <f>SUM(F50:F59)</f>
        <v>31004373.073646974</v>
      </c>
      <c r="G60" s="465"/>
      <c r="H60" s="465"/>
      <c r="I60" s="360">
        <f>SUM(I50:I59)</f>
        <v>31004373.073646974</v>
      </c>
      <c r="K60" s="360">
        <f>SUM(K50:K59)</f>
        <v>31193061.375633366</v>
      </c>
      <c r="N60" s="360">
        <f>SUM(N50:N59)</f>
        <v>31193061.375633366</v>
      </c>
    </row>
    <row r="61" spans="1:14">
      <c r="A61" s="1152">
        <f t="shared" si="1"/>
        <v>47</v>
      </c>
      <c r="B61" s="1040"/>
      <c r="C61" s="81"/>
      <c r="G61" s="465"/>
      <c r="H61" s="465"/>
    </row>
    <row r="62" spans="1:14">
      <c r="A62" s="1152">
        <f t="shared" si="1"/>
        <v>48</v>
      </c>
      <c r="B62" s="1040"/>
      <c r="C62" s="619" t="s">
        <v>299</v>
      </c>
      <c r="G62" s="465"/>
      <c r="H62" s="465"/>
    </row>
    <row r="63" spans="1:14">
      <c r="A63" s="1152">
        <f t="shared" si="1"/>
        <v>49</v>
      </c>
      <c r="B63" s="1038">
        <v>37400</v>
      </c>
      <c r="C63" s="88" t="s">
        <v>1147</v>
      </c>
      <c r="D63" s="322">
        <v>531166.79</v>
      </c>
      <c r="E63" s="1039">
        <v>0</v>
      </c>
      <c r="F63" s="1039">
        <f t="shared" ref="F63:F84" si="20">D63+E63</f>
        <v>531166.79</v>
      </c>
      <c r="G63" s="465">
        <f t="shared" ref="G63:H84" si="21">$G$16</f>
        <v>1</v>
      </c>
      <c r="H63" s="465">
        <f t="shared" si="21"/>
        <v>1</v>
      </c>
      <c r="I63" s="360">
        <f t="shared" ref="I63:I84" si="22">F63*G63*H63</f>
        <v>531166.79</v>
      </c>
      <c r="K63" s="322">
        <v>531166.79</v>
      </c>
      <c r="L63" s="465">
        <f t="shared" ref="L63:M84" si="23">$G$16</f>
        <v>1</v>
      </c>
      <c r="M63" s="465">
        <f t="shared" si="23"/>
        <v>1</v>
      </c>
      <c r="N63" s="1039">
        <f t="shared" ref="N63:N84" si="24">K63*L63*M63</f>
        <v>531166.79</v>
      </c>
    </row>
    <row r="64" spans="1:14">
      <c r="A64" s="1152">
        <f t="shared" si="1"/>
        <v>50</v>
      </c>
      <c r="B64" s="1038">
        <v>37401</v>
      </c>
      <c r="C64" s="88" t="s">
        <v>292</v>
      </c>
      <c r="D64" s="322">
        <v>37326.42</v>
      </c>
      <c r="E64" s="429">
        <v>0</v>
      </c>
      <c r="F64" s="429">
        <f t="shared" si="20"/>
        <v>37326.42</v>
      </c>
      <c r="G64" s="465">
        <f t="shared" si="21"/>
        <v>1</v>
      </c>
      <c r="H64" s="465">
        <f t="shared" si="21"/>
        <v>1</v>
      </c>
      <c r="I64" s="429">
        <f t="shared" si="22"/>
        <v>37326.42</v>
      </c>
      <c r="K64" s="322">
        <v>37326.419999999991</v>
      </c>
      <c r="L64" s="465">
        <f t="shared" si="23"/>
        <v>1</v>
      </c>
      <c r="M64" s="465">
        <f t="shared" si="23"/>
        <v>1</v>
      </c>
      <c r="N64" s="429">
        <f t="shared" si="24"/>
        <v>37326.419999999991</v>
      </c>
    </row>
    <row r="65" spans="1:14">
      <c r="A65" s="1152">
        <f t="shared" si="1"/>
        <v>51</v>
      </c>
      <c r="B65" s="1038">
        <v>37402</v>
      </c>
      <c r="C65" s="88" t="s">
        <v>999</v>
      </c>
      <c r="D65" s="322">
        <v>3952285.5054217158</v>
      </c>
      <c r="E65" s="429">
        <v>0</v>
      </c>
      <c r="F65" s="429">
        <f t="shared" si="20"/>
        <v>3952285.5054217158</v>
      </c>
      <c r="G65" s="465">
        <f t="shared" si="21"/>
        <v>1</v>
      </c>
      <c r="H65" s="465">
        <f t="shared" si="21"/>
        <v>1</v>
      </c>
      <c r="I65" s="429">
        <f t="shared" si="22"/>
        <v>3952285.5054217158</v>
      </c>
      <c r="K65" s="322">
        <v>3645748.7823199756</v>
      </c>
      <c r="L65" s="465">
        <f t="shared" si="23"/>
        <v>1</v>
      </c>
      <c r="M65" s="465">
        <f t="shared" si="23"/>
        <v>1</v>
      </c>
      <c r="N65" s="429">
        <f t="shared" si="24"/>
        <v>3645748.7823199756</v>
      </c>
    </row>
    <row r="66" spans="1:14">
      <c r="A66" s="1152">
        <f t="shared" si="1"/>
        <v>52</v>
      </c>
      <c r="B66" s="1038">
        <v>37403</v>
      </c>
      <c r="C66" s="88" t="s">
        <v>996</v>
      </c>
      <c r="D66" s="322">
        <v>2783.89</v>
      </c>
      <c r="E66" s="429">
        <v>0</v>
      </c>
      <c r="F66" s="429">
        <f t="shared" si="20"/>
        <v>2783.89</v>
      </c>
      <c r="G66" s="465">
        <f t="shared" si="21"/>
        <v>1</v>
      </c>
      <c r="H66" s="465">
        <f t="shared" si="21"/>
        <v>1</v>
      </c>
      <c r="I66" s="429">
        <f t="shared" si="22"/>
        <v>2783.89</v>
      </c>
      <c r="K66" s="322">
        <v>2783.89</v>
      </c>
      <c r="L66" s="465">
        <f t="shared" si="23"/>
        <v>1</v>
      </c>
      <c r="M66" s="465">
        <f t="shared" si="23"/>
        <v>1</v>
      </c>
      <c r="N66" s="429">
        <f t="shared" si="24"/>
        <v>2783.89</v>
      </c>
    </row>
    <row r="67" spans="1:14">
      <c r="A67" s="1152">
        <f t="shared" si="1"/>
        <v>53</v>
      </c>
      <c r="B67" s="1038">
        <v>37500</v>
      </c>
      <c r="C67" s="88" t="s">
        <v>856</v>
      </c>
      <c r="D67" s="322">
        <v>336167.54</v>
      </c>
      <c r="E67" s="429">
        <v>0</v>
      </c>
      <c r="F67" s="429">
        <f t="shared" si="20"/>
        <v>336167.54</v>
      </c>
      <c r="G67" s="465">
        <f t="shared" si="21"/>
        <v>1</v>
      </c>
      <c r="H67" s="465">
        <f t="shared" si="21"/>
        <v>1</v>
      </c>
      <c r="I67" s="429">
        <f t="shared" si="22"/>
        <v>336167.54</v>
      </c>
      <c r="K67" s="322">
        <v>336167.54</v>
      </c>
      <c r="L67" s="465">
        <f t="shared" si="23"/>
        <v>1</v>
      </c>
      <c r="M67" s="465">
        <f t="shared" si="23"/>
        <v>1</v>
      </c>
      <c r="N67" s="429">
        <f t="shared" si="24"/>
        <v>336167.54</v>
      </c>
    </row>
    <row r="68" spans="1:14">
      <c r="A68" s="1152">
        <f t="shared" si="1"/>
        <v>54</v>
      </c>
      <c r="B68" s="1038">
        <v>37501</v>
      </c>
      <c r="C68" s="88" t="s">
        <v>997</v>
      </c>
      <c r="D68" s="322">
        <v>99818.13</v>
      </c>
      <c r="E68" s="429">
        <v>0</v>
      </c>
      <c r="F68" s="429">
        <f t="shared" si="20"/>
        <v>99818.13</v>
      </c>
      <c r="G68" s="465">
        <f t="shared" si="21"/>
        <v>1</v>
      </c>
      <c r="H68" s="465">
        <f t="shared" si="21"/>
        <v>1</v>
      </c>
      <c r="I68" s="429">
        <f t="shared" si="22"/>
        <v>99818.13</v>
      </c>
      <c r="K68" s="322">
        <v>99818.12999999999</v>
      </c>
      <c r="L68" s="465">
        <f t="shared" si="23"/>
        <v>1</v>
      </c>
      <c r="M68" s="465">
        <f t="shared" si="23"/>
        <v>1</v>
      </c>
      <c r="N68" s="429">
        <f t="shared" si="24"/>
        <v>99818.12999999999</v>
      </c>
    </row>
    <row r="69" spans="1:14">
      <c r="A69" s="1152">
        <f t="shared" si="1"/>
        <v>55</v>
      </c>
      <c r="B69" s="1038">
        <v>37502</v>
      </c>
      <c r="C69" s="88" t="s">
        <v>999</v>
      </c>
      <c r="D69" s="322">
        <v>46264.19</v>
      </c>
      <c r="E69" s="429">
        <v>0</v>
      </c>
      <c r="F69" s="429">
        <f t="shared" si="20"/>
        <v>46264.19</v>
      </c>
      <c r="G69" s="465">
        <f t="shared" si="21"/>
        <v>1</v>
      </c>
      <c r="H69" s="465">
        <f t="shared" si="21"/>
        <v>1</v>
      </c>
      <c r="I69" s="429">
        <f t="shared" si="22"/>
        <v>46264.19</v>
      </c>
      <c r="K69" s="322">
        <v>46264.189999999995</v>
      </c>
      <c r="L69" s="465">
        <f t="shared" si="23"/>
        <v>1</v>
      </c>
      <c r="M69" s="465">
        <f t="shared" si="23"/>
        <v>1</v>
      </c>
      <c r="N69" s="429">
        <f t="shared" si="24"/>
        <v>46264.189999999995</v>
      </c>
    </row>
    <row r="70" spans="1:14">
      <c r="A70" s="1152">
        <f t="shared" si="1"/>
        <v>56</v>
      </c>
      <c r="B70" s="1038">
        <v>37503</v>
      </c>
      <c r="C70" s="88" t="s">
        <v>998</v>
      </c>
      <c r="D70" s="322">
        <v>4005.08</v>
      </c>
      <c r="E70" s="429">
        <v>0</v>
      </c>
      <c r="F70" s="429">
        <f t="shared" si="20"/>
        <v>4005.08</v>
      </c>
      <c r="G70" s="465">
        <f t="shared" si="21"/>
        <v>1</v>
      </c>
      <c r="H70" s="465">
        <f t="shared" si="21"/>
        <v>1</v>
      </c>
      <c r="I70" s="429">
        <f t="shared" si="22"/>
        <v>4005.08</v>
      </c>
      <c r="K70" s="322">
        <v>4005.0800000000013</v>
      </c>
      <c r="L70" s="465">
        <f t="shared" si="23"/>
        <v>1</v>
      </c>
      <c r="M70" s="465">
        <f t="shared" si="23"/>
        <v>1</v>
      </c>
      <c r="N70" s="429">
        <f t="shared" si="24"/>
        <v>4005.0800000000013</v>
      </c>
    </row>
    <row r="71" spans="1:14">
      <c r="A71" s="1152">
        <f t="shared" si="1"/>
        <v>57</v>
      </c>
      <c r="B71" s="1038">
        <v>37600</v>
      </c>
      <c r="C71" s="88" t="s">
        <v>844</v>
      </c>
      <c r="D71" s="322">
        <v>20494641.494669665</v>
      </c>
      <c r="E71" s="429">
        <v>0</v>
      </c>
      <c r="F71" s="429">
        <f t="shared" si="20"/>
        <v>20494641.494669665</v>
      </c>
      <c r="G71" s="465">
        <f t="shared" si="21"/>
        <v>1</v>
      </c>
      <c r="H71" s="465">
        <f t="shared" si="21"/>
        <v>1</v>
      </c>
      <c r="I71" s="429">
        <f t="shared" si="22"/>
        <v>20494641.494669665</v>
      </c>
      <c r="K71" s="322">
        <v>20611541.356392864</v>
      </c>
      <c r="L71" s="465">
        <f t="shared" si="23"/>
        <v>1</v>
      </c>
      <c r="M71" s="465">
        <f t="shared" si="23"/>
        <v>1</v>
      </c>
      <c r="N71" s="429">
        <f t="shared" si="24"/>
        <v>20611541.356392864</v>
      </c>
    </row>
    <row r="72" spans="1:14">
      <c r="A72" s="1152">
        <f t="shared" si="1"/>
        <v>58</v>
      </c>
      <c r="B72" s="1038">
        <v>37601</v>
      </c>
      <c r="C72" s="88" t="s">
        <v>16</v>
      </c>
      <c r="D72" s="322">
        <v>185677812.81167099</v>
      </c>
      <c r="E72" s="429">
        <v>0</v>
      </c>
      <c r="F72" s="429">
        <f t="shared" si="20"/>
        <v>185677812.81167099</v>
      </c>
      <c r="G72" s="465">
        <f t="shared" si="21"/>
        <v>1</v>
      </c>
      <c r="H72" s="465">
        <f t="shared" si="21"/>
        <v>1</v>
      </c>
      <c r="I72" s="429">
        <f t="shared" si="22"/>
        <v>185677812.81167099</v>
      </c>
      <c r="K72" s="322">
        <v>176025498.32535535</v>
      </c>
      <c r="L72" s="465">
        <f t="shared" si="23"/>
        <v>1</v>
      </c>
      <c r="M72" s="465">
        <f t="shared" si="23"/>
        <v>1</v>
      </c>
      <c r="N72" s="429">
        <f t="shared" si="24"/>
        <v>176025498.32535535</v>
      </c>
    </row>
    <row r="73" spans="1:14">
      <c r="A73" s="1152">
        <f t="shared" si="1"/>
        <v>59</v>
      </c>
      <c r="B73" s="1038">
        <v>37602</v>
      </c>
      <c r="C73" s="88" t="s">
        <v>845</v>
      </c>
      <c r="D73" s="322">
        <v>142406508.50896525</v>
      </c>
      <c r="E73" s="429">
        <v>0</v>
      </c>
      <c r="F73" s="429">
        <f t="shared" si="20"/>
        <v>142406508.50896525</v>
      </c>
      <c r="G73" s="465">
        <f t="shared" si="21"/>
        <v>1</v>
      </c>
      <c r="H73" s="465">
        <f t="shared" si="21"/>
        <v>1</v>
      </c>
      <c r="I73" s="429">
        <f t="shared" si="22"/>
        <v>142406508.50896525</v>
      </c>
      <c r="K73" s="322">
        <v>133261909.89236718</v>
      </c>
      <c r="L73" s="465">
        <f t="shared" si="23"/>
        <v>1</v>
      </c>
      <c r="M73" s="465">
        <f t="shared" si="23"/>
        <v>1</v>
      </c>
      <c r="N73" s="429">
        <f t="shared" si="24"/>
        <v>133261909.89236718</v>
      </c>
    </row>
    <row r="74" spans="1:14">
      <c r="A74" s="1152">
        <f t="shared" si="1"/>
        <v>60</v>
      </c>
      <c r="B74" s="1038">
        <v>37603</v>
      </c>
      <c r="C74" s="233" t="s">
        <v>1640</v>
      </c>
      <c r="D74" s="322">
        <v>0</v>
      </c>
      <c r="E74" s="429">
        <v>0</v>
      </c>
      <c r="F74" s="429">
        <f t="shared" ref="F74:F75" si="25">D74+E74</f>
        <v>0</v>
      </c>
      <c r="G74" s="465">
        <f t="shared" si="21"/>
        <v>1</v>
      </c>
      <c r="H74" s="465">
        <f t="shared" si="21"/>
        <v>1</v>
      </c>
      <c r="I74" s="429">
        <f t="shared" ref="I74:I75" si="26">F74*G74*H74</f>
        <v>0</v>
      </c>
      <c r="K74" s="322">
        <v>0</v>
      </c>
      <c r="L74" s="465">
        <f t="shared" si="23"/>
        <v>1</v>
      </c>
      <c r="M74" s="465">
        <f t="shared" si="23"/>
        <v>1</v>
      </c>
      <c r="N74" s="429">
        <f t="shared" ref="N74:N75" si="27">K74*L74*M74</f>
        <v>0</v>
      </c>
    </row>
    <row r="75" spans="1:14">
      <c r="A75" s="1152">
        <f t="shared" si="1"/>
        <v>61</v>
      </c>
      <c r="B75" s="1038">
        <v>37604</v>
      </c>
      <c r="C75" s="233" t="s">
        <v>1641</v>
      </c>
      <c r="D75" s="322">
        <v>0</v>
      </c>
      <c r="E75" s="429">
        <v>0</v>
      </c>
      <c r="F75" s="429">
        <f t="shared" si="25"/>
        <v>0</v>
      </c>
      <c r="G75" s="465">
        <f t="shared" si="21"/>
        <v>1</v>
      </c>
      <c r="H75" s="465">
        <f t="shared" si="21"/>
        <v>1</v>
      </c>
      <c r="I75" s="429">
        <f t="shared" si="26"/>
        <v>0</v>
      </c>
      <c r="K75" s="322">
        <v>0</v>
      </c>
      <c r="L75" s="465">
        <f t="shared" si="23"/>
        <v>1</v>
      </c>
      <c r="M75" s="465">
        <f t="shared" si="23"/>
        <v>1</v>
      </c>
      <c r="N75" s="429">
        <f t="shared" si="27"/>
        <v>0</v>
      </c>
    </row>
    <row r="76" spans="1:14">
      <c r="A76" s="1152">
        <f t="shared" si="1"/>
        <v>62</v>
      </c>
      <c r="B76" s="1038">
        <v>37800</v>
      </c>
      <c r="C76" s="88" t="s">
        <v>229</v>
      </c>
      <c r="D76" s="322">
        <v>35505787.348374337</v>
      </c>
      <c r="E76" s="429">
        <v>0</v>
      </c>
      <c r="F76" s="429">
        <f t="shared" si="20"/>
        <v>35505787.348374337</v>
      </c>
      <c r="G76" s="465">
        <f t="shared" si="21"/>
        <v>1</v>
      </c>
      <c r="H76" s="465">
        <f t="shared" si="21"/>
        <v>1</v>
      </c>
      <c r="I76" s="429">
        <f t="shared" si="22"/>
        <v>35505787.348374337</v>
      </c>
      <c r="K76" s="322">
        <v>29911912.984866656</v>
      </c>
      <c r="L76" s="465">
        <f t="shared" si="23"/>
        <v>1</v>
      </c>
      <c r="M76" s="465">
        <f t="shared" si="23"/>
        <v>1</v>
      </c>
      <c r="N76" s="429">
        <f t="shared" si="24"/>
        <v>29911912.984866656</v>
      </c>
    </row>
    <row r="77" spans="1:14">
      <c r="A77" s="1152">
        <f t="shared" si="1"/>
        <v>63</v>
      </c>
      <c r="B77" s="1038">
        <v>37900</v>
      </c>
      <c r="C77" s="88" t="s">
        <v>1190</v>
      </c>
      <c r="D77" s="322">
        <v>5504544.809806155</v>
      </c>
      <c r="E77" s="429">
        <v>0</v>
      </c>
      <c r="F77" s="429">
        <f t="shared" si="20"/>
        <v>5504544.809806155</v>
      </c>
      <c r="G77" s="465">
        <f t="shared" si="21"/>
        <v>1</v>
      </c>
      <c r="H77" s="465">
        <f t="shared" si="21"/>
        <v>1</v>
      </c>
      <c r="I77" s="429">
        <f t="shared" si="22"/>
        <v>5504544.809806155</v>
      </c>
      <c r="K77" s="322">
        <v>5126031.8073734026</v>
      </c>
      <c r="L77" s="465">
        <f t="shared" si="23"/>
        <v>1</v>
      </c>
      <c r="M77" s="465">
        <f t="shared" si="23"/>
        <v>1</v>
      </c>
      <c r="N77" s="429">
        <f t="shared" si="24"/>
        <v>5126031.8073734026</v>
      </c>
    </row>
    <row r="78" spans="1:14">
      <c r="A78" s="1152">
        <f t="shared" si="1"/>
        <v>64</v>
      </c>
      <c r="B78" s="1038">
        <v>37905</v>
      </c>
      <c r="C78" s="88" t="s">
        <v>725</v>
      </c>
      <c r="D78" s="322">
        <v>1652258.54</v>
      </c>
      <c r="E78" s="429">
        <v>0</v>
      </c>
      <c r="F78" s="429">
        <f t="shared" si="20"/>
        <v>1652258.54</v>
      </c>
      <c r="G78" s="465">
        <f t="shared" si="21"/>
        <v>1</v>
      </c>
      <c r="H78" s="465">
        <f t="shared" si="21"/>
        <v>1</v>
      </c>
      <c r="I78" s="429">
        <f t="shared" si="22"/>
        <v>1652258.54</v>
      </c>
      <c r="K78" s="322">
        <v>1652258.5399999996</v>
      </c>
      <c r="L78" s="465">
        <f t="shared" si="23"/>
        <v>1</v>
      </c>
      <c r="M78" s="465">
        <f t="shared" si="23"/>
        <v>1</v>
      </c>
      <c r="N78" s="429">
        <f t="shared" si="24"/>
        <v>1652258.5399999996</v>
      </c>
    </row>
    <row r="79" spans="1:14">
      <c r="A79" s="1152">
        <f t="shared" si="1"/>
        <v>65</v>
      </c>
      <c r="B79" s="1038">
        <v>38000</v>
      </c>
      <c r="C79" s="88" t="s">
        <v>1052</v>
      </c>
      <c r="D79" s="322">
        <v>159839171.91461176</v>
      </c>
      <c r="E79" s="429">
        <v>0</v>
      </c>
      <c r="F79" s="429">
        <f t="shared" si="20"/>
        <v>159839171.91461176</v>
      </c>
      <c r="G79" s="465">
        <f t="shared" si="21"/>
        <v>1</v>
      </c>
      <c r="H79" s="465">
        <f t="shared" si="21"/>
        <v>1</v>
      </c>
      <c r="I79" s="429">
        <f t="shared" si="22"/>
        <v>159839171.91461176</v>
      </c>
      <c r="K79" s="322">
        <v>150274437.13210142</v>
      </c>
      <c r="L79" s="465">
        <f t="shared" si="23"/>
        <v>1</v>
      </c>
      <c r="M79" s="465">
        <f t="shared" si="23"/>
        <v>1</v>
      </c>
      <c r="N79" s="429">
        <f t="shared" si="24"/>
        <v>150274437.13210142</v>
      </c>
    </row>
    <row r="80" spans="1:14">
      <c r="A80" s="1152">
        <f t="shared" si="1"/>
        <v>66</v>
      </c>
      <c r="B80" s="1038">
        <v>38100</v>
      </c>
      <c r="C80" s="88" t="s">
        <v>846</v>
      </c>
      <c r="D80" s="322">
        <v>40873233.244704925</v>
      </c>
      <c r="E80" s="429">
        <v>0</v>
      </c>
      <c r="F80" s="429">
        <f t="shared" si="20"/>
        <v>40873233.244704925</v>
      </c>
      <c r="G80" s="465">
        <f t="shared" si="21"/>
        <v>1</v>
      </c>
      <c r="H80" s="465">
        <f t="shared" si="21"/>
        <v>1</v>
      </c>
      <c r="I80" s="429">
        <f t="shared" si="22"/>
        <v>40873233.244704925</v>
      </c>
      <c r="K80" s="322">
        <v>38722014.899853833</v>
      </c>
      <c r="L80" s="465">
        <f t="shared" si="23"/>
        <v>1</v>
      </c>
      <c r="M80" s="465">
        <f t="shared" si="23"/>
        <v>1</v>
      </c>
      <c r="N80" s="429">
        <f t="shared" si="24"/>
        <v>38722014.899853833</v>
      </c>
    </row>
    <row r="81" spans="1:14">
      <c r="A81" s="1152">
        <f t="shared" si="1"/>
        <v>67</v>
      </c>
      <c r="B81" s="1038">
        <v>38200</v>
      </c>
      <c r="C81" s="88" t="s">
        <v>442</v>
      </c>
      <c r="D81" s="322">
        <v>57594641.088073432</v>
      </c>
      <c r="E81" s="429">
        <v>0</v>
      </c>
      <c r="F81" s="429">
        <f t="shared" si="20"/>
        <v>57594641.088073432</v>
      </c>
      <c r="G81" s="465">
        <f t="shared" si="21"/>
        <v>1</v>
      </c>
      <c r="H81" s="465">
        <f t="shared" si="21"/>
        <v>1</v>
      </c>
      <c r="I81" s="429">
        <f t="shared" si="22"/>
        <v>57594641.088073432</v>
      </c>
      <c r="K81" s="322">
        <v>57067155.487784423</v>
      </c>
      <c r="L81" s="465">
        <f t="shared" si="23"/>
        <v>1</v>
      </c>
      <c r="M81" s="465">
        <f t="shared" si="23"/>
        <v>1</v>
      </c>
      <c r="N81" s="429">
        <f t="shared" si="24"/>
        <v>57067155.487784423</v>
      </c>
    </row>
    <row r="82" spans="1:14">
      <c r="A82" s="1152">
        <f t="shared" si="1"/>
        <v>68</v>
      </c>
      <c r="B82" s="1038">
        <v>38300</v>
      </c>
      <c r="C82" s="88" t="s">
        <v>1053</v>
      </c>
      <c r="D82" s="322">
        <v>13379913.978415158</v>
      </c>
      <c r="E82" s="429">
        <v>0</v>
      </c>
      <c r="F82" s="429">
        <f t="shared" si="20"/>
        <v>13379913.978415158</v>
      </c>
      <c r="G82" s="465">
        <f t="shared" si="21"/>
        <v>1</v>
      </c>
      <c r="H82" s="465">
        <f t="shared" si="21"/>
        <v>1</v>
      </c>
      <c r="I82" s="429">
        <f t="shared" si="22"/>
        <v>13379913.978415158</v>
      </c>
      <c r="K82" s="322">
        <v>12779948.061638121</v>
      </c>
      <c r="L82" s="465">
        <f t="shared" si="23"/>
        <v>1</v>
      </c>
      <c r="M82" s="465">
        <f t="shared" si="23"/>
        <v>1</v>
      </c>
      <c r="N82" s="429">
        <f t="shared" si="24"/>
        <v>12779948.061638121</v>
      </c>
    </row>
    <row r="83" spans="1:14">
      <c r="A83" s="1152">
        <f t="shared" si="1"/>
        <v>69</v>
      </c>
      <c r="B83" s="1038">
        <v>38400</v>
      </c>
      <c r="C83" s="88" t="s">
        <v>443</v>
      </c>
      <c r="D83" s="322">
        <v>268060.13924998633</v>
      </c>
      <c r="E83" s="429">
        <v>0</v>
      </c>
      <c r="F83" s="429">
        <f t="shared" si="20"/>
        <v>268060.13924998633</v>
      </c>
      <c r="G83" s="465">
        <f t="shared" si="21"/>
        <v>1</v>
      </c>
      <c r="H83" s="465">
        <f t="shared" si="21"/>
        <v>1</v>
      </c>
      <c r="I83" s="429">
        <f t="shared" si="22"/>
        <v>268060.13924998633</v>
      </c>
      <c r="K83" s="322">
        <v>252586.66062917048</v>
      </c>
      <c r="L83" s="465">
        <f t="shared" si="23"/>
        <v>1</v>
      </c>
      <c r="M83" s="465">
        <f t="shared" si="23"/>
        <v>1</v>
      </c>
      <c r="N83" s="429">
        <f t="shared" si="24"/>
        <v>252586.66062917048</v>
      </c>
    </row>
    <row r="84" spans="1:14">
      <c r="A84" s="1152">
        <f t="shared" ref="A84:A147" si="28">A83+1</f>
        <v>70</v>
      </c>
      <c r="B84" s="1038">
        <v>38500</v>
      </c>
      <c r="C84" s="88" t="s">
        <v>444</v>
      </c>
      <c r="D84" s="322">
        <v>5262616.2456932655</v>
      </c>
      <c r="E84" s="429">
        <v>0</v>
      </c>
      <c r="F84" s="429">
        <f t="shared" si="20"/>
        <v>5262616.2456932655</v>
      </c>
      <c r="G84" s="465">
        <f t="shared" si="21"/>
        <v>1</v>
      </c>
      <c r="H84" s="465">
        <f t="shared" si="21"/>
        <v>1</v>
      </c>
      <c r="I84" s="429">
        <f t="shared" si="22"/>
        <v>5262616.2456932655</v>
      </c>
      <c r="K84" s="322">
        <v>5241042.9322416978</v>
      </c>
      <c r="L84" s="465">
        <f t="shared" si="23"/>
        <v>1</v>
      </c>
      <c r="M84" s="465">
        <f t="shared" si="23"/>
        <v>1</v>
      </c>
      <c r="N84" s="429">
        <f t="shared" si="24"/>
        <v>5241042.9322416978</v>
      </c>
    </row>
    <row r="85" spans="1:14">
      <c r="A85" s="1152">
        <f t="shared" si="28"/>
        <v>71</v>
      </c>
      <c r="B85" s="1040"/>
      <c r="C85" s="88"/>
      <c r="D85" s="618"/>
      <c r="E85" s="618"/>
      <c r="F85" s="618"/>
      <c r="G85" s="465"/>
      <c r="H85" s="465"/>
      <c r="I85" s="618"/>
      <c r="K85" s="618"/>
      <c r="N85" s="618"/>
    </row>
    <row r="86" spans="1:14">
      <c r="A86" s="1152">
        <f t="shared" si="28"/>
        <v>72</v>
      </c>
      <c r="B86" s="1040"/>
      <c r="C86" s="88" t="s">
        <v>300</v>
      </c>
      <c r="D86" s="360">
        <f>SUM(D63:D85)</f>
        <v>673469007.66965663</v>
      </c>
      <c r="E86" s="346">
        <f>SUM(E63:E85)</f>
        <v>0</v>
      </c>
      <c r="F86" s="360">
        <f>SUM(F63:F85)</f>
        <v>673469007.66965663</v>
      </c>
      <c r="G86" s="465"/>
      <c r="H86" s="465"/>
      <c r="I86" s="360">
        <f>SUM(I63:I85)</f>
        <v>673469007.66965663</v>
      </c>
      <c r="K86" s="360">
        <f>SUM(K63:K85)</f>
        <v>635629618.90292406</v>
      </c>
      <c r="N86" s="360">
        <f>SUM(N63:N85)</f>
        <v>635629618.90292406</v>
      </c>
    </row>
    <row r="87" spans="1:14">
      <c r="A87" s="1152">
        <f t="shared" si="28"/>
        <v>73</v>
      </c>
      <c r="B87" s="1040"/>
      <c r="C87" s="88"/>
      <c r="G87" s="465"/>
      <c r="H87" s="465"/>
    </row>
    <row r="88" spans="1:14">
      <c r="A88" s="1152">
        <f t="shared" si="28"/>
        <v>74</v>
      </c>
      <c r="B88" s="1040"/>
      <c r="C88" s="619" t="s">
        <v>301</v>
      </c>
      <c r="G88" s="465"/>
      <c r="H88" s="465"/>
    </row>
    <row r="89" spans="1:14">
      <c r="A89" s="1152">
        <f t="shared" si="28"/>
        <v>75</v>
      </c>
      <c r="B89" s="1038">
        <v>38900</v>
      </c>
      <c r="C89" s="88" t="s">
        <v>1147</v>
      </c>
      <c r="D89" s="322">
        <v>1211697.3</v>
      </c>
      <c r="E89" s="1039">
        <v>0</v>
      </c>
      <c r="F89" s="1039">
        <f t="shared" ref="F89:F113" si="29">D89+E89</f>
        <v>1211697.3</v>
      </c>
      <c r="G89" s="465">
        <f t="shared" ref="G89:H104" si="30">$G$16</f>
        <v>1</v>
      </c>
      <c r="H89" s="465">
        <f t="shared" si="30"/>
        <v>1</v>
      </c>
      <c r="I89" s="360">
        <f t="shared" ref="I89:I113" si="31">F89*G89*H89</f>
        <v>1211697.3</v>
      </c>
      <c r="K89" s="322">
        <v>1211697.3000000003</v>
      </c>
      <c r="L89" s="465">
        <f>$G$16</f>
        <v>1</v>
      </c>
      <c r="M89" s="465">
        <f>$G$16</f>
        <v>1</v>
      </c>
      <c r="N89" s="1039">
        <f>K89*L89*M89</f>
        <v>1211697.3000000003</v>
      </c>
    </row>
    <row r="90" spans="1:14">
      <c r="A90" s="1152">
        <f t="shared" si="28"/>
        <v>76</v>
      </c>
      <c r="B90" s="1038">
        <v>39000</v>
      </c>
      <c r="C90" s="88" t="s">
        <v>856</v>
      </c>
      <c r="D90" s="322">
        <v>7718850.4102714844</v>
      </c>
      <c r="E90" s="429">
        <v>0</v>
      </c>
      <c r="F90" s="429">
        <f t="shared" si="29"/>
        <v>7718850.4102714844</v>
      </c>
      <c r="G90" s="465">
        <f t="shared" si="30"/>
        <v>1</v>
      </c>
      <c r="H90" s="465">
        <f t="shared" si="30"/>
        <v>1</v>
      </c>
      <c r="I90" s="429">
        <f t="shared" si="31"/>
        <v>7718850.4102714844</v>
      </c>
      <c r="K90" s="322">
        <v>7595599.7675585095</v>
      </c>
      <c r="L90" s="465">
        <f>$G$16</f>
        <v>1</v>
      </c>
      <c r="M90" s="465">
        <f>$G$16</f>
        <v>1</v>
      </c>
      <c r="N90" s="429">
        <f t="shared" ref="N90:N113" si="32">K90*L90*M90</f>
        <v>7595599.7675585095</v>
      </c>
    </row>
    <row r="91" spans="1:14">
      <c r="A91" s="1152">
        <f t="shared" si="28"/>
        <v>77</v>
      </c>
      <c r="B91" s="1038">
        <v>39002</v>
      </c>
      <c r="C91" s="88" t="s">
        <v>747</v>
      </c>
      <c r="D91" s="322">
        <v>173114.85</v>
      </c>
      <c r="E91" s="429">
        <v>0</v>
      </c>
      <c r="F91" s="429">
        <f t="shared" si="29"/>
        <v>173114.85</v>
      </c>
      <c r="G91" s="465">
        <f t="shared" si="30"/>
        <v>1</v>
      </c>
      <c r="H91" s="465">
        <f t="shared" si="30"/>
        <v>1</v>
      </c>
      <c r="I91" s="429">
        <f t="shared" si="31"/>
        <v>173114.85</v>
      </c>
      <c r="K91" s="322">
        <v>173114.85000000003</v>
      </c>
      <c r="L91" s="465">
        <f t="shared" ref="L91:M106" si="33">$G$16</f>
        <v>1</v>
      </c>
      <c r="M91" s="465">
        <f t="shared" si="33"/>
        <v>1</v>
      </c>
      <c r="N91" s="429">
        <f t="shared" si="32"/>
        <v>173114.85000000003</v>
      </c>
    </row>
    <row r="92" spans="1:14">
      <c r="A92" s="1152">
        <f t="shared" si="28"/>
        <v>78</v>
      </c>
      <c r="B92" s="1038">
        <v>39003</v>
      </c>
      <c r="C92" s="88" t="s">
        <v>998</v>
      </c>
      <c r="D92" s="322">
        <v>709199.18</v>
      </c>
      <c r="E92" s="429">
        <v>0</v>
      </c>
      <c r="F92" s="429">
        <f t="shared" si="29"/>
        <v>709199.18</v>
      </c>
      <c r="G92" s="465">
        <f t="shared" si="30"/>
        <v>1</v>
      </c>
      <c r="H92" s="465">
        <f t="shared" si="30"/>
        <v>1</v>
      </c>
      <c r="I92" s="429">
        <f t="shared" si="31"/>
        <v>709199.18</v>
      </c>
      <c r="K92" s="322">
        <v>709199.17999999982</v>
      </c>
      <c r="L92" s="465">
        <f t="shared" si="33"/>
        <v>1</v>
      </c>
      <c r="M92" s="465">
        <f t="shared" si="33"/>
        <v>1</v>
      </c>
      <c r="N92" s="429">
        <f t="shared" si="32"/>
        <v>709199.17999999982</v>
      </c>
    </row>
    <row r="93" spans="1:14">
      <c r="A93" s="1152">
        <f t="shared" si="28"/>
        <v>79</v>
      </c>
      <c r="B93" s="1038">
        <v>39004</v>
      </c>
      <c r="C93" s="88" t="s">
        <v>445</v>
      </c>
      <c r="D93" s="322">
        <v>12954.74</v>
      </c>
      <c r="E93" s="429">
        <v>0</v>
      </c>
      <c r="F93" s="429">
        <f t="shared" si="29"/>
        <v>12954.74</v>
      </c>
      <c r="G93" s="465">
        <f t="shared" si="30"/>
        <v>1</v>
      </c>
      <c r="H93" s="465">
        <f t="shared" si="30"/>
        <v>1</v>
      </c>
      <c r="I93" s="429">
        <f t="shared" si="31"/>
        <v>12954.74</v>
      </c>
      <c r="K93" s="322">
        <v>12954.74</v>
      </c>
      <c r="L93" s="465">
        <f t="shared" si="33"/>
        <v>1</v>
      </c>
      <c r="M93" s="465">
        <f t="shared" si="33"/>
        <v>1</v>
      </c>
      <c r="N93" s="429">
        <f t="shared" si="32"/>
        <v>12954.74</v>
      </c>
    </row>
    <row r="94" spans="1:14">
      <c r="A94" s="1152">
        <f t="shared" si="28"/>
        <v>80</v>
      </c>
      <c r="B94" s="1038">
        <v>39009</v>
      </c>
      <c r="C94" s="88" t="s">
        <v>1036</v>
      </c>
      <c r="D94" s="322">
        <v>1246194.18</v>
      </c>
      <c r="E94" s="429">
        <v>0</v>
      </c>
      <c r="F94" s="429">
        <f t="shared" si="29"/>
        <v>1246194.18</v>
      </c>
      <c r="G94" s="465">
        <f t="shared" si="30"/>
        <v>1</v>
      </c>
      <c r="H94" s="465">
        <f t="shared" si="30"/>
        <v>1</v>
      </c>
      <c r="I94" s="429">
        <f t="shared" si="31"/>
        <v>1246194.18</v>
      </c>
      <c r="K94" s="322">
        <v>1246194.18</v>
      </c>
      <c r="L94" s="465">
        <f t="shared" si="33"/>
        <v>1</v>
      </c>
      <c r="M94" s="465">
        <f t="shared" si="33"/>
        <v>1</v>
      </c>
      <c r="N94" s="429">
        <f t="shared" si="32"/>
        <v>1246194.18</v>
      </c>
    </row>
    <row r="95" spans="1:14">
      <c r="A95" s="1152">
        <f t="shared" si="28"/>
        <v>81</v>
      </c>
      <c r="B95" s="1038">
        <v>39100</v>
      </c>
      <c r="C95" s="88" t="s">
        <v>779</v>
      </c>
      <c r="D95" s="322">
        <v>1903398.8523846189</v>
      </c>
      <c r="E95" s="429">
        <v>0</v>
      </c>
      <c r="F95" s="429">
        <f t="shared" si="29"/>
        <v>1903398.8523846189</v>
      </c>
      <c r="G95" s="465">
        <f t="shared" si="30"/>
        <v>1</v>
      </c>
      <c r="H95" s="465">
        <f t="shared" si="30"/>
        <v>1</v>
      </c>
      <c r="I95" s="429">
        <f t="shared" si="31"/>
        <v>1903398.8523846189</v>
      </c>
      <c r="K95" s="322">
        <v>1866038.1465637307</v>
      </c>
      <c r="L95" s="465">
        <f t="shared" si="33"/>
        <v>1</v>
      </c>
      <c r="M95" s="465">
        <f t="shared" si="33"/>
        <v>1</v>
      </c>
      <c r="N95" s="429">
        <f t="shared" si="32"/>
        <v>1866038.1465637307</v>
      </c>
    </row>
    <row r="96" spans="1:14">
      <c r="A96" s="1152">
        <f t="shared" si="28"/>
        <v>82</v>
      </c>
      <c r="B96" s="1038">
        <v>39103</v>
      </c>
      <c r="C96" s="88" t="s">
        <v>780</v>
      </c>
      <c r="D96" s="322">
        <v>0</v>
      </c>
      <c r="E96" s="429">
        <v>0</v>
      </c>
      <c r="F96" s="429">
        <f t="shared" si="29"/>
        <v>0</v>
      </c>
      <c r="G96" s="465">
        <f t="shared" si="30"/>
        <v>1</v>
      </c>
      <c r="H96" s="465">
        <f t="shared" si="30"/>
        <v>1</v>
      </c>
      <c r="I96" s="429">
        <f t="shared" si="31"/>
        <v>0</v>
      </c>
      <c r="K96" s="322">
        <v>0</v>
      </c>
      <c r="L96" s="465">
        <f t="shared" si="33"/>
        <v>1</v>
      </c>
      <c r="M96" s="465">
        <f t="shared" si="33"/>
        <v>1</v>
      </c>
      <c r="N96" s="429">
        <f t="shared" si="32"/>
        <v>0</v>
      </c>
    </row>
    <row r="97" spans="1:14">
      <c r="A97" s="1152">
        <f t="shared" si="28"/>
        <v>83</v>
      </c>
      <c r="B97" s="1038">
        <v>39200</v>
      </c>
      <c r="C97" s="88" t="s">
        <v>1076</v>
      </c>
      <c r="D97" s="322">
        <v>220986.9</v>
      </c>
      <c r="E97" s="429">
        <v>0</v>
      </c>
      <c r="F97" s="429">
        <f t="shared" si="29"/>
        <v>220986.9</v>
      </c>
      <c r="G97" s="465">
        <f t="shared" si="30"/>
        <v>1</v>
      </c>
      <c r="H97" s="465">
        <f t="shared" si="30"/>
        <v>1</v>
      </c>
      <c r="I97" s="429">
        <f t="shared" si="31"/>
        <v>220986.9</v>
      </c>
      <c r="K97" s="322">
        <v>220986.89999999994</v>
      </c>
      <c r="L97" s="465">
        <f t="shared" si="33"/>
        <v>1</v>
      </c>
      <c r="M97" s="465">
        <f t="shared" si="33"/>
        <v>1</v>
      </c>
      <c r="N97" s="429">
        <f t="shared" si="32"/>
        <v>220986.89999999994</v>
      </c>
    </row>
    <row r="98" spans="1:14">
      <c r="A98" s="1152">
        <f t="shared" si="28"/>
        <v>84</v>
      </c>
      <c r="B98" s="1038">
        <v>39202</v>
      </c>
      <c r="C98" s="88" t="s">
        <v>86</v>
      </c>
      <c r="D98" s="322">
        <v>0</v>
      </c>
      <c r="E98" s="429">
        <v>0</v>
      </c>
      <c r="F98" s="429">
        <f t="shared" si="29"/>
        <v>0</v>
      </c>
      <c r="G98" s="465">
        <f t="shared" si="30"/>
        <v>1</v>
      </c>
      <c r="H98" s="465">
        <f t="shared" si="30"/>
        <v>1</v>
      </c>
      <c r="I98" s="429">
        <f t="shared" si="31"/>
        <v>0</v>
      </c>
      <c r="K98" s="322">
        <v>0</v>
      </c>
      <c r="L98" s="465">
        <f t="shared" si="33"/>
        <v>1</v>
      </c>
      <c r="M98" s="465">
        <f t="shared" si="33"/>
        <v>1</v>
      </c>
      <c r="N98" s="429">
        <f t="shared" si="32"/>
        <v>0</v>
      </c>
    </row>
    <row r="99" spans="1:14">
      <c r="A99" s="1152">
        <f t="shared" si="28"/>
        <v>85</v>
      </c>
      <c r="B99" s="1038">
        <v>39400</v>
      </c>
      <c r="C99" s="88" t="s">
        <v>1035</v>
      </c>
      <c r="D99" s="322">
        <v>4340623.5074312286</v>
      </c>
      <c r="E99" s="429">
        <v>0</v>
      </c>
      <c r="F99" s="429">
        <f t="shared" si="29"/>
        <v>4340623.5074312286</v>
      </c>
      <c r="G99" s="465">
        <f t="shared" si="30"/>
        <v>1</v>
      </c>
      <c r="H99" s="465">
        <f t="shared" si="30"/>
        <v>1</v>
      </c>
      <c r="I99" s="429">
        <f t="shared" si="31"/>
        <v>4340623.5074312286</v>
      </c>
      <c r="K99" s="322">
        <v>4078360.7595184175</v>
      </c>
      <c r="L99" s="465">
        <f t="shared" si="33"/>
        <v>1</v>
      </c>
      <c r="M99" s="465">
        <f t="shared" si="33"/>
        <v>1</v>
      </c>
      <c r="N99" s="429">
        <f t="shared" si="32"/>
        <v>4078360.7595184175</v>
      </c>
    </row>
    <row r="100" spans="1:14">
      <c r="A100" s="1152">
        <f t="shared" si="28"/>
        <v>86</v>
      </c>
      <c r="B100" s="1038">
        <v>39603</v>
      </c>
      <c r="C100" s="88" t="s">
        <v>87</v>
      </c>
      <c r="D100" s="322">
        <v>39610.080000000002</v>
      </c>
      <c r="E100" s="429">
        <v>0</v>
      </c>
      <c r="F100" s="429">
        <f t="shared" si="29"/>
        <v>39610.080000000002</v>
      </c>
      <c r="G100" s="465">
        <f t="shared" si="30"/>
        <v>1</v>
      </c>
      <c r="H100" s="465">
        <f t="shared" si="30"/>
        <v>1</v>
      </c>
      <c r="I100" s="429">
        <f t="shared" si="31"/>
        <v>39610.080000000002</v>
      </c>
      <c r="K100" s="322">
        <v>39610.080000000009</v>
      </c>
      <c r="L100" s="465">
        <f t="shared" si="33"/>
        <v>1</v>
      </c>
      <c r="M100" s="465">
        <f t="shared" si="33"/>
        <v>1</v>
      </c>
      <c r="N100" s="429">
        <f t="shared" si="32"/>
        <v>39610.080000000009</v>
      </c>
    </row>
    <row r="101" spans="1:14">
      <c r="A101" s="1152">
        <f t="shared" si="28"/>
        <v>87</v>
      </c>
      <c r="B101" s="1038">
        <v>39604</v>
      </c>
      <c r="C101" s="88" t="s">
        <v>88</v>
      </c>
      <c r="D101" s="322">
        <v>62747.29</v>
      </c>
      <c r="E101" s="429">
        <v>0</v>
      </c>
      <c r="F101" s="429">
        <f t="shared" si="29"/>
        <v>62747.29</v>
      </c>
      <c r="G101" s="465">
        <f t="shared" si="30"/>
        <v>1</v>
      </c>
      <c r="H101" s="465">
        <f t="shared" si="30"/>
        <v>1</v>
      </c>
      <c r="I101" s="429">
        <f t="shared" si="31"/>
        <v>62747.29</v>
      </c>
      <c r="K101" s="322">
        <v>62747.290000000008</v>
      </c>
      <c r="L101" s="465">
        <f t="shared" si="33"/>
        <v>1</v>
      </c>
      <c r="M101" s="465">
        <f t="shared" si="33"/>
        <v>1</v>
      </c>
      <c r="N101" s="429">
        <f t="shared" si="32"/>
        <v>62747.290000000008</v>
      </c>
    </row>
    <row r="102" spans="1:14">
      <c r="A102" s="1152">
        <f t="shared" si="28"/>
        <v>88</v>
      </c>
      <c r="B102" s="1038">
        <v>39605</v>
      </c>
      <c r="C102" s="81" t="s">
        <v>89</v>
      </c>
      <c r="D102" s="322">
        <v>19427.23</v>
      </c>
      <c r="E102" s="429">
        <v>0</v>
      </c>
      <c r="F102" s="429">
        <f t="shared" si="29"/>
        <v>19427.23</v>
      </c>
      <c r="G102" s="465">
        <f t="shared" si="30"/>
        <v>1</v>
      </c>
      <c r="H102" s="465">
        <f t="shared" si="30"/>
        <v>1</v>
      </c>
      <c r="I102" s="429">
        <f t="shared" si="31"/>
        <v>19427.23</v>
      </c>
      <c r="K102" s="322">
        <v>19427.230000000003</v>
      </c>
      <c r="L102" s="465">
        <f t="shared" si="33"/>
        <v>1</v>
      </c>
      <c r="M102" s="465">
        <f t="shared" si="33"/>
        <v>1</v>
      </c>
      <c r="N102" s="429">
        <f t="shared" si="32"/>
        <v>19427.230000000003</v>
      </c>
    </row>
    <row r="103" spans="1:14">
      <c r="A103" s="1152">
        <f t="shared" si="28"/>
        <v>89</v>
      </c>
      <c r="B103" s="1038">
        <v>39700</v>
      </c>
      <c r="C103" s="88" t="s">
        <v>440</v>
      </c>
      <c r="D103" s="322">
        <v>524257.15</v>
      </c>
      <c r="E103" s="429">
        <v>0</v>
      </c>
      <c r="F103" s="429">
        <f t="shared" si="29"/>
        <v>524257.15</v>
      </c>
      <c r="G103" s="465">
        <f t="shared" si="30"/>
        <v>1</v>
      </c>
      <c r="H103" s="465">
        <f t="shared" si="30"/>
        <v>1</v>
      </c>
      <c r="I103" s="429">
        <f t="shared" si="31"/>
        <v>524257.15</v>
      </c>
      <c r="K103" s="322">
        <v>524257.15000000008</v>
      </c>
      <c r="L103" s="465">
        <f t="shared" si="33"/>
        <v>1</v>
      </c>
      <c r="M103" s="465">
        <f t="shared" si="33"/>
        <v>1</v>
      </c>
      <c r="N103" s="429">
        <f t="shared" si="32"/>
        <v>524257.15000000008</v>
      </c>
    </row>
    <row r="104" spans="1:14">
      <c r="A104" s="1152">
        <f t="shared" si="28"/>
        <v>90</v>
      </c>
      <c r="B104" s="1038">
        <v>39701</v>
      </c>
      <c r="C104" s="88" t="s">
        <v>1496</v>
      </c>
      <c r="D104" s="322">
        <v>0</v>
      </c>
      <c r="E104" s="429">
        <v>0</v>
      </c>
      <c r="F104" s="429">
        <f t="shared" si="29"/>
        <v>0</v>
      </c>
      <c r="G104" s="465">
        <f t="shared" si="30"/>
        <v>1</v>
      </c>
      <c r="H104" s="465">
        <f t="shared" si="30"/>
        <v>1</v>
      </c>
      <c r="I104" s="429">
        <f t="shared" si="31"/>
        <v>0</v>
      </c>
      <c r="K104" s="322">
        <v>0</v>
      </c>
      <c r="L104" s="465">
        <f t="shared" si="33"/>
        <v>1</v>
      </c>
      <c r="M104" s="465">
        <f t="shared" si="33"/>
        <v>1</v>
      </c>
      <c r="N104" s="429">
        <f t="shared" si="32"/>
        <v>0</v>
      </c>
    </row>
    <row r="105" spans="1:14">
      <c r="A105" s="1152">
        <f t="shared" si="28"/>
        <v>91</v>
      </c>
      <c r="B105" s="1038">
        <v>39702</v>
      </c>
      <c r="C105" s="88" t="s">
        <v>1496</v>
      </c>
      <c r="D105" s="322">
        <v>0</v>
      </c>
      <c r="E105" s="429">
        <v>0</v>
      </c>
      <c r="F105" s="429">
        <f t="shared" si="29"/>
        <v>0</v>
      </c>
      <c r="G105" s="465">
        <f t="shared" ref="G105:H109" si="34">$G$16</f>
        <v>1</v>
      </c>
      <c r="H105" s="465">
        <f t="shared" si="34"/>
        <v>1</v>
      </c>
      <c r="I105" s="429">
        <f t="shared" si="31"/>
        <v>0</v>
      </c>
      <c r="K105" s="322">
        <v>0</v>
      </c>
      <c r="L105" s="465">
        <f t="shared" si="33"/>
        <v>1</v>
      </c>
      <c r="M105" s="465">
        <f t="shared" si="33"/>
        <v>1</v>
      </c>
      <c r="N105" s="429">
        <f t="shared" si="32"/>
        <v>0</v>
      </c>
    </row>
    <row r="106" spans="1:14">
      <c r="A106" s="1152">
        <f t="shared" si="28"/>
        <v>92</v>
      </c>
      <c r="B106" s="1038">
        <v>39705</v>
      </c>
      <c r="C106" s="88" t="s">
        <v>721</v>
      </c>
      <c r="D106" s="322">
        <v>0</v>
      </c>
      <c r="E106" s="429">
        <v>0</v>
      </c>
      <c r="F106" s="429">
        <f t="shared" si="29"/>
        <v>0</v>
      </c>
      <c r="G106" s="465">
        <f t="shared" si="34"/>
        <v>1</v>
      </c>
      <c r="H106" s="465">
        <f t="shared" si="34"/>
        <v>1</v>
      </c>
      <c r="I106" s="429">
        <f t="shared" si="31"/>
        <v>0</v>
      </c>
      <c r="K106" s="322">
        <v>0</v>
      </c>
      <c r="L106" s="465">
        <f t="shared" si="33"/>
        <v>1</v>
      </c>
      <c r="M106" s="465">
        <f t="shared" si="33"/>
        <v>1</v>
      </c>
      <c r="N106" s="429">
        <f t="shared" si="32"/>
        <v>0</v>
      </c>
    </row>
    <row r="107" spans="1:14">
      <c r="A107" s="1152">
        <f t="shared" si="28"/>
        <v>93</v>
      </c>
      <c r="B107" s="1038">
        <v>39800</v>
      </c>
      <c r="C107" s="88" t="s">
        <v>650</v>
      </c>
      <c r="D107" s="322">
        <v>3891771.09</v>
      </c>
      <c r="E107" s="429">
        <v>0</v>
      </c>
      <c r="F107" s="429">
        <f t="shared" si="29"/>
        <v>3891771.09</v>
      </c>
      <c r="G107" s="465">
        <f t="shared" si="34"/>
        <v>1</v>
      </c>
      <c r="H107" s="465">
        <f t="shared" si="34"/>
        <v>1</v>
      </c>
      <c r="I107" s="429">
        <f t="shared" si="31"/>
        <v>3891771.09</v>
      </c>
      <c r="K107" s="322">
        <v>3891771.0900000012</v>
      </c>
      <c r="L107" s="465">
        <f t="shared" ref="L107:M112" si="35">$G$16</f>
        <v>1</v>
      </c>
      <c r="M107" s="465">
        <f t="shared" si="35"/>
        <v>1</v>
      </c>
      <c r="N107" s="429">
        <f t="shared" si="32"/>
        <v>3891771.0900000012</v>
      </c>
    </row>
    <row r="108" spans="1:14">
      <c r="A108" s="1152">
        <f t="shared" si="28"/>
        <v>94</v>
      </c>
      <c r="B108" s="1038">
        <v>39901</v>
      </c>
      <c r="C108" s="88" t="s">
        <v>1497</v>
      </c>
      <c r="D108" s="322">
        <v>14389.76</v>
      </c>
      <c r="E108" s="429">
        <v>0</v>
      </c>
      <c r="F108" s="429">
        <f t="shared" si="29"/>
        <v>14389.76</v>
      </c>
      <c r="G108" s="465">
        <f t="shared" si="34"/>
        <v>1</v>
      </c>
      <c r="H108" s="465">
        <f t="shared" si="34"/>
        <v>1</v>
      </c>
      <c r="I108" s="429">
        <f t="shared" si="31"/>
        <v>14389.76</v>
      </c>
      <c r="K108" s="322">
        <v>14389.76</v>
      </c>
      <c r="L108" s="465">
        <f t="shared" si="35"/>
        <v>1</v>
      </c>
      <c r="M108" s="465">
        <f t="shared" si="35"/>
        <v>1</v>
      </c>
      <c r="N108" s="429">
        <f t="shared" si="32"/>
        <v>14389.76</v>
      </c>
    </row>
    <row r="109" spans="1:14">
      <c r="A109" s="1152">
        <f t="shared" si="28"/>
        <v>95</v>
      </c>
      <c r="B109" s="1038">
        <v>39902</v>
      </c>
      <c r="C109" s="88" t="s">
        <v>1498</v>
      </c>
      <c r="D109" s="322">
        <v>0</v>
      </c>
      <c r="E109" s="429">
        <v>0</v>
      </c>
      <c r="F109" s="429">
        <f t="shared" si="29"/>
        <v>0</v>
      </c>
      <c r="G109" s="465">
        <f t="shared" si="34"/>
        <v>1</v>
      </c>
      <c r="H109" s="465">
        <f t="shared" si="34"/>
        <v>1</v>
      </c>
      <c r="I109" s="429">
        <f t="shared" si="31"/>
        <v>0</v>
      </c>
      <c r="K109" s="322">
        <v>0</v>
      </c>
      <c r="L109" s="465">
        <f t="shared" si="35"/>
        <v>1</v>
      </c>
      <c r="M109" s="465">
        <f t="shared" si="35"/>
        <v>1</v>
      </c>
      <c r="N109" s="429">
        <f t="shared" si="32"/>
        <v>0</v>
      </c>
    </row>
    <row r="110" spans="1:14">
      <c r="A110" s="1152">
        <f t="shared" si="28"/>
        <v>96</v>
      </c>
      <c r="B110" s="1038">
        <v>39903</v>
      </c>
      <c r="C110" s="88" t="s">
        <v>1003</v>
      </c>
      <c r="D110" s="322">
        <v>134598.85999999999</v>
      </c>
      <c r="E110" s="429">
        <v>0</v>
      </c>
      <c r="F110" s="429">
        <f t="shared" si="29"/>
        <v>134598.85999999999</v>
      </c>
      <c r="G110" s="465">
        <f t="shared" ref="G110:H113" si="36">$G$16</f>
        <v>1</v>
      </c>
      <c r="H110" s="465">
        <f t="shared" si="36"/>
        <v>1</v>
      </c>
      <c r="I110" s="429">
        <f t="shared" si="31"/>
        <v>134598.85999999999</v>
      </c>
      <c r="K110" s="322">
        <v>134598.85999999993</v>
      </c>
      <c r="L110" s="465">
        <f t="shared" si="35"/>
        <v>1</v>
      </c>
      <c r="M110" s="465">
        <f t="shared" si="35"/>
        <v>1</v>
      </c>
      <c r="N110" s="429">
        <f t="shared" si="32"/>
        <v>134598.85999999993</v>
      </c>
    </row>
    <row r="111" spans="1:14">
      <c r="A111" s="1152">
        <f t="shared" si="28"/>
        <v>97</v>
      </c>
      <c r="B111" s="1038">
        <v>39906</v>
      </c>
      <c r="C111" s="88" t="s">
        <v>451</v>
      </c>
      <c r="D111" s="322">
        <v>268135.62347352976</v>
      </c>
      <c r="E111" s="429">
        <v>0</v>
      </c>
      <c r="F111" s="429">
        <f t="shared" si="29"/>
        <v>268135.62347352976</v>
      </c>
      <c r="G111" s="465">
        <f t="shared" si="36"/>
        <v>1</v>
      </c>
      <c r="H111" s="465">
        <f t="shared" si="36"/>
        <v>1</v>
      </c>
      <c r="I111" s="429">
        <f t="shared" si="31"/>
        <v>268135.62347352976</v>
      </c>
      <c r="K111" s="322">
        <v>461887.9076963847</v>
      </c>
      <c r="L111" s="465">
        <f t="shared" si="35"/>
        <v>1</v>
      </c>
      <c r="M111" s="465">
        <f t="shared" si="35"/>
        <v>1</v>
      </c>
      <c r="N111" s="429">
        <f t="shared" si="32"/>
        <v>461887.9076963847</v>
      </c>
    </row>
    <row r="112" spans="1:14">
      <c r="A112" s="1152">
        <f t="shared" si="28"/>
        <v>98</v>
      </c>
      <c r="B112" s="1038">
        <v>39907</v>
      </c>
      <c r="C112" s="88" t="s">
        <v>505</v>
      </c>
      <c r="D112" s="322">
        <v>0</v>
      </c>
      <c r="E112" s="429">
        <v>0</v>
      </c>
      <c r="F112" s="429">
        <f t="shared" si="29"/>
        <v>0</v>
      </c>
      <c r="G112" s="465">
        <f t="shared" si="36"/>
        <v>1</v>
      </c>
      <c r="H112" s="465">
        <f t="shared" si="36"/>
        <v>1</v>
      </c>
      <c r="I112" s="429">
        <f t="shared" si="31"/>
        <v>0</v>
      </c>
      <c r="K112" s="322">
        <v>0</v>
      </c>
      <c r="L112" s="465">
        <f t="shared" si="35"/>
        <v>1</v>
      </c>
      <c r="M112" s="465">
        <f t="shared" si="35"/>
        <v>1</v>
      </c>
      <c r="N112" s="429">
        <f t="shared" si="32"/>
        <v>0</v>
      </c>
    </row>
    <row r="113" spans="1:19">
      <c r="A113" s="1152">
        <f t="shared" si="28"/>
        <v>99</v>
      </c>
      <c r="B113" s="1038">
        <v>39908</v>
      </c>
      <c r="C113" s="88" t="s">
        <v>179</v>
      </c>
      <c r="D113" s="322">
        <v>123514.83</v>
      </c>
      <c r="E113" s="429">
        <v>0</v>
      </c>
      <c r="F113" s="429">
        <f t="shared" si="29"/>
        <v>123514.83</v>
      </c>
      <c r="G113" s="465">
        <f t="shared" si="36"/>
        <v>1</v>
      </c>
      <c r="H113" s="465">
        <f t="shared" si="36"/>
        <v>1</v>
      </c>
      <c r="I113" s="429">
        <f t="shared" si="31"/>
        <v>123514.83</v>
      </c>
      <c r="K113" s="322">
        <v>123514.83000000002</v>
      </c>
      <c r="L113" s="465">
        <f t="shared" ref="L113:M113" si="37">$G$16</f>
        <v>1</v>
      </c>
      <c r="M113" s="465">
        <f t="shared" si="37"/>
        <v>1</v>
      </c>
      <c r="N113" s="429">
        <f t="shared" si="32"/>
        <v>123514.83000000002</v>
      </c>
    </row>
    <row r="114" spans="1:19">
      <c r="A114" s="1152">
        <f t="shared" si="28"/>
        <v>100</v>
      </c>
      <c r="B114" s="1040"/>
      <c r="C114" s="88"/>
      <c r="D114" s="618"/>
      <c r="E114" s="618"/>
      <c r="F114" s="618"/>
      <c r="I114" s="618"/>
      <c r="K114" s="618"/>
      <c r="N114" s="618"/>
    </row>
    <row r="115" spans="1:19">
      <c r="A115" s="1152">
        <f t="shared" si="28"/>
        <v>101</v>
      </c>
      <c r="B115" s="1040"/>
      <c r="C115" s="88" t="s">
        <v>4</v>
      </c>
      <c r="D115" s="360">
        <f>SUM(D89:D114)</f>
        <v>22615471.833560858</v>
      </c>
      <c r="E115" s="346">
        <f>SUM(E89:E114)</f>
        <v>0</v>
      </c>
      <c r="F115" s="360">
        <f>SUM(F89:F114)</f>
        <v>22615471.833560858</v>
      </c>
      <c r="G115" s="465"/>
      <c r="H115" s="465"/>
      <c r="I115" s="360">
        <f>SUM(I89:I114)</f>
        <v>22615471.833560858</v>
      </c>
      <c r="K115" s="360">
        <f>SUM(K89:K114)</f>
        <v>22386350.02133704</v>
      </c>
      <c r="N115" s="360">
        <f>SUM(N89:N114)</f>
        <v>22386350.02133704</v>
      </c>
    </row>
    <row r="116" spans="1:19">
      <c r="A116" s="1152">
        <f t="shared" si="28"/>
        <v>102</v>
      </c>
      <c r="B116" s="1040"/>
      <c r="C116" s="88"/>
    </row>
    <row r="117" spans="1:19" ht="15.75" thickBot="1">
      <c r="A117" s="1152">
        <f t="shared" si="28"/>
        <v>103</v>
      </c>
      <c r="B117" s="1040"/>
      <c r="C117" s="233" t="s">
        <v>1317</v>
      </c>
      <c r="D117" s="1009">
        <f>D19+D26+D47+D60+D86+D115</f>
        <v>742234660.78513122</v>
      </c>
      <c r="E117" s="329">
        <f>E19+E26+E47+E60+E86+E115</f>
        <v>0</v>
      </c>
      <c r="F117" s="1009">
        <f>F19+F26+F47+F60+F86+F115</f>
        <v>742234660.78513122</v>
      </c>
      <c r="I117" s="1009">
        <f>I19+I26+I47+I60+I86+I115</f>
        <v>742234660.78513122</v>
      </c>
      <c r="K117" s="1009">
        <f>K19+K26+K47+K60+K86+K115</f>
        <v>704356322.99829149</v>
      </c>
      <c r="N117" s="1009">
        <f>N19+N26+N47+N60+N86+N115</f>
        <v>704356322.99829149</v>
      </c>
    </row>
    <row r="118" spans="1:19" ht="15.75" thickTop="1">
      <c r="A118" s="1152">
        <f t="shared" si="28"/>
        <v>104</v>
      </c>
      <c r="B118" s="1040"/>
      <c r="C118" s="88"/>
    </row>
    <row r="119" spans="1:19">
      <c r="A119" s="1152">
        <f t="shared" si="28"/>
        <v>105</v>
      </c>
      <c r="B119" s="1040"/>
      <c r="C119" s="81" t="s">
        <v>749</v>
      </c>
      <c r="D119" s="322">
        <v>38154808.559999995</v>
      </c>
      <c r="E119" s="328">
        <v>0</v>
      </c>
      <c r="F119" s="328">
        <f>D119+E119</f>
        <v>38154808.559999995</v>
      </c>
      <c r="G119" s="421">
        <f>$G$16</f>
        <v>1</v>
      </c>
      <c r="H119" s="421">
        <f>$G$16</f>
        <v>1</v>
      </c>
      <c r="I119" s="328">
        <f>F119*G119*H119</f>
        <v>38154808.559999995</v>
      </c>
      <c r="K119" s="322">
        <v>38154808.559999995</v>
      </c>
      <c r="L119" s="465">
        <f>$G$16</f>
        <v>1</v>
      </c>
      <c r="M119" s="465">
        <f>$G$16</f>
        <v>1</v>
      </c>
      <c r="N119" s="328">
        <f>K119*L119*M119</f>
        <v>38154808.559999995</v>
      </c>
    </row>
    <row r="120" spans="1:19">
      <c r="A120" s="1152">
        <f t="shared" si="28"/>
        <v>106</v>
      </c>
      <c r="B120" s="1040"/>
      <c r="K120" s="360"/>
    </row>
    <row r="121" spans="1:19" ht="15.75">
      <c r="A121" s="1152">
        <f t="shared" si="28"/>
        <v>107</v>
      </c>
      <c r="B121" s="1043" t="s">
        <v>7</v>
      </c>
      <c r="K121" s="360"/>
    </row>
    <row r="122" spans="1:19">
      <c r="A122" s="1152">
        <f t="shared" si="28"/>
        <v>108</v>
      </c>
      <c r="B122" s="1040"/>
      <c r="K122" s="360"/>
    </row>
    <row r="123" spans="1:19">
      <c r="A123" s="1152">
        <f t="shared" si="28"/>
        <v>109</v>
      </c>
      <c r="B123" s="1040"/>
      <c r="C123" s="619" t="s">
        <v>297</v>
      </c>
      <c r="K123" s="360"/>
    </row>
    <row r="124" spans="1:19">
      <c r="A124" s="1152">
        <f t="shared" si="28"/>
        <v>110</v>
      </c>
      <c r="B124" s="1044">
        <v>30100</v>
      </c>
      <c r="C124" s="88" t="s">
        <v>291</v>
      </c>
      <c r="D124" s="322">
        <v>185309.27</v>
      </c>
      <c r="E124" s="346">
        <v>0</v>
      </c>
      <c r="F124" s="346">
        <f>D124+E124</f>
        <v>185309.27</v>
      </c>
      <c r="G124" s="465">
        <f>$G$16</f>
        <v>1</v>
      </c>
      <c r="H124" s="466">
        <f>Allocation!$D$17</f>
        <v>0.49780000000000002</v>
      </c>
      <c r="I124" s="346">
        <f>F124*G124*H124</f>
        <v>92246.954605999999</v>
      </c>
      <c r="K124" s="322">
        <v>185309.27</v>
      </c>
      <c r="L124" s="465">
        <f t="shared" ref="L124:M125" si="38">G124</f>
        <v>1</v>
      </c>
      <c r="M124" s="466">
        <f t="shared" si="38"/>
        <v>0.49780000000000002</v>
      </c>
      <c r="N124" s="346">
        <f>K124*L124*M124</f>
        <v>92246.954605999999</v>
      </c>
      <c r="S124" s="423"/>
    </row>
    <row r="125" spans="1:19">
      <c r="A125" s="1152">
        <f t="shared" si="28"/>
        <v>111</v>
      </c>
      <c r="B125" s="1044">
        <v>30300</v>
      </c>
      <c r="C125" s="88" t="s">
        <v>542</v>
      </c>
      <c r="D125" s="322">
        <v>1109551.68</v>
      </c>
      <c r="E125" s="1042">
        <v>0</v>
      </c>
      <c r="F125" s="1042">
        <f>D125+E125</f>
        <v>1109551.68</v>
      </c>
      <c r="G125" s="465">
        <f>$G$16</f>
        <v>1</v>
      </c>
      <c r="H125" s="466">
        <f>$H$124</f>
        <v>0.49780000000000002</v>
      </c>
      <c r="I125" s="1042">
        <f>F125*G125*H125</f>
        <v>552334.82630399999</v>
      </c>
      <c r="K125" s="322">
        <v>1109551.68</v>
      </c>
      <c r="L125" s="465">
        <f t="shared" si="38"/>
        <v>1</v>
      </c>
      <c r="M125" s="466">
        <f t="shared" si="38"/>
        <v>0.49780000000000002</v>
      </c>
      <c r="N125" s="1042">
        <f>K125*L125*M125</f>
        <v>552334.82630399999</v>
      </c>
      <c r="S125" s="423"/>
    </row>
    <row r="126" spans="1:19">
      <c r="A126" s="1152">
        <f t="shared" si="28"/>
        <v>112</v>
      </c>
      <c r="B126" s="1040"/>
      <c r="C126" s="88"/>
      <c r="D126" s="618"/>
      <c r="K126" s="618"/>
    </row>
    <row r="127" spans="1:19">
      <c r="A127" s="1152">
        <f t="shared" si="28"/>
        <v>113</v>
      </c>
      <c r="B127" s="1040"/>
      <c r="C127" s="88" t="s">
        <v>298</v>
      </c>
      <c r="D127" s="360">
        <f>SUM(D124:D126)</f>
        <v>1294860.95</v>
      </c>
      <c r="E127" s="346">
        <f>SUM(E124:E126)</f>
        <v>0</v>
      </c>
      <c r="F127" s="346">
        <f>SUM(F124:F126)</f>
        <v>1294860.95</v>
      </c>
      <c r="G127" s="465"/>
      <c r="H127" s="465"/>
      <c r="I127" s="346">
        <f>SUM(I124:I126)</f>
        <v>644581.78090999997</v>
      </c>
      <c r="K127" s="360">
        <f>SUM(K124:K126)</f>
        <v>1294860.95</v>
      </c>
      <c r="N127" s="346">
        <f>SUM(N124:N126)</f>
        <v>644581.78090999997</v>
      </c>
    </row>
    <row r="128" spans="1:19">
      <c r="A128" s="1152">
        <f t="shared" si="28"/>
        <v>114</v>
      </c>
      <c r="B128" s="1040"/>
    </row>
    <row r="129" spans="1:16">
      <c r="A129" s="1152">
        <f t="shared" si="28"/>
        <v>115</v>
      </c>
      <c r="B129" s="1040"/>
      <c r="C129" s="619" t="s">
        <v>299</v>
      </c>
    </row>
    <row r="130" spans="1:16">
      <c r="A130" s="1152">
        <f t="shared" si="28"/>
        <v>116</v>
      </c>
      <c r="B130" s="1044">
        <v>37400</v>
      </c>
      <c r="C130" s="88" t="s">
        <v>1147</v>
      </c>
      <c r="D130" s="360">
        <v>0</v>
      </c>
      <c r="E130" s="346">
        <v>0</v>
      </c>
      <c r="F130" s="346">
        <f t="shared" ref="F130:F150" si="39">D130+E130</f>
        <v>0</v>
      </c>
      <c r="G130" s="465">
        <f t="shared" ref="G130:G150" si="40">$G$16</f>
        <v>1</v>
      </c>
      <c r="H130" s="466">
        <f t="shared" ref="H130:H150" si="41">$H$124</f>
        <v>0.49780000000000002</v>
      </c>
      <c r="I130" s="346">
        <f t="shared" ref="I130:I150" si="42">F130*G130*H130</f>
        <v>0</v>
      </c>
      <c r="K130" s="360">
        <v>0</v>
      </c>
      <c r="L130" s="465">
        <f t="shared" ref="L130:L150" si="43">G130</f>
        <v>1</v>
      </c>
      <c r="M130" s="466">
        <f t="shared" ref="M130:M150" si="44">H130</f>
        <v>0.49780000000000002</v>
      </c>
      <c r="N130" s="346">
        <f t="shared" ref="N130:N150" si="45">K130*L130*M130</f>
        <v>0</v>
      </c>
      <c r="P130" s="670"/>
    </row>
    <row r="131" spans="1:16">
      <c r="A131" s="1152">
        <f t="shared" si="28"/>
        <v>117</v>
      </c>
      <c r="B131" s="1044">
        <v>35010</v>
      </c>
      <c r="C131" s="88" t="s">
        <v>292</v>
      </c>
      <c r="D131" s="616">
        <v>0</v>
      </c>
      <c r="E131" s="429">
        <v>0</v>
      </c>
      <c r="F131" s="429">
        <f t="shared" si="39"/>
        <v>0</v>
      </c>
      <c r="G131" s="465">
        <f t="shared" si="40"/>
        <v>1</v>
      </c>
      <c r="H131" s="466">
        <f t="shared" si="41"/>
        <v>0.49780000000000002</v>
      </c>
      <c r="I131" s="429">
        <f t="shared" si="42"/>
        <v>0</v>
      </c>
      <c r="K131" s="616">
        <v>0</v>
      </c>
      <c r="L131" s="465">
        <f t="shared" si="43"/>
        <v>1</v>
      </c>
      <c r="M131" s="466">
        <f t="shared" si="44"/>
        <v>0.49780000000000002</v>
      </c>
      <c r="N131" s="429">
        <f t="shared" si="45"/>
        <v>0</v>
      </c>
      <c r="P131" s="670"/>
    </row>
    <row r="132" spans="1:16">
      <c r="A132" s="1152">
        <f t="shared" si="28"/>
        <v>118</v>
      </c>
      <c r="B132" s="1044">
        <v>37402</v>
      </c>
      <c r="C132" s="88" t="s">
        <v>999</v>
      </c>
      <c r="D132" s="616">
        <v>0</v>
      </c>
      <c r="E132" s="429">
        <v>0</v>
      </c>
      <c r="F132" s="429">
        <f t="shared" si="39"/>
        <v>0</v>
      </c>
      <c r="G132" s="465">
        <f t="shared" si="40"/>
        <v>1</v>
      </c>
      <c r="H132" s="466">
        <f t="shared" si="41"/>
        <v>0.49780000000000002</v>
      </c>
      <c r="I132" s="429">
        <f t="shared" si="42"/>
        <v>0</v>
      </c>
      <c r="K132" s="616">
        <v>0</v>
      </c>
      <c r="L132" s="465">
        <f t="shared" si="43"/>
        <v>1</v>
      </c>
      <c r="M132" s="466">
        <f t="shared" si="44"/>
        <v>0.49780000000000002</v>
      </c>
      <c r="N132" s="429">
        <f t="shared" si="45"/>
        <v>0</v>
      </c>
      <c r="P132" s="670"/>
    </row>
    <row r="133" spans="1:16">
      <c r="A133" s="1152">
        <f t="shared" si="28"/>
        <v>119</v>
      </c>
      <c r="B133" s="1044">
        <v>37403</v>
      </c>
      <c r="C133" s="88" t="s">
        <v>996</v>
      </c>
      <c r="D133" s="616">
        <v>0</v>
      </c>
      <c r="E133" s="429">
        <v>0</v>
      </c>
      <c r="F133" s="429">
        <f t="shared" si="39"/>
        <v>0</v>
      </c>
      <c r="G133" s="465">
        <f t="shared" si="40"/>
        <v>1</v>
      </c>
      <c r="H133" s="466">
        <f t="shared" si="41"/>
        <v>0.49780000000000002</v>
      </c>
      <c r="I133" s="429">
        <f t="shared" si="42"/>
        <v>0</v>
      </c>
      <c r="K133" s="616">
        <v>0</v>
      </c>
      <c r="L133" s="465">
        <f t="shared" si="43"/>
        <v>1</v>
      </c>
      <c r="M133" s="466">
        <f t="shared" si="44"/>
        <v>0.49780000000000002</v>
      </c>
      <c r="N133" s="429">
        <f t="shared" si="45"/>
        <v>0</v>
      </c>
    </row>
    <row r="134" spans="1:16">
      <c r="A134" s="1152">
        <f t="shared" si="28"/>
        <v>120</v>
      </c>
      <c r="B134" s="1044">
        <v>36602</v>
      </c>
      <c r="C134" s="88" t="s">
        <v>856</v>
      </c>
      <c r="D134" s="616">
        <v>0</v>
      </c>
      <c r="E134" s="429">
        <v>0</v>
      </c>
      <c r="F134" s="429">
        <f t="shared" si="39"/>
        <v>0</v>
      </c>
      <c r="G134" s="465">
        <f t="shared" si="40"/>
        <v>1</v>
      </c>
      <c r="H134" s="466">
        <f t="shared" si="41"/>
        <v>0.49780000000000002</v>
      </c>
      <c r="I134" s="429">
        <f t="shared" si="42"/>
        <v>0</v>
      </c>
      <c r="K134" s="616">
        <v>0</v>
      </c>
      <c r="L134" s="465">
        <f t="shared" si="43"/>
        <v>1</v>
      </c>
      <c r="M134" s="466">
        <f t="shared" si="44"/>
        <v>0.49780000000000002</v>
      </c>
      <c r="N134" s="429">
        <f t="shared" si="45"/>
        <v>0</v>
      </c>
      <c r="P134" s="670"/>
    </row>
    <row r="135" spans="1:16">
      <c r="A135" s="1152">
        <f t="shared" si="28"/>
        <v>121</v>
      </c>
      <c r="B135" s="1044">
        <v>37402</v>
      </c>
      <c r="C135" s="88" t="s">
        <v>999</v>
      </c>
      <c r="D135" s="616">
        <v>0</v>
      </c>
      <c r="E135" s="429">
        <v>0</v>
      </c>
      <c r="F135" s="429">
        <f>D135+E135</f>
        <v>0</v>
      </c>
      <c r="G135" s="465">
        <f t="shared" si="40"/>
        <v>1</v>
      </c>
      <c r="H135" s="466">
        <f t="shared" si="41"/>
        <v>0.49780000000000002</v>
      </c>
      <c r="I135" s="429">
        <f>F135*G135*H135</f>
        <v>0</v>
      </c>
      <c r="K135" s="616">
        <v>0</v>
      </c>
      <c r="L135" s="465">
        <f>G135</f>
        <v>1</v>
      </c>
      <c r="M135" s="466">
        <f>H135</f>
        <v>0.49780000000000002</v>
      </c>
      <c r="N135" s="429">
        <f>K135*L135*M135</f>
        <v>0</v>
      </c>
    </row>
    <row r="136" spans="1:16">
      <c r="A136" s="1152">
        <f t="shared" si="28"/>
        <v>122</v>
      </c>
      <c r="B136" s="1044">
        <v>37501</v>
      </c>
      <c r="C136" s="88" t="s">
        <v>997</v>
      </c>
      <c r="D136" s="616">
        <v>0</v>
      </c>
      <c r="E136" s="429">
        <v>0</v>
      </c>
      <c r="F136" s="429">
        <f t="shared" si="39"/>
        <v>0</v>
      </c>
      <c r="G136" s="465">
        <f t="shared" si="40"/>
        <v>1</v>
      </c>
      <c r="H136" s="466">
        <f t="shared" si="41"/>
        <v>0.49780000000000002</v>
      </c>
      <c r="I136" s="429">
        <f t="shared" si="42"/>
        <v>0</v>
      </c>
      <c r="K136" s="616">
        <v>0</v>
      </c>
      <c r="L136" s="465">
        <f t="shared" si="43"/>
        <v>1</v>
      </c>
      <c r="M136" s="466">
        <f t="shared" si="44"/>
        <v>0.49780000000000002</v>
      </c>
      <c r="N136" s="429">
        <f t="shared" si="45"/>
        <v>0</v>
      </c>
    </row>
    <row r="137" spans="1:16">
      <c r="A137" s="1152">
        <f t="shared" si="28"/>
        <v>123</v>
      </c>
      <c r="B137" s="1044">
        <v>37503</v>
      </c>
      <c r="C137" s="88" t="s">
        <v>998</v>
      </c>
      <c r="D137" s="616">
        <v>0</v>
      </c>
      <c r="E137" s="429">
        <v>0</v>
      </c>
      <c r="F137" s="429">
        <f t="shared" si="39"/>
        <v>0</v>
      </c>
      <c r="G137" s="465">
        <f t="shared" si="40"/>
        <v>1</v>
      </c>
      <c r="H137" s="466">
        <f t="shared" si="41"/>
        <v>0.49780000000000002</v>
      </c>
      <c r="I137" s="429">
        <f t="shared" si="42"/>
        <v>0</v>
      </c>
      <c r="K137" s="616">
        <v>0</v>
      </c>
      <c r="L137" s="465">
        <f t="shared" si="43"/>
        <v>1</v>
      </c>
      <c r="M137" s="466">
        <f t="shared" si="44"/>
        <v>0.49780000000000002</v>
      </c>
      <c r="N137" s="429">
        <f t="shared" si="45"/>
        <v>0</v>
      </c>
    </row>
    <row r="138" spans="1:16">
      <c r="A138" s="1152">
        <f t="shared" si="28"/>
        <v>124</v>
      </c>
      <c r="B138" s="1044">
        <v>36700</v>
      </c>
      <c r="C138" s="88" t="s">
        <v>844</v>
      </c>
      <c r="D138" s="616">
        <v>0</v>
      </c>
      <c r="E138" s="429">
        <v>0</v>
      </c>
      <c r="F138" s="429">
        <f t="shared" si="39"/>
        <v>0</v>
      </c>
      <c r="G138" s="465">
        <f t="shared" si="40"/>
        <v>1</v>
      </c>
      <c r="H138" s="466">
        <f t="shared" si="41"/>
        <v>0.49780000000000002</v>
      </c>
      <c r="I138" s="429">
        <f t="shared" si="42"/>
        <v>0</v>
      </c>
      <c r="K138" s="616">
        <v>0</v>
      </c>
      <c r="L138" s="465">
        <f t="shared" si="43"/>
        <v>1</v>
      </c>
      <c r="M138" s="466">
        <f t="shared" si="44"/>
        <v>0.49780000000000002</v>
      </c>
      <c r="N138" s="429">
        <f t="shared" si="45"/>
        <v>0</v>
      </c>
    </row>
    <row r="139" spans="1:16">
      <c r="A139" s="1152">
        <f t="shared" si="28"/>
        <v>125</v>
      </c>
      <c r="B139" s="1044">
        <v>36701</v>
      </c>
      <c r="C139" s="88" t="s">
        <v>16</v>
      </c>
      <c r="D139" s="616">
        <v>0</v>
      </c>
      <c r="E139" s="429">
        <v>0</v>
      </c>
      <c r="F139" s="429">
        <f t="shared" si="39"/>
        <v>0</v>
      </c>
      <c r="G139" s="465">
        <f t="shared" si="40"/>
        <v>1</v>
      </c>
      <c r="H139" s="466">
        <f t="shared" si="41"/>
        <v>0.49780000000000002</v>
      </c>
      <c r="I139" s="429">
        <f t="shared" si="42"/>
        <v>0</v>
      </c>
      <c r="K139" s="616">
        <v>0</v>
      </c>
      <c r="L139" s="465">
        <f t="shared" si="43"/>
        <v>1</v>
      </c>
      <c r="M139" s="466">
        <f t="shared" si="44"/>
        <v>0.49780000000000002</v>
      </c>
      <c r="N139" s="429">
        <f t="shared" si="45"/>
        <v>0</v>
      </c>
    </row>
    <row r="140" spans="1:16">
      <c r="A140" s="1152">
        <f t="shared" si="28"/>
        <v>126</v>
      </c>
      <c r="B140" s="1044">
        <v>37602</v>
      </c>
      <c r="C140" s="88" t="s">
        <v>845</v>
      </c>
      <c r="D140" s="616">
        <v>0</v>
      </c>
      <c r="E140" s="429">
        <v>0</v>
      </c>
      <c r="F140" s="429">
        <f t="shared" si="39"/>
        <v>0</v>
      </c>
      <c r="G140" s="465">
        <f t="shared" si="40"/>
        <v>1</v>
      </c>
      <c r="H140" s="466">
        <f t="shared" si="41"/>
        <v>0.49780000000000002</v>
      </c>
      <c r="I140" s="429">
        <f t="shared" si="42"/>
        <v>0</v>
      </c>
      <c r="K140" s="616">
        <v>0</v>
      </c>
      <c r="L140" s="465">
        <f t="shared" si="43"/>
        <v>1</v>
      </c>
      <c r="M140" s="466">
        <f t="shared" si="44"/>
        <v>0.49780000000000002</v>
      </c>
      <c r="N140" s="429">
        <f t="shared" si="45"/>
        <v>0</v>
      </c>
    </row>
    <row r="141" spans="1:16">
      <c r="A141" s="1152">
        <f t="shared" si="28"/>
        <v>127</v>
      </c>
      <c r="B141" s="1044">
        <v>37800</v>
      </c>
      <c r="C141" s="88" t="s">
        <v>229</v>
      </c>
      <c r="D141" s="616">
        <v>0</v>
      </c>
      <c r="E141" s="429">
        <v>0</v>
      </c>
      <c r="F141" s="429">
        <f t="shared" si="39"/>
        <v>0</v>
      </c>
      <c r="G141" s="465">
        <f t="shared" si="40"/>
        <v>1</v>
      </c>
      <c r="H141" s="466">
        <f t="shared" si="41"/>
        <v>0.49780000000000002</v>
      </c>
      <c r="I141" s="429">
        <f t="shared" si="42"/>
        <v>0</v>
      </c>
      <c r="K141" s="616">
        <v>0</v>
      </c>
      <c r="L141" s="465">
        <f t="shared" si="43"/>
        <v>1</v>
      </c>
      <c r="M141" s="466">
        <f t="shared" si="44"/>
        <v>0.49780000000000002</v>
      </c>
      <c r="N141" s="429">
        <f t="shared" si="45"/>
        <v>0</v>
      </c>
    </row>
    <row r="142" spans="1:16">
      <c r="A142" s="1152">
        <f t="shared" si="28"/>
        <v>128</v>
      </c>
      <c r="B142" s="1044">
        <v>37900</v>
      </c>
      <c r="C142" s="88" t="s">
        <v>1190</v>
      </c>
      <c r="D142" s="616">
        <v>0</v>
      </c>
      <c r="E142" s="429">
        <v>0</v>
      </c>
      <c r="F142" s="429">
        <f t="shared" si="39"/>
        <v>0</v>
      </c>
      <c r="G142" s="465">
        <f t="shared" si="40"/>
        <v>1</v>
      </c>
      <c r="H142" s="466">
        <f t="shared" si="41"/>
        <v>0.49780000000000002</v>
      </c>
      <c r="I142" s="429">
        <f t="shared" si="42"/>
        <v>0</v>
      </c>
      <c r="K142" s="616">
        <v>0</v>
      </c>
      <c r="L142" s="465">
        <f t="shared" si="43"/>
        <v>1</v>
      </c>
      <c r="M142" s="466">
        <f t="shared" si="44"/>
        <v>0.49780000000000002</v>
      </c>
      <c r="N142" s="429">
        <f t="shared" si="45"/>
        <v>0</v>
      </c>
    </row>
    <row r="143" spans="1:16">
      <c r="A143" s="1152">
        <f t="shared" si="28"/>
        <v>129</v>
      </c>
      <c r="B143" s="1044">
        <v>37905</v>
      </c>
      <c r="C143" s="88" t="s">
        <v>725</v>
      </c>
      <c r="D143" s="616">
        <v>0</v>
      </c>
      <c r="E143" s="429">
        <v>0</v>
      </c>
      <c r="F143" s="429">
        <f t="shared" si="39"/>
        <v>0</v>
      </c>
      <c r="G143" s="465">
        <f t="shared" si="40"/>
        <v>1</v>
      </c>
      <c r="H143" s="466">
        <f t="shared" si="41"/>
        <v>0.49780000000000002</v>
      </c>
      <c r="I143" s="429">
        <f t="shared" si="42"/>
        <v>0</v>
      </c>
      <c r="K143" s="616">
        <v>0</v>
      </c>
      <c r="L143" s="465">
        <f t="shared" si="43"/>
        <v>1</v>
      </c>
      <c r="M143" s="466">
        <f t="shared" si="44"/>
        <v>0.49780000000000002</v>
      </c>
      <c r="N143" s="429">
        <f t="shared" si="45"/>
        <v>0</v>
      </c>
    </row>
    <row r="144" spans="1:16">
      <c r="A144" s="1152">
        <f t="shared" si="28"/>
        <v>130</v>
      </c>
      <c r="B144" s="1044">
        <v>38000</v>
      </c>
      <c r="C144" s="88" t="s">
        <v>1052</v>
      </c>
      <c r="D144" s="616">
        <v>0</v>
      </c>
      <c r="E144" s="429">
        <v>0</v>
      </c>
      <c r="F144" s="429">
        <f t="shared" si="39"/>
        <v>0</v>
      </c>
      <c r="G144" s="465">
        <f t="shared" si="40"/>
        <v>1</v>
      </c>
      <c r="H144" s="466">
        <f t="shared" si="41"/>
        <v>0.49780000000000002</v>
      </c>
      <c r="I144" s="429">
        <f t="shared" si="42"/>
        <v>0</v>
      </c>
      <c r="K144" s="616">
        <v>0</v>
      </c>
      <c r="L144" s="465">
        <f t="shared" si="43"/>
        <v>1</v>
      </c>
      <c r="M144" s="466">
        <f t="shared" si="44"/>
        <v>0.49780000000000002</v>
      </c>
      <c r="N144" s="429">
        <f t="shared" si="45"/>
        <v>0</v>
      </c>
    </row>
    <row r="145" spans="1:19">
      <c r="A145" s="1152">
        <f t="shared" si="28"/>
        <v>131</v>
      </c>
      <c r="B145" s="1044">
        <v>38100</v>
      </c>
      <c r="C145" s="88" t="s">
        <v>846</v>
      </c>
      <c r="D145" s="616">
        <v>0</v>
      </c>
      <c r="E145" s="429">
        <v>0</v>
      </c>
      <c r="F145" s="429">
        <f t="shared" si="39"/>
        <v>0</v>
      </c>
      <c r="G145" s="465">
        <f t="shared" si="40"/>
        <v>1</v>
      </c>
      <c r="H145" s="466">
        <f t="shared" si="41"/>
        <v>0.49780000000000002</v>
      </c>
      <c r="I145" s="429">
        <f t="shared" si="42"/>
        <v>0</v>
      </c>
      <c r="K145" s="616">
        <v>0</v>
      </c>
      <c r="L145" s="465">
        <f t="shared" si="43"/>
        <v>1</v>
      </c>
      <c r="M145" s="466">
        <f t="shared" si="44"/>
        <v>0.49780000000000002</v>
      </c>
      <c r="N145" s="429">
        <f t="shared" si="45"/>
        <v>0</v>
      </c>
    </row>
    <row r="146" spans="1:19">
      <c r="A146" s="1152">
        <f t="shared" si="28"/>
        <v>132</v>
      </c>
      <c r="B146" s="1044">
        <v>38200</v>
      </c>
      <c r="C146" s="88" t="s">
        <v>442</v>
      </c>
      <c r="D146" s="616">
        <v>0</v>
      </c>
      <c r="E146" s="429">
        <v>0</v>
      </c>
      <c r="F146" s="429">
        <f t="shared" si="39"/>
        <v>0</v>
      </c>
      <c r="G146" s="465">
        <f t="shared" si="40"/>
        <v>1</v>
      </c>
      <c r="H146" s="466">
        <f t="shared" si="41"/>
        <v>0.49780000000000002</v>
      </c>
      <c r="I146" s="429">
        <f t="shared" si="42"/>
        <v>0</v>
      </c>
      <c r="K146" s="616">
        <v>0</v>
      </c>
      <c r="L146" s="465">
        <f t="shared" si="43"/>
        <v>1</v>
      </c>
      <c r="M146" s="466">
        <f t="shared" si="44"/>
        <v>0.49780000000000002</v>
      </c>
      <c r="N146" s="429">
        <f t="shared" si="45"/>
        <v>0</v>
      </c>
    </row>
    <row r="147" spans="1:19">
      <c r="A147" s="1152">
        <f t="shared" si="28"/>
        <v>133</v>
      </c>
      <c r="B147" s="1044">
        <v>38300</v>
      </c>
      <c r="C147" s="88" t="s">
        <v>1053</v>
      </c>
      <c r="D147" s="616">
        <v>0</v>
      </c>
      <c r="E147" s="429">
        <v>0</v>
      </c>
      <c r="F147" s="429">
        <f t="shared" si="39"/>
        <v>0</v>
      </c>
      <c r="G147" s="465">
        <f t="shared" si="40"/>
        <v>1</v>
      </c>
      <c r="H147" s="466">
        <f t="shared" si="41"/>
        <v>0.49780000000000002</v>
      </c>
      <c r="I147" s="429">
        <f t="shared" si="42"/>
        <v>0</v>
      </c>
      <c r="K147" s="616">
        <v>0</v>
      </c>
      <c r="L147" s="465">
        <f t="shared" si="43"/>
        <v>1</v>
      </c>
      <c r="M147" s="466">
        <f t="shared" si="44"/>
        <v>0.49780000000000002</v>
      </c>
      <c r="N147" s="429">
        <f t="shared" si="45"/>
        <v>0</v>
      </c>
    </row>
    <row r="148" spans="1:19">
      <c r="A148" s="1152">
        <f t="shared" ref="A148:A211" si="46">A147+1</f>
        <v>134</v>
      </c>
      <c r="B148" s="1044">
        <v>38400</v>
      </c>
      <c r="C148" s="88" t="s">
        <v>443</v>
      </c>
      <c r="D148" s="616">
        <v>0</v>
      </c>
      <c r="E148" s="429">
        <v>0</v>
      </c>
      <c r="F148" s="429">
        <f t="shared" si="39"/>
        <v>0</v>
      </c>
      <c r="G148" s="465">
        <f t="shared" si="40"/>
        <v>1</v>
      </c>
      <c r="H148" s="466">
        <f t="shared" si="41"/>
        <v>0.49780000000000002</v>
      </c>
      <c r="I148" s="429">
        <f t="shared" si="42"/>
        <v>0</v>
      </c>
      <c r="K148" s="616">
        <v>0</v>
      </c>
      <c r="L148" s="465">
        <f t="shared" si="43"/>
        <v>1</v>
      </c>
      <c r="M148" s="466">
        <f t="shared" si="44"/>
        <v>0.49780000000000002</v>
      </c>
      <c r="N148" s="429">
        <f t="shared" si="45"/>
        <v>0</v>
      </c>
    </row>
    <row r="149" spans="1:19">
      <c r="A149" s="1152">
        <f t="shared" si="46"/>
        <v>135</v>
      </c>
      <c r="B149" s="1044">
        <v>38500</v>
      </c>
      <c r="C149" s="88" t="s">
        <v>444</v>
      </c>
      <c r="D149" s="616">
        <v>0</v>
      </c>
      <c r="E149" s="429">
        <v>0</v>
      </c>
      <c r="F149" s="429">
        <f t="shared" si="39"/>
        <v>0</v>
      </c>
      <c r="G149" s="465">
        <f t="shared" si="40"/>
        <v>1</v>
      </c>
      <c r="H149" s="466">
        <f t="shared" si="41"/>
        <v>0.49780000000000002</v>
      </c>
      <c r="I149" s="429">
        <f t="shared" si="42"/>
        <v>0</v>
      </c>
      <c r="K149" s="616">
        <v>0</v>
      </c>
      <c r="L149" s="465">
        <f t="shared" si="43"/>
        <v>1</v>
      </c>
      <c r="M149" s="466">
        <f t="shared" si="44"/>
        <v>0.49780000000000002</v>
      </c>
      <c r="N149" s="429">
        <f t="shared" si="45"/>
        <v>0</v>
      </c>
    </row>
    <row r="150" spans="1:19">
      <c r="A150" s="1152">
        <f t="shared" si="46"/>
        <v>136</v>
      </c>
      <c r="B150" s="1044">
        <v>38600</v>
      </c>
      <c r="C150" s="88" t="s">
        <v>106</v>
      </c>
      <c r="D150" s="1045">
        <v>0</v>
      </c>
      <c r="E150" s="1042">
        <v>0</v>
      </c>
      <c r="F150" s="1042">
        <f t="shared" si="39"/>
        <v>0</v>
      </c>
      <c r="G150" s="465">
        <f t="shared" si="40"/>
        <v>1</v>
      </c>
      <c r="H150" s="466">
        <f t="shared" si="41"/>
        <v>0.49780000000000002</v>
      </c>
      <c r="I150" s="1042">
        <f t="shared" si="42"/>
        <v>0</v>
      </c>
      <c r="K150" s="1045">
        <v>0</v>
      </c>
      <c r="L150" s="465">
        <f t="shared" si="43"/>
        <v>1</v>
      </c>
      <c r="M150" s="466">
        <f t="shared" si="44"/>
        <v>0.49780000000000002</v>
      </c>
      <c r="N150" s="1042">
        <f t="shared" si="45"/>
        <v>0</v>
      </c>
    </row>
    <row r="151" spans="1:19">
      <c r="A151" s="1152">
        <f t="shared" si="46"/>
        <v>137</v>
      </c>
      <c r="B151" s="1040"/>
      <c r="C151" s="88"/>
      <c r="M151" s="466"/>
    </row>
    <row r="152" spans="1:19">
      <c r="A152" s="1152">
        <f t="shared" si="46"/>
        <v>138</v>
      </c>
      <c r="B152" s="1040"/>
      <c r="C152" s="88" t="s">
        <v>300</v>
      </c>
      <c r="D152" s="360">
        <f>SUM(D130:D151)</f>
        <v>0</v>
      </c>
      <c r="E152" s="346">
        <f>SUM(E130:E151)</f>
        <v>0</v>
      </c>
      <c r="F152" s="346">
        <f>SUM(F130:F151)</f>
        <v>0</v>
      </c>
      <c r="I152" s="346">
        <f>SUM(I130:I151)</f>
        <v>0</v>
      </c>
      <c r="K152" s="360">
        <f>SUM(K130:K151)</f>
        <v>0</v>
      </c>
      <c r="M152" s="466"/>
      <c r="N152" s="346">
        <f>SUM(N130:N151)</f>
        <v>0</v>
      </c>
    </row>
    <row r="153" spans="1:19">
      <c r="A153" s="1152">
        <f t="shared" si="46"/>
        <v>139</v>
      </c>
      <c r="B153" s="1040"/>
      <c r="C153" s="88"/>
      <c r="M153" s="466"/>
    </row>
    <row r="154" spans="1:19">
      <c r="A154" s="1152">
        <f t="shared" si="46"/>
        <v>140</v>
      </c>
      <c r="B154" s="1040"/>
      <c r="C154" s="619" t="s">
        <v>1169</v>
      </c>
      <c r="M154" s="466"/>
    </row>
    <row r="155" spans="1:19">
      <c r="A155" s="1152">
        <f t="shared" si="46"/>
        <v>141</v>
      </c>
      <c r="B155" s="1044">
        <v>39001</v>
      </c>
      <c r="C155" s="88" t="s">
        <v>540</v>
      </c>
      <c r="D155" s="322">
        <v>179338.52</v>
      </c>
      <c r="E155" s="346">
        <v>0</v>
      </c>
      <c r="F155" s="346">
        <f t="shared" ref="F155:F175" si="47">D155+E155</f>
        <v>179338.52</v>
      </c>
      <c r="G155" s="465">
        <f t="shared" ref="G155:G175" si="48">$G$16</f>
        <v>1</v>
      </c>
      <c r="H155" s="466">
        <f t="shared" ref="H155:H175" si="49">$H$124</f>
        <v>0.49780000000000002</v>
      </c>
      <c r="I155" s="346">
        <f t="shared" ref="I155:I175" si="50">F155*G155*H155</f>
        <v>89274.715255999996</v>
      </c>
      <c r="K155" s="322">
        <v>179338.52</v>
      </c>
      <c r="L155" s="465">
        <f t="shared" ref="L155:L175" si="51">G155</f>
        <v>1</v>
      </c>
      <c r="M155" s="466">
        <f t="shared" ref="M155:M175" si="52">H155</f>
        <v>0.49780000000000002</v>
      </c>
      <c r="N155" s="346">
        <f t="shared" ref="N155:N175" si="53">K155*L155*M155</f>
        <v>89274.715255999996</v>
      </c>
      <c r="S155" s="423"/>
    </row>
    <row r="156" spans="1:19">
      <c r="A156" s="1152">
        <f t="shared" si="46"/>
        <v>142</v>
      </c>
      <c r="B156" s="1044">
        <v>39004</v>
      </c>
      <c r="C156" s="88" t="s">
        <v>445</v>
      </c>
      <c r="D156" s="322">
        <v>15383.91</v>
      </c>
      <c r="E156" s="429">
        <v>0</v>
      </c>
      <c r="F156" s="429">
        <f t="shared" si="47"/>
        <v>15383.91</v>
      </c>
      <c r="G156" s="465">
        <f t="shared" si="48"/>
        <v>1</v>
      </c>
      <c r="H156" s="466">
        <f t="shared" si="49"/>
        <v>0.49780000000000002</v>
      </c>
      <c r="I156" s="429">
        <f t="shared" si="50"/>
        <v>7658.1103979999998</v>
      </c>
      <c r="K156" s="322">
        <v>15383.910000000002</v>
      </c>
      <c r="L156" s="465">
        <f t="shared" si="51"/>
        <v>1</v>
      </c>
      <c r="M156" s="466">
        <f t="shared" si="52"/>
        <v>0.49780000000000002</v>
      </c>
      <c r="N156" s="429">
        <f t="shared" si="53"/>
        <v>7658.1103980000007</v>
      </c>
      <c r="S156" s="423"/>
    </row>
    <row r="157" spans="1:19">
      <c r="A157" s="1152">
        <f t="shared" si="46"/>
        <v>143</v>
      </c>
      <c r="B157" s="1044">
        <v>39009</v>
      </c>
      <c r="C157" s="88" t="s">
        <v>1036</v>
      </c>
      <c r="D157" s="322">
        <v>38834</v>
      </c>
      <c r="E157" s="429">
        <v>0</v>
      </c>
      <c r="F157" s="429">
        <f t="shared" si="47"/>
        <v>38834</v>
      </c>
      <c r="G157" s="465">
        <f t="shared" si="48"/>
        <v>1</v>
      </c>
      <c r="H157" s="466">
        <f t="shared" si="49"/>
        <v>0.49780000000000002</v>
      </c>
      <c r="I157" s="429">
        <f t="shared" si="50"/>
        <v>19331.565200000001</v>
      </c>
      <c r="K157" s="322">
        <v>38834</v>
      </c>
      <c r="L157" s="465">
        <f t="shared" si="51"/>
        <v>1</v>
      </c>
      <c r="M157" s="466">
        <f t="shared" si="52"/>
        <v>0.49780000000000002</v>
      </c>
      <c r="N157" s="429">
        <f t="shared" si="53"/>
        <v>19331.565200000001</v>
      </c>
      <c r="S157" s="423"/>
    </row>
    <row r="158" spans="1:19">
      <c r="A158" s="1152">
        <f t="shared" si="46"/>
        <v>144</v>
      </c>
      <c r="B158" s="1044">
        <v>39100</v>
      </c>
      <c r="C158" s="88" t="s">
        <v>779</v>
      </c>
      <c r="D158" s="322">
        <v>38609.33</v>
      </c>
      <c r="E158" s="429">
        <v>0</v>
      </c>
      <c r="F158" s="429">
        <f t="shared" si="47"/>
        <v>38609.33</v>
      </c>
      <c r="G158" s="465">
        <f t="shared" si="48"/>
        <v>1</v>
      </c>
      <c r="H158" s="466">
        <f t="shared" si="49"/>
        <v>0.49780000000000002</v>
      </c>
      <c r="I158" s="429">
        <f t="shared" si="50"/>
        <v>19219.724474000002</v>
      </c>
      <c r="K158" s="322">
        <v>38609.330000000009</v>
      </c>
      <c r="L158" s="465">
        <f t="shared" si="51"/>
        <v>1</v>
      </c>
      <c r="M158" s="466">
        <f t="shared" si="52"/>
        <v>0.49780000000000002</v>
      </c>
      <c r="N158" s="429">
        <f t="shared" si="53"/>
        <v>19219.724474000006</v>
      </c>
      <c r="S158" s="423"/>
    </row>
    <row r="159" spans="1:19">
      <c r="A159" s="1152">
        <f t="shared" si="46"/>
        <v>145</v>
      </c>
      <c r="B159" s="1044">
        <v>39101</v>
      </c>
      <c r="C159" s="88" t="s">
        <v>1499</v>
      </c>
      <c r="D159" s="322">
        <v>0</v>
      </c>
      <c r="E159" s="429">
        <v>0</v>
      </c>
      <c r="F159" s="429">
        <f t="shared" si="47"/>
        <v>0</v>
      </c>
      <c r="G159" s="465">
        <f t="shared" si="48"/>
        <v>1</v>
      </c>
      <c r="H159" s="466">
        <f t="shared" si="49"/>
        <v>0.49780000000000002</v>
      </c>
      <c r="I159" s="429">
        <f t="shared" si="50"/>
        <v>0</v>
      </c>
      <c r="K159" s="322">
        <v>0</v>
      </c>
      <c r="L159" s="465">
        <f t="shared" ref="L159:L170" si="54">G159</f>
        <v>1</v>
      </c>
      <c r="M159" s="466">
        <f t="shared" ref="M159:M170" si="55">H159</f>
        <v>0.49780000000000002</v>
      </c>
      <c r="N159" s="429">
        <f t="shared" ref="N159:N170" si="56">K159*L159*M159</f>
        <v>0</v>
      </c>
      <c r="S159" s="423"/>
    </row>
    <row r="160" spans="1:19">
      <c r="A160" s="1152">
        <f t="shared" si="46"/>
        <v>146</v>
      </c>
      <c r="B160" s="1044">
        <v>39103</v>
      </c>
      <c r="C160" s="88" t="s">
        <v>780</v>
      </c>
      <c r="D160" s="322">
        <v>0</v>
      </c>
      <c r="E160" s="429">
        <v>0</v>
      </c>
      <c r="F160" s="429">
        <f t="shared" si="47"/>
        <v>0</v>
      </c>
      <c r="G160" s="465">
        <f t="shared" si="48"/>
        <v>1</v>
      </c>
      <c r="H160" s="466">
        <f t="shared" si="49"/>
        <v>0.49780000000000002</v>
      </c>
      <c r="I160" s="429">
        <f t="shared" si="50"/>
        <v>0</v>
      </c>
      <c r="K160" s="322">
        <v>0</v>
      </c>
      <c r="L160" s="465">
        <f t="shared" si="54"/>
        <v>1</v>
      </c>
      <c r="M160" s="466">
        <f t="shared" si="55"/>
        <v>0.49780000000000002</v>
      </c>
      <c r="N160" s="429">
        <f t="shared" si="56"/>
        <v>0</v>
      </c>
      <c r="S160" s="423"/>
    </row>
    <row r="161" spans="1:19">
      <c r="A161" s="1152">
        <f t="shared" si="46"/>
        <v>147</v>
      </c>
      <c r="B161" s="1044">
        <v>39200</v>
      </c>
      <c r="C161" s="88" t="s">
        <v>1076</v>
      </c>
      <c r="D161" s="322">
        <v>27284.69</v>
      </c>
      <c r="E161" s="429">
        <v>0</v>
      </c>
      <c r="F161" s="429">
        <f t="shared" si="47"/>
        <v>27284.69</v>
      </c>
      <c r="G161" s="465">
        <f t="shared" si="48"/>
        <v>1</v>
      </c>
      <c r="H161" s="466">
        <f t="shared" si="49"/>
        <v>0.49780000000000002</v>
      </c>
      <c r="I161" s="429">
        <f t="shared" si="50"/>
        <v>13582.318681999999</v>
      </c>
      <c r="K161" s="322">
        <v>27284.69</v>
      </c>
      <c r="L161" s="465">
        <f t="shared" si="54"/>
        <v>1</v>
      </c>
      <c r="M161" s="466">
        <f t="shared" si="55"/>
        <v>0.49780000000000002</v>
      </c>
      <c r="N161" s="429">
        <f t="shared" si="56"/>
        <v>13582.318681999999</v>
      </c>
      <c r="S161" s="423"/>
    </row>
    <row r="162" spans="1:19">
      <c r="A162" s="1152">
        <f t="shared" si="46"/>
        <v>148</v>
      </c>
      <c r="B162" s="1044">
        <v>39300</v>
      </c>
      <c r="C162" s="88" t="s">
        <v>649</v>
      </c>
      <c r="D162" s="322">
        <v>0</v>
      </c>
      <c r="E162" s="429">
        <v>0</v>
      </c>
      <c r="F162" s="429">
        <f t="shared" si="47"/>
        <v>0</v>
      </c>
      <c r="G162" s="465">
        <f t="shared" si="48"/>
        <v>1</v>
      </c>
      <c r="H162" s="466">
        <f t="shared" si="49"/>
        <v>0.49780000000000002</v>
      </c>
      <c r="I162" s="429">
        <f t="shared" si="50"/>
        <v>0</v>
      </c>
      <c r="K162" s="322">
        <v>0</v>
      </c>
      <c r="L162" s="465">
        <f t="shared" si="54"/>
        <v>1</v>
      </c>
      <c r="M162" s="466">
        <f t="shared" si="55"/>
        <v>0.49780000000000002</v>
      </c>
      <c r="N162" s="429">
        <f t="shared" si="56"/>
        <v>0</v>
      </c>
      <c r="S162" s="423"/>
    </row>
    <row r="163" spans="1:19">
      <c r="A163" s="1152">
        <f t="shared" si="46"/>
        <v>149</v>
      </c>
      <c r="B163" s="1044">
        <v>39400</v>
      </c>
      <c r="C163" s="88" t="s">
        <v>1035</v>
      </c>
      <c r="D163" s="322">
        <v>175867.44</v>
      </c>
      <c r="E163" s="429">
        <v>0</v>
      </c>
      <c r="F163" s="429">
        <f t="shared" si="47"/>
        <v>175867.44</v>
      </c>
      <c r="G163" s="465">
        <f t="shared" si="48"/>
        <v>1</v>
      </c>
      <c r="H163" s="466">
        <f t="shared" si="49"/>
        <v>0.49780000000000002</v>
      </c>
      <c r="I163" s="429">
        <f t="shared" si="50"/>
        <v>87546.811632000012</v>
      </c>
      <c r="K163" s="322">
        <v>175867.43999999997</v>
      </c>
      <c r="L163" s="465">
        <f t="shared" si="54"/>
        <v>1</v>
      </c>
      <c r="M163" s="466">
        <f t="shared" si="55"/>
        <v>0.49780000000000002</v>
      </c>
      <c r="N163" s="429">
        <f t="shared" si="56"/>
        <v>87546.811631999997</v>
      </c>
      <c r="S163" s="423"/>
    </row>
    <row r="164" spans="1:19">
      <c r="A164" s="1152">
        <f t="shared" si="46"/>
        <v>150</v>
      </c>
      <c r="B164" s="1044">
        <v>39600</v>
      </c>
      <c r="C164" s="88" t="s">
        <v>541</v>
      </c>
      <c r="D164" s="322">
        <v>20515.689999999999</v>
      </c>
      <c r="E164" s="429">
        <v>0</v>
      </c>
      <c r="F164" s="429">
        <f t="shared" si="47"/>
        <v>20515.689999999999</v>
      </c>
      <c r="G164" s="465">
        <f t="shared" si="48"/>
        <v>1</v>
      </c>
      <c r="H164" s="466">
        <f t="shared" si="49"/>
        <v>0.49780000000000002</v>
      </c>
      <c r="I164" s="429">
        <f t="shared" si="50"/>
        <v>10212.710482</v>
      </c>
      <c r="K164" s="322">
        <v>20515.689999999999</v>
      </c>
      <c r="L164" s="465">
        <f t="shared" si="54"/>
        <v>1</v>
      </c>
      <c r="M164" s="466">
        <f t="shared" si="55"/>
        <v>0.49780000000000002</v>
      </c>
      <c r="N164" s="429">
        <f t="shared" si="56"/>
        <v>10212.710482</v>
      </c>
      <c r="S164" s="423"/>
    </row>
    <row r="165" spans="1:19">
      <c r="A165" s="1152">
        <f t="shared" si="46"/>
        <v>151</v>
      </c>
      <c r="B165" s="1044">
        <v>39700</v>
      </c>
      <c r="C165" s="88" t="s">
        <v>440</v>
      </c>
      <c r="D165" s="322">
        <v>37541</v>
      </c>
      <c r="E165" s="429">
        <v>0</v>
      </c>
      <c r="F165" s="429">
        <f t="shared" si="47"/>
        <v>37541</v>
      </c>
      <c r="G165" s="465">
        <f t="shared" si="48"/>
        <v>1</v>
      </c>
      <c r="H165" s="466">
        <f t="shared" si="49"/>
        <v>0.49780000000000002</v>
      </c>
      <c r="I165" s="429">
        <f t="shared" si="50"/>
        <v>18687.909800000001</v>
      </c>
      <c r="K165" s="322">
        <v>37541</v>
      </c>
      <c r="L165" s="465">
        <f t="shared" si="54"/>
        <v>1</v>
      </c>
      <c r="M165" s="466">
        <f t="shared" si="55"/>
        <v>0.49780000000000002</v>
      </c>
      <c r="N165" s="429">
        <f t="shared" si="56"/>
        <v>18687.909800000001</v>
      </c>
      <c r="S165" s="423"/>
    </row>
    <row r="166" spans="1:19">
      <c r="A166" s="1152">
        <f t="shared" si="46"/>
        <v>152</v>
      </c>
      <c r="B166" s="1044">
        <v>39701</v>
      </c>
      <c r="C166" s="88" t="s">
        <v>1496</v>
      </c>
      <c r="D166" s="322">
        <v>0</v>
      </c>
      <c r="E166" s="429">
        <v>0</v>
      </c>
      <c r="F166" s="429">
        <f t="shared" si="47"/>
        <v>0</v>
      </c>
      <c r="G166" s="465">
        <f t="shared" si="48"/>
        <v>1</v>
      </c>
      <c r="H166" s="466">
        <f t="shared" si="49"/>
        <v>0.49780000000000002</v>
      </c>
      <c r="I166" s="429">
        <f t="shared" si="50"/>
        <v>0</v>
      </c>
      <c r="K166" s="322">
        <v>0</v>
      </c>
      <c r="L166" s="465">
        <f t="shared" si="54"/>
        <v>1</v>
      </c>
      <c r="M166" s="466">
        <f t="shared" si="55"/>
        <v>0.49780000000000002</v>
      </c>
      <c r="N166" s="429">
        <f t="shared" si="56"/>
        <v>0</v>
      </c>
      <c r="S166" s="423"/>
    </row>
    <row r="167" spans="1:19">
      <c r="A167" s="1152">
        <f t="shared" si="46"/>
        <v>153</v>
      </c>
      <c r="B167" s="1044">
        <v>39702</v>
      </c>
      <c r="C167" s="88" t="s">
        <v>1496</v>
      </c>
      <c r="D167" s="322">
        <v>0</v>
      </c>
      <c r="E167" s="429">
        <v>0</v>
      </c>
      <c r="F167" s="429">
        <f t="shared" si="47"/>
        <v>0</v>
      </c>
      <c r="G167" s="465">
        <f t="shared" si="48"/>
        <v>1</v>
      </c>
      <c r="H167" s="466">
        <f t="shared" si="49"/>
        <v>0.49780000000000002</v>
      </c>
      <c r="I167" s="429">
        <f t="shared" si="50"/>
        <v>0</v>
      </c>
      <c r="K167" s="322">
        <v>0</v>
      </c>
      <c r="L167" s="465">
        <f t="shared" si="54"/>
        <v>1</v>
      </c>
      <c r="M167" s="466">
        <f t="shared" si="55"/>
        <v>0.49780000000000002</v>
      </c>
      <c r="N167" s="429">
        <f t="shared" si="56"/>
        <v>0</v>
      </c>
      <c r="S167" s="423"/>
    </row>
    <row r="168" spans="1:19">
      <c r="A168" s="1152">
        <f t="shared" si="46"/>
        <v>154</v>
      </c>
      <c r="B168" s="1044">
        <v>39800</v>
      </c>
      <c r="C168" s="88" t="s">
        <v>650</v>
      </c>
      <c r="D168" s="322">
        <v>814166.88</v>
      </c>
      <c r="E168" s="429">
        <v>0</v>
      </c>
      <c r="F168" s="429">
        <f t="shared" si="47"/>
        <v>814166.88</v>
      </c>
      <c r="G168" s="465">
        <f t="shared" si="48"/>
        <v>1</v>
      </c>
      <c r="H168" s="466">
        <f t="shared" si="49"/>
        <v>0.49780000000000002</v>
      </c>
      <c r="I168" s="429">
        <f t="shared" si="50"/>
        <v>405292.272864</v>
      </c>
      <c r="K168" s="322">
        <v>814166.88000000012</v>
      </c>
      <c r="L168" s="465">
        <f t="shared" si="54"/>
        <v>1</v>
      </c>
      <c r="M168" s="466">
        <f t="shared" si="55"/>
        <v>0.49780000000000002</v>
      </c>
      <c r="N168" s="429">
        <f t="shared" si="56"/>
        <v>405292.27286400006</v>
      </c>
      <c r="S168" s="423"/>
    </row>
    <row r="169" spans="1:19">
      <c r="A169" s="1152">
        <f t="shared" si="46"/>
        <v>155</v>
      </c>
      <c r="B169" s="1044">
        <v>39900</v>
      </c>
      <c r="C169" s="88" t="s">
        <v>1152</v>
      </c>
      <c r="D169" s="322">
        <v>0</v>
      </c>
      <c r="E169" s="429">
        <v>0</v>
      </c>
      <c r="F169" s="429">
        <f t="shared" si="47"/>
        <v>0</v>
      </c>
      <c r="G169" s="465">
        <f t="shared" si="48"/>
        <v>1</v>
      </c>
      <c r="H169" s="466">
        <f t="shared" si="49"/>
        <v>0.49780000000000002</v>
      </c>
      <c r="I169" s="429">
        <f t="shared" si="50"/>
        <v>0</v>
      </c>
      <c r="K169" s="322">
        <v>0</v>
      </c>
      <c r="L169" s="465">
        <f t="shared" si="54"/>
        <v>1</v>
      </c>
      <c r="M169" s="466">
        <f t="shared" si="55"/>
        <v>0.49780000000000002</v>
      </c>
      <c r="N169" s="429">
        <f t="shared" si="56"/>
        <v>0</v>
      </c>
      <c r="S169" s="423"/>
    </row>
    <row r="170" spans="1:19">
      <c r="A170" s="1152">
        <f t="shared" si="46"/>
        <v>156</v>
      </c>
      <c r="B170" s="1044">
        <v>39901</v>
      </c>
      <c r="C170" s="88" t="s">
        <v>474</v>
      </c>
      <c r="D170" s="322">
        <v>0</v>
      </c>
      <c r="E170" s="429">
        <v>0</v>
      </c>
      <c r="F170" s="429">
        <f t="shared" si="47"/>
        <v>0</v>
      </c>
      <c r="G170" s="465">
        <f t="shared" si="48"/>
        <v>1</v>
      </c>
      <c r="H170" s="466">
        <f t="shared" si="49"/>
        <v>0.49780000000000002</v>
      </c>
      <c r="I170" s="429">
        <f t="shared" si="50"/>
        <v>0</v>
      </c>
      <c r="K170" s="322">
        <v>0</v>
      </c>
      <c r="L170" s="465">
        <f t="shared" si="54"/>
        <v>1</v>
      </c>
      <c r="M170" s="466">
        <f t="shared" si="55"/>
        <v>0.49780000000000002</v>
      </c>
      <c r="N170" s="429">
        <f t="shared" si="56"/>
        <v>0</v>
      </c>
      <c r="S170" s="423"/>
    </row>
    <row r="171" spans="1:19">
      <c r="A171" s="1152">
        <f t="shared" si="46"/>
        <v>157</v>
      </c>
      <c r="B171" s="1044">
        <v>39902</v>
      </c>
      <c r="C171" s="88" t="s">
        <v>960</v>
      </c>
      <c r="D171" s="322">
        <v>0</v>
      </c>
      <c r="E171" s="429">
        <v>0</v>
      </c>
      <c r="F171" s="429">
        <f t="shared" si="47"/>
        <v>0</v>
      </c>
      <c r="G171" s="465">
        <f t="shared" si="48"/>
        <v>1</v>
      </c>
      <c r="H171" s="466">
        <f t="shared" si="49"/>
        <v>0.49780000000000002</v>
      </c>
      <c r="I171" s="429">
        <f t="shared" si="50"/>
        <v>0</v>
      </c>
      <c r="K171" s="322">
        <v>0</v>
      </c>
      <c r="L171" s="465">
        <f t="shared" si="51"/>
        <v>1</v>
      </c>
      <c r="M171" s="466">
        <f t="shared" si="52"/>
        <v>0.49780000000000002</v>
      </c>
      <c r="N171" s="429">
        <f t="shared" si="53"/>
        <v>0</v>
      </c>
      <c r="S171" s="423"/>
    </row>
    <row r="172" spans="1:19">
      <c r="A172" s="1152">
        <f t="shared" si="46"/>
        <v>158</v>
      </c>
      <c r="B172" s="1044">
        <v>39903</v>
      </c>
      <c r="C172" s="88" t="s">
        <v>1003</v>
      </c>
      <c r="D172" s="322">
        <v>0</v>
      </c>
      <c r="E172" s="429">
        <v>0</v>
      </c>
      <c r="F172" s="429">
        <f t="shared" si="47"/>
        <v>0</v>
      </c>
      <c r="G172" s="465">
        <f t="shared" si="48"/>
        <v>1</v>
      </c>
      <c r="H172" s="466">
        <f t="shared" si="49"/>
        <v>0.49780000000000002</v>
      </c>
      <c r="I172" s="429">
        <f t="shared" si="50"/>
        <v>0</v>
      </c>
      <c r="K172" s="322">
        <v>0</v>
      </c>
      <c r="L172" s="465">
        <f t="shared" si="51"/>
        <v>1</v>
      </c>
      <c r="M172" s="466">
        <f t="shared" si="52"/>
        <v>0.49780000000000002</v>
      </c>
      <c r="N172" s="429">
        <f t="shared" si="53"/>
        <v>0</v>
      </c>
      <c r="S172" s="423"/>
    </row>
    <row r="173" spans="1:19">
      <c r="A173" s="1152">
        <f t="shared" si="46"/>
        <v>159</v>
      </c>
      <c r="B173" s="1044">
        <v>39906</v>
      </c>
      <c r="C173" s="88" t="s">
        <v>451</v>
      </c>
      <c r="D173" s="322">
        <v>70177.67</v>
      </c>
      <c r="E173" s="429">
        <v>0</v>
      </c>
      <c r="F173" s="429">
        <f t="shared" si="47"/>
        <v>70177.67</v>
      </c>
      <c r="G173" s="465">
        <f t="shared" si="48"/>
        <v>1</v>
      </c>
      <c r="H173" s="466">
        <f t="shared" si="49"/>
        <v>0.49780000000000002</v>
      </c>
      <c r="I173" s="429">
        <f t="shared" si="50"/>
        <v>34934.444126000002</v>
      </c>
      <c r="K173" s="322">
        <v>70177.670000000013</v>
      </c>
      <c r="L173" s="465">
        <f t="shared" si="51"/>
        <v>1</v>
      </c>
      <c r="M173" s="466">
        <f t="shared" si="52"/>
        <v>0.49780000000000002</v>
      </c>
      <c r="N173" s="429">
        <f t="shared" si="53"/>
        <v>34934.444126000009</v>
      </c>
      <c r="S173" s="423"/>
    </row>
    <row r="174" spans="1:19">
      <c r="A174" s="1152">
        <f t="shared" si="46"/>
        <v>160</v>
      </c>
      <c r="B174" s="1044">
        <v>39907</v>
      </c>
      <c r="C174" s="88" t="s">
        <v>505</v>
      </c>
      <c r="D174" s="322">
        <v>197252.58000000002</v>
      </c>
      <c r="E174" s="429">
        <v>0</v>
      </c>
      <c r="F174" s="429">
        <f t="shared" si="47"/>
        <v>197252.58000000002</v>
      </c>
      <c r="G174" s="465">
        <f t="shared" si="48"/>
        <v>1</v>
      </c>
      <c r="H174" s="466">
        <f t="shared" si="49"/>
        <v>0.49780000000000002</v>
      </c>
      <c r="I174" s="429">
        <f t="shared" si="50"/>
        <v>98192.33432400001</v>
      </c>
      <c r="K174" s="322">
        <v>165303.79923076925</v>
      </c>
      <c r="L174" s="465">
        <f t="shared" si="51"/>
        <v>1</v>
      </c>
      <c r="M174" s="466">
        <f t="shared" si="52"/>
        <v>0.49780000000000002</v>
      </c>
      <c r="N174" s="429">
        <f t="shared" si="53"/>
        <v>82288.231257076928</v>
      </c>
      <c r="S174" s="423"/>
    </row>
    <row r="175" spans="1:19">
      <c r="A175" s="1152">
        <f t="shared" si="46"/>
        <v>161</v>
      </c>
      <c r="B175" s="1044">
        <v>39908</v>
      </c>
      <c r="C175" s="88" t="s">
        <v>179</v>
      </c>
      <c r="D175" s="322">
        <v>828509.36</v>
      </c>
      <c r="E175" s="429">
        <v>0</v>
      </c>
      <c r="F175" s="429">
        <f t="shared" si="47"/>
        <v>828509.36</v>
      </c>
      <c r="G175" s="465">
        <f t="shared" si="48"/>
        <v>1</v>
      </c>
      <c r="H175" s="466">
        <f t="shared" si="49"/>
        <v>0.49780000000000002</v>
      </c>
      <c r="I175" s="429">
        <f t="shared" si="50"/>
        <v>412431.959408</v>
      </c>
      <c r="K175" s="322">
        <v>828509.36</v>
      </c>
      <c r="L175" s="465">
        <f t="shared" si="51"/>
        <v>1</v>
      </c>
      <c r="M175" s="466">
        <f t="shared" si="52"/>
        <v>0.49780000000000002</v>
      </c>
      <c r="N175" s="429">
        <f t="shared" si="53"/>
        <v>412431.959408</v>
      </c>
      <c r="S175" s="423"/>
    </row>
    <row r="176" spans="1:19">
      <c r="A176" s="1152">
        <f t="shared" si="46"/>
        <v>162</v>
      </c>
      <c r="B176" s="1040"/>
      <c r="C176" s="88"/>
      <c r="D176" s="618"/>
      <c r="E176" s="618"/>
      <c r="F176" s="618"/>
      <c r="I176" s="618"/>
      <c r="K176" s="618"/>
      <c r="N176" s="618"/>
    </row>
    <row r="177" spans="1:19">
      <c r="A177" s="1152">
        <f t="shared" si="46"/>
        <v>163</v>
      </c>
      <c r="B177" s="1040"/>
      <c r="C177" s="88" t="s">
        <v>4</v>
      </c>
      <c r="D177" s="360">
        <f>SUM(D155:D176)</f>
        <v>2443481.0699999998</v>
      </c>
      <c r="E177" s="346">
        <f>SUM(E155:E176)</f>
        <v>0</v>
      </c>
      <c r="F177" s="360">
        <f>SUM(F155:F176)</f>
        <v>2443481.0699999998</v>
      </c>
      <c r="I177" s="360">
        <f>SUM(I155:I176)</f>
        <v>1216364.876646</v>
      </c>
      <c r="K177" s="360">
        <f>SUM(K155:K176)</f>
        <v>2411532.2892307695</v>
      </c>
      <c r="N177" s="360">
        <f>SUM(N155:N176)</f>
        <v>1200460.7735790771</v>
      </c>
    </row>
    <row r="178" spans="1:19">
      <c r="A178" s="1152">
        <f t="shared" si="46"/>
        <v>164</v>
      </c>
      <c r="B178" s="1040"/>
      <c r="C178" s="88"/>
    </row>
    <row r="179" spans="1:19" ht="15.75" thickBot="1">
      <c r="A179" s="1152">
        <f t="shared" si="46"/>
        <v>165</v>
      </c>
      <c r="B179" s="1040"/>
      <c r="C179" s="233" t="s">
        <v>1316</v>
      </c>
      <c r="D179" s="1009">
        <f>D127+D152+D177</f>
        <v>3738342.0199999996</v>
      </c>
      <c r="E179" s="329">
        <f>E127+E152+E177</f>
        <v>0</v>
      </c>
      <c r="F179" s="1009">
        <f>F127+F152+F177</f>
        <v>3738342.0199999996</v>
      </c>
      <c r="I179" s="1009">
        <f>I127+I152+I177</f>
        <v>1860946.6575559999</v>
      </c>
      <c r="K179" s="1009">
        <f>K127+K152+K177</f>
        <v>3706393.2392307697</v>
      </c>
      <c r="N179" s="1009">
        <f>N127+N152+N177</f>
        <v>1845042.5544890771</v>
      </c>
    </row>
    <row r="180" spans="1:19" ht="15.75" thickTop="1">
      <c r="A180" s="1152">
        <f t="shared" si="46"/>
        <v>166</v>
      </c>
      <c r="B180" s="1040"/>
      <c r="C180" s="88"/>
      <c r="D180" s="322"/>
      <c r="E180" s="328"/>
      <c r="F180" s="328"/>
      <c r="I180" s="328"/>
    </row>
    <row r="181" spans="1:19">
      <c r="A181" s="1152">
        <f t="shared" si="46"/>
        <v>167</v>
      </c>
      <c r="B181" s="1040"/>
      <c r="C181" s="81" t="s">
        <v>749</v>
      </c>
      <c r="D181" s="322">
        <v>4641.7299999999923</v>
      </c>
      <c r="E181" s="328">
        <v>0</v>
      </c>
      <c r="F181" s="328">
        <f>D181+E181</f>
        <v>4641.7299999999923</v>
      </c>
      <c r="G181" s="465">
        <f>$G$16</f>
        <v>1</v>
      </c>
      <c r="H181" s="466">
        <f>$H$124</f>
        <v>0.49780000000000002</v>
      </c>
      <c r="I181" s="328">
        <f>F181*G181*H181</f>
        <v>2310.6531939999963</v>
      </c>
      <c r="K181" s="322">
        <v>4641.7299999999941</v>
      </c>
      <c r="L181" s="465">
        <f>G181</f>
        <v>1</v>
      </c>
      <c r="M181" s="466">
        <f>H181</f>
        <v>0.49780000000000002</v>
      </c>
      <c r="N181" s="328">
        <f>K181*L181*M181</f>
        <v>2310.6531939999973</v>
      </c>
    </row>
    <row r="182" spans="1:19">
      <c r="A182" s="1152">
        <f t="shared" si="46"/>
        <v>168</v>
      </c>
      <c r="B182" s="1040"/>
    </row>
    <row r="183" spans="1:19" ht="15.75">
      <c r="A183" s="1152">
        <f t="shared" si="46"/>
        <v>169</v>
      </c>
      <c r="B183" s="1043" t="s">
        <v>8</v>
      </c>
    </row>
    <row r="184" spans="1:19">
      <c r="A184" s="1152">
        <f t="shared" si="46"/>
        <v>170</v>
      </c>
      <c r="B184" s="1040"/>
    </row>
    <row r="185" spans="1:19">
      <c r="A185" s="1152">
        <f t="shared" si="46"/>
        <v>171</v>
      </c>
      <c r="B185" s="1040"/>
      <c r="C185" s="619" t="s">
        <v>301</v>
      </c>
    </row>
    <row r="186" spans="1:19">
      <c r="A186" s="1152">
        <f t="shared" si="46"/>
        <v>172</v>
      </c>
      <c r="B186" s="1046">
        <v>39000</v>
      </c>
      <c r="C186" s="233" t="s">
        <v>856</v>
      </c>
      <c r="D186" s="322">
        <v>1906437.8822358211</v>
      </c>
      <c r="E186" s="346">
        <v>0</v>
      </c>
      <c r="F186" s="346">
        <f t="shared" ref="F186" si="57">D186+E186</f>
        <v>1906437.8822358211</v>
      </c>
      <c r="G186" s="466">
        <f>Allocation!$C$14</f>
        <v>0.104</v>
      </c>
      <c r="H186" s="466">
        <f>Allocation!$D$14</f>
        <v>0.49780000000000002</v>
      </c>
      <c r="I186" s="346">
        <f t="shared" ref="I186:I223" si="58">F186*G186*H186</f>
        <v>98698.576888807147</v>
      </c>
      <c r="K186" s="322">
        <v>1779523.200019439</v>
      </c>
      <c r="L186" s="466">
        <f t="shared" ref="L186:L213" si="59">G186</f>
        <v>0.104</v>
      </c>
      <c r="M186" s="466">
        <f t="shared" ref="M186:M198" si="60">H186</f>
        <v>0.49780000000000002</v>
      </c>
      <c r="N186" s="346">
        <f t="shared" ref="N186" si="61">K186*L186*M186</f>
        <v>92128.051492846382</v>
      </c>
      <c r="P186" s="660"/>
      <c r="S186" s="423"/>
    </row>
    <row r="187" spans="1:19">
      <c r="A187" s="1152">
        <f t="shared" si="46"/>
        <v>173</v>
      </c>
      <c r="B187" s="1046">
        <v>39005</v>
      </c>
      <c r="C187" s="233" t="s">
        <v>1196</v>
      </c>
      <c r="D187" s="322">
        <v>9187141.9699999988</v>
      </c>
      <c r="E187" s="621">
        <v>0</v>
      </c>
      <c r="F187" s="429">
        <f>D187+E187</f>
        <v>9187141.9699999988</v>
      </c>
      <c r="G187" s="466">
        <v>1</v>
      </c>
      <c r="H187" s="466">
        <f>Allocation!$E$20</f>
        <v>1.570628E-2</v>
      </c>
      <c r="I187" s="429">
        <f>F187*G187*H187</f>
        <v>144295.82418057157</v>
      </c>
      <c r="K187" s="322">
        <v>9187141.9699999988</v>
      </c>
      <c r="L187" s="466">
        <f>G187</f>
        <v>1</v>
      </c>
      <c r="M187" s="466">
        <f t="shared" si="60"/>
        <v>1.570628E-2</v>
      </c>
      <c r="N187" s="429">
        <f>K187*L187*M187</f>
        <v>144295.82418057157</v>
      </c>
      <c r="P187" s="660"/>
      <c r="S187" s="423"/>
    </row>
    <row r="188" spans="1:19">
      <c r="A188" s="1152">
        <f t="shared" si="46"/>
        <v>174</v>
      </c>
      <c r="B188" s="1046">
        <v>39009</v>
      </c>
      <c r="C188" s="233" t="s">
        <v>1036</v>
      </c>
      <c r="D188" s="322">
        <v>9316001.1799999997</v>
      </c>
      <c r="E188" s="621">
        <v>0</v>
      </c>
      <c r="F188" s="429">
        <f t="shared" ref="F188:F223" si="62">D188+E188</f>
        <v>9316001.1799999997</v>
      </c>
      <c r="G188" s="466">
        <f t="shared" ref="G188:G207" si="63">$G$186</f>
        <v>0.104</v>
      </c>
      <c r="H188" s="466">
        <f>$H$186</f>
        <v>0.49780000000000002</v>
      </c>
      <c r="I188" s="429">
        <f t="shared" si="58"/>
        <v>482300.56029001594</v>
      </c>
      <c r="K188" s="322">
        <v>9316001.1800000034</v>
      </c>
      <c r="L188" s="466">
        <f t="shared" si="59"/>
        <v>0.104</v>
      </c>
      <c r="M188" s="466">
        <f t="shared" si="60"/>
        <v>0.49780000000000002</v>
      </c>
      <c r="N188" s="429">
        <f t="shared" ref="N188:N223" si="64">K188*L188*M188</f>
        <v>482300.56029001618</v>
      </c>
      <c r="P188" s="660"/>
      <c r="S188" s="423"/>
    </row>
    <row r="189" spans="1:19">
      <c r="A189" s="1152">
        <f t="shared" si="46"/>
        <v>175</v>
      </c>
      <c r="B189" s="1046">
        <v>39020</v>
      </c>
      <c r="C189" s="233" t="s">
        <v>1500</v>
      </c>
      <c r="D189" s="322">
        <v>0</v>
      </c>
      <c r="E189" s="621">
        <v>0</v>
      </c>
      <c r="F189" s="429">
        <f t="shared" si="62"/>
        <v>0</v>
      </c>
      <c r="G189" s="466">
        <v>1</v>
      </c>
      <c r="H189" s="466">
        <f>Allocation!E22</f>
        <v>6.3622429999999994E-2</v>
      </c>
      <c r="I189" s="429">
        <f t="shared" si="58"/>
        <v>0</v>
      </c>
      <c r="K189" s="322">
        <v>0</v>
      </c>
      <c r="L189" s="466">
        <v>1</v>
      </c>
      <c r="M189" s="466">
        <f t="shared" si="60"/>
        <v>6.3622429999999994E-2</v>
      </c>
      <c r="N189" s="429">
        <f t="shared" si="64"/>
        <v>0</v>
      </c>
      <c r="P189" s="660"/>
      <c r="S189" s="423"/>
    </row>
    <row r="190" spans="1:19">
      <c r="A190" s="1152">
        <f t="shared" si="46"/>
        <v>176</v>
      </c>
      <c r="B190" s="1046">
        <v>39029</v>
      </c>
      <c r="C190" s="233" t="s">
        <v>1501</v>
      </c>
      <c r="D190" s="322">
        <v>22336.69518871027</v>
      </c>
      <c r="E190" s="621">
        <v>0</v>
      </c>
      <c r="F190" s="429">
        <f t="shared" si="62"/>
        <v>22336.69518871027</v>
      </c>
      <c r="G190" s="466">
        <v>1</v>
      </c>
      <c r="H190" s="466">
        <f>H189</f>
        <v>6.3622429999999994E-2</v>
      </c>
      <c r="I190" s="429">
        <f t="shared" si="58"/>
        <v>1421.1148260750558</v>
      </c>
      <c r="K190" s="322">
        <v>16610.270993162954</v>
      </c>
      <c r="L190" s="466">
        <v>1</v>
      </c>
      <c r="M190" s="466">
        <f t="shared" si="60"/>
        <v>6.3622429999999994E-2</v>
      </c>
      <c r="N190" s="429">
        <f t="shared" si="64"/>
        <v>1056.7858035435404</v>
      </c>
      <c r="P190" s="660"/>
      <c r="S190" s="423"/>
    </row>
    <row r="191" spans="1:19">
      <c r="A191" s="1152">
        <f t="shared" si="46"/>
        <v>177</v>
      </c>
      <c r="B191" s="1046">
        <v>39100</v>
      </c>
      <c r="C191" s="233" t="s">
        <v>779</v>
      </c>
      <c r="D191" s="322">
        <v>5191908.1543094171</v>
      </c>
      <c r="E191" s="621">
        <v>0</v>
      </c>
      <c r="F191" s="429">
        <f t="shared" si="62"/>
        <v>5191908.1543094171</v>
      </c>
      <c r="G191" s="466">
        <f t="shared" si="63"/>
        <v>0.104</v>
      </c>
      <c r="H191" s="466">
        <f>$H$186</f>
        <v>0.49780000000000002</v>
      </c>
      <c r="I191" s="429">
        <f t="shared" si="58"/>
        <v>268791.31543838372</v>
      </c>
      <c r="K191" s="322">
        <v>5173166.5316175232</v>
      </c>
      <c r="L191" s="466">
        <f t="shared" si="59"/>
        <v>0.104</v>
      </c>
      <c r="M191" s="466">
        <f t="shared" si="60"/>
        <v>0.49780000000000002</v>
      </c>
      <c r="N191" s="429">
        <f t="shared" si="64"/>
        <v>267821.03914167709</v>
      </c>
      <c r="P191" s="660"/>
      <c r="S191" s="423"/>
    </row>
    <row r="192" spans="1:19">
      <c r="A192" s="1152">
        <f t="shared" si="46"/>
        <v>178</v>
      </c>
      <c r="B192" s="1046">
        <v>39102</v>
      </c>
      <c r="C192" s="233" t="s">
        <v>527</v>
      </c>
      <c r="D192" s="322">
        <v>0</v>
      </c>
      <c r="E192" s="621">
        <v>0</v>
      </c>
      <c r="F192" s="429">
        <f t="shared" si="62"/>
        <v>0</v>
      </c>
      <c r="G192" s="466">
        <f t="shared" si="63"/>
        <v>0.104</v>
      </c>
      <c r="H192" s="466">
        <f>$H$186</f>
        <v>0.49780000000000002</v>
      </c>
      <c r="I192" s="429">
        <f t="shared" si="58"/>
        <v>0</v>
      </c>
      <c r="K192" s="322">
        <v>0</v>
      </c>
      <c r="L192" s="466">
        <f t="shared" si="59"/>
        <v>0.104</v>
      </c>
      <c r="M192" s="466">
        <f t="shared" si="60"/>
        <v>0.49780000000000002</v>
      </c>
      <c r="N192" s="429">
        <f t="shared" si="64"/>
        <v>0</v>
      </c>
      <c r="P192" s="660"/>
      <c r="S192" s="423"/>
    </row>
    <row r="193" spans="1:19">
      <c r="A193" s="1152">
        <f t="shared" si="46"/>
        <v>179</v>
      </c>
      <c r="B193" s="1046">
        <v>39103</v>
      </c>
      <c r="C193" s="233" t="s">
        <v>780</v>
      </c>
      <c r="D193" s="322">
        <v>0</v>
      </c>
      <c r="E193" s="621">
        <v>0</v>
      </c>
      <c r="F193" s="429">
        <f t="shared" si="62"/>
        <v>0</v>
      </c>
      <c r="G193" s="466">
        <f t="shared" si="63"/>
        <v>0.104</v>
      </c>
      <c r="H193" s="466">
        <f>$H$186</f>
        <v>0.49780000000000002</v>
      </c>
      <c r="I193" s="429">
        <f t="shared" si="58"/>
        <v>0</v>
      </c>
      <c r="K193" s="322">
        <v>0</v>
      </c>
      <c r="L193" s="466">
        <f t="shared" si="59"/>
        <v>0.104</v>
      </c>
      <c r="M193" s="466">
        <f t="shared" si="60"/>
        <v>0.49780000000000002</v>
      </c>
      <c r="N193" s="429">
        <f t="shared" si="64"/>
        <v>0</v>
      </c>
      <c r="P193" s="660"/>
      <c r="S193" s="423"/>
    </row>
    <row r="194" spans="1:19">
      <c r="A194" s="1152">
        <f t="shared" si="46"/>
        <v>180</v>
      </c>
      <c r="B194" s="1046">
        <v>39104</v>
      </c>
      <c r="C194" s="233" t="s">
        <v>1197</v>
      </c>
      <c r="D194" s="322">
        <v>178593.64742374749</v>
      </c>
      <c r="E194" s="621">
        <v>0</v>
      </c>
      <c r="F194" s="429">
        <f t="shared" si="62"/>
        <v>178593.64742374749</v>
      </c>
      <c r="G194" s="466">
        <v>1</v>
      </c>
      <c r="H194" s="466">
        <f>$H$187</f>
        <v>1.570628E-2</v>
      </c>
      <c r="I194" s="429">
        <f t="shared" si="58"/>
        <v>2805.0418326586569</v>
      </c>
      <c r="K194" s="322">
        <v>149149.01237200247</v>
      </c>
      <c r="L194" s="466">
        <f>G194</f>
        <v>1</v>
      </c>
      <c r="M194" s="466">
        <f t="shared" si="60"/>
        <v>1.570628E-2</v>
      </c>
      <c r="N194" s="429">
        <f t="shared" si="64"/>
        <v>2342.576150038135</v>
      </c>
      <c r="P194" s="660"/>
      <c r="S194" s="423"/>
    </row>
    <row r="195" spans="1:19">
      <c r="A195" s="1152">
        <f t="shared" si="46"/>
        <v>181</v>
      </c>
      <c r="B195" s="1046">
        <v>39120</v>
      </c>
      <c r="C195" s="233" t="s">
        <v>1502</v>
      </c>
      <c r="D195" s="322">
        <v>263337.89</v>
      </c>
      <c r="E195" s="621">
        <v>0</v>
      </c>
      <c r="F195" s="429">
        <f t="shared" si="62"/>
        <v>263337.89</v>
      </c>
      <c r="G195" s="466">
        <v>1</v>
      </c>
      <c r="H195" s="466">
        <f>H190</f>
        <v>6.3622429999999994E-2</v>
      </c>
      <c r="I195" s="429">
        <f t="shared" si="58"/>
        <v>16754.1964728727</v>
      </c>
      <c r="K195" s="322">
        <v>263337.89000000007</v>
      </c>
      <c r="L195" s="466">
        <v>1</v>
      </c>
      <c r="M195" s="466">
        <f t="shared" si="60"/>
        <v>6.3622429999999994E-2</v>
      </c>
      <c r="N195" s="429">
        <f t="shared" si="64"/>
        <v>16754.196472872703</v>
      </c>
      <c r="P195" s="660"/>
      <c r="S195" s="423"/>
    </row>
    <row r="196" spans="1:19">
      <c r="A196" s="1152">
        <f t="shared" si="46"/>
        <v>182</v>
      </c>
      <c r="B196" s="1046">
        <v>39200</v>
      </c>
      <c r="C196" s="233" t="s">
        <v>1076</v>
      </c>
      <c r="D196" s="322">
        <v>7125.41</v>
      </c>
      <c r="E196" s="621">
        <v>0</v>
      </c>
      <c r="F196" s="429">
        <f t="shared" si="62"/>
        <v>7125.41</v>
      </c>
      <c r="G196" s="466">
        <f t="shared" si="63"/>
        <v>0.104</v>
      </c>
      <c r="H196" s="466">
        <f t="shared" ref="H196:H218" si="65">$H$186</f>
        <v>0.49780000000000002</v>
      </c>
      <c r="I196" s="429">
        <f t="shared" si="58"/>
        <v>368.89102619200003</v>
      </c>
      <c r="K196" s="322">
        <v>7125.4100000000026</v>
      </c>
      <c r="L196" s="466">
        <f t="shared" si="59"/>
        <v>0.104</v>
      </c>
      <c r="M196" s="466">
        <f t="shared" si="60"/>
        <v>0.49780000000000002</v>
      </c>
      <c r="N196" s="429">
        <f t="shared" si="64"/>
        <v>368.89102619200014</v>
      </c>
      <c r="P196" s="660"/>
      <c r="S196" s="423"/>
    </row>
    <row r="197" spans="1:19">
      <c r="A197" s="1152">
        <f t="shared" si="46"/>
        <v>183</v>
      </c>
      <c r="B197" s="1046">
        <v>39300</v>
      </c>
      <c r="C197" s="233" t="s">
        <v>649</v>
      </c>
      <c r="D197" s="322">
        <v>0</v>
      </c>
      <c r="E197" s="621">
        <v>0</v>
      </c>
      <c r="F197" s="429">
        <f t="shared" si="62"/>
        <v>0</v>
      </c>
      <c r="G197" s="466">
        <f t="shared" si="63"/>
        <v>0.104</v>
      </c>
      <c r="H197" s="466">
        <f t="shared" si="65"/>
        <v>0.49780000000000002</v>
      </c>
      <c r="I197" s="429">
        <f t="shared" si="58"/>
        <v>0</v>
      </c>
      <c r="K197" s="322">
        <v>0</v>
      </c>
      <c r="L197" s="466">
        <f t="shared" si="59"/>
        <v>0.104</v>
      </c>
      <c r="M197" s="466">
        <f t="shared" si="60"/>
        <v>0.49780000000000002</v>
      </c>
      <c r="N197" s="429">
        <f t="shared" si="64"/>
        <v>0</v>
      </c>
      <c r="P197" s="660"/>
      <c r="S197" s="423"/>
    </row>
    <row r="198" spans="1:19">
      <c r="A198" s="1152">
        <f t="shared" si="46"/>
        <v>184</v>
      </c>
      <c r="B198" s="1046">
        <v>39400</v>
      </c>
      <c r="C198" s="233" t="s">
        <v>1035</v>
      </c>
      <c r="D198" s="322">
        <v>76071.34</v>
      </c>
      <c r="E198" s="621">
        <v>0</v>
      </c>
      <c r="F198" s="429">
        <f t="shared" si="62"/>
        <v>76071.34</v>
      </c>
      <c r="G198" s="466">
        <f t="shared" si="63"/>
        <v>0.104</v>
      </c>
      <c r="H198" s="466">
        <f t="shared" si="65"/>
        <v>0.49780000000000002</v>
      </c>
      <c r="I198" s="429">
        <f t="shared" si="58"/>
        <v>3938.3045574079997</v>
      </c>
      <c r="K198" s="322">
        <v>76071.339999999982</v>
      </c>
      <c r="L198" s="466">
        <f t="shared" si="59"/>
        <v>0.104</v>
      </c>
      <c r="M198" s="466">
        <f t="shared" si="60"/>
        <v>0.49780000000000002</v>
      </c>
      <c r="N198" s="429">
        <f t="shared" si="64"/>
        <v>3938.3045574079993</v>
      </c>
      <c r="P198" s="660"/>
      <c r="S198" s="423"/>
    </row>
    <row r="199" spans="1:19">
      <c r="A199" s="1152">
        <f t="shared" si="46"/>
        <v>185</v>
      </c>
      <c r="B199" s="1046">
        <v>39420</v>
      </c>
      <c r="C199" s="233" t="s">
        <v>1503</v>
      </c>
      <c r="D199" s="322">
        <v>0</v>
      </c>
      <c r="E199" s="621">
        <v>0</v>
      </c>
      <c r="F199" s="429">
        <f t="shared" si="62"/>
        <v>0</v>
      </c>
      <c r="G199" s="466">
        <v>1</v>
      </c>
      <c r="H199" s="466">
        <f>H195</f>
        <v>6.3622429999999994E-2</v>
      </c>
      <c r="I199" s="429">
        <f t="shared" si="58"/>
        <v>0</v>
      </c>
      <c r="K199" s="322">
        <v>0</v>
      </c>
      <c r="L199" s="466">
        <v>1</v>
      </c>
      <c r="M199" s="466">
        <f t="shared" ref="M199:M223" si="66">H199</f>
        <v>6.3622429999999994E-2</v>
      </c>
      <c r="N199" s="429">
        <f t="shared" si="64"/>
        <v>0</v>
      </c>
      <c r="P199" s="660"/>
      <c r="S199" s="423"/>
    </row>
    <row r="200" spans="1:19">
      <c r="A200" s="1152">
        <f t="shared" si="46"/>
        <v>186</v>
      </c>
      <c r="B200" s="1046">
        <v>39500</v>
      </c>
      <c r="C200" s="233" t="s">
        <v>1198</v>
      </c>
      <c r="D200" s="322">
        <v>0</v>
      </c>
      <c r="E200" s="621">
        <v>0</v>
      </c>
      <c r="F200" s="429">
        <f t="shared" si="62"/>
        <v>0</v>
      </c>
      <c r="G200" s="466">
        <f t="shared" si="63"/>
        <v>0.104</v>
      </c>
      <c r="H200" s="466">
        <f t="shared" si="65"/>
        <v>0.49780000000000002</v>
      </c>
      <c r="I200" s="429">
        <f t="shared" si="58"/>
        <v>0</v>
      </c>
      <c r="K200" s="322">
        <v>0</v>
      </c>
      <c r="L200" s="466">
        <f t="shared" si="59"/>
        <v>0.104</v>
      </c>
      <c r="M200" s="466">
        <f t="shared" si="66"/>
        <v>0.49780000000000002</v>
      </c>
      <c r="N200" s="429">
        <f t="shared" si="64"/>
        <v>0</v>
      </c>
      <c r="P200" s="660"/>
      <c r="S200" s="423"/>
    </row>
    <row r="201" spans="1:19">
      <c r="A201" s="1152">
        <f t="shared" si="46"/>
        <v>187</v>
      </c>
      <c r="B201" s="1046">
        <v>39700</v>
      </c>
      <c r="C201" s="233" t="s">
        <v>440</v>
      </c>
      <c r="D201" s="322">
        <v>1039344.41</v>
      </c>
      <c r="E201" s="621">
        <v>0</v>
      </c>
      <c r="F201" s="429">
        <f t="shared" si="62"/>
        <v>1039344.41</v>
      </c>
      <c r="G201" s="466">
        <f t="shared" si="63"/>
        <v>0.104</v>
      </c>
      <c r="H201" s="466">
        <f t="shared" si="65"/>
        <v>0.49780000000000002</v>
      </c>
      <c r="I201" s="429">
        <f t="shared" si="58"/>
        <v>53808.107318991999</v>
      </c>
      <c r="K201" s="322">
        <v>1039344.41</v>
      </c>
      <c r="L201" s="466">
        <f t="shared" si="59"/>
        <v>0.104</v>
      </c>
      <c r="M201" s="466">
        <f t="shared" si="66"/>
        <v>0.49780000000000002</v>
      </c>
      <c r="N201" s="429">
        <f t="shared" si="64"/>
        <v>53808.107318991999</v>
      </c>
      <c r="P201" s="660"/>
      <c r="S201" s="423"/>
    </row>
    <row r="202" spans="1:19">
      <c r="A202" s="1152">
        <f t="shared" si="46"/>
        <v>188</v>
      </c>
      <c r="B202" s="1046">
        <v>39720</v>
      </c>
      <c r="C202" s="233" t="s">
        <v>1504</v>
      </c>
      <c r="D202" s="322">
        <v>8824.34</v>
      </c>
      <c r="E202" s="621">
        <v>0</v>
      </c>
      <c r="F202" s="429">
        <f t="shared" si="62"/>
        <v>8824.34</v>
      </c>
      <c r="G202" s="466">
        <v>1</v>
      </c>
      <c r="H202" s="466">
        <f>H199</f>
        <v>6.3622429999999994E-2</v>
      </c>
      <c r="I202" s="429">
        <f t="shared" si="58"/>
        <v>561.42595394619991</v>
      </c>
      <c r="K202" s="322">
        <v>8824.3399999999983</v>
      </c>
      <c r="L202" s="466">
        <v>1</v>
      </c>
      <c r="M202" s="466">
        <f t="shared" si="66"/>
        <v>6.3622429999999994E-2</v>
      </c>
      <c r="N202" s="429">
        <f t="shared" si="64"/>
        <v>561.4259539461998</v>
      </c>
      <c r="P202" s="660"/>
      <c r="S202" s="423"/>
    </row>
    <row r="203" spans="1:19">
      <c r="A203" s="1152">
        <f t="shared" si="46"/>
        <v>189</v>
      </c>
      <c r="B203" s="1046">
        <v>39800</v>
      </c>
      <c r="C203" s="233" t="s">
        <v>650</v>
      </c>
      <c r="D203" s="322">
        <v>136509.51999999999</v>
      </c>
      <c r="E203" s="621">
        <v>0</v>
      </c>
      <c r="F203" s="429">
        <f t="shared" si="62"/>
        <v>136509.51999999999</v>
      </c>
      <c r="G203" s="466">
        <f t="shared" si="63"/>
        <v>0.104</v>
      </c>
      <c r="H203" s="466">
        <f t="shared" si="65"/>
        <v>0.49780000000000002</v>
      </c>
      <c r="I203" s="429">
        <f t="shared" si="58"/>
        <v>7067.261661823999</v>
      </c>
      <c r="K203" s="322">
        <v>136509.51999999999</v>
      </c>
      <c r="L203" s="466">
        <f t="shared" si="59"/>
        <v>0.104</v>
      </c>
      <c r="M203" s="466">
        <f t="shared" si="66"/>
        <v>0.49780000000000002</v>
      </c>
      <c r="N203" s="429">
        <f t="shared" si="64"/>
        <v>7067.261661823999</v>
      </c>
      <c r="P203" s="660"/>
      <c r="S203" s="423"/>
    </row>
    <row r="204" spans="1:19">
      <c r="A204" s="1152">
        <f t="shared" si="46"/>
        <v>190</v>
      </c>
      <c r="B204" s="1046">
        <v>39820</v>
      </c>
      <c r="C204" s="233" t="s">
        <v>1505</v>
      </c>
      <c r="D204" s="322">
        <v>7388.39</v>
      </c>
      <c r="E204" s="621">
        <v>0</v>
      </c>
      <c r="F204" s="429">
        <f t="shared" si="62"/>
        <v>7388.39</v>
      </c>
      <c r="G204" s="466">
        <v>1</v>
      </c>
      <c r="H204" s="466">
        <f>H202</f>
        <v>6.3622429999999994E-2</v>
      </c>
      <c r="I204" s="429">
        <f t="shared" si="58"/>
        <v>470.0673255877</v>
      </c>
      <c r="K204" s="322">
        <v>7388.39</v>
      </c>
      <c r="L204" s="466">
        <v>1</v>
      </c>
      <c r="M204" s="466">
        <f t="shared" si="66"/>
        <v>6.3622429999999994E-2</v>
      </c>
      <c r="N204" s="429">
        <f t="shared" si="64"/>
        <v>470.0673255877</v>
      </c>
      <c r="P204" s="660"/>
      <c r="S204" s="423"/>
    </row>
    <row r="205" spans="1:19">
      <c r="A205" s="1152">
        <f t="shared" si="46"/>
        <v>191</v>
      </c>
      <c r="B205" s="1046">
        <v>39900</v>
      </c>
      <c r="C205" s="233" t="s">
        <v>1152</v>
      </c>
      <c r="D205" s="322">
        <v>161644.35355547245</v>
      </c>
      <c r="E205" s="621">
        <v>0</v>
      </c>
      <c r="F205" s="429">
        <f t="shared" si="62"/>
        <v>161644.35355547245</v>
      </c>
      <c r="G205" s="466">
        <f t="shared" si="63"/>
        <v>0.104</v>
      </c>
      <c r="H205" s="466">
        <f t="shared" si="65"/>
        <v>0.49780000000000002</v>
      </c>
      <c r="I205" s="429">
        <f t="shared" si="58"/>
        <v>8368.5221567910758</v>
      </c>
      <c r="K205" s="322">
        <v>161815.07353029138</v>
      </c>
      <c r="L205" s="466">
        <f t="shared" si="59"/>
        <v>0.104</v>
      </c>
      <c r="M205" s="466">
        <f t="shared" si="66"/>
        <v>0.49780000000000002</v>
      </c>
      <c r="N205" s="429">
        <f t="shared" si="64"/>
        <v>8377.3605347514222</v>
      </c>
      <c r="P205" s="660"/>
      <c r="S205" s="423"/>
    </row>
    <row r="206" spans="1:19">
      <c r="A206" s="1152">
        <f t="shared" si="46"/>
        <v>192</v>
      </c>
      <c r="B206" s="1046">
        <v>39901</v>
      </c>
      <c r="C206" s="233" t="s">
        <v>474</v>
      </c>
      <c r="D206" s="322">
        <v>44862780.270172134</v>
      </c>
      <c r="E206" s="621">
        <v>0</v>
      </c>
      <c r="F206" s="429">
        <f t="shared" si="62"/>
        <v>44862780.270172134</v>
      </c>
      <c r="G206" s="466">
        <f t="shared" si="63"/>
        <v>0.104</v>
      </c>
      <c r="H206" s="466">
        <f t="shared" si="65"/>
        <v>0.49780000000000002</v>
      </c>
      <c r="I206" s="429">
        <f t="shared" si="58"/>
        <v>2322599.9699231354</v>
      </c>
      <c r="K206" s="322">
        <v>42848022.998476818</v>
      </c>
      <c r="L206" s="466">
        <f t="shared" si="59"/>
        <v>0.104</v>
      </c>
      <c r="M206" s="466">
        <f t="shared" si="66"/>
        <v>0.49780000000000002</v>
      </c>
      <c r="N206" s="429">
        <f t="shared" si="64"/>
        <v>2218293.5682587428</v>
      </c>
      <c r="P206" s="660"/>
      <c r="S206" s="423"/>
    </row>
    <row r="207" spans="1:19">
      <c r="A207" s="1152">
        <f t="shared" si="46"/>
        <v>193</v>
      </c>
      <c r="B207" s="1046">
        <v>39902</v>
      </c>
      <c r="C207" s="233" t="s">
        <v>960</v>
      </c>
      <c r="D207" s="322">
        <v>28287161.477671895</v>
      </c>
      <c r="E207" s="621">
        <v>0</v>
      </c>
      <c r="F207" s="429">
        <f t="shared" si="62"/>
        <v>28287161.477671895</v>
      </c>
      <c r="G207" s="466">
        <f t="shared" si="63"/>
        <v>0.104</v>
      </c>
      <c r="H207" s="466">
        <f t="shared" si="65"/>
        <v>0.49780000000000002</v>
      </c>
      <c r="I207" s="429">
        <f t="shared" si="58"/>
        <v>1464460.2942928474</v>
      </c>
      <c r="K207" s="322">
        <v>25907654.764438707</v>
      </c>
      <c r="L207" s="466">
        <f t="shared" si="59"/>
        <v>0.104</v>
      </c>
      <c r="M207" s="466">
        <f t="shared" si="66"/>
        <v>0.49780000000000002</v>
      </c>
      <c r="N207" s="429">
        <f t="shared" si="64"/>
        <v>1341270.3763407092</v>
      </c>
      <c r="P207" s="660"/>
      <c r="S207" s="423"/>
    </row>
    <row r="208" spans="1:19">
      <c r="A208" s="1152">
        <f t="shared" si="46"/>
        <v>194</v>
      </c>
      <c r="B208" s="1046">
        <v>39903</v>
      </c>
      <c r="C208" s="233" t="s">
        <v>1003</v>
      </c>
      <c r="D208" s="322">
        <v>10165829.93449687</v>
      </c>
      <c r="E208" s="621">
        <v>0</v>
      </c>
      <c r="F208" s="429">
        <f t="shared" si="62"/>
        <v>10165829.93449687</v>
      </c>
      <c r="G208" s="466">
        <f t="shared" ref="G208:G218" si="67">$G$186</f>
        <v>0.104</v>
      </c>
      <c r="H208" s="466">
        <f t="shared" si="65"/>
        <v>0.49780000000000002</v>
      </c>
      <c r="I208" s="429">
        <f t="shared" si="58"/>
        <v>526297.21470482438</v>
      </c>
      <c r="K208" s="322">
        <v>8469471.429379439</v>
      </c>
      <c r="L208" s="466">
        <f t="shared" si="59"/>
        <v>0.104</v>
      </c>
      <c r="M208" s="466">
        <f t="shared" si="66"/>
        <v>0.49780000000000002</v>
      </c>
      <c r="N208" s="429">
        <f t="shared" si="64"/>
        <v>438474.69926468882</v>
      </c>
      <c r="P208" s="660"/>
      <c r="S208" s="423"/>
    </row>
    <row r="209" spans="1:19">
      <c r="A209" s="1152">
        <f t="shared" si="46"/>
        <v>195</v>
      </c>
      <c r="B209" s="1046">
        <v>39904</v>
      </c>
      <c r="C209" s="233" t="s">
        <v>1177</v>
      </c>
      <c r="D209" s="322">
        <v>0</v>
      </c>
      <c r="E209" s="621">
        <v>0</v>
      </c>
      <c r="F209" s="429">
        <f t="shared" si="62"/>
        <v>0</v>
      </c>
      <c r="G209" s="466">
        <f t="shared" si="67"/>
        <v>0.104</v>
      </c>
      <c r="H209" s="466">
        <f t="shared" si="65"/>
        <v>0.49780000000000002</v>
      </c>
      <c r="I209" s="429">
        <f t="shared" si="58"/>
        <v>0</v>
      </c>
      <c r="K209" s="322">
        <v>0</v>
      </c>
      <c r="L209" s="466">
        <f t="shared" si="59"/>
        <v>0.104</v>
      </c>
      <c r="M209" s="466">
        <f t="shared" si="66"/>
        <v>0.49780000000000002</v>
      </c>
      <c r="N209" s="429">
        <f t="shared" si="64"/>
        <v>0</v>
      </c>
      <c r="P209" s="660"/>
      <c r="S209" s="423"/>
    </row>
    <row r="210" spans="1:19">
      <c r="A210" s="1152">
        <f t="shared" si="46"/>
        <v>196</v>
      </c>
      <c r="B210" s="1046">
        <v>39905</v>
      </c>
      <c r="C210" s="233" t="s">
        <v>497</v>
      </c>
      <c r="D210" s="322">
        <v>0</v>
      </c>
      <c r="E210" s="621">
        <v>0</v>
      </c>
      <c r="F210" s="429">
        <f t="shared" si="62"/>
        <v>0</v>
      </c>
      <c r="G210" s="466">
        <f t="shared" si="67"/>
        <v>0.104</v>
      </c>
      <c r="H210" s="466">
        <f t="shared" si="65"/>
        <v>0.49780000000000002</v>
      </c>
      <c r="I210" s="429">
        <f t="shared" si="58"/>
        <v>0</v>
      </c>
      <c r="K210" s="322">
        <v>0</v>
      </c>
      <c r="L210" s="466">
        <f t="shared" si="59"/>
        <v>0.104</v>
      </c>
      <c r="M210" s="466">
        <f t="shared" si="66"/>
        <v>0.49780000000000002</v>
      </c>
      <c r="N210" s="429">
        <f t="shared" si="64"/>
        <v>0</v>
      </c>
      <c r="P210" s="660"/>
      <c r="S210" s="423"/>
    </row>
    <row r="211" spans="1:19">
      <c r="A211" s="1152">
        <f t="shared" si="46"/>
        <v>197</v>
      </c>
      <c r="B211" s="1046">
        <v>39906</v>
      </c>
      <c r="C211" s="233" t="s">
        <v>451</v>
      </c>
      <c r="D211" s="322">
        <v>2681536.1489691255</v>
      </c>
      <c r="E211" s="621">
        <v>0</v>
      </c>
      <c r="F211" s="429">
        <f t="shared" si="62"/>
        <v>2681536.1489691255</v>
      </c>
      <c r="G211" s="466">
        <f t="shared" si="67"/>
        <v>0.104</v>
      </c>
      <c r="H211" s="466">
        <f t="shared" si="65"/>
        <v>0.49780000000000002</v>
      </c>
      <c r="I211" s="429">
        <f t="shared" si="58"/>
        <v>138826.3442755104</v>
      </c>
      <c r="K211" s="322">
        <v>2624239.8617039579</v>
      </c>
      <c r="L211" s="466">
        <f t="shared" si="59"/>
        <v>0.104</v>
      </c>
      <c r="M211" s="466">
        <f t="shared" si="66"/>
        <v>0.49780000000000002</v>
      </c>
      <c r="N211" s="429">
        <f t="shared" si="64"/>
        <v>135860.04672824795</v>
      </c>
      <c r="P211" s="660"/>
      <c r="S211" s="423"/>
    </row>
    <row r="212" spans="1:19">
      <c r="A212" s="1152">
        <f t="shared" ref="A212:A273" si="68">A211+1</f>
        <v>198</v>
      </c>
      <c r="B212" s="1046">
        <v>39907</v>
      </c>
      <c r="C212" s="233" t="s">
        <v>505</v>
      </c>
      <c r="D212" s="322">
        <v>1731491.9693363735</v>
      </c>
      <c r="E212" s="621">
        <v>0</v>
      </c>
      <c r="F212" s="429">
        <f t="shared" si="62"/>
        <v>1731491.9693363735</v>
      </c>
      <c r="G212" s="466">
        <f t="shared" si="67"/>
        <v>0.104</v>
      </c>
      <c r="H212" s="466">
        <f t="shared" si="65"/>
        <v>0.49780000000000002</v>
      </c>
      <c r="I212" s="429">
        <f t="shared" si="58"/>
        <v>89641.417042907255</v>
      </c>
      <c r="K212" s="322">
        <v>1665290.7183161215</v>
      </c>
      <c r="L212" s="466">
        <f t="shared" si="59"/>
        <v>0.104</v>
      </c>
      <c r="M212" s="466">
        <f t="shared" si="66"/>
        <v>0.49780000000000002</v>
      </c>
      <c r="N212" s="429">
        <f t="shared" si="64"/>
        <v>86214.098836087593</v>
      </c>
      <c r="P212" s="660"/>
      <c r="S212" s="423"/>
    </row>
    <row r="213" spans="1:19">
      <c r="A213" s="1152">
        <f t="shared" si="68"/>
        <v>199</v>
      </c>
      <c r="B213" s="1046">
        <v>39908</v>
      </c>
      <c r="C213" s="233" t="s">
        <v>179</v>
      </c>
      <c r="D213" s="322">
        <v>77600897.367737845</v>
      </c>
      <c r="E213" s="621">
        <v>0</v>
      </c>
      <c r="F213" s="429">
        <f t="shared" si="62"/>
        <v>77600897.367737845</v>
      </c>
      <c r="G213" s="466">
        <f t="shared" si="67"/>
        <v>0.104</v>
      </c>
      <c r="H213" s="466">
        <f t="shared" si="65"/>
        <v>0.49780000000000002</v>
      </c>
      <c r="I213" s="429">
        <f t="shared" si="58"/>
        <v>4017491.5778046292</v>
      </c>
      <c r="K213" s="322">
        <v>74938242.899011001</v>
      </c>
      <c r="L213" s="466">
        <f t="shared" si="59"/>
        <v>0.104</v>
      </c>
      <c r="M213" s="466">
        <f t="shared" si="66"/>
        <v>0.49780000000000002</v>
      </c>
      <c r="N213" s="429">
        <f t="shared" si="64"/>
        <v>3879642.7607732783</v>
      </c>
      <c r="P213" s="660"/>
      <c r="S213" s="423"/>
    </row>
    <row r="214" spans="1:19">
      <c r="A214" s="1152">
        <f t="shared" si="68"/>
        <v>200</v>
      </c>
      <c r="B214" s="1046">
        <v>39909</v>
      </c>
      <c r="C214" s="233" t="s">
        <v>342</v>
      </c>
      <c r="D214" s="322">
        <v>39251.620000000003</v>
      </c>
      <c r="E214" s="621">
        <v>0</v>
      </c>
      <c r="F214" s="429">
        <f t="shared" si="62"/>
        <v>39251.620000000003</v>
      </c>
      <c r="G214" s="466">
        <f t="shared" si="67"/>
        <v>0.104</v>
      </c>
      <c r="H214" s="466">
        <f t="shared" si="65"/>
        <v>0.49780000000000002</v>
      </c>
      <c r="I214" s="429">
        <f t="shared" si="58"/>
        <v>2032.1034693440001</v>
      </c>
      <c r="K214" s="322">
        <v>39251.620000000003</v>
      </c>
      <c r="L214" s="466">
        <f t="shared" ref="L214:L218" si="69">G214</f>
        <v>0.104</v>
      </c>
      <c r="M214" s="466">
        <f t="shared" si="66"/>
        <v>0.49780000000000002</v>
      </c>
      <c r="N214" s="429">
        <f t="shared" si="64"/>
        <v>2032.1034693440001</v>
      </c>
      <c r="P214" s="660"/>
      <c r="S214" s="423"/>
    </row>
    <row r="215" spans="1:19">
      <c r="A215" s="1152">
        <f t="shared" si="68"/>
        <v>201</v>
      </c>
      <c r="B215" s="1046">
        <v>39921</v>
      </c>
      <c r="C215" s="233" t="s">
        <v>1506</v>
      </c>
      <c r="D215" s="322">
        <v>1628899.91</v>
      </c>
      <c r="E215" s="621">
        <v>0</v>
      </c>
      <c r="F215" s="429">
        <f t="shared" si="62"/>
        <v>1628899.91</v>
      </c>
      <c r="G215" s="466">
        <v>1</v>
      </c>
      <c r="H215" s="466">
        <f>$H$204</f>
        <v>6.3622429999999994E-2</v>
      </c>
      <c r="I215" s="429">
        <f t="shared" si="58"/>
        <v>103634.57050098128</v>
      </c>
      <c r="K215" s="322">
        <v>1628899.91</v>
      </c>
      <c r="L215" s="466">
        <v>1</v>
      </c>
      <c r="M215" s="466">
        <f t="shared" si="66"/>
        <v>6.3622429999999994E-2</v>
      </c>
      <c r="N215" s="429">
        <f t="shared" si="64"/>
        <v>103634.57050098128</v>
      </c>
      <c r="P215" s="660"/>
      <c r="S215" s="423"/>
    </row>
    <row r="216" spans="1:19">
      <c r="A216" s="1152">
        <f t="shared" si="68"/>
        <v>202</v>
      </c>
      <c r="B216" s="1046">
        <v>39922</v>
      </c>
      <c r="C216" s="233" t="s">
        <v>1507</v>
      </c>
      <c r="D216" s="322">
        <v>961255.64</v>
      </c>
      <c r="E216" s="621">
        <v>0</v>
      </c>
      <c r="F216" s="429">
        <f t="shared" si="62"/>
        <v>961255.64</v>
      </c>
      <c r="G216" s="466">
        <v>1</v>
      </c>
      <c r="H216" s="466">
        <f t="shared" ref="H216:H217" si="70">$H$204</f>
        <v>6.3622429999999994E-2</v>
      </c>
      <c r="I216" s="429">
        <f t="shared" si="58"/>
        <v>61157.419668005197</v>
      </c>
      <c r="K216" s="322">
        <v>961255.64000000013</v>
      </c>
      <c r="L216" s="466">
        <v>1</v>
      </c>
      <c r="M216" s="466">
        <f t="shared" si="66"/>
        <v>6.3622429999999994E-2</v>
      </c>
      <c r="N216" s="429">
        <f t="shared" si="64"/>
        <v>61157.419668005205</v>
      </c>
      <c r="P216" s="660"/>
      <c r="S216" s="423"/>
    </row>
    <row r="217" spans="1:19">
      <c r="A217" s="1152">
        <f t="shared" si="68"/>
        <v>203</v>
      </c>
      <c r="B217" s="1046">
        <v>39923</v>
      </c>
      <c r="C217" s="233" t="s">
        <v>1508</v>
      </c>
      <c r="D217" s="322">
        <v>60170.36</v>
      </c>
      <c r="E217" s="621">
        <v>0</v>
      </c>
      <c r="F217" s="429">
        <f t="shared" si="62"/>
        <v>60170.36</v>
      </c>
      <c r="G217" s="466">
        <v>1</v>
      </c>
      <c r="H217" s="466">
        <f t="shared" si="70"/>
        <v>6.3622429999999994E-2</v>
      </c>
      <c r="I217" s="429">
        <f t="shared" si="58"/>
        <v>3828.1845171747996</v>
      </c>
      <c r="K217" s="322">
        <v>60170.359999999993</v>
      </c>
      <c r="L217" s="466">
        <v>1</v>
      </c>
      <c r="M217" s="466">
        <f t="shared" si="66"/>
        <v>6.3622429999999994E-2</v>
      </c>
      <c r="N217" s="429">
        <f t="shared" si="64"/>
        <v>3828.1845171747991</v>
      </c>
      <c r="P217" s="660"/>
      <c r="S217" s="423"/>
    </row>
    <row r="218" spans="1:19">
      <c r="A218" s="1152">
        <f t="shared" si="68"/>
        <v>204</v>
      </c>
      <c r="B218" s="1046">
        <v>39924</v>
      </c>
      <c r="C218" s="233" t="s">
        <v>1389</v>
      </c>
      <c r="D218" s="322">
        <v>0</v>
      </c>
      <c r="E218" s="621">
        <v>0</v>
      </c>
      <c r="F218" s="429">
        <f t="shared" si="62"/>
        <v>0</v>
      </c>
      <c r="G218" s="466">
        <f t="shared" si="67"/>
        <v>0.104</v>
      </c>
      <c r="H218" s="466">
        <f t="shared" si="65"/>
        <v>0.49780000000000002</v>
      </c>
      <c r="I218" s="429">
        <f t="shared" si="58"/>
        <v>0</v>
      </c>
      <c r="K218" s="322">
        <v>0</v>
      </c>
      <c r="L218" s="466">
        <f t="shared" si="69"/>
        <v>0.104</v>
      </c>
      <c r="M218" s="466">
        <f t="shared" si="66"/>
        <v>0.49780000000000002</v>
      </c>
      <c r="N218" s="429">
        <f t="shared" si="64"/>
        <v>0</v>
      </c>
      <c r="P218" s="660"/>
      <c r="S218" s="423"/>
    </row>
    <row r="219" spans="1:19">
      <c r="A219" s="1152">
        <f t="shared" si="68"/>
        <v>205</v>
      </c>
      <c r="B219" s="1046">
        <v>39926</v>
      </c>
      <c r="C219" s="233" t="s">
        <v>1517</v>
      </c>
      <c r="D219" s="322">
        <v>314379.42</v>
      </c>
      <c r="E219" s="621">
        <v>0</v>
      </c>
      <c r="F219" s="429">
        <f t="shared" si="62"/>
        <v>314379.42</v>
      </c>
      <c r="G219" s="466">
        <v>1</v>
      </c>
      <c r="H219" s="466">
        <f>$H$204</f>
        <v>6.3622429999999994E-2</v>
      </c>
      <c r="I219" s="429">
        <f t="shared" si="58"/>
        <v>20001.582642390596</v>
      </c>
      <c r="K219" s="322">
        <v>314379.42</v>
      </c>
      <c r="L219" s="466">
        <v>1</v>
      </c>
      <c r="M219" s="466">
        <f t="shared" si="66"/>
        <v>6.3622429999999994E-2</v>
      </c>
      <c r="N219" s="429">
        <f t="shared" si="64"/>
        <v>20001.582642390596</v>
      </c>
      <c r="P219" s="660"/>
      <c r="S219" s="423"/>
    </row>
    <row r="220" spans="1:19">
      <c r="A220" s="1152">
        <f t="shared" si="68"/>
        <v>206</v>
      </c>
      <c r="B220" s="1046">
        <v>39928</v>
      </c>
      <c r="C220" s="233" t="s">
        <v>1518</v>
      </c>
      <c r="D220" s="322">
        <v>20791579.279279158</v>
      </c>
      <c r="E220" s="621">
        <v>0</v>
      </c>
      <c r="F220" s="429">
        <f t="shared" si="62"/>
        <v>20791579.279279158</v>
      </c>
      <c r="G220" s="466">
        <v>1</v>
      </c>
      <c r="H220" s="466">
        <f t="shared" ref="H220" si="71">$H$204</f>
        <v>6.3622429999999994E-2</v>
      </c>
      <c r="I220" s="429">
        <f t="shared" si="58"/>
        <v>1322810.7972853885</v>
      </c>
      <c r="K220" s="322">
        <v>20761925.421449766</v>
      </c>
      <c r="L220" s="466">
        <v>1</v>
      </c>
      <c r="M220" s="466">
        <f t="shared" si="66"/>
        <v>6.3622429999999994E-2</v>
      </c>
      <c r="N220" s="429">
        <f t="shared" si="64"/>
        <v>1320924.1467914081</v>
      </c>
      <c r="P220" s="660"/>
      <c r="S220" s="423"/>
    </row>
    <row r="221" spans="1:19">
      <c r="A221" s="1152">
        <f t="shared" si="68"/>
        <v>207</v>
      </c>
      <c r="B221" s="1046">
        <v>39931</v>
      </c>
      <c r="C221" s="233" t="s">
        <v>1519</v>
      </c>
      <c r="D221" s="322">
        <v>297266.61</v>
      </c>
      <c r="E221" s="621">
        <v>0</v>
      </c>
      <c r="F221" s="429">
        <f t="shared" si="62"/>
        <v>297266.61</v>
      </c>
      <c r="G221" s="466">
        <v>1</v>
      </c>
      <c r="H221" s="466">
        <f>Allocation!$E$23</f>
        <v>0</v>
      </c>
      <c r="I221" s="429">
        <f t="shared" si="58"/>
        <v>0</v>
      </c>
      <c r="K221" s="322">
        <v>297266.60999999993</v>
      </c>
      <c r="L221" s="466">
        <v>1</v>
      </c>
      <c r="M221" s="466">
        <f t="shared" si="66"/>
        <v>0</v>
      </c>
      <c r="N221" s="429">
        <f t="shared" si="64"/>
        <v>0</v>
      </c>
      <c r="P221" s="660"/>
      <c r="S221" s="423"/>
    </row>
    <row r="222" spans="1:19">
      <c r="A222" s="1152">
        <f t="shared" si="68"/>
        <v>208</v>
      </c>
      <c r="B222" s="1046">
        <v>39932</v>
      </c>
      <c r="C222" s="233" t="s">
        <v>1520</v>
      </c>
      <c r="D222" s="322">
        <v>345729.64</v>
      </c>
      <c r="E222" s="621">
        <v>0</v>
      </c>
      <c r="F222" s="429">
        <f t="shared" si="62"/>
        <v>345729.64</v>
      </c>
      <c r="G222" s="466">
        <v>1</v>
      </c>
      <c r="H222" s="466">
        <f>Allocation!$E$23</f>
        <v>0</v>
      </c>
      <c r="I222" s="429">
        <f t="shared" si="58"/>
        <v>0</v>
      </c>
      <c r="K222" s="322">
        <v>345729.64000000007</v>
      </c>
      <c r="L222" s="466">
        <v>1</v>
      </c>
      <c r="M222" s="466">
        <f t="shared" si="66"/>
        <v>0</v>
      </c>
      <c r="N222" s="429">
        <f t="shared" si="64"/>
        <v>0</v>
      </c>
      <c r="P222" s="660"/>
      <c r="S222" s="423"/>
    </row>
    <row r="223" spans="1:19">
      <c r="A223" s="1152">
        <f t="shared" si="68"/>
        <v>209</v>
      </c>
      <c r="B223" s="1046">
        <v>39938</v>
      </c>
      <c r="C223" s="233" t="s">
        <v>1521</v>
      </c>
      <c r="D223" s="322">
        <v>21018402.749623403</v>
      </c>
      <c r="E223" s="621">
        <v>0</v>
      </c>
      <c r="F223" s="429">
        <f t="shared" si="62"/>
        <v>21018402.749623403</v>
      </c>
      <c r="G223" s="466">
        <v>1</v>
      </c>
      <c r="H223" s="466">
        <f>Allocation!$E$23</f>
        <v>0</v>
      </c>
      <c r="I223" s="429">
        <f t="shared" si="58"/>
        <v>0</v>
      </c>
      <c r="K223" s="322">
        <v>20120780.247922525</v>
      </c>
      <c r="L223" s="466">
        <v>1</v>
      </c>
      <c r="M223" s="466">
        <f t="shared" si="66"/>
        <v>0</v>
      </c>
      <c r="N223" s="429">
        <f t="shared" si="64"/>
        <v>0</v>
      </c>
      <c r="P223" s="660"/>
      <c r="S223" s="423"/>
    </row>
    <row r="224" spans="1:19">
      <c r="A224" s="1152">
        <f t="shared" si="68"/>
        <v>210</v>
      </c>
      <c r="B224" s="787"/>
      <c r="C224" s="831"/>
      <c r="D224" s="618"/>
      <c r="E224" s="618"/>
      <c r="F224" s="618"/>
      <c r="I224" s="618"/>
      <c r="K224" s="618"/>
      <c r="N224" s="618"/>
    </row>
    <row r="225" spans="1:19" ht="15.75" thickBot="1">
      <c r="A225" s="1152">
        <f t="shared" si="68"/>
        <v>211</v>
      </c>
      <c r="B225" s="1047"/>
      <c r="C225" s="233" t="s">
        <v>1318</v>
      </c>
      <c r="D225" s="511">
        <f>SUM(D186:D223)</f>
        <v>238289297.57999998</v>
      </c>
      <c r="E225" s="511">
        <f>SUM(E186:E223)</f>
        <v>0</v>
      </c>
      <c r="F225" s="511">
        <f>SUM(F186:F223)</f>
        <v>238289297.57999998</v>
      </c>
      <c r="G225" s="1025"/>
      <c r="H225" s="1025"/>
      <c r="I225" s="511">
        <f>SUM(I186:I223)</f>
        <v>11162430.686057266</v>
      </c>
      <c r="J225" s="806"/>
      <c r="K225" s="511">
        <f>SUM(K186:K223)</f>
        <v>228304590.07923079</v>
      </c>
      <c r="L225" s="1025"/>
      <c r="M225" s="1025"/>
      <c r="N225" s="511">
        <f>SUM(N186:N223)</f>
        <v>10692624.009701325</v>
      </c>
    </row>
    <row r="226" spans="1:19" ht="15.75" thickTop="1">
      <c r="A226" s="1152">
        <f t="shared" si="68"/>
        <v>212</v>
      </c>
      <c r="B226" s="1040"/>
      <c r="C226" s="88"/>
      <c r="D226" s="322"/>
      <c r="E226" s="328"/>
      <c r="F226" s="328"/>
      <c r="I226" s="328"/>
    </row>
    <row r="227" spans="1:19">
      <c r="A227" s="1152">
        <f t="shared" si="68"/>
        <v>213</v>
      </c>
      <c r="B227" s="1040"/>
      <c r="C227" s="81" t="s">
        <v>749</v>
      </c>
      <c r="D227" s="322">
        <v>14454840.959999993</v>
      </c>
      <c r="E227" s="328">
        <v>0</v>
      </c>
      <c r="F227" s="328">
        <f>D227+E227</f>
        <v>14454840.959999993</v>
      </c>
      <c r="G227" s="466">
        <f>$G$186</f>
        <v>0.104</v>
      </c>
      <c r="H227" s="466">
        <f>$H$186</f>
        <v>0.49780000000000002</v>
      </c>
      <c r="I227" s="328">
        <f>F227*G227*H227</f>
        <v>748344.46230835165</v>
      </c>
      <c r="K227" s="322">
        <v>14454840.959999992</v>
      </c>
      <c r="L227" s="466">
        <f>G227</f>
        <v>0.104</v>
      </c>
      <c r="M227" s="466">
        <f>H227</f>
        <v>0.49780000000000002</v>
      </c>
      <c r="N227" s="328">
        <f>K227*L227*M227</f>
        <v>748344.46230835153</v>
      </c>
    </row>
    <row r="228" spans="1:19">
      <c r="A228" s="1152">
        <f t="shared" si="68"/>
        <v>214</v>
      </c>
      <c r="B228" s="1040"/>
    </row>
    <row r="229" spans="1:19" ht="15.75">
      <c r="A229" s="1152">
        <f t="shared" si="68"/>
        <v>215</v>
      </c>
      <c r="B229" s="1043" t="s">
        <v>9</v>
      </c>
    </row>
    <row r="230" spans="1:19">
      <c r="A230" s="1152">
        <f t="shared" si="68"/>
        <v>216</v>
      </c>
      <c r="B230" s="1040"/>
    </row>
    <row r="231" spans="1:19">
      <c r="A231" s="1152">
        <f t="shared" si="68"/>
        <v>217</v>
      </c>
      <c r="B231" s="1047"/>
      <c r="C231" s="619" t="s">
        <v>301</v>
      </c>
    </row>
    <row r="232" spans="1:19">
      <c r="A232" s="1152">
        <f t="shared" si="68"/>
        <v>218</v>
      </c>
      <c r="B232" s="1046">
        <v>38900</v>
      </c>
      <c r="C232" s="233" t="s">
        <v>292</v>
      </c>
      <c r="D232" s="322">
        <v>2874239.86</v>
      </c>
      <c r="E232" s="346">
        <v>0</v>
      </c>
      <c r="F232" s="346">
        <f t="shared" ref="F232:F260" si="72">D232+E232</f>
        <v>2874239.86</v>
      </c>
      <c r="G232" s="466">
        <f>Allocation!$C$15</f>
        <v>0.1095</v>
      </c>
      <c r="H232" s="466">
        <f>Allocation!$D$15</f>
        <v>0.51517972406888612</v>
      </c>
      <c r="I232" s="346">
        <f t="shared" ref="I232:I235" si="73">F232*G232*H232</f>
        <v>162142.13572909404</v>
      </c>
      <c r="K232" s="322">
        <v>2874239.86</v>
      </c>
      <c r="L232" s="466">
        <f t="shared" ref="L232:L255" si="74">G232</f>
        <v>0.1095</v>
      </c>
      <c r="M232" s="466">
        <f t="shared" ref="M232:M255" si="75">H232</f>
        <v>0.51517972406888612</v>
      </c>
      <c r="N232" s="346">
        <f t="shared" ref="N232:N260" si="76">K232*L232*M232</f>
        <v>162142.13572909404</v>
      </c>
      <c r="P232" s="660"/>
      <c r="S232" s="423"/>
    </row>
    <row r="233" spans="1:19">
      <c r="A233" s="1152">
        <f t="shared" si="68"/>
        <v>219</v>
      </c>
      <c r="B233" s="1046">
        <v>38910</v>
      </c>
      <c r="C233" s="233" t="s">
        <v>1199</v>
      </c>
      <c r="D233" s="322">
        <v>1886442.92</v>
      </c>
      <c r="E233" s="429">
        <v>0</v>
      </c>
      <c r="F233" s="622">
        <f>D233+E233</f>
        <v>1886442.92</v>
      </c>
      <c r="G233" s="466">
        <v>1</v>
      </c>
      <c r="H233" s="466">
        <f>Allocation!$E$21</f>
        <v>2.3186160000000001E-2</v>
      </c>
      <c r="I233" s="429">
        <f>F233*G233*H233</f>
        <v>43739.367373987203</v>
      </c>
      <c r="K233" s="322">
        <v>1886442.9200000006</v>
      </c>
      <c r="L233" s="466">
        <f>G233</f>
        <v>1</v>
      </c>
      <c r="M233" s="466">
        <f>H233</f>
        <v>2.3186160000000001E-2</v>
      </c>
      <c r="N233" s="429">
        <f>K233*L233*M233</f>
        <v>43739.367373987217</v>
      </c>
      <c r="P233" s="660"/>
      <c r="S233" s="423"/>
    </row>
    <row r="234" spans="1:19">
      <c r="A234" s="1152">
        <f t="shared" si="68"/>
        <v>220</v>
      </c>
      <c r="B234" s="1046">
        <v>39000</v>
      </c>
      <c r="C234" s="233" t="s">
        <v>856</v>
      </c>
      <c r="D234" s="322">
        <v>12669002.609999999</v>
      </c>
      <c r="E234" s="429">
        <v>0</v>
      </c>
      <c r="F234" s="622">
        <f t="shared" si="72"/>
        <v>12669002.609999999</v>
      </c>
      <c r="G234" s="466">
        <f>$G$232</f>
        <v>0.1095</v>
      </c>
      <c r="H234" s="466">
        <f>$H$232</f>
        <v>0.51517972406888612</v>
      </c>
      <c r="I234" s="429">
        <f t="shared" si="73"/>
        <v>714686.05293883383</v>
      </c>
      <c r="K234" s="322">
        <v>12669002.610000001</v>
      </c>
      <c r="L234" s="466">
        <f t="shared" si="74"/>
        <v>0.1095</v>
      </c>
      <c r="M234" s="466">
        <f t="shared" si="75"/>
        <v>0.51517972406888612</v>
      </c>
      <c r="N234" s="429">
        <f t="shared" si="76"/>
        <v>714686.05293883395</v>
      </c>
      <c r="P234" s="660"/>
      <c r="S234" s="423"/>
    </row>
    <row r="235" spans="1:19">
      <c r="A235" s="1152">
        <f t="shared" si="68"/>
        <v>221</v>
      </c>
      <c r="B235" s="1046">
        <v>39009</v>
      </c>
      <c r="C235" s="233" t="s">
        <v>1036</v>
      </c>
      <c r="D235" s="322">
        <v>2820613.55</v>
      </c>
      <c r="E235" s="429">
        <v>0</v>
      </c>
      <c r="F235" s="622">
        <f t="shared" si="72"/>
        <v>2820613.55</v>
      </c>
      <c r="G235" s="466">
        <f>$G$232</f>
        <v>0.1095</v>
      </c>
      <c r="H235" s="466">
        <f>$H$232</f>
        <v>0.51517972406888612</v>
      </c>
      <c r="I235" s="429">
        <f t="shared" si="73"/>
        <v>159116.95868813875</v>
      </c>
      <c r="K235" s="322">
        <v>2820613.55</v>
      </c>
      <c r="L235" s="466">
        <f t="shared" si="74"/>
        <v>0.1095</v>
      </c>
      <c r="M235" s="466">
        <f t="shared" si="75"/>
        <v>0.51517972406888612</v>
      </c>
      <c r="N235" s="429">
        <f t="shared" si="76"/>
        <v>159116.95868813875</v>
      </c>
      <c r="P235" s="660"/>
      <c r="S235" s="423"/>
    </row>
    <row r="236" spans="1:19">
      <c r="A236" s="1152">
        <f t="shared" si="68"/>
        <v>222</v>
      </c>
      <c r="B236" s="1046">
        <v>39010</v>
      </c>
      <c r="C236" s="233" t="s">
        <v>1200</v>
      </c>
      <c r="D236" s="322">
        <v>12305840</v>
      </c>
      <c r="E236" s="429">
        <v>0</v>
      </c>
      <c r="F236" s="622">
        <f>D236+E236</f>
        <v>12305840</v>
      </c>
      <c r="G236" s="466">
        <v>1</v>
      </c>
      <c r="H236" s="466">
        <f>$H$233</f>
        <v>2.3186160000000001E-2</v>
      </c>
      <c r="I236" s="429">
        <f>F236*G236*H236</f>
        <v>285325.17517440004</v>
      </c>
      <c r="K236" s="322">
        <v>12305840</v>
      </c>
      <c r="L236" s="466">
        <f>G236</f>
        <v>1</v>
      </c>
      <c r="M236" s="466">
        <f>H236</f>
        <v>2.3186160000000001E-2</v>
      </c>
      <c r="N236" s="429">
        <f>K236*L236*M236</f>
        <v>285325.17517440004</v>
      </c>
      <c r="P236" s="660"/>
      <c r="S236" s="423"/>
    </row>
    <row r="237" spans="1:19">
      <c r="A237" s="1152">
        <f t="shared" si="68"/>
        <v>223</v>
      </c>
      <c r="B237" s="1046">
        <v>39100</v>
      </c>
      <c r="C237" s="233" t="s">
        <v>779</v>
      </c>
      <c r="D237" s="322">
        <v>2601911.9417261141</v>
      </c>
      <c r="E237" s="429">
        <v>0</v>
      </c>
      <c r="F237" s="622">
        <f t="shared" si="72"/>
        <v>2601911.9417261141</v>
      </c>
      <c r="G237" s="466">
        <f>$G$232</f>
        <v>0.1095</v>
      </c>
      <c r="H237" s="466">
        <f>$H$232</f>
        <v>0.51517972406888612</v>
      </c>
      <c r="I237" s="429">
        <f t="shared" ref="I237:I260" si="77">F237*G237*H237</f>
        <v>146779.52424280491</v>
      </c>
      <c r="K237" s="322">
        <v>2530129.2800050252</v>
      </c>
      <c r="L237" s="466">
        <f t="shared" si="74"/>
        <v>0.1095</v>
      </c>
      <c r="M237" s="466">
        <f t="shared" si="75"/>
        <v>0.51517972406888612</v>
      </c>
      <c r="N237" s="429">
        <f t="shared" si="76"/>
        <v>142730.10782431002</v>
      </c>
      <c r="P237" s="660"/>
      <c r="S237" s="423"/>
    </row>
    <row r="238" spans="1:19">
      <c r="A238" s="1152">
        <f t="shared" si="68"/>
        <v>224</v>
      </c>
      <c r="B238" s="1046">
        <v>39101</v>
      </c>
      <c r="C238" s="233" t="s">
        <v>1499</v>
      </c>
      <c r="D238" s="322">
        <v>0</v>
      </c>
      <c r="E238" s="429">
        <v>0</v>
      </c>
      <c r="F238" s="622">
        <f t="shared" si="72"/>
        <v>0</v>
      </c>
      <c r="G238" s="466">
        <f>Allocation!$C$15</f>
        <v>0.1095</v>
      </c>
      <c r="H238" s="466">
        <f>Allocation!$D$15</f>
        <v>0.51517972406888612</v>
      </c>
      <c r="I238" s="429">
        <f t="shared" si="77"/>
        <v>0</v>
      </c>
      <c r="K238" s="322">
        <v>0</v>
      </c>
      <c r="L238" s="466">
        <f>Allocation!$C$15</f>
        <v>0.1095</v>
      </c>
      <c r="M238" s="466">
        <f>Allocation!$D$15</f>
        <v>0.51517972406888612</v>
      </c>
      <c r="N238" s="429">
        <f t="shared" si="76"/>
        <v>0</v>
      </c>
      <c r="P238" s="660"/>
      <c r="S238" s="423"/>
    </row>
    <row r="239" spans="1:19">
      <c r="A239" s="1152">
        <f t="shared" si="68"/>
        <v>225</v>
      </c>
      <c r="B239" s="1046">
        <v>39102</v>
      </c>
      <c r="C239" s="233" t="s">
        <v>1509</v>
      </c>
      <c r="D239" s="322">
        <v>0</v>
      </c>
      <c r="E239" s="429">
        <v>0</v>
      </c>
      <c r="F239" s="622">
        <f t="shared" si="72"/>
        <v>0</v>
      </c>
      <c r="G239" s="466">
        <f>Allocation!$C$15</f>
        <v>0.1095</v>
      </c>
      <c r="H239" s="466">
        <f>Allocation!$D$15</f>
        <v>0.51517972406888612</v>
      </c>
      <c r="I239" s="429">
        <f t="shared" si="77"/>
        <v>0</v>
      </c>
      <c r="K239" s="322">
        <v>0</v>
      </c>
      <c r="L239" s="466">
        <f>Allocation!$C$15</f>
        <v>0.1095</v>
      </c>
      <c r="M239" s="466">
        <f>Allocation!$D$15</f>
        <v>0.51517972406888612</v>
      </c>
      <c r="N239" s="429">
        <f t="shared" si="76"/>
        <v>0</v>
      </c>
      <c r="P239" s="660"/>
      <c r="S239" s="423"/>
    </row>
    <row r="240" spans="1:19">
      <c r="A240" s="1152">
        <f t="shared" si="68"/>
        <v>226</v>
      </c>
      <c r="B240" s="1046">
        <v>39103</v>
      </c>
      <c r="C240" s="233" t="s">
        <v>1320</v>
      </c>
      <c r="D240" s="322">
        <v>0</v>
      </c>
      <c r="E240" s="429">
        <v>0</v>
      </c>
      <c r="F240" s="622">
        <f t="shared" si="72"/>
        <v>0</v>
      </c>
      <c r="G240" s="466">
        <f>$G$232</f>
        <v>0.1095</v>
      </c>
      <c r="H240" s="466">
        <f>$H$232</f>
        <v>0.51517972406888612</v>
      </c>
      <c r="I240" s="429">
        <f t="shared" si="77"/>
        <v>0</v>
      </c>
      <c r="K240" s="322">
        <v>0</v>
      </c>
      <c r="L240" s="466">
        <f t="shared" ref="L240:L244" si="78">G240</f>
        <v>0.1095</v>
      </c>
      <c r="M240" s="466">
        <f t="shared" ref="M240:M244" si="79">H240</f>
        <v>0.51517972406888612</v>
      </c>
      <c r="N240" s="429">
        <f t="shared" si="76"/>
        <v>0</v>
      </c>
      <c r="P240" s="660"/>
      <c r="S240" s="423"/>
    </row>
    <row r="241" spans="1:19">
      <c r="A241" s="1152">
        <f t="shared" si="68"/>
        <v>227</v>
      </c>
      <c r="B241" s="1046">
        <v>39110</v>
      </c>
      <c r="C241" s="233" t="s">
        <v>1510</v>
      </c>
      <c r="D241" s="322">
        <v>579053.49027770583</v>
      </c>
      <c r="E241" s="429">
        <v>0</v>
      </c>
      <c r="F241" s="622">
        <f t="shared" si="72"/>
        <v>579053.49027770583</v>
      </c>
      <c r="G241" s="466">
        <v>1</v>
      </c>
      <c r="H241" s="466">
        <f>Allocation!$E$21</f>
        <v>2.3186160000000001E-2</v>
      </c>
      <c r="I241" s="429">
        <f t="shared" si="77"/>
        <v>13426.026874137333</v>
      </c>
      <c r="K241" s="322">
        <v>515906.87122588517</v>
      </c>
      <c r="L241" s="466">
        <f t="shared" si="78"/>
        <v>1</v>
      </c>
      <c r="M241" s="466">
        <f t="shared" si="79"/>
        <v>2.3186160000000001E-2</v>
      </c>
      <c r="N241" s="429">
        <f t="shared" si="76"/>
        <v>11961.899261342771</v>
      </c>
      <c r="P241" s="660"/>
      <c r="S241" s="423"/>
    </row>
    <row r="242" spans="1:19">
      <c r="A242" s="1152">
        <f t="shared" si="68"/>
        <v>228</v>
      </c>
      <c r="B242" s="1046">
        <v>39210</v>
      </c>
      <c r="C242" s="233" t="s">
        <v>1511</v>
      </c>
      <c r="D242" s="322">
        <v>96290.22</v>
      </c>
      <c r="E242" s="429">
        <v>0</v>
      </c>
      <c r="F242" s="622">
        <f t="shared" si="72"/>
        <v>96290.22</v>
      </c>
      <c r="G242" s="466">
        <v>1</v>
      </c>
      <c r="H242" s="466">
        <f>Allocation!$E$21</f>
        <v>2.3186160000000001E-2</v>
      </c>
      <c r="I242" s="429">
        <f t="shared" si="77"/>
        <v>2232.6004473552002</v>
      </c>
      <c r="K242" s="322">
        <v>96290.219999999987</v>
      </c>
      <c r="L242" s="466">
        <f t="shared" si="78"/>
        <v>1</v>
      </c>
      <c r="M242" s="466">
        <f t="shared" si="79"/>
        <v>2.3186160000000001E-2</v>
      </c>
      <c r="N242" s="429">
        <f t="shared" si="76"/>
        <v>2232.6004473551998</v>
      </c>
      <c r="P242" s="660"/>
      <c r="S242" s="423"/>
    </row>
    <row r="243" spans="1:19">
      <c r="A243" s="1152">
        <f t="shared" si="68"/>
        <v>229</v>
      </c>
      <c r="B243" s="1046">
        <v>39410</v>
      </c>
      <c r="C243" s="233" t="s">
        <v>1512</v>
      </c>
      <c r="D243" s="322">
        <v>703898.09978681128</v>
      </c>
      <c r="E243" s="429">
        <v>0</v>
      </c>
      <c r="F243" s="622">
        <f t="shared" si="72"/>
        <v>703898.09978681128</v>
      </c>
      <c r="G243" s="466">
        <v>1</v>
      </c>
      <c r="H243" s="466">
        <f>Allocation!$E$21</f>
        <v>2.3186160000000001E-2</v>
      </c>
      <c r="I243" s="429">
        <f t="shared" si="77"/>
        <v>16320.693965352973</v>
      </c>
      <c r="K243" s="322">
        <v>607804.29194008734</v>
      </c>
      <c r="L243" s="466">
        <f t="shared" si="78"/>
        <v>1</v>
      </c>
      <c r="M243" s="466">
        <f t="shared" si="79"/>
        <v>2.3186160000000001E-2</v>
      </c>
      <c r="N243" s="429">
        <f t="shared" si="76"/>
        <v>14092.647561609576</v>
      </c>
      <c r="P243" s="660"/>
      <c r="S243" s="423"/>
    </row>
    <row r="244" spans="1:19">
      <c r="A244" s="1152">
        <f t="shared" si="68"/>
        <v>230</v>
      </c>
      <c r="B244" s="1046">
        <v>39510</v>
      </c>
      <c r="C244" s="233" t="s">
        <v>1513</v>
      </c>
      <c r="D244" s="322">
        <v>23632.07</v>
      </c>
      <c r="E244" s="429">
        <v>0</v>
      </c>
      <c r="F244" s="622">
        <f t="shared" si="72"/>
        <v>23632.07</v>
      </c>
      <c r="G244" s="466">
        <v>1</v>
      </c>
      <c r="H244" s="466">
        <f>Allocation!$E$21</f>
        <v>2.3186160000000001E-2</v>
      </c>
      <c r="I244" s="429">
        <f t="shared" si="77"/>
        <v>547.93695615119998</v>
      </c>
      <c r="K244" s="322">
        <v>23632.070000000003</v>
      </c>
      <c r="L244" s="466">
        <f t="shared" si="78"/>
        <v>1</v>
      </c>
      <c r="M244" s="466">
        <f t="shared" si="79"/>
        <v>2.3186160000000001E-2</v>
      </c>
      <c r="N244" s="429">
        <f t="shared" si="76"/>
        <v>547.93695615120009</v>
      </c>
      <c r="P244" s="660"/>
      <c r="S244" s="423"/>
    </row>
    <row r="245" spans="1:19">
      <c r="A245" s="1152">
        <f t="shared" si="68"/>
        <v>231</v>
      </c>
      <c r="B245" s="1046">
        <v>39700</v>
      </c>
      <c r="C245" s="233" t="s">
        <v>440</v>
      </c>
      <c r="D245" s="322">
        <v>1913117.11</v>
      </c>
      <c r="E245" s="429">
        <v>0</v>
      </c>
      <c r="F245" s="622">
        <f t="shared" si="72"/>
        <v>1913117.11</v>
      </c>
      <c r="G245" s="466">
        <f>$G$232</f>
        <v>0.1095</v>
      </c>
      <c r="H245" s="466">
        <f>$H$232</f>
        <v>0.51517972406888612</v>
      </c>
      <c r="I245" s="429">
        <f t="shared" si="77"/>
        <v>107923.10636011852</v>
      </c>
      <c r="K245" s="322">
        <v>1913117.1099999996</v>
      </c>
      <c r="L245" s="466">
        <f t="shared" si="74"/>
        <v>0.1095</v>
      </c>
      <c r="M245" s="466">
        <f t="shared" si="75"/>
        <v>0.51517972406888612</v>
      </c>
      <c r="N245" s="429">
        <f t="shared" si="76"/>
        <v>107923.10636011849</v>
      </c>
      <c r="P245" s="660"/>
      <c r="S245" s="423"/>
    </row>
    <row r="246" spans="1:19">
      <c r="A246" s="1152">
        <f t="shared" si="68"/>
        <v>232</v>
      </c>
      <c r="B246" s="1046">
        <v>39710</v>
      </c>
      <c r="C246" s="233" t="s">
        <v>1201</v>
      </c>
      <c r="D246" s="322">
        <v>291500.62</v>
      </c>
      <c r="E246" s="429">
        <v>0</v>
      </c>
      <c r="F246" s="622">
        <f t="shared" si="72"/>
        <v>291500.62</v>
      </c>
      <c r="G246" s="466">
        <v>1</v>
      </c>
      <c r="H246" s="466">
        <f>$H$233</f>
        <v>2.3186160000000001E-2</v>
      </c>
      <c r="I246" s="429">
        <f t="shared" si="77"/>
        <v>6758.7800154192</v>
      </c>
      <c r="K246" s="322">
        <v>291500.62000000005</v>
      </c>
      <c r="L246" s="466">
        <f>G246</f>
        <v>1</v>
      </c>
      <c r="M246" s="466">
        <f>H246</f>
        <v>2.3186160000000001E-2</v>
      </c>
      <c r="N246" s="429">
        <f t="shared" si="76"/>
        <v>6758.7800154192018</v>
      </c>
      <c r="P246" s="660"/>
      <c r="S246" s="423"/>
    </row>
    <row r="247" spans="1:19">
      <c r="A247" s="1152">
        <f t="shared" si="68"/>
        <v>233</v>
      </c>
      <c r="B247" s="1046">
        <v>39800</v>
      </c>
      <c r="C247" s="233" t="s">
        <v>650</v>
      </c>
      <c r="D247" s="322">
        <v>70015.66</v>
      </c>
      <c r="E247" s="429">
        <v>0</v>
      </c>
      <c r="F247" s="622">
        <f t="shared" si="72"/>
        <v>70015.66</v>
      </c>
      <c r="G247" s="466">
        <f t="shared" ref="G247:G255" si="80">$G$232</f>
        <v>0.1095</v>
      </c>
      <c r="H247" s="466">
        <f t="shared" ref="H247:H255" si="81">$H$232</f>
        <v>0.51517972406888612</v>
      </c>
      <c r="I247" s="429">
        <f t="shared" si="77"/>
        <v>3949.7359997234539</v>
      </c>
      <c r="K247" s="322">
        <v>70015.660000000018</v>
      </c>
      <c r="L247" s="466">
        <f t="shared" si="74"/>
        <v>0.1095</v>
      </c>
      <c r="M247" s="466">
        <f t="shared" si="75"/>
        <v>0.51517972406888612</v>
      </c>
      <c r="N247" s="429">
        <f t="shared" si="76"/>
        <v>3949.7359997234548</v>
      </c>
      <c r="P247" s="660"/>
      <c r="S247" s="423"/>
    </row>
    <row r="248" spans="1:19">
      <c r="A248" s="1152">
        <f t="shared" si="68"/>
        <v>234</v>
      </c>
      <c r="B248" s="1046">
        <v>39810</v>
      </c>
      <c r="C248" s="233" t="s">
        <v>1514</v>
      </c>
      <c r="D248" s="322">
        <v>509282.85</v>
      </c>
      <c r="E248" s="429">
        <v>0</v>
      </c>
      <c r="F248" s="622">
        <f t="shared" si="72"/>
        <v>509282.85</v>
      </c>
      <c r="G248" s="466">
        <v>1</v>
      </c>
      <c r="H248" s="466">
        <f>Allocation!$E$21</f>
        <v>2.3186160000000001E-2</v>
      </c>
      <c r="I248" s="429">
        <f t="shared" si="77"/>
        <v>11808.313645356</v>
      </c>
      <c r="K248" s="322">
        <v>509282.84999999992</v>
      </c>
      <c r="L248" s="466">
        <f t="shared" si="74"/>
        <v>1</v>
      </c>
      <c r="M248" s="466">
        <f t="shared" si="75"/>
        <v>2.3186160000000001E-2</v>
      </c>
      <c r="N248" s="429">
        <f t="shared" si="76"/>
        <v>11808.313645355998</v>
      </c>
      <c r="P248" s="660"/>
      <c r="S248" s="423"/>
    </row>
    <row r="249" spans="1:19">
      <c r="A249" s="1152">
        <f t="shared" si="68"/>
        <v>235</v>
      </c>
      <c r="B249" s="1046">
        <v>39900</v>
      </c>
      <c r="C249" s="233" t="s">
        <v>1152</v>
      </c>
      <c r="D249" s="322">
        <v>629166.46</v>
      </c>
      <c r="E249" s="429">
        <v>0</v>
      </c>
      <c r="F249" s="622">
        <f t="shared" si="72"/>
        <v>629166.46</v>
      </c>
      <c r="G249" s="466">
        <f t="shared" si="80"/>
        <v>0.1095</v>
      </c>
      <c r="H249" s="466">
        <f t="shared" si="81"/>
        <v>0.51517972406888612</v>
      </c>
      <c r="I249" s="429">
        <f t="shared" si="77"/>
        <v>35492.651456553664</v>
      </c>
      <c r="K249" s="322">
        <v>629166.46</v>
      </c>
      <c r="L249" s="466">
        <f t="shared" si="74"/>
        <v>0.1095</v>
      </c>
      <c r="M249" s="466">
        <f t="shared" si="75"/>
        <v>0.51517972406888612</v>
      </c>
      <c r="N249" s="429">
        <f t="shared" si="76"/>
        <v>35492.651456553664</v>
      </c>
      <c r="P249" s="660"/>
      <c r="S249" s="423"/>
    </row>
    <row r="250" spans="1:19">
      <c r="A250" s="1152">
        <f t="shared" si="68"/>
        <v>236</v>
      </c>
      <c r="B250" s="1046">
        <v>39901</v>
      </c>
      <c r="C250" s="233" t="s">
        <v>474</v>
      </c>
      <c r="D250" s="322">
        <v>10343248.640000001</v>
      </c>
      <c r="E250" s="429">
        <v>0</v>
      </c>
      <c r="F250" s="622">
        <f t="shared" si="72"/>
        <v>10343248.640000001</v>
      </c>
      <c r="G250" s="466">
        <f t="shared" si="80"/>
        <v>0.1095</v>
      </c>
      <c r="H250" s="466">
        <f t="shared" si="81"/>
        <v>0.51517972406888612</v>
      </c>
      <c r="I250" s="429">
        <f t="shared" si="77"/>
        <v>583485.20184625348</v>
      </c>
      <c r="K250" s="322">
        <v>10343248.639999999</v>
      </c>
      <c r="L250" s="466">
        <f t="shared" si="74"/>
        <v>0.1095</v>
      </c>
      <c r="M250" s="466">
        <f t="shared" si="75"/>
        <v>0.51517972406888612</v>
      </c>
      <c r="N250" s="429">
        <f t="shared" si="76"/>
        <v>583485.20184625336</v>
      </c>
      <c r="P250" s="660"/>
      <c r="S250" s="423"/>
    </row>
    <row r="251" spans="1:19">
      <c r="A251" s="1152">
        <f t="shared" si="68"/>
        <v>237</v>
      </c>
      <c r="B251" s="1046">
        <v>39902</v>
      </c>
      <c r="C251" s="233" t="s">
        <v>960</v>
      </c>
      <c r="D251" s="322">
        <v>2023936.45</v>
      </c>
      <c r="E251" s="429">
        <v>0</v>
      </c>
      <c r="F251" s="622">
        <f t="shared" si="72"/>
        <v>2023936.45</v>
      </c>
      <c r="G251" s="466">
        <f t="shared" si="80"/>
        <v>0.1095</v>
      </c>
      <c r="H251" s="466">
        <f t="shared" si="81"/>
        <v>0.51517972406888612</v>
      </c>
      <c r="I251" s="429">
        <f t="shared" si="77"/>
        <v>114174.66689191372</v>
      </c>
      <c r="K251" s="322">
        <v>2023936.4499999995</v>
      </c>
      <c r="L251" s="466">
        <f t="shared" si="74"/>
        <v>0.1095</v>
      </c>
      <c r="M251" s="466">
        <f t="shared" si="75"/>
        <v>0.51517972406888612</v>
      </c>
      <c r="N251" s="429">
        <f t="shared" si="76"/>
        <v>114174.66689191369</v>
      </c>
      <c r="P251" s="660"/>
      <c r="S251" s="423"/>
    </row>
    <row r="252" spans="1:19">
      <c r="A252" s="1152">
        <f t="shared" si="68"/>
        <v>238</v>
      </c>
      <c r="B252" s="1046">
        <v>39903</v>
      </c>
      <c r="C252" s="233" t="s">
        <v>1003</v>
      </c>
      <c r="D252" s="322">
        <v>629225.62</v>
      </c>
      <c r="E252" s="429">
        <v>0</v>
      </c>
      <c r="F252" s="622">
        <f t="shared" si="72"/>
        <v>629225.62</v>
      </c>
      <c r="G252" s="466">
        <f t="shared" si="80"/>
        <v>0.1095</v>
      </c>
      <c r="H252" s="466">
        <f t="shared" si="81"/>
        <v>0.51517972406888612</v>
      </c>
      <c r="I252" s="429">
        <f t="shared" si="77"/>
        <v>35495.988801109779</v>
      </c>
      <c r="K252" s="322">
        <v>629225.62</v>
      </c>
      <c r="L252" s="466">
        <f t="shared" si="74"/>
        <v>0.1095</v>
      </c>
      <c r="M252" s="466">
        <f t="shared" si="75"/>
        <v>0.51517972406888612</v>
      </c>
      <c r="N252" s="429">
        <f t="shared" si="76"/>
        <v>35495.988801109779</v>
      </c>
      <c r="P252" s="660"/>
      <c r="S252" s="423"/>
    </row>
    <row r="253" spans="1:19">
      <c r="A253" s="1152">
        <f t="shared" si="68"/>
        <v>239</v>
      </c>
      <c r="B253" s="1046">
        <v>39906</v>
      </c>
      <c r="C253" s="233" t="s">
        <v>451</v>
      </c>
      <c r="D253" s="322">
        <v>1068704.8199061288</v>
      </c>
      <c r="E253" s="429">
        <v>0</v>
      </c>
      <c r="F253" s="622">
        <f t="shared" si="72"/>
        <v>1068704.8199061288</v>
      </c>
      <c r="G253" s="466">
        <f t="shared" si="80"/>
        <v>0.1095</v>
      </c>
      <c r="H253" s="466">
        <f t="shared" si="81"/>
        <v>0.51517972406888612</v>
      </c>
      <c r="I253" s="429">
        <f t="shared" si="77"/>
        <v>60287.968438220931</v>
      </c>
      <c r="K253" s="322">
        <v>1046767.6452688724</v>
      </c>
      <c r="L253" s="466">
        <f t="shared" si="74"/>
        <v>0.1095</v>
      </c>
      <c r="M253" s="466">
        <f t="shared" si="75"/>
        <v>0.51517972406888612</v>
      </c>
      <c r="N253" s="429">
        <f t="shared" si="76"/>
        <v>59050.444598597154</v>
      </c>
      <c r="P253" s="660"/>
      <c r="S253" s="423"/>
    </row>
    <row r="254" spans="1:19">
      <c r="A254" s="1152">
        <f t="shared" si="68"/>
        <v>240</v>
      </c>
      <c r="B254" s="1046">
        <v>39907</v>
      </c>
      <c r="C254" s="233" t="s">
        <v>505</v>
      </c>
      <c r="D254" s="322">
        <v>190246.97</v>
      </c>
      <c r="E254" s="429">
        <v>0</v>
      </c>
      <c r="F254" s="622">
        <f t="shared" si="72"/>
        <v>190246.97</v>
      </c>
      <c r="G254" s="466">
        <f t="shared" si="80"/>
        <v>0.1095</v>
      </c>
      <c r="H254" s="466">
        <f t="shared" si="81"/>
        <v>0.51517972406888612</v>
      </c>
      <c r="I254" s="429">
        <f t="shared" si="77"/>
        <v>10732.246275294812</v>
      </c>
      <c r="K254" s="322">
        <v>190246.97000000003</v>
      </c>
      <c r="L254" s="466">
        <f t="shared" si="74"/>
        <v>0.1095</v>
      </c>
      <c r="M254" s="466">
        <f t="shared" si="75"/>
        <v>0.51517972406888612</v>
      </c>
      <c r="N254" s="429">
        <f t="shared" si="76"/>
        <v>10732.246275294814</v>
      </c>
      <c r="P254" s="660"/>
      <c r="S254" s="423"/>
    </row>
    <row r="255" spans="1:19">
      <c r="A255" s="1152">
        <f t="shared" si="68"/>
        <v>241</v>
      </c>
      <c r="B255" s="1046">
        <v>39908</v>
      </c>
      <c r="C255" s="233" t="s">
        <v>179</v>
      </c>
      <c r="D255" s="322">
        <v>94401846.64870961</v>
      </c>
      <c r="E255" s="429">
        <v>0</v>
      </c>
      <c r="F255" s="622">
        <f t="shared" si="72"/>
        <v>94401846.64870961</v>
      </c>
      <c r="G255" s="466">
        <f t="shared" si="80"/>
        <v>0.1095</v>
      </c>
      <c r="H255" s="466">
        <f t="shared" si="81"/>
        <v>0.51517972406888612</v>
      </c>
      <c r="I255" s="429">
        <f t="shared" si="77"/>
        <v>5325413.9452342689</v>
      </c>
      <c r="K255" s="322">
        <v>93042822.981155649</v>
      </c>
      <c r="L255" s="466">
        <f t="shared" si="74"/>
        <v>0.1095</v>
      </c>
      <c r="M255" s="466">
        <f t="shared" si="75"/>
        <v>0.51517972406888612</v>
      </c>
      <c r="N255" s="429">
        <f t="shared" si="76"/>
        <v>5248748.4577674065</v>
      </c>
      <c r="P255" s="660"/>
      <c r="S255" s="423"/>
    </row>
    <row r="256" spans="1:19">
      <c r="A256" s="1152">
        <f t="shared" si="68"/>
        <v>242</v>
      </c>
      <c r="B256" s="1046">
        <v>39910</v>
      </c>
      <c r="C256" s="233" t="s">
        <v>1202</v>
      </c>
      <c r="D256" s="322">
        <v>339657.73</v>
      </c>
      <c r="E256" s="429">
        <v>0</v>
      </c>
      <c r="F256" s="622">
        <f t="shared" si="72"/>
        <v>339657.73</v>
      </c>
      <c r="G256" s="466">
        <v>1</v>
      </c>
      <c r="H256" s="466">
        <f>$H$233</f>
        <v>2.3186160000000001E-2</v>
      </c>
      <c r="I256" s="429">
        <f t="shared" si="77"/>
        <v>7875.3584730167995</v>
      </c>
      <c r="K256" s="322">
        <v>339657.73000000004</v>
      </c>
      <c r="L256" s="466">
        <f t="shared" ref="L256:M258" si="82">G256</f>
        <v>1</v>
      </c>
      <c r="M256" s="466">
        <f t="shared" si="82"/>
        <v>2.3186160000000001E-2</v>
      </c>
      <c r="N256" s="429">
        <f t="shared" si="76"/>
        <v>7875.3584730168013</v>
      </c>
      <c r="P256" s="660"/>
      <c r="S256" s="423"/>
    </row>
    <row r="257" spans="1:19">
      <c r="A257" s="1152">
        <f t="shared" si="68"/>
        <v>243</v>
      </c>
      <c r="B257" s="1046">
        <v>39916</v>
      </c>
      <c r="C257" s="80" t="s">
        <v>1203</v>
      </c>
      <c r="D257" s="322">
        <v>539316.63959358225</v>
      </c>
      <c r="E257" s="429">
        <v>0</v>
      </c>
      <c r="F257" s="622">
        <f t="shared" si="72"/>
        <v>539316.63959358225</v>
      </c>
      <c r="G257" s="466">
        <v>1</v>
      </c>
      <c r="H257" s="466">
        <f>$H$233</f>
        <v>2.3186160000000001E-2</v>
      </c>
      <c r="I257" s="429">
        <f t="shared" si="77"/>
        <v>12504.681896279133</v>
      </c>
      <c r="K257" s="322">
        <v>449494.70809674636</v>
      </c>
      <c r="L257" s="466">
        <f t="shared" si="82"/>
        <v>1</v>
      </c>
      <c r="M257" s="466">
        <f t="shared" si="82"/>
        <v>2.3186160000000001E-2</v>
      </c>
      <c r="N257" s="429">
        <f t="shared" si="76"/>
        <v>10422.056221084456</v>
      </c>
      <c r="P257" s="660"/>
      <c r="S257" s="423"/>
    </row>
    <row r="258" spans="1:19">
      <c r="A258" s="1152">
        <f t="shared" si="68"/>
        <v>244</v>
      </c>
      <c r="B258" s="1046">
        <v>39917</v>
      </c>
      <c r="C258" s="80" t="s">
        <v>1204</v>
      </c>
      <c r="D258" s="322">
        <v>103891.78</v>
      </c>
      <c r="E258" s="429">
        <v>0</v>
      </c>
      <c r="F258" s="622">
        <f t="shared" si="72"/>
        <v>103891.78</v>
      </c>
      <c r="G258" s="466">
        <v>1</v>
      </c>
      <c r="H258" s="466">
        <f>$H$233</f>
        <v>2.3186160000000001E-2</v>
      </c>
      <c r="I258" s="429">
        <f t="shared" si="77"/>
        <v>2408.8514337648003</v>
      </c>
      <c r="K258" s="322">
        <v>103891.78000000001</v>
      </c>
      <c r="L258" s="466">
        <f t="shared" si="82"/>
        <v>1</v>
      </c>
      <c r="M258" s="466">
        <f t="shared" si="82"/>
        <v>2.3186160000000001E-2</v>
      </c>
      <c r="N258" s="429">
        <f t="shared" si="76"/>
        <v>2408.8514337648003</v>
      </c>
      <c r="P258" s="660"/>
      <c r="S258" s="423"/>
    </row>
    <row r="259" spans="1:19">
      <c r="A259" s="1152">
        <f t="shared" si="68"/>
        <v>245</v>
      </c>
      <c r="B259" s="1046">
        <v>39918</v>
      </c>
      <c r="C259" s="80" t="s">
        <v>1515</v>
      </c>
      <c r="D259" s="322">
        <v>20560.16</v>
      </c>
      <c r="E259" s="429">
        <v>0</v>
      </c>
      <c r="F259" s="622">
        <f t="shared" si="72"/>
        <v>20560.16</v>
      </c>
      <c r="G259" s="466">
        <v>1</v>
      </c>
      <c r="H259" s="466">
        <f>Allocation!$E$21</f>
        <v>2.3186160000000001E-2</v>
      </c>
      <c r="I259" s="429">
        <f t="shared" si="77"/>
        <v>476.71115938560001</v>
      </c>
      <c r="K259" s="322">
        <v>20560.16</v>
      </c>
      <c r="L259" s="466">
        <f t="shared" ref="L259" si="83">G259</f>
        <v>1</v>
      </c>
      <c r="M259" s="466">
        <f t="shared" ref="M259" si="84">H259</f>
        <v>2.3186160000000001E-2</v>
      </c>
      <c r="N259" s="429">
        <f t="shared" si="76"/>
        <v>476.71115938560001</v>
      </c>
      <c r="P259" s="660"/>
      <c r="S259" s="423"/>
    </row>
    <row r="260" spans="1:19">
      <c r="A260" s="1152">
        <f t="shared" si="68"/>
        <v>246</v>
      </c>
      <c r="B260" s="1046">
        <v>39924</v>
      </c>
      <c r="C260" s="80" t="s">
        <v>1516</v>
      </c>
      <c r="D260" s="322">
        <v>0</v>
      </c>
      <c r="E260" s="429">
        <v>0</v>
      </c>
      <c r="F260" s="622">
        <f t="shared" si="72"/>
        <v>0</v>
      </c>
      <c r="G260" s="466">
        <f>Allocation!$C$15</f>
        <v>0.1095</v>
      </c>
      <c r="H260" s="466">
        <f>Allocation!$D$15</f>
        <v>0.51517972406888612</v>
      </c>
      <c r="I260" s="429">
        <f t="shared" si="77"/>
        <v>0</v>
      </c>
      <c r="K260" s="322">
        <v>0</v>
      </c>
      <c r="L260" s="466">
        <f>Allocation!$C$15</f>
        <v>0.1095</v>
      </c>
      <c r="M260" s="466">
        <f>Allocation!$D$15</f>
        <v>0.51517972406888612</v>
      </c>
      <c r="N260" s="429">
        <f t="shared" si="76"/>
        <v>0</v>
      </c>
      <c r="P260" s="660"/>
      <c r="S260" s="423"/>
    </row>
    <row r="261" spans="1:19">
      <c r="A261" s="1152">
        <f t="shared" si="68"/>
        <v>247</v>
      </c>
      <c r="B261" s="81"/>
      <c r="C261" s="233"/>
      <c r="D261" s="618"/>
      <c r="E261" s="618"/>
      <c r="F261" s="618"/>
      <c r="I261" s="618"/>
      <c r="K261" s="618"/>
      <c r="N261" s="618"/>
    </row>
    <row r="262" spans="1:19" ht="15.75" thickBot="1">
      <c r="A262" s="1152">
        <f t="shared" si="68"/>
        <v>248</v>
      </c>
      <c r="B262" s="81"/>
      <c r="C262" s="233" t="s">
        <v>1319</v>
      </c>
      <c r="D262" s="511">
        <f>SUM(D232:D260)</f>
        <v>149634642.91999993</v>
      </c>
      <c r="E262" s="511">
        <f>SUM(E232:E260)</f>
        <v>0</v>
      </c>
      <c r="F262" s="511">
        <f>SUM(F232:F260)</f>
        <v>149634642.91999993</v>
      </c>
      <c r="G262" s="1025"/>
      <c r="H262" s="1025"/>
      <c r="I262" s="511">
        <f>SUM(I232:I260)</f>
        <v>7863104.6803169362</v>
      </c>
      <c r="J262" s="806"/>
      <c r="K262" s="511">
        <f>SUM(K232:K260)</f>
        <v>147932837.05769226</v>
      </c>
      <c r="L262" s="1025"/>
      <c r="M262" s="1025"/>
      <c r="N262" s="511">
        <f>SUM(N232:N260)</f>
        <v>7775377.4529002216</v>
      </c>
    </row>
    <row r="263" spans="1:19" ht="15.75" thickTop="1">
      <c r="A263" s="1152">
        <f t="shared" si="68"/>
        <v>249</v>
      </c>
      <c r="B263" s="81"/>
      <c r="C263" s="88"/>
      <c r="D263" s="328"/>
      <c r="E263" s="328"/>
      <c r="F263" s="328"/>
      <c r="I263" s="328"/>
      <c r="K263" s="328"/>
      <c r="N263" s="328"/>
    </row>
    <row r="264" spans="1:19">
      <c r="A264" s="1152">
        <f t="shared" si="68"/>
        <v>250</v>
      </c>
      <c r="B264" s="81"/>
      <c r="C264" s="81" t="s">
        <v>749</v>
      </c>
      <c r="D264" s="322">
        <v>3983793.9399999995</v>
      </c>
      <c r="E264" s="328">
        <v>0</v>
      </c>
      <c r="F264" s="328">
        <f>D264+E264</f>
        <v>3983793.9399999995</v>
      </c>
      <c r="G264" s="466">
        <f>$G$232</f>
        <v>0.1095</v>
      </c>
      <c r="H264" s="466">
        <f>$H$232</f>
        <v>0.51517972406888612</v>
      </c>
      <c r="I264" s="328">
        <f>F264*G264*H264</f>
        <v>224734.49997183681</v>
      </c>
      <c r="K264" s="322">
        <v>3983793.9399999981</v>
      </c>
      <c r="L264" s="466">
        <f>G264</f>
        <v>0.1095</v>
      </c>
      <c r="M264" s="466">
        <f>H264</f>
        <v>0.51517972406888612</v>
      </c>
      <c r="N264" s="328">
        <f>K264*L264*M264</f>
        <v>224734.49997183672</v>
      </c>
    </row>
    <row r="265" spans="1:19">
      <c r="A265" s="1152">
        <f t="shared" si="68"/>
        <v>251</v>
      </c>
    </row>
    <row r="266" spans="1:19" ht="15.75" thickBot="1">
      <c r="A266" s="1152">
        <f t="shared" si="68"/>
        <v>252</v>
      </c>
      <c r="C266" s="88" t="s">
        <v>748</v>
      </c>
      <c r="D266" s="467">
        <f>D262+D225+D179+D117</f>
        <v>1133896943.305131</v>
      </c>
      <c r="E266" s="467">
        <f>E262+E225+E179+E117</f>
        <v>0</v>
      </c>
      <c r="F266" s="467">
        <f>F262+F225+F179+F117</f>
        <v>1133896943.305131</v>
      </c>
      <c r="I266" s="467">
        <f>I262+I225+I179+I117</f>
        <v>763121142.80906141</v>
      </c>
      <c r="K266" s="467">
        <f>K262+K225+K179+K117</f>
        <v>1084300143.3744454</v>
      </c>
      <c r="N266" s="467">
        <f>N262+N225+N179+N117</f>
        <v>724669367.01538217</v>
      </c>
      <c r="P266" s="670"/>
    </row>
    <row r="267" spans="1:19" ht="15.75" thickTop="1">
      <c r="A267" s="1152">
        <f t="shared" si="68"/>
        <v>253</v>
      </c>
    </row>
    <row r="268" spans="1:19" ht="30.75" thickBot="1">
      <c r="A268" s="1152">
        <f t="shared" si="68"/>
        <v>254</v>
      </c>
      <c r="C268" s="614" t="s">
        <v>5</v>
      </c>
      <c r="D268" s="467">
        <f>D264+D227+D181+D119</f>
        <v>56598085.189999983</v>
      </c>
      <c r="E268" s="1048"/>
      <c r="F268" s="467">
        <f>F264+F227+F181+F119</f>
        <v>56598085.189999983</v>
      </c>
      <c r="I268" s="467">
        <f>I264+I227+I181+I119</f>
        <v>39130198.175474182</v>
      </c>
      <c r="K268" s="467">
        <f>K264+K227+K181+K119</f>
        <v>56598085.189999983</v>
      </c>
      <c r="N268" s="467">
        <f>N264+N227+N181+N119</f>
        <v>39130198.175474182</v>
      </c>
    </row>
    <row r="269" spans="1:19" ht="15.75" thickTop="1">
      <c r="A269" s="1152">
        <f t="shared" si="68"/>
        <v>255</v>
      </c>
    </row>
    <row r="270" spans="1:19">
      <c r="A270" s="1152">
        <f t="shared" si="68"/>
        <v>256</v>
      </c>
    </row>
    <row r="271" spans="1:19">
      <c r="A271" s="1152">
        <f t="shared" si="68"/>
        <v>257</v>
      </c>
    </row>
    <row r="272" spans="1:19">
      <c r="A272" s="1152">
        <f t="shared" si="68"/>
        <v>258</v>
      </c>
      <c r="C272" s="80" t="s">
        <v>518</v>
      </c>
    </row>
    <row r="273" spans="1:3">
      <c r="A273" s="1152">
        <f t="shared" si="68"/>
        <v>259</v>
      </c>
      <c r="C273" s="80" t="s">
        <v>1673</v>
      </c>
    </row>
  </sheetData>
  <mergeCells count="4">
    <mergeCell ref="A1:N1"/>
    <mergeCell ref="A2:N2"/>
    <mergeCell ref="A3:N3"/>
    <mergeCell ref="A4:N4"/>
  </mergeCells>
  <phoneticPr fontId="23" type="noConversion"/>
  <pageMargins left="0.52" right="0.34" top="0.96" bottom="1" header="0.5" footer="0.42"/>
  <pageSetup scale="53" orientation="landscape" r:id="rId1"/>
  <headerFooter alignWithMargins="0">
    <oddFooter>&amp;RSchedule &amp;A
Page &amp;P of &amp;N</oddFooter>
  </headerFooter>
  <rowBreaks count="6" manualBreakCount="6">
    <brk id="47" max="13" man="1"/>
    <brk id="86" max="13" man="1"/>
    <brk id="119" max="13" man="1"/>
    <brk id="152" max="13" man="1"/>
    <brk id="181" max="13" man="1"/>
    <brk id="2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81</vt:i4>
      </vt:variant>
      <vt:variant>
        <vt:lpstr>Named Ranges</vt:lpstr>
      </vt:variant>
      <vt:variant>
        <vt:i4>111</vt:i4>
      </vt:variant>
    </vt:vector>
  </HeadingPairs>
  <TitlesOfParts>
    <vt:vector size="192" baseType="lpstr">
      <vt:lpstr>Table of Contents</vt:lpstr>
      <vt:lpstr>Allocation</vt:lpstr>
      <vt:lpstr>Cover A</vt:lpstr>
      <vt:lpstr>A.1</vt:lpstr>
      <vt:lpstr>Cover B</vt:lpstr>
      <vt:lpstr>B.1 B</vt:lpstr>
      <vt:lpstr>B.1 F </vt:lpstr>
      <vt:lpstr>B.2 B</vt:lpstr>
      <vt:lpstr>B.2 F</vt:lpstr>
      <vt:lpstr>B.3 B</vt:lpstr>
      <vt:lpstr>B.3 F</vt:lpstr>
      <vt:lpstr>B.3.1 F</vt:lpstr>
      <vt:lpstr>B.4 B</vt:lpstr>
      <vt:lpstr>B.4 F</vt:lpstr>
      <vt:lpstr>B.4.1 B</vt:lpstr>
      <vt:lpstr>B.4.1 F</vt:lpstr>
      <vt:lpstr>B.4.2 B</vt:lpstr>
      <vt:lpstr>B.4.2 F</vt:lpstr>
      <vt:lpstr>B.5 B</vt:lpstr>
      <vt:lpstr>B.5 F</vt:lpstr>
      <vt:lpstr>B.6 B</vt:lpstr>
      <vt:lpstr>B.6 F</vt:lpstr>
      <vt:lpstr>WP B.4.1B</vt:lpstr>
      <vt:lpstr>WP B.4.1F</vt:lpstr>
      <vt:lpstr>WP B.5 B</vt:lpstr>
      <vt:lpstr>WP B.5 F</vt:lpstr>
      <vt:lpstr>WP B.5 F1</vt:lpstr>
      <vt:lpstr>WP B.6 B</vt:lpstr>
      <vt:lpstr>WP B.6 F</vt:lpstr>
      <vt:lpstr>Cover C</vt:lpstr>
      <vt:lpstr>C.1</vt:lpstr>
      <vt:lpstr>C.2</vt:lpstr>
      <vt:lpstr>C.2.1 B</vt:lpstr>
      <vt:lpstr>C.2.1 F</vt:lpstr>
      <vt:lpstr>C.2.2 B 09</vt:lpstr>
      <vt:lpstr>C.2.2 B 02</vt:lpstr>
      <vt:lpstr>C.2.2 B 12</vt:lpstr>
      <vt:lpstr>C.2.2 B 91</vt:lpstr>
      <vt:lpstr>C.2.2-F 09</vt:lpstr>
      <vt:lpstr>C.2.2-F 02</vt:lpstr>
      <vt:lpstr>C.2.2-F 12</vt:lpstr>
      <vt:lpstr>C.2.2-F 91</vt:lpstr>
      <vt:lpstr>C.2.3 B</vt:lpstr>
      <vt:lpstr>C.2.3 F</vt:lpstr>
      <vt:lpstr>Cover D</vt:lpstr>
      <vt:lpstr>D.1</vt:lpstr>
      <vt:lpstr>D.2.1</vt:lpstr>
      <vt:lpstr>D.2.2</vt:lpstr>
      <vt:lpstr>D.2.3</vt:lpstr>
      <vt:lpstr>Cover E</vt:lpstr>
      <vt:lpstr>E</vt:lpstr>
      <vt:lpstr>Cover F</vt:lpstr>
      <vt:lpstr>F.1</vt:lpstr>
      <vt:lpstr>F.2.1</vt:lpstr>
      <vt:lpstr>F.2.2</vt:lpstr>
      <vt:lpstr>F.2.3</vt:lpstr>
      <vt:lpstr>F.3</vt:lpstr>
      <vt:lpstr>F.4</vt:lpstr>
      <vt:lpstr>F.5</vt:lpstr>
      <vt:lpstr>F.6</vt:lpstr>
      <vt:lpstr>F.7</vt:lpstr>
      <vt:lpstr>F.8</vt:lpstr>
      <vt:lpstr>F.9</vt:lpstr>
      <vt:lpstr>F.10</vt:lpstr>
      <vt:lpstr>F.11</vt:lpstr>
      <vt:lpstr>G.1</vt:lpstr>
      <vt:lpstr>G.2</vt:lpstr>
      <vt:lpstr>G.3</vt:lpstr>
      <vt:lpstr>H.1</vt:lpstr>
      <vt:lpstr>I.1</vt:lpstr>
      <vt:lpstr>I.2</vt:lpstr>
      <vt:lpstr>I.3</vt:lpstr>
      <vt:lpstr>J-1 Base</vt:lpstr>
      <vt:lpstr>J.1</vt:lpstr>
      <vt:lpstr>J-2 B</vt:lpstr>
      <vt:lpstr>J-3 B</vt:lpstr>
      <vt:lpstr>J-4</vt:lpstr>
      <vt:lpstr>J-1 F</vt:lpstr>
      <vt:lpstr>J-2 F</vt:lpstr>
      <vt:lpstr>J-3 F</vt:lpstr>
      <vt:lpstr>K</vt:lpstr>
      <vt:lpstr>\p</vt:lpstr>
      <vt:lpstr>A.1!Print_Area</vt:lpstr>
      <vt:lpstr>Allocation!Print_Area</vt:lpstr>
      <vt:lpstr>'B.1 B'!Print_Area</vt:lpstr>
      <vt:lpstr>'B.1 F '!Print_Area</vt:lpstr>
      <vt:lpstr>'B.2 B'!Print_Area</vt:lpstr>
      <vt:lpstr>'B.2 F'!Print_Area</vt:lpstr>
      <vt:lpstr>'B.3 B'!Print_Area</vt:lpstr>
      <vt:lpstr>'B.3 F'!Print_Area</vt:lpstr>
      <vt:lpstr>'B.3.1 F'!Print_Area</vt:lpstr>
      <vt:lpstr>'B.4 B'!Print_Area</vt:lpstr>
      <vt:lpstr>'B.4 F'!Print_Area</vt:lpstr>
      <vt:lpstr>'B.4.1 B'!Print_Area</vt:lpstr>
      <vt:lpstr>'B.4.1 F'!Print_Area</vt:lpstr>
      <vt:lpstr>'B.4.2 B'!Print_Area</vt:lpstr>
      <vt:lpstr>'B.4.2 F'!Print_Area</vt:lpstr>
      <vt:lpstr>'B.5 B'!Print_Area</vt:lpstr>
      <vt:lpstr>'B.5 F'!Print_Area</vt:lpstr>
      <vt:lpstr>'B.6 B'!Print_Area</vt:lpstr>
      <vt:lpstr>'B.6 F'!Print_Area</vt:lpstr>
      <vt:lpstr>C.1!Print_Area</vt:lpstr>
      <vt:lpstr>C.2!Print_Area</vt:lpstr>
      <vt:lpstr>'C.2.1 B'!Print_Area</vt:lpstr>
      <vt:lpstr>'C.2.1 F'!Print_Area</vt:lpstr>
      <vt:lpstr>'C.2.2 B 02'!Print_Area</vt:lpstr>
      <vt:lpstr>'C.2.2 B 09'!Print_Area</vt:lpstr>
      <vt:lpstr>'C.2.2 B 12'!Print_Area</vt:lpstr>
      <vt:lpstr>'C.2.2 B 91'!Print_Area</vt:lpstr>
      <vt:lpstr>'C.2.2-F 02'!Print_Area</vt:lpstr>
      <vt:lpstr>'C.2.2-F 09'!Print_Area</vt:lpstr>
      <vt:lpstr>'C.2.2-F 12'!Print_Area</vt:lpstr>
      <vt:lpstr>'C.2.2-F 91'!Print_Area</vt:lpstr>
      <vt:lpstr>'C.2.3 B'!Print_Area</vt:lpstr>
      <vt:lpstr>'C.2.3 F'!Print_Area</vt:lpstr>
      <vt:lpstr>'Cover B'!Print_Area</vt:lpstr>
      <vt:lpstr>'Cover C'!Print_Area</vt:lpstr>
      <vt:lpstr>'Cover D'!Print_Area</vt:lpstr>
      <vt:lpstr>'Cover E'!Print_Area</vt:lpstr>
      <vt:lpstr>'Cover F'!Print_Area</vt:lpstr>
      <vt:lpstr>D.1!Print_Area</vt:lpstr>
      <vt:lpstr>D.2.1!Print_Area</vt:lpstr>
      <vt:lpstr>D.2.2!Print_Area</vt:lpstr>
      <vt:lpstr>D.2.3!Print_Area</vt:lpstr>
      <vt:lpstr>E!Print_Area</vt:lpstr>
      <vt:lpstr>F.1!Print_Area</vt:lpstr>
      <vt:lpstr>F.10!Print_Area</vt:lpstr>
      <vt:lpstr>F.11!Print_Area</vt:lpstr>
      <vt:lpstr>F.2.1!Print_Area</vt:lpstr>
      <vt:lpstr>F.2.2!Print_Area</vt:lpstr>
      <vt:lpstr>F.2.3!Print_Area</vt:lpstr>
      <vt:lpstr>F.3!Print_Area</vt:lpstr>
      <vt:lpstr>F.4!Print_Area</vt:lpstr>
      <vt:lpstr>F.5!Print_Area</vt:lpstr>
      <vt:lpstr>F.6!Print_Area</vt:lpstr>
      <vt:lpstr>F.7!Print_Area</vt:lpstr>
      <vt:lpstr>F.8!Print_Area</vt:lpstr>
      <vt:lpstr>F.9!Print_Area</vt:lpstr>
      <vt:lpstr>G.1!Print_Area</vt:lpstr>
      <vt:lpstr>G.2!Print_Area</vt:lpstr>
      <vt:lpstr>G.3!Print_Area</vt:lpstr>
      <vt:lpstr>H.1!Print_Area</vt:lpstr>
      <vt:lpstr>I.1!Print_Area</vt:lpstr>
      <vt:lpstr>I.2!Print_Area</vt:lpstr>
      <vt:lpstr>I.3!Print_Area</vt:lpstr>
      <vt:lpstr>J.1!Print_Area</vt:lpstr>
      <vt:lpstr>'J-1 Base'!Print_Area</vt:lpstr>
      <vt:lpstr>'J-1 F'!Print_Area</vt:lpstr>
      <vt:lpstr>'J-2 B'!Print_Area</vt:lpstr>
      <vt:lpstr>'J-2 F'!Print_Area</vt:lpstr>
      <vt:lpstr>'J-3 B'!Print_Area</vt:lpstr>
      <vt:lpstr>'J-3 F'!Print_Area</vt:lpstr>
      <vt:lpstr>'J-4'!Print_Area</vt:lpstr>
      <vt:lpstr>K!Print_Area</vt:lpstr>
      <vt:lpstr>'WP B.4.1B'!Print_Area</vt:lpstr>
      <vt:lpstr>'WP B.4.1F'!Print_Area</vt:lpstr>
      <vt:lpstr>'WP B.5 B'!Print_Area</vt:lpstr>
      <vt:lpstr>'WP B.5 F'!Print_Area</vt:lpstr>
      <vt:lpstr>'WP B.5 F1'!Print_Area</vt:lpstr>
      <vt:lpstr>'WP B.6 B'!Print_Area</vt:lpstr>
      <vt:lpstr>'WP B.6 F'!Print_Area</vt:lpstr>
      <vt:lpstr>Print_Area_MI</vt:lpstr>
      <vt:lpstr>'B.1 B'!Print_Titles</vt:lpstr>
      <vt:lpstr>'B.2 B'!Print_Titles</vt:lpstr>
      <vt:lpstr>'B.2 F'!Print_Titles</vt:lpstr>
      <vt:lpstr>'B.3 B'!Print_Titles</vt:lpstr>
      <vt:lpstr>'B.3 F'!Print_Titles</vt:lpstr>
      <vt:lpstr>'B.3.1 F'!Print_Titles</vt:lpstr>
      <vt:lpstr>'B.5 B'!Print_Titles</vt:lpstr>
      <vt:lpstr>'B.5 F'!Print_Titles</vt:lpstr>
      <vt:lpstr>'B.6 B'!Print_Titles</vt:lpstr>
      <vt:lpstr>'B.6 F'!Print_Titles</vt:lpstr>
      <vt:lpstr>'C.2.1 B'!Print_Titles</vt:lpstr>
      <vt:lpstr>'C.2.1 F'!Print_Titles</vt:lpstr>
      <vt:lpstr>'C.2.2 B 02'!Print_Titles</vt:lpstr>
      <vt:lpstr>'C.2.2 B 09'!Print_Titles</vt:lpstr>
      <vt:lpstr>'C.2.2 B 12'!Print_Titles</vt:lpstr>
      <vt:lpstr>'C.2.2 B 91'!Print_Titles</vt:lpstr>
      <vt:lpstr>'C.2.2-F 02'!Print_Titles</vt:lpstr>
      <vt:lpstr>'C.2.2-F 09'!Print_Titles</vt:lpstr>
      <vt:lpstr>'C.2.2-F 12'!Print_Titles</vt:lpstr>
      <vt:lpstr>'C.2.2-F 91'!Print_Titles</vt:lpstr>
      <vt:lpstr>'C.2.3 B'!Print_Titles</vt:lpstr>
      <vt:lpstr>'C.2.3 F'!Print_Titles</vt:lpstr>
      <vt:lpstr>D.1!Print_Titles</vt:lpstr>
      <vt:lpstr>F.1!Print_Titles</vt:lpstr>
      <vt:lpstr>K!Print_Titles</vt:lpstr>
      <vt:lpstr>'WP B.5 B'!Print_Titles</vt:lpstr>
      <vt:lpstr>'WP B.5 F'!Print_Titles</vt:lpstr>
      <vt:lpstr>'WP B.6 B'!Print_Titles</vt:lpstr>
      <vt:lpstr>'WP B.6 F'!Print_Titles</vt:lpstr>
      <vt:lpstr>SCHEDA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Cagle</dc:creator>
  <cp:lastModifiedBy>Brannon C Taylor</cp:lastModifiedBy>
  <cp:lastPrinted>2017-09-18T17:49:36Z</cp:lastPrinted>
  <dcterms:created xsi:type="dcterms:W3CDTF">1998-03-09T18:47:56Z</dcterms:created>
  <dcterms:modified xsi:type="dcterms:W3CDTF">2019-02-12T23:34:50Z</dcterms:modified>
</cp:coreProperties>
</file>