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U_GASREG\00REGSUP\2 - Gas\Kentucky\2018-00281_2018 Kentucky Rate Case\2019-01-22 Atmos Response to Depreciation Order\"/>
    </mc:Choice>
  </mc:AlternateContent>
  <bookViews>
    <workbookView xWindow="120" yWindow="45" windowWidth="25320" windowHeight="12660"/>
  </bookViews>
  <sheets>
    <sheet name="KY MSGO Parameters" sheetId="1" r:id="rId1"/>
    <sheet name="Comparison" sheetId="4" r:id="rId2"/>
    <sheet name="Accrual" sheetId="5" r:id="rId3"/>
    <sheet name="MSGO TR 2017" sheetId="6" r:id="rId4"/>
    <sheet name="PBC Plant Balance 2017" sheetId="2" r:id="rId5"/>
    <sheet name="PBC Reserve Balance 2017" sheetId="3" r:id="rId6"/>
    <sheet name="Existing Rates" sheetId="7" r:id="rId7"/>
  </sheets>
  <calcPr calcId="152511"/>
</workbook>
</file>

<file path=xl/calcChain.xml><?xml version="1.0" encoding="utf-8"?>
<calcChain xmlns="http://schemas.openxmlformats.org/spreadsheetml/2006/main">
  <c r="M50" i="6" l="1"/>
  <c r="M51" i="6" s="1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0" i="6"/>
  <c r="M29" i="6"/>
  <c r="M31" i="6" s="1"/>
  <c r="M27" i="6"/>
  <c r="M26" i="6"/>
  <c r="M25" i="6"/>
  <c r="M24" i="6"/>
  <c r="M23" i="6"/>
  <c r="M22" i="6"/>
  <c r="M20" i="6"/>
  <c r="M19" i="6"/>
  <c r="M21" i="6" s="1"/>
  <c r="M8" i="6"/>
  <c r="M7" i="6"/>
  <c r="M5" i="6"/>
  <c r="M4" i="6"/>
  <c r="M45" i="6" l="1"/>
  <c r="M9" i="6"/>
  <c r="M28" i="6"/>
  <c r="M6" i="6"/>
  <c r="M56" i="6" s="1"/>
  <c r="E17" i="3" l="1"/>
  <c r="F25" i="5"/>
  <c r="F23" i="5"/>
  <c r="F22" i="5"/>
  <c r="J27" i="6"/>
  <c r="J44" i="6"/>
  <c r="J43" i="6"/>
  <c r="H49" i="6"/>
  <c r="K49" i="6"/>
  <c r="L49" i="6"/>
  <c r="D49" i="6"/>
  <c r="B25" i="4"/>
  <c r="D61" i="6"/>
  <c r="I49" i="6" l="1"/>
  <c r="F15" i="4"/>
  <c r="F13" i="4"/>
  <c r="F12" i="4"/>
  <c r="F19" i="4"/>
  <c r="F25" i="7"/>
  <c r="F24" i="7"/>
  <c r="F23" i="7"/>
  <c r="F22" i="7"/>
  <c r="F21" i="7"/>
  <c r="F20" i="7"/>
  <c r="F19" i="7"/>
  <c r="F18" i="7"/>
  <c r="F18" i="4" s="1"/>
  <c r="F17" i="7"/>
  <c r="F16" i="7"/>
  <c r="F15" i="7"/>
  <c r="F17" i="4" s="1"/>
  <c r="F14" i="7"/>
  <c r="F16" i="4" s="1"/>
  <c r="F13" i="7"/>
  <c r="F12" i="7"/>
  <c r="F11" i="7"/>
  <c r="F10" i="7"/>
  <c r="F14" i="4" s="1"/>
  <c r="F9" i="7"/>
  <c r="F8" i="7"/>
  <c r="F7" i="7"/>
  <c r="F6" i="7"/>
  <c r="F5" i="7"/>
  <c r="F4" i="7"/>
  <c r="F3" i="7"/>
  <c r="F2" i="7"/>
  <c r="B19" i="4" l="1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K27" i="6"/>
  <c r="K43" i="6"/>
  <c r="K44" i="6"/>
  <c r="J50" i="6"/>
  <c r="J38" i="6"/>
  <c r="J37" i="6"/>
  <c r="J36" i="6"/>
  <c r="J35" i="6"/>
  <c r="J34" i="6"/>
  <c r="J32" i="6"/>
  <c r="J30" i="6"/>
  <c r="J23" i="6"/>
  <c r="J22" i="6"/>
  <c r="J20" i="6"/>
  <c r="J19" i="6"/>
  <c r="J8" i="6"/>
  <c r="J7" i="6"/>
  <c r="J5" i="6"/>
  <c r="J4" i="6"/>
  <c r="J24" i="6" l="1"/>
  <c r="J39" i="6"/>
  <c r="J25" i="6"/>
  <c r="J40" i="6"/>
  <c r="J26" i="6"/>
  <c r="J41" i="6"/>
  <c r="J42" i="6"/>
  <c r="J29" i="6"/>
  <c r="B12" i="4" l="1"/>
  <c r="A12" i="4"/>
  <c r="D30" i="5"/>
  <c r="H71" i="2"/>
  <c r="H55" i="2"/>
  <c r="H37" i="2"/>
  <c r="H35" i="2"/>
  <c r="H64" i="2"/>
  <c r="H62" i="2"/>
  <c r="H32" i="2"/>
  <c r="H25" i="2"/>
  <c r="H22" i="2"/>
  <c r="H13" i="2"/>
  <c r="H11" i="2"/>
  <c r="H68" i="2"/>
  <c r="H8" i="2"/>
  <c r="H69" i="2" s="1"/>
  <c r="H72" i="2" s="1"/>
  <c r="D55" i="6"/>
  <c r="D51" i="6"/>
  <c r="N51" i="6" s="1"/>
  <c r="D63" i="6"/>
  <c r="D45" i="6"/>
  <c r="N45" i="6" s="1"/>
  <c r="D33" i="6"/>
  <c r="D31" i="6"/>
  <c r="D28" i="6"/>
  <c r="N28" i="6" s="1"/>
  <c r="D21" i="6"/>
  <c r="D18" i="6"/>
  <c r="D11" i="6"/>
  <c r="D9" i="6"/>
  <c r="N9" i="6" s="1"/>
  <c r="D6" i="6"/>
  <c r="L50" i="6"/>
  <c r="L51" i="6" s="1"/>
  <c r="H50" i="6"/>
  <c r="H51" i="6" s="1"/>
  <c r="L44" i="6"/>
  <c r="H44" i="6"/>
  <c r="L43" i="6"/>
  <c r="H43" i="6"/>
  <c r="L42" i="6"/>
  <c r="H42" i="6"/>
  <c r="L41" i="6"/>
  <c r="H41" i="6"/>
  <c r="L40" i="6"/>
  <c r="H40" i="6"/>
  <c r="L39" i="6"/>
  <c r="H39" i="6"/>
  <c r="L38" i="6"/>
  <c r="H38" i="6"/>
  <c r="L37" i="6"/>
  <c r="H37" i="6"/>
  <c r="L36" i="6"/>
  <c r="H36" i="6"/>
  <c r="L35" i="6"/>
  <c r="H35" i="6"/>
  <c r="L34" i="6"/>
  <c r="H34" i="6"/>
  <c r="L32" i="6"/>
  <c r="L33" i="6" s="1"/>
  <c r="H32" i="6"/>
  <c r="H33" i="6" s="1"/>
  <c r="L30" i="6"/>
  <c r="H30" i="6"/>
  <c r="L29" i="6"/>
  <c r="H29" i="6"/>
  <c r="L27" i="6"/>
  <c r="H27" i="6"/>
  <c r="L26" i="6"/>
  <c r="H26" i="6"/>
  <c r="L25" i="6"/>
  <c r="H25" i="6"/>
  <c r="L24" i="6"/>
  <c r="H24" i="6"/>
  <c r="L23" i="6"/>
  <c r="H23" i="6"/>
  <c r="L22" i="6"/>
  <c r="H22" i="6"/>
  <c r="L20" i="6"/>
  <c r="H20" i="6"/>
  <c r="L19" i="6"/>
  <c r="H19" i="6"/>
  <c r="L11" i="6"/>
  <c r="H11" i="6"/>
  <c r="L8" i="6"/>
  <c r="H8" i="6"/>
  <c r="L7" i="6"/>
  <c r="H7" i="6"/>
  <c r="L5" i="6"/>
  <c r="H5" i="6"/>
  <c r="L4" i="6"/>
  <c r="H4" i="6"/>
  <c r="E15" i="3"/>
  <c r="F68" i="2"/>
  <c r="F64" i="2"/>
  <c r="F62" i="2"/>
  <c r="F55" i="2"/>
  <c r="F37" i="2"/>
  <c r="F35" i="2"/>
  <c r="F32" i="2"/>
  <c r="F25" i="2"/>
  <c r="F22" i="2"/>
  <c r="F13" i="2"/>
  <c r="F11" i="2"/>
  <c r="F8" i="2"/>
  <c r="F69" i="2" s="1"/>
  <c r="D30" i="4" s="1"/>
  <c r="F5" i="2"/>
  <c r="F3" i="2"/>
  <c r="E18" i="3" l="1"/>
  <c r="I58" i="6" s="1"/>
  <c r="F32" i="5"/>
  <c r="D25" i="4"/>
  <c r="D24" i="5"/>
  <c r="F24" i="5" s="1"/>
  <c r="F26" i="5" s="1"/>
  <c r="D32" i="5"/>
  <c r="D32" i="4"/>
  <c r="D31" i="4"/>
  <c r="D33" i="4" s="1"/>
  <c r="D23" i="4"/>
  <c r="D22" i="5"/>
  <c r="D24" i="4"/>
  <c r="D23" i="5"/>
  <c r="D26" i="4"/>
  <c r="D25" i="5"/>
  <c r="D15" i="5"/>
  <c r="D17" i="4" s="1"/>
  <c r="N33" i="6"/>
  <c r="N15" i="5" s="1"/>
  <c r="D14" i="5"/>
  <c r="D16" i="4" s="1"/>
  <c r="G16" i="4" s="1"/>
  <c r="N31" i="6"/>
  <c r="D12" i="5"/>
  <c r="D14" i="4" s="1"/>
  <c r="N21" i="6"/>
  <c r="D10" i="5"/>
  <c r="D12" i="4" s="1"/>
  <c r="N6" i="6"/>
  <c r="D64" i="6"/>
  <c r="D62" i="6"/>
  <c r="G14" i="4"/>
  <c r="G17" i="4"/>
  <c r="D11" i="5"/>
  <c r="D13" i="5"/>
  <c r="D15" i="4" s="1"/>
  <c r="D16" i="5"/>
  <c r="D18" i="4" s="1"/>
  <c r="L21" i="6"/>
  <c r="H9" i="6"/>
  <c r="L9" i="6"/>
  <c r="H31" i="6"/>
  <c r="L31" i="6"/>
  <c r="N17" i="5"/>
  <c r="D17" i="5"/>
  <c r="D19" i="4" s="1"/>
  <c r="D56" i="6"/>
  <c r="N56" i="6" s="1"/>
  <c r="H45" i="6"/>
  <c r="L45" i="6"/>
  <c r="H6" i="6"/>
  <c r="H18" i="6"/>
  <c r="H21" i="6"/>
  <c r="L18" i="6"/>
  <c r="H28" i="6"/>
  <c r="H55" i="6"/>
  <c r="L28" i="6"/>
  <c r="L55" i="6"/>
  <c r="L6" i="6"/>
  <c r="D27" i="4" l="1"/>
  <c r="D26" i="5"/>
  <c r="G12" i="4"/>
  <c r="G18" i="4"/>
  <c r="G15" i="4"/>
  <c r="G19" i="4"/>
  <c r="D18" i="5"/>
  <c r="N12" i="5"/>
  <c r="D13" i="4"/>
  <c r="G13" i="4" s="1"/>
  <c r="K18" i="6"/>
  <c r="N13" i="5"/>
  <c r="N11" i="5"/>
  <c r="N14" i="5"/>
  <c r="I55" i="6"/>
  <c r="K55" i="6"/>
  <c r="I11" i="6"/>
  <c r="K11" i="6"/>
  <c r="L56" i="6"/>
  <c r="N10" i="5"/>
  <c r="N16" i="5"/>
  <c r="H56" i="6"/>
  <c r="I18" i="6"/>
  <c r="D31" i="5" l="1"/>
  <c r="D28" i="5"/>
  <c r="R15" i="1" l="1"/>
  <c r="H12" i="5" l="1"/>
  <c r="J12" i="5" s="1"/>
  <c r="G20" i="6"/>
  <c r="I20" i="6" s="1"/>
  <c r="K20" i="6" s="1"/>
  <c r="G19" i="6"/>
  <c r="I19" i="6" s="1"/>
  <c r="R27" i="1"/>
  <c r="I26" i="4" s="1"/>
  <c r="R26" i="1"/>
  <c r="R25" i="1"/>
  <c r="I25" i="4" s="1"/>
  <c r="R24" i="1"/>
  <c r="R23" i="1"/>
  <c r="R22" i="1"/>
  <c r="R21" i="1"/>
  <c r="R20" i="1"/>
  <c r="R19" i="1"/>
  <c r="R18" i="1"/>
  <c r="R17" i="1"/>
  <c r="R16" i="1"/>
  <c r="H17" i="5" l="1"/>
  <c r="J17" i="5" s="1"/>
  <c r="G50" i="6"/>
  <c r="H13" i="5"/>
  <c r="J13" i="5" s="1"/>
  <c r="G24" i="6"/>
  <c r="I24" i="6" s="1"/>
  <c r="K24" i="6" s="1"/>
  <c r="G22" i="6"/>
  <c r="I22" i="6" s="1"/>
  <c r="G23" i="6"/>
  <c r="I23" i="6" s="1"/>
  <c r="K23" i="6" s="1"/>
  <c r="G27" i="6"/>
  <c r="I27" i="6" s="1"/>
  <c r="G26" i="6"/>
  <c r="I26" i="6" s="1"/>
  <c r="K26" i="6" s="1"/>
  <c r="G25" i="6"/>
  <c r="I25" i="6" s="1"/>
  <c r="K25" i="6" s="1"/>
  <c r="H14" i="5"/>
  <c r="J14" i="5" s="1"/>
  <c r="G30" i="6"/>
  <c r="I30" i="6" s="1"/>
  <c r="K30" i="6" s="1"/>
  <c r="G29" i="6"/>
  <c r="K19" i="6"/>
  <c r="K21" i="6" s="1"/>
  <c r="I21" i="6"/>
  <c r="H15" i="5"/>
  <c r="J15" i="5" s="1"/>
  <c r="G32" i="6"/>
  <c r="G39" i="6"/>
  <c r="I39" i="6" s="1"/>
  <c r="K39" i="6" s="1"/>
  <c r="G38" i="6"/>
  <c r="I38" i="6" s="1"/>
  <c r="K38" i="6" s="1"/>
  <c r="G37" i="6"/>
  <c r="I37" i="6" s="1"/>
  <c r="K37" i="6" s="1"/>
  <c r="G36" i="6"/>
  <c r="I36" i="6" s="1"/>
  <c r="K36" i="6" s="1"/>
  <c r="G35" i="6"/>
  <c r="I35" i="6" s="1"/>
  <c r="K35" i="6" s="1"/>
  <c r="G34" i="6"/>
  <c r="I34" i="6" s="1"/>
  <c r="G44" i="6"/>
  <c r="I44" i="6" s="1"/>
  <c r="G43" i="6"/>
  <c r="I43" i="6" s="1"/>
  <c r="G42" i="6"/>
  <c r="I42" i="6" s="1"/>
  <c r="K42" i="6" s="1"/>
  <c r="H16" i="5"/>
  <c r="J16" i="5" s="1"/>
  <c r="G41" i="6"/>
  <c r="I41" i="6" s="1"/>
  <c r="K41" i="6" s="1"/>
  <c r="G40" i="6"/>
  <c r="I40" i="6" s="1"/>
  <c r="K40" i="6" s="1"/>
  <c r="R14" i="1"/>
  <c r="I24" i="4" s="1"/>
  <c r="R13" i="1"/>
  <c r="I23" i="4" s="1"/>
  <c r="R12" i="1"/>
  <c r="R11" i="1"/>
  <c r="I32" i="6" l="1"/>
  <c r="I33" i="6" s="1"/>
  <c r="K22" i="6"/>
  <c r="K28" i="6" s="1"/>
  <c r="I28" i="6"/>
  <c r="K34" i="6"/>
  <c r="K45" i="6" s="1"/>
  <c r="I45" i="6"/>
  <c r="H10" i="5"/>
  <c r="J10" i="5" s="1"/>
  <c r="G5" i="6"/>
  <c r="I5" i="6" s="1"/>
  <c r="K5" i="6" s="1"/>
  <c r="G4" i="6"/>
  <c r="I4" i="6" s="1"/>
  <c r="H11" i="5"/>
  <c r="J11" i="5" s="1"/>
  <c r="G8" i="6"/>
  <c r="I8" i="6" s="1"/>
  <c r="K8" i="6" s="1"/>
  <c r="G7" i="6"/>
  <c r="I7" i="6" s="1"/>
  <c r="F12" i="5"/>
  <c r="L12" i="5" s="1"/>
  <c r="P12" i="5" s="1"/>
  <c r="R12" i="5" s="1"/>
  <c r="I14" i="4" s="1"/>
  <c r="J14" i="4" s="1"/>
  <c r="L14" i="4" s="1"/>
  <c r="I29" i="6"/>
  <c r="I31" i="6" s="1"/>
  <c r="K29" i="6"/>
  <c r="K31" i="6" s="1"/>
  <c r="I50" i="6"/>
  <c r="I51" i="6" s="1"/>
  <c r="K50" i="6"/>
  <c r="K51" i="6" s="1"/>
  <c r="D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D33" i="5"/>
  <c r="G20" i="4"/>
  <c r="D20" i="4"/>
  <c r="D29" i="4" s="1"/>
  <c r="J18" i="5" l="1"/>
  <c r="F14" i="5"/>
  <c r="L14" i="5" s="1"/>
  <c r="P14" i="5" s="1"/>
  <c r="K32" i="6"/>
  <c r="K33" i="6" s="1"/>
  <c r="K4" i="6"/>
  <c r="I6" i="6"/>
  <c r="F17" i="5"/>
  <c r="L17" i="5" s="1"/>
  <c r="P17" i="5" s="1"/>
  <c r="F16" i="5"/>
  <c r="L16" i="5" s="1"/>
  <c r="P16" i="5" s="1"/>
  <c r="F13" i="5"/>
  <c r="L13" i="5" s="1"/>
  <c r="P13" i="5" s="1"/>
  <c r="K7" i="6"/>
  <c r="K9" i="6" s="1"/>
  <c r="I9" i="6"/>
  <c r="F20" i="4"/>
  <c r="I56" i="6" l="1"/>
  <c r="I59" i="6" s="1"/>
  <c r="R16" i="5"/>
  <c r="I18" i="4" s="1"/>
  <c r="J18" i="4" s="1"/>
  <c r="L18" i="4" s="1"/>
  <c r="K6" i="6"/>
  <c r="K56" i="6" s="1"/>
  <c r="K58" i="6" s="1"/>
  <c r="R14" i="5"/>
  <c r="I16" i="4" s="1"/>
  <c r="J16" i="4" s="1"/>
  <c r="L16" i="4" s="1"/>
  <c r="R17" i="5"/>
  <c r="I19" i="4" s="1"/>
  <c r="J19" i="4" s="1"/>
  <c r="L19" i="4" s="1"/>
  <c r="F11" i="5"/>
  <c r="L11" i="5" s="1"/>
  <c r="P11" i="5" s="1"/>
  <c r="R11" i="5" s="1"/>
  <c r="I13" i="4" s="1"/>
  <c r="J13" i="4" s="1"/>
  <c r="L13" i="4" s="1"/>
  <c r="F15" i="5"/>
  <c r="L15" i="5" s="1"/>
  <c r="P15" i="5" s="1"/>
  <c r="R13" i="5"/>
  <c r="I15" i="4" s="1"/>
  <c r="J15" i="4" s="1"/>
  <c r="L15" i="4" s="1"/>
  <c r="F10" i="5" l="1"/>
  <c r="R15" i="5"/>
  <c r="I17" i="4" s="1"/>
  <c r="J17" i="4" s="1"/>
  <c r="L17" i="4" s="1"/>
  <c r="F18" i="5" l="1"/>
  <c r="L10" i="5"/>
  <c r="F28" i="5" l="1"/>
  <c r="F31" i="5"/>
  <c r="F33" i="5" s="1"/>
  <c r="P10" i="5"/>
  <c r="L18" i="5"/>
  <c r="R10" i="5" l="1"/>
  <c r="I12" i="4" s="1"/>
  <c r="J12" i="4" s="1"/>
  <c r="P18" i="5"/>
  <c r="R18" i="5" l="1"/>
  <c r="L12" i="4"/>
  <c r="L20" i="4" s="1"/>
  <c r="L24" i="4" s="1"/>
  <c r="J20" i="4"/>
  <c r="I20" i="4" s="1"/>
</calcChain>
</file>

<file path=xl/sharedStrings.xml><?xml version="1.0" encoding="utf-8"?>
<sst xmlns="http://schemas.openxmlformats.org/spreadsheetml/2006/main" count="688" uniqueCount="256">
  <si>
    <t>Atmos Energy Corporation</t>
  </si>
  <si>
    <t>Kentucky Mid-States General Office</t>
  </si>
  <si>
    <t>Existing and Proposed Parameters</t>
  </si>
  <si>
    <t>EXISTING</t>
  </si>
  <si>
    <t>PROPOSED</t>
  </si>
  <si>
    <t>Plant Balance</t>
  </si>
  <si>
    <t>Iowa</t>
  </si>
  <si>
    <t>Gross</t>
  </si>
  <si>
    <t>Cost of</t>
  </si>
  <si>
    <t>Net</t>
  </si>
  <si>
    <t>Account</t>
  </si>
  <si>
    <t>Description</t>
  </si>
  <si>
    <t>ASL</t>
  </si>
  <si>
    <t>Curve</t>
  </si>
  <si>
    <t>Salvage</t>
  </si>
  <si>
    <t>Removal</t>
  </si>
  <si>
    <t>Structures - Frame</t>
  </si>
  <si>
    <t>R2</t>
  </si>
  <si>
    <t>Air Conditioning Equipment</t>
  </si>
  <si>
    <t>Improvements - Leased</t>
  </si>
  <si>
    <t>R3</t>
  </si>
  <si>
    <t>Office Furniture &amp; Equipment</t>
  </si>
  <si>
    <t>Transportation Equipment</t>
  </si>
  <si>
    <t>L3</t>
  </si>
  <si>
    <t>Stores Equipment</t>
  </si>
  <si>
    <t>S2</t>
  </si>
  <si>
    <t>Tools Shop &amp; Garage Equipment</t>
  </si>
  <si>
    <t>Power Operated Equipment</t>
  </si>
  <si>
    <t>Communication Equipment</t>
  </si>
  <si>
    <t>R4</t>
  </si>
  <si>
    <t>Miscellaneous Equipment</t>
  </si>
  <si>
    <t>R2.5</t>
  </si>
  <si>
    <t>Other Tangible Equipment</t>
  </si>
  <si>
    <t>SQ</t>
  </si>
  <si>
    <t>Servers Hardware</t>
  </si>
  <si>
    <t>Servers Software</t>
  </si>
  <si>
    <t>Network Hardware</t>
  </si>
  <si>
    <t>Pc Hardware</t>
  </si>
  <si>
    <t>R2.</t>
  </si>
  <si>
    <t>Pc Software</t>
  </si>
  <si>
    <t>R1.5</t>
  </si>
  <si>
    <t>Application Software</t>
  </si>
  <si>
    <t>Total Plant In Study</t>
  </si>
  <si>
    <t>Appendix C</t>
  </si>
  <si>
    <t>Depreciation Study as of September 30, 2017</t>
  </si>
  <si>
    <t>R5</t>
  </si>
  <si>
    <t>Company</t>
  </si>
  <si>
    <t>Business Segment</t>
  </si>
  <si>
    <t>Utility Account</t>
  </si>
  <si>
    <t>Retirement Unit</t>
  </si>
  <si>
    <t>Vintage</t>
  </si>
  <si>
    <t>Activity Cost</t>
  </si>
  <si>
    <t>050 Mid-States Division</t>
  </si>
  <si>
    <t>091 - Brentwood Division</t>
  </si>
  <si>
    <t>30100-Organization</t>
  </si>
  <si>
    <t>INT-30100-Plant Organization</t>
  </si>
  <si>
    <t>1998</t>
  </si>
  <si>
    <t>30300-Misc. Intangible Plant</t>
  </si>
  <si>
    <t>INT-30300-Plant Organization</t>
  </si>
  <si>
    <t>39001-Structures - Frame</t>
  </si>
  <si>
    <t>GEN-39000-Structures &amp; Improvements</t>
  </si>
  <si>
    <t>2003</t>
  </si>
  <si>
    <t>2002</t>
  </si>
  <si>
    <t>39004-Air Conditioning Equipment</t>
  </si>
  <si>
    <t>GEN-39000-Heating/Cooling Equip</t>
  </si>
  <si>
    <t>Non Unitized Retirement Unit</t>
  </si>
  <si>
    <t>2016</t>
  </si>
  <si>
    <t>39009-Improv. to Leased Premises</t>
  </si>
  <si>
    <t>GEN-39000-Leasehold Improvements</t>
  </si>
  <si>
    <t>1999</t>
  </si>
  <si>
    <t>39100-Office Furniture &amp; Equipment</t>
  </si>
  <si>
    <t>GEN-39100-Chair</t>
  </si>
  <si>
    <t>2006</t>
  </si>
  <si>
    <t>2005</t>
  </si>
  <si>
    <t>GEN-39100-Dolly</t>
  </si>
  <si>
    <t>GEN-39100-Ice Maker</t>
  </si>
  <si>
    <t>2015</t>
  </si>
  <si>
    <t>GEN-39100-Office Furniture &amp; Equip</t>
  </si>
  <si>
    <t>2009</t>
  </si>
  <si>
    <t>GEN-39100-Postage Meter</t>
  </si>
  <si>
    <t>2007</t>
  </si>
  <si>
    <t>GEN-39100-Printer</t>
  </si>
  <si>
    <t>2012</t>
  </si>
  <si>
    <t>GEN-39100-Table</t>
  </si>
  <si>
    <t>39200-Transportation Equipment</t>
  </si>
  <si>
    <t>GEN-39200-Drive Cam Unit</t>
  </si>
  <si>
    <t>2013</t>
  </si>
  <si>
    <t>GEN-39200-Trailer</t>
  </si>
  <si>
    <t>2010</t>
  </si>
  <si>
    <t>39400-Tools, Shop, &amp; Garage Equip.</t>
  </si>
  <si>
    <t>GEN-39400-Detector - Leak</t>
  </si>
  <si>
    <t>2017</t>
  </si>
  <si>
    <t>GEN-39400-Detector-Combustible Gas</t>
  </si>
  <si>
    <t>GEN-39400-Global Positioning (GPS)</t>
  </si>
  <si>
    <t>GEN-39400-Miscellaneous Equip</t>
  </si>
  <si>
    <t>GEN-39400-Respiratory Tool</t>
  </si>
  <si>
    <t>2014</t>
  </si>
  <si>
    <t>39600-Power Operated Equipment</t>
  </si>
  <si>
    <t>GEN-39600-Forklift</t>
  </si>
  <si>
    <t>GEN-39600-Trailer</t>
  </si>
  <si>
    <t>39700-Communication Equipment</t>
  </si>
  <si>
    <t>GEN-39700-Communication Equip</t>
  </si>
  <si>
    <t>39800-Miscellaneous Equipment</t>
  </si>
  <si>
    <t>GEN-39800-Automatic Defibrillators</t>
  </si>
  <si>
    <t>GEN-39800-Computer Equip</t>
  </si>
  <si>
    <t>GEN-39800-Ice Maker</t>
  </si>
  <si>
    <t>2004</t>
  </si>
  <si>
    <t>GEN-39800-Miscellaneous Equip</t>
  </si>
  <si>
    <t>2008</t>
  </si>
  <si>
    <t>2000</t>
  </si>
  <si>
    <t>GEN-39800-Refrigerator</t>
  </si>
  <si>
    <t>GEN-39800-Telemetering Equip</t>
  </si>
  <si>
    <t>GEN-39800-Television</t>
  </si>
  <si>
    <t>39906-Oth Tang Prop - PC Hardware</t>
  </si>
  <si>
    <t>GEN-39906-Computer CPU</t>
  </si>
  <si>
    <t>GEN-39906-Computer Equip</t>
  </si>
  <si>
    <t>GEN-39906-Computer Monitor</t>
  </si>
  <si>
    <t>GEN-39906-Laptop</t>
  </si>
  <si>
    <t>GEN-39906-Overhead Projector</t>
  </si>
  <si>
    <t>39907-Oth Tang Prop - PC Software</t>
  </si>
  <si>
    <t>GEN-39907-Computer Software</t>
  </si>
  <si>
    <t>39908-Oth Tang Prop - Appl Software</t>
  </si>
  <si>
    <t>GEN-39908-Computer Software</t>
  </si>
  <si>
    <t>end_month</t>
  </si>
  <si>
    <t>company</t>
  </si>
  <si>
    <t>bus Segement</t>
  </si>
  <si>
    <t>depr_group</t>
  </si>
  <si>
    <t>end_bal</t>
  </si>
  <si>
    <t>09/2017</t>
  </si>
  <si>
    <t>050.091.39001:Struc - Frame Grp</t>
  </si>
  <si>
    <t>050.091.39004:Air Condit Equip Grp</t>
  </si>
  <si>
    <t>050.091.39009:Improve - Leased Grp</t>
  </si>
  <si>
    <t>050.091.39100:Office Furniture And</t>
  </si>
  <si>
    <t>050.091.39200:Transp Equip- Group</t>
  </si>
  <si>
    <t>050.091.39400:Tools Shop And Garage</t>
  </si>
  <si>
    <t>050.091.39600:Power Op Equip-Group</t>
  </si>
  <si>
    <t>050.091.39700:Communication Equipme</t>
  </si>
  <si>
    <t>050.091.39800:Miscellaneous Equipme</t>
  </si>
  <si>
    <t>050.091.39901:Servers Hardware</t>
  </si>
  <si>
    <t>050.091.39906:Pc Hardware</t>
  </si>
  <si>
    <t>050.091.39907:Pc Software</t>
  </si>
  <si>
    <t>050.091.39908:Application Software</t>
  </si>
  <si>
    <t>30100-Organization Total</t>
  </si>
  <si>
    <t>30300-Misc. Intangible Plant Total</t>
  </si>
  <si>
    <t>39001-Structures - Frame Total</t>
  </si>
  <si>
    <t>39004-Air Conditioning Equipment Total</t>
  </si>
  <si>
    <t>39009-Improv. to Leased Premises Total</t>
  </si>
  <si>
    <t>39100-Office Furniture &amp; Equipment Total</t>
  </si>
  <si>
    <t>39200-Transportation Equipment Total</t>
  </si>
  <si>
    <t>39400-Tools, Shop, &amp; Garage Equip. Total</t>
  </si>
  <si>
    <t>39600-Power Operated Equipment Total</t>
  </si>
  <si>
    <t>39700-Communication Equipment Total</t>
  </si>
  <si>
    <t>39800-Miscellaneous Equipment Total</t>
  </si>
  <si>
    <t>39906-Oth Tang Prop - PC Hardware Total</t>
  </si>
  <si>
    <t>39907-Oth Tang Prop - PC Software Total</t>
  </si>
  <si>
    <t>39908-Oth Tang Prop - Appl Software Total</t>
  </si>
  <si>
    <t>Grand Total</t>
  </si>
  <si>
    <t>Kentucky Mid-States General Office Property</t>
  </si>
  <si>
    <t xml:space="preserve">Comparison of Depreciation Expense </t>
  </si>
  <si>
    <t>Existing vs Proposed Depreciation Accrual Rates</t>
  </si>
  <si>
    <t>Existing</t>
  </si>
  <si>
    <t>Proposed</t>
  </si>
  <si>
    <t>Change in</t>
  </si>
  <si>
    <t>Annual</t>
  </si>
  <si>
    <t xml:space="preserve">Annual </t>
  </si>
  <si>
    <t>Depreciation</t>
  </si>
  <si>
    <t>Accrual Rate</t>
  </si>
  <si>
    <t>Accrual</t>
  </si>
  <si>
    <t>Expense</t>
  </si>
  <si>
    <t>(a)</t>
  </si>
  <si>
    <t>(b)</t>
  </si>
  <si>
    <t xml:space="preserve">    (c)</t>
  </si>
  <si>
    <t>(d)</t>
  </si>
  <si>
    <t>(e)</t>
  </si>
  <si>
    <t>[f]</t>
  </si>
  <si>
    <t>[g]</t>
  </si>
  <si>
    <t>[h]</t>
  </si>
  <si>
    <t>GENERAL PLANT DEPRECIABLE</t>
  </si>
  <si>
    <t>Tools Shop And Garage</t>
  </si>
  <si>
    <t>Total Depreciable Plant</t>
  </si>
  <si>
    <t>Office Furniture And Equipment</t>
  </si>
  <si>
    <t>Total Plant In Service</t>
  </si>
  <si>
    <t>GL</t>
  </si>
  <si>
    <t>Difference</t>
  </si>
  <si>
    <t xml:space="preserve">ATMOS ENERGY - KENTUCKY MID-STATES GENERAL OFFICE </t>
  </si>
  <si>
    <t>COMPUTATION OF DEPRECIATION ACCRUAL RATE</t>
  </si>
  <si>
    <t xml:space="preserve">Net </t>
  </si>
  <si>
    <t>Unaccrued</t>
  </si>
  <si>
    <t xml:space="preserve">Remaining </t>
  </si>
  <si>
    <t>Amount</t>
  </si>
  <si>
    <t>Balance</t>
  </si>
  <si>
    <t>Life</t>
  </si>
  <si>
    <t>GENERAL PLANT DEPRECIATED</t>
  </si>
  <si>
    <t>Structures &amp; Improvements</t>
  </si>
  <si>
    <t>Total Depreciated Plant</t>
  </si>
  <si>
    <t>Air Conditioning</t>
  </si>
  <si>
    <t>Intangibles Excluded</t>
  </si>
  <si>
    <t xml:space="preserve">Net  </t>
  </si>
  <si>
    <t>Theoretical</t>
  </si>
  <si>
    <t>Reserve</t>
  </si>
  <si>
    <t xml:space="preserve">Remaining  </t>
  </si>
  <si>
    <t>Age</t>
  </si>
  <si>
    <t>RL</t>
  </si>
  <si>
    <t>%</t>
  </si>
  <si>
    <t>0% Salvage</t>
  </si>
  <si>
    <t>w/NS</t>
  </si>
  <si>
    <t>AT SEPTEMBER 30, 2017</t>
  </si>
  <si>
    <t>FA</t>
  </si>
  <si>
    <t>Book</t>
  </si>
  <si>
    <t>Plant in</t>
  </si>
  <si>
    <t>Service</t>
  </si>
  <si>
    <t>As of September 30, 2017</t>
  </si>
  <si>
    <t xml:space="preserve">050.091.39101:Office Furniture And </t>
  </si>
  <si>
    <t>050.091.39103:Office Machines</t>
  </si>
  <si>
    <t>050.091.39300:Stores Equipment</t>
  </si>
  <si>
    <t>050.091.39500:Laboratory Equipment</t>
  </si>
  <si>
    <t xml:space="preserve">050.091.39701:Communication Equip. </t>
  </si>
  <si>
    <t xml:space="preserve">050.091.39702:Communication Equip. </t>
  </si>
  <si>
    <t>Proration</t>
  </si>
  <si>
    <t>Allocated</t>
  </si>
  <si>
    <t>at 9-30-12</t>
  </si>
  <si>
    <t>Factor</t>
  </si>
  <si>
    <t>TR</t>
  </si>
  <si>
    <t>PAF</t>
  </si>
  <si>
    <t>Company Id</t>
  </si>
  <si>
    <t>Bus Segment Id</t>
  </si>
  <si>
    <t>Depr Group Id</t>
  </si>
  <si>
    <t>Life Rate</t>
  </si>
  <si>
    <t>Cost Of Removal Rate</t>
  </si>
  <si>
    <t>Depreciation Rate</t>
  </si>
  <si>
    <t>050.091.30100:Organization Grp</t>
  </si>
  <si>
    <t>050.091.30300:Intangibles Grp</t>
  </si>
  <si>
    <t xml:space="preserve">050.091.39100:Office Furniture And </t>
  </si>
  <si>
    <t>050.091.39900:Other Tangible Equip</t>
  </si>
  <si>
    <t>050.091.39902:Servers Software</t>
  </si>
  <si>
    <t>050.091.39903:Network Hardware</t>
  </si>
  <si>
    <t>FD</t>
  </si>
  <si>
    <t>FD Reserves</t>
  </si>
  <si>
    <t>To be allocated</t>
  </si>
  <si>
    <t>ACCOUNTS FULLY ACCRUED</t>
  </si>
  <si>
    <t>Total  Plant Fully Depreciated</t>
  </si>
  <si>
    <t>Total Fully Accrued</t>
  </si>
  <si>
    <t>*Accounts are fully accrued.  Recommend the following whole life (1-NS%/ASL) rates until a new study is performed.</t>
  </si>
  <si>
    <t>Non Depreciable</t>
  </si>
  <si>
    <t>Reconciled Difference</t>
  </si>
  <si>
    <t>[i]</t>
  </si>
  <si>
    <t>[j]</t>
  </si>
  <si>
    <t>Total Study Balances</t>
  </si>
  <si>
    <t>Fully Depreciated (FD)</t>
  </si>
  <si>
    <t>$/Age</t>
  </si>
  <si>
    <t>Average</t>
  </si>
  <si>
    <t>Using Average Life Group</t>
  </si>
  <si>
    <t>ALG Calculated</t>
  </si>
  <si>
    <t xml:space="preserve">As Filed Originially </t>
  </si>
  <si>
    <t>Change</t>
  </si>
  <si>
    <t>Original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</si>
</sst>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0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3" applyNumberFormat="0" applyAlignment="0" applyProtection="0"/>
    <xf numFmtId="0" fontId="11" fillId="21" borderId="4" applyNumberFormat="0" applyAlignment="0" applyProtection="0"/>
    <xf numFmtId="4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3" applyNumberFormat="0" applyAlignment="0" applyProtection="0"/>
    <xf numFmtId="0" fontId="18" fillId="0" borderId="8" applyNumberFormat="0" applyFill="0" applyAlignment="0" applyProtection="0"/>
    <xf numFmtId="0" fontId="19" fillId="22" borderId="0" applyNumberFormat="0" applyBorder="0" applyAlignment="0" applyProtection="0"/>
    <xf numFmtId="0" fontId="3" fillId="0" borderId="0"/>
    <xf numFmtId="0" fontId="20" fillId="23" borderId="9" applyNumberFormat="0" applyFont="0" applyAlignment="0" applyProtection="0"/>
    <xf numFmtId="0" fontId="21" fillId="20" borderId="10" applyNumberFormat="0" applyAlignment="0" applyProtection="0"/>
    <xf numFmtId="4" fontId="22" fillId="24" borderId="10" applyNumberFormat="0" applyProtection="0">
      <alignment vertical="center"/>
    </xf>
    <xf numFmtId="4" fontId="23" fillId="24" borderId="10" applyNumberFormat="0" applyProtection="0">
      <alignment vertical="center"/>
    </xf>
    <xf numFmtId="4" fontId="22" fillId="24" borderId="10" applyNumberFormat="0" applyProtection="0">
      <alignment horizontal="left" vertical="center" indent="1"/>
    </xf>
    <xf numFmtId="4" fontId="22" fillId="24" borderId="10" applyNumberFormat="0" applyProtection="0">
      <alignment horizontal="left" vertical="center" indent="1"/>
    </xf>
    <xf numFmtId="0" fontId="4" fillId="25" borderId="10" applyNumberFormat="0" applyProtection="0">
      <alignment horizontal="left" vertical="center" indent="1"/>
    </xf>
    <xf numFmtId="4" fontId="22" fillId="26" borderId="10" applyNumberFormat="0" applyProtection="0">
      <alignment horizontal="right" vertical="center"/>
    </xf>
    <xf numFmtId="4" fontId="22" fillId="27" borderId="10" applyNumberFormat="0" applyProtection="0">
      <alignment horizontal="right" vertical="center"/>
    </xf>
    <xf numFmtId="4" fontId="22" fillId="28" borderId="10" applyNumberFormat="0" applyProtection="0">
      <alignment horizontal="right" vertical="center"/>
    </xf>
    <xf numFmtId="4" fontId="22" fillId="29" borderId="10" applyNumberFormat="0" applyProtection="0">
      <alignment horizontal="right" vertical="center"/>
    </xf>
    <xf numFmtId="4" fontId="22" fillId="30" borderId="10" applyNumberFormat="0" applyProtection="0">
      <alignment horizontal="right" vertical="center"/>
    </xf>
    <xf numFmtId="4" fontId="22" fillId="31" borderId="10" applyNumberFormat="0" applyProtection="0">
      <alignment horizontal="right" vertical="center"/>
    </xf>
    <xf numFmtId="4" fontId="22" fillId="32" borderId="10" applyNumberFormat="0" applyProtection="0">
      <alignment horizontal="right" vertical="center"/>
    </xf>
    <xf numFmtId="4" fontId="22" fillId="33" borderId="10" applyNumberFormat="0" applyProtection="0">
      <alignment horizontal="right" vertical="center"/>
    </xf>
    <xf numFmtId="4" fontId="22" fillId="34" borderId="10" applyNumberFormat="0" applyProtection="0">
      <alignment horizontal="right" vertical="center"/>
    </xf>
    <xf numFmtId="4" fontId="24" fillId="35" borderId="10" applyNumberFormat="0" applyProtection="0">
      <alignment horizontal="left" vertical="center" indent="1"/>
    </xf>
    <xf numFmtId="4" fontId="22" fillId="36" borderId="11" applyNumberFormat="0" applyProtection="0">
      <alignment horizontal="left" vertical="center" indent="1"/>
    </xf>
    <xf numFmtId="4" fontId="25" fillId="37" borderId="0" applyNumberFormat="0" applyProtection="0">
      <alignment horizontal="left" vertical="center" indent="1"/>
    </xf>
    <xf numFmtId="0" fontId="4" fillId="25" borderId="10" applyNumberFormat="0" applyProtection="0">
      <alignment horizontal="left" vertical="center" indent="1"/>
    </xf>
    <xf numFmtId="4" fontId="22" fillId="36" borderId="10" applyNumberFormat="0" applyProtection="0">
      <alignment horizontal="left" vertical="center" indent="1"/>
    </xf>
    <xf numFmtId="4" fontId="22" fillId="38" borderId="10" applyNumberFormat="0" applyProtection="0">
      <alignment horizontal="left" vertical="center" indent="1"/>
    </xf>
    <xf numFmtId="0" fontId="4" fillId="38" borderId="10" applyNumberFormat="0" applyProtection="0">
      <alignment horizontal="left" vertical="center" indent="1"/>
    </xf>
    <xf numFmtId="0" fontId="4" fillId="38" borderId="10" applyNumberFormat="0" applyProtection="0">
      <alignment horizontal="left" vertical="center" indent="1"/>
    </xf>
    <xf numFmtId="0" fontId="4" fillId="39" borderId="10" applyNumberFormat="0" applyProtection="0">
      <alignment horizontal="left" vertical="center" indent="1"/>
    </xf>
    <xf numFmtId="0" fontId="4" fillId="39" borderId="10" applyNumberFormat="0" applyProtection="0">
      <alignment horizontal="left" vertical="center" indent="1"/>
    </xf>
    <xf numFmtId="0" fontId="4" fillId="40" borderId="10" applyNumberFormat="0" applyProtection="0">
      <alignment horizontal="left" vertical="center" indent="1"/>
    </xf>
    <xf numFmtId="0" fontId="4" fillId="40" borderId="10" applyNumberFormat="0" applyProtection="0">
      <alignment horizontal="left" vertical="center" indent="1"/>
    </xf>
    <xf numFmtId="0" fontId="4" fillId="25" borderId="10" applyNumberFormat="0" applyProtection="0">
      <alignment horizontal="left" vertical="center" indent="1"/>
    </xf>
    <xf numFmtId="0" fontId="4" fillId="25" borderId="10" applyNumberFormat="0" applyProtection="0">
      <alignment horizontal="left" vertical="center" indent="1"/>
    </xf>
    <xf numFmtId="4" fontId="22" fillId="41" borderId="10" applyNumberFormat="0" applyProtection="0">
      <alignment vertical="center"/>
    </xf>
    <xf numFmtId="4" fontId="23" fillId="41" borderId="10" applyNumberFormat="0" applyProtection="0">
      <alignment vertical="center"/>
    </xf>
    <xf numFmtId="4" fontId="22" fillId="41" borderId="10" applyNumberFormat="0" applyProtection="0">
      <alignment horizontal="left" vertical="center" indent="1"/>
    </xf>
    <xf numFmtId="4" fontId="22" fillId="41" borderId="10" applyNumberFormat="0" applyProtection="0">
      <alignment horizontal="left" vertical="center" indent="1"/>
    </xf>
    <xf numFmtId="4" fontId="22" fillId="36" borderId="10" applyNumberFormat="0" applyProtection="0">
      <alignment horizontal="right" vertical="center"/>
    </xf>
    <xf numFmtId="4" fontId="23" fillId="36" borderId="10" applyNumberFormat="0" applyProtection="0">
      <alignment horizontal="right" vertical="center"/>
    </xf>
    <xf numFmtId="0" fontId="4" fillId="25" borderId="10" applyNumberFormat="0" applyProtection="0">
      <alignment horizontal="left" vertical="center" indent="1"/>
    </xf>
    <xf numFmtId="0" fontId="4" fillId="25" borderId="10" applyNumberFormat="0" applyProtection="0">
      <alignment horizontal="left" vertical="center" indent="1"/>
    </xf>
    <xf numFmtId="0" fontId="26" fillId="0" borderId="0"/>
    <xf numFmtId="4" fontId="27" fillId="36" borderId="10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3"/>
    <xf numFmtId="0" fontId="4" fillId="0" borderId="0" xfId="3" applyAlignment="1">
      <alignment horizontal="center"/>
    </xf>
    <xf numFmtId="0" fontId="0" fillId="0" borderId="0" xfId="0" applyAlignment="1">
      <alignment horizontal="center"/>
    </xf>
    <xf numFmtId="43" fontId="0" fillId="0" borderId="0" xfId="4" applyFont="1"/>
    <xf numFmtId="0" fontId="4" fillId="0" borderId="0" xfId="3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4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5" fillId="0" borderId="1" xfId="4" applyNumberFormat="1" applyFont="1" applyBorder="1" applyAlignment="1">
      <alignment horizontal="center"/>
    </xf>
    <xf numFmtId="44" fontId="4" fillId="0" borderId="0" xfId="1" applyFont="1" applyAlignment="1">
      <alignment horizontal="right"/>
    </xf>
    <xf numFmtId="40" fontId="4" fillId="0" borderId="0" xfId="3" applyNumberFormat="1" applyAlignment="1">
      <alignment horizontal="right"/>
    </xf>
    <xf numFmtId="0" fontId="4" fillId="0" borderId="0" xfId="3" applyFill="1"/>
    <xf numFmtId="9" fontId="0" fillId="0" borderId="0" xfId="2" applyFont="1"/>
    <xf numFmtId="10" fontId="4" fillId="0" borderId="0" xfId="3" applyNumberFormat="1" applyBorder="1"/>
    <xf numFmtId="9" fontId="4" fillId="0" borderId="0" xfId="2" applyFont="1"/>
    <xf numFmtId="9" fontId="0" fillId="0" borderId="0" xfId="2" applyFont="1" applyFill="1"/>
    <xf numFmtId="0" fontId="4" fillId="0" borderId="0" xfId="3" applyAlignment="1">
      <alignment horizontal="right"/>
    </xf>
    <xf numFmtId="44" fontId="4" fillId="0" borderId="2" xfId="1" applyFont="1" applyBorder="1"/>
    <xf numFmtId="40" fontId="4" fillId="0" borderId="0" xfId="3" applyNumberFormat="1" applyBorder="1"/>
    <xf numFmtId="0" fontId="4" fillId="0" borderId="0" xfId="3" applyAlignment="1">
      <alignment horizontal="left"/>
    </xf>
    <xf numFmtId="9" fontId="4" fillId="0" borderId="0" xfId="3" applyNumberFormat="1" applyFill="1"/>
    <xf numFmtId="0" fontId="4" fillId="0" borderId="0" xfId="3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49" fontId="32" fillId="0" borderId="0" xfId="87" applyNumberFormat="1" applyFont="1" applyAlignment="1">
      <alignment horizontal="center"/>
    </xf>
    <xf numFmtId="40" fontId="32" fillId="0" borderId="0" xfId="87" applyNumberFormat="1" applyFont="1" applyAlignment="1">
      <alignment horizontal="center"/>
    </xf>
    <xf numFmtId="0" fontId="2" fillId="0" borderId="0" xfId="87"/>
    <xf numFmtId="49" fontId="2" fillId="0" borderId="0" xfId="87" applyNumberFormat="1"/>
    <xf numFmtId="40" fontId="2" fillId="0" borderId="0" xfId="87" applyNumberFormat="1"/>
    <xf numFmtId="40" fontId="5" fillId="0" borderId="0" xfId="0" applyNumberFormat="1" applyFont="1" applyAlignment="1">
      <alignment horizontal="center"/>
    </xf>
    <xf numFmtId="40" fontId="0" fillId="0" borderId="0" xfId="0" applyNumberFormat="1"/>
    <xf numFmtId="49" fontId="32" fillId="0" borderId="0" xfId="87" applyNumberFormat="1" applyFont="1"/>
    <xf numFmtId="0" fontId="5" fillId="0" borderId="0" xfId="0" applyFont="1" applyAlignment="1">
      <alignment horizontal="center"/>
    </xf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5" fillId="0" borderId="0" xfId="3" applyFont="1"/>
    <xf numFmtId="39" fontId="5" fillId="0" borderId="0" xfId="3" applyNumberFormat="1" applyFont="1"/>
    <xf numFmtId="164" fontId="5" fillId="0" borderId="0" xfId="3" applyNumberFormat="1" applyFont="1" applyAlignment="1">
      <alignment horizontal="center"/>
    </xf>
    <xf numFmtId="39" fontId="5" fillId="0" borderId="0" xfId="3" applyNumberFormat="1" applyFont="1" applyAlignment="1">
      <alignment horizontal="center"/>
    </xf>
    <xf numFmtId="40" fontId="5" fillId="0" borderId="0" xfId="3" applyNumberFormat="1" applyFont="1" applyAlignment="1">
      <alignment horizontal="center"/>
    </xf>
    <xf numFmtId="10" fontId="5" fillId="0" borderId="0" xfId="3" applyNumberFormat="1" applyFont="1" applyAlignment="1">
      <alignment horizontal="center"/>
    </xf>
    <xf numFmtId="0" fontId="5" fillId="0" borderId="1" xfId="3" applyFont="1" applyBorder="1" applyAlignment="1">
      <alignment horizontal="center"/>
    </xf>
    <xf numFmtId="39" fontId="5" fillId="0" borderId="1" xfId="4" applyNumberFormat="1" applyFont="1" applyBorder="1" applyAlignment="1">
      <alignment horizontal="center"/>
    </xf>
    <xf numFmtId="40" fontId="5" fillId="0" borderId="1" xfId="3" applyNumberFormat="1" applyFont="1" applyBorder="1" applyAlignment="1">
      <alignment horizontal="center"/>
    </xf>
    <xf numFmtId="10" fontId="5" fillId="0" borderId="1" xfId="3" applyNumberFormat="1" applyFont="1" applyBorder="1" applyAlignment="1">
      <alignment horizontal="center"/>
    </xf>
    <xf numFmtId="164" fontId="5" fillId="0" borderId="1" xfId="3" applyNumberFormat="1" applyFont="1" applyBorder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10" fontId="0" fillId="0" borderId="0" xfId="0" applyNumberFormat="1"/>
    <xf numFmtId="44" fontId="0" fillId="0" borderId="0" xfId="1" applyFont="1"/>
    <xf numFmtId="37" fontId="0" fillId="0" borderId="0" xfId="0" applyNumberFormat="1" applyFill="1" applyBorder="1"/>
    <xf numFmtId="10" fontId="4" fillId="0" borderId="0" xfId="0" applyNumberFormat="1" applyFont="1" applyFill="1" applyBorder="1" applyAlignment="1">
      <alignment horizontal="right"/>
    </xf>
    <xf numFmtId="44" fontId="0" fillId="0" borderId="0" xfId="1" applyFont="1" applyFill="1" applyBorder="1"/>
    <xf numFmtId="10" fontId="0" fillId="0" borderId="0" xfId="0" applyNumberFormat="1" applyFill="1" applyBorder="1"/>
    <xf numFmtId="10" fontId="0" fillId="0" borderId="0" xfId="2" applyNumberFormat="1" applyFont="1"/>
    <xf numFmtId="40" fontId="0" fillId="0" borderId="0" xfId="0" applyNumberFormat="1" applyAlignment="1">
      <alignment horizontal="right"/>
    </xf>
    <xf numFmtId="43" fontId="0" fillId="0" borderId="0" xfId="4" applyFont="1" applyFill="1" applyBorder="1"/>
    <xf numFmtId="43" fontId="0" fillId="0" borderId="0" xfId="0" applyNumberFormat="1" applyFill="1" applyBorder="1"/>
    <xf numFmtId="0" fontId="4" fillId="0" borderId="0" xfId="0" applyFont="1"/>
    <xf numFmtId="10" fontId="0" fillId="0" borderId="0" xfId="0" applyNumberFormat="1" applyFill="1" applyBorder="1" applyAlignment="1"/>
    <xf numFmtId="10" fontId="4" fillId="0" borderId="0" xfId="0" quotePrefix="1" applyNumberFormat="1" applyFont="1" applyFill="1" applyAlignment="1">
      <alignment horizontal="right"/>
    </xf>
    <xf numFmtId="43" fontId="4" fillId="0" borderId="0" xfId="4" applyFont="1" applyFill="1" applyBorder="1" applyAlignment="1">
      <alignment horizontal="center"/>
    </xf>
    <xf numFmtId="44" fontId="0" fillId="0" borderId="13" xfId="1" applyFont="1" applyBorder="1"/>
    <xf numFmtId="16" fontId="0" fillId="0" borderId="0" xfId="0" applyNumberFormat="1"/>
    <xf numFmtId="0" fontId="33" fillId="0" borderId="0" xfId="3" applyFont="1" applyAlignment="1">
      <alignment horizontal="center"/>
    </xf>
    <xf numFmtId="14" fontId="5" fillId="0" borderId="0" xfId="3" applyNumberFormat="1" applyFont="1" applyBorder="1" applyAlignment="1">
      <alignment horizontal="center"/>
    </xf>
    <xf numFmtId="10" fontId="5" fillId="0" borderId="0" xfId="3" applyNumberFormat="1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5" fillId="0" borderId="0" xfId="3" applyFont="1" applyBorder="1"/>
    <xf numFmtId="14" fontId="5" fillId="0" borderId="1" xfId="3" applyNumberFormat="1" applyFont="1" applyBorder="1" applyAlignment="1">
      <alignment horizontal="center"/>
    </xf>
    <xf numFmtId="0" fontId="4" fillId="0" borderId="0" xfId="3" applyFont="1"/>
    <xf numFmtId="0" fontId="4" fillId="0" borderId="0" xfId="3" applyFont="1" applyBorder="1"/>
    <xf numFmtId="43" fontId="4" fillId="0" borderId="0" xfId="3" applyNumberFormat="1"/>
    <xf numFmtId="9" fontId="4" fillId="0" borderId="0" xfId="3" applyNumberFormat="1" applyBorder="1"/>
    <xf numFmtId="39" fontId="4" fillId="0" borderId="0" xfId="3" applyNumberFormat="1" applyBorder="1"/>
    <xf numFmtId="10" fontId="4" fillId="0" borderId="0" xfId="2" applyNumberFormat="1"/>
    <xf numFmtId="9" fontId="0" fillId="0" borderId="0" xfId="4" applyNumberFormat="1" applyFont="1"/>
    <xf numFmtId="0" fontId="5" fillId="0" borderId="0" xfId="3" applyFont="1" applyAlignment="1">
      <alignment horizontal="right"/>
    </xf>
    <xf numFmtId="43" fontId="4" fillId="0" borderId="0" xfId="3" applyNumberFormat="1" applyFill="1"/>
    <xf numFmtId="43" fontId="0" fillId="0" borderId="0" xfId="4" applyFont="1" applyFill="1"/>
    <xf numFmtId="0" fontId="5" fillId="0" borderId="0" xfId="3" applyFont="1" applyBorder="1" applyAlignment="1">
      <alignment horizontal="right"/>
    </xf>
    <xf numFmtId="0" fontId="0" fillId="0" borderId="0" xfId="3" quotePrefix="1" applyFont="1"/>
    <xf numFmtId="44" fontId="4" fillId="0" borderId="0" xfId="3" applyNumberFormat="1"/>
    <xf numFmtId="10" fontId="4" fillId="0" borderId="0" xfId="3" applyNumberFormat="1"/>
    <xf numFmtId="44" fontId="4" fillId="0" borderId="14" xfId="3" applyNumberFormat="1" applyBorder="1"/>
    <xf numFmtId="39" fontId="4" fillId="0" borderId="0" xfId="3" applyNumberFormat="1"/>
    <xf numFmtId="43" fontId="0" fillId="0" borderId="13" xfId="4" applyFont="1" applyBorder="1"/>
    <xf numFmtId="40" fontId="4" fillId="0" borderId="13" xfId="3" applyNumberFormat="1" applyBorder="1"/>
    <xf numFmtId="0" fontId="4" fillId="0" borderId="0" xfId="3" applyFont="1" applyAlignment="1">
      <alignment horizontal="right"/>
    </xf>
    <xf numFmtId="43" fontId="4" fillId="0" borderId="0" xfId="4" applyFont="1"/>
    <xf numFmtId="43" fontId="5" fillId="0" borderId="0" xfId="4" applyFont="1" applyAlignment="1">
      <alignment horizontal="center"/>
    </xf>
    <xf numFmtId="3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43" fontId="5" fillId="0" borderId="0" xfId="4" applyFont="1" applyFill="1" applyBorder="1" applyAlignment="1">
      <alignment horizontal="center"/>
    </xf>
    <xf numFmtId="39" fontId="5" fillId="0" borderId="0" xfId="0" applyNumberFormat="1" applyFont="1" applyFill="1" applyBorder="1" applyAlignment="1">
      <alignment horizontal="center"/>
    </xf>
    <xf numFmtId="0" fontId="34" fillId="0" borderId="0" xfId="0" applyFont="1"/>
    <xf numFmtId="39" fontId="0" fillId="0" borderId="0" xfId="0" applyNumberFormat="1"/>
    <xf numFmtId="43" fontId="0" fillId="0" borderId="0" xfId="86" applyFont="1"/>
    <xf numFmtId="0" fontId="0" fillId="0" borderId="0" xfId="0" applyAlignment="1">
      <alignment horizontal="left"/>
    </xf>
    <xf numFmtId="43" fontId="0" fillId="0" borderId="0" xfId="0" applyNumberFormat="1"/>
    <xf numFmtId="49" fontId="32" fillId="0" borderId="0" xfId="88" applyNumberFormat="1" applyFont="1" applyAlignment="1">
      <alignment horizontal="center"/>
    </xf>
    <xf numFmtId="10" fontId="32" fillId="0" borderId="0" xfId="89" applyNumberFormat="1" applyFont="1" applyAlignment="1">
      <alignment horizontal="center"/>
    </xf>
    <xf numFmtId="0" fontId="1" fillId="0" borderId="0" xfId="88"/>
    <xf numFmtId="49" fontId="1" fillId="0" borderId="0" xfId="88" applyNumberFormat="1"/>
    <xf numFmtId="10" fontId="0" fillId="0" borderId="0" xfId="89" applyNumberFormat="1" applyFont="1"/>
    <xf numFmtId="10" fontId="1" fillId="0" borderId="0" xfId="88" applyNumberFormat="1"/>
    <xf numFmtId="43" fontId="5" fillId="0" borderId="0" xfId="0" applyNumberFormat="1" applyFont="1" applyAlignment="1">
      <alignment horizontal="center"/>
    </xf>
    <xf numFmtId="43" fontId="5" fillId="0" borderId="0" xfId="0" applyNumberFormat="1" applyFont="1" applyBorder="1" applyAlignment="1">
      <alignment horizontal="center"/>
    </xf>
    <xf numFmtId="43" fontId="5" fillId="0" borderId="0" xfId="3" applyNumberFormat="1" applyFont="1" applyAlignment="1">
      <alignment horizontal="center"/>
    </xf>
    <xf numFmtId="40" fontId="0" fillId="0" borderId="0" xfId="0" applyNumberFormat="1" applyBorder="1" applyAlignment="1">
      <alignment horizontal="right"/>
    </xf>
    <xf numFmtId="0" fontId="4" fillId="0" borderId="0" xfId="0" applyFont="1" applyAlignment="1">
      <alignment horizontal="left"/>
    </xf>
    <xf numFmtId="40" fontId="0" fillId="42" borderId="0" xfId="0" applyNumberFormat="1" applyFill="1"/>
    <xf numFmtId="0" fontId="5" fillId="0" borderId="0" xfId="0" applyFont="1" applyBorder="1" applyAlignment="1">
      <alignment horizontal="right"/>
    </xf>
    <xf numFmtId="44" fontId="0" fillId="0" borderId="0" xfId="1" applyFont="1" applyBorder="1"/>
    <xf numFmtId="0" fontId="6" fillId="0" borderId="0" xfId="3" applyFont="1" applyAlignment="1">
      <alignment horizontal="left"/>
    </xf>
    <xf numFmtId="39" fontId="4" fillId="0" borderId="0" xfId="0" applyNumberFormat="1" applyFont="1" applyAlignment="1">
      <alignment horizontal="center"/>
    </xf>
    <xf numFmtId="43" fontId="0" fillId="0" borderId="2" xfId="86" applyFont="1" applyBorder="1"/>
    <xf numFmtId="0" fontId="5" fillId="0" borderId="1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0" xfId="0" applyFont="1" applyAlignment="1">
      <alignment horizontal="center"/>
    </xf>
    <xf numFmtId="49" fontId="0" fillId="0" borderId="0" xfId="0" applyNumberFormat="1" applyBorder="1"/>
    <xf numFmtId="10" fontId="0" fillId="0" borderId="0" xfId="2" applyNumberFormat="1" applyFont="1" applyBorder="1"/>
    <xf numFmtId="10" fontId="0" fillId="0" borderId="0" xfId="0" applyNumberFormat="1" applyBorder="1"/>
    <xf numFmtId="0" fontId="4" fillId="0" borderId="0" xfId="0" applyFont="1" applyBorder="1"/>
    <xf numFmtId="0" fontId="5" fillId="0" borderId="1" xfId="3" applyFont="1" applyBorder="1" applyAlignment="1"/>
    <xf numFmtId="44" fontId="0" fillId="0" borderId="2" xfId="1" applyFont="1" applyBorder="1" applyAlignment="1">
      <alignment horizontal="right"/>
    </xf>
    <xf numFmtId="0" fontId="5" fillId="0" borderId="0" xfId="0" applyFont="1" applyBorder="1"/>
    <xf numFmtId="44" fontId="4" fillId="0" borderId="0" xfId="1"/>
    <xf numFmtId="44" fontId="4" fillId="0" borderId="0" xfId="1" applyBorder="1"/>
    <xf numFmtId="44" fontId="0" fillId="0" borderId="2" xfId="1" applyFont="1" applyBorder="1"/>
    <xf numFmtId="0" fontId="4" fillId="0" borderId="0" xfId="3" applyFill="1" applyAlignment="1">
      <alignment horizontal="center"/>
    </xf>
    <xf numFmtId="0" fontId="4" fillId="0" borderId="0" xfId="3" applyFont="1" applyFill="1" applyAlignment="1">
      <alignment horizontal="center"/>
    </xf>
    <xf numFmtId="43" fontId="5" fillId="0" borderId="0" xfId="86" applyFont="1" applyAlignment="1">
      <alignment horizontal="center"/>
    </xf>
    <xf numFmtId="43" fontId="5" fillId="0" borderId="0" xfId="86" applyFont="1" applyBorder="1" applyAlignment="1">
      <alignment horizontal="center"/>
    </xf>
    <xf numFmtId="43" fontId="0" fillId="0" borderId="0" xfId="86" applyFont="1" applyBorder="1"/>
    <xf numFmtId="0" fontId="4" fillId="0" borderId="0" xfId="0" applyFont="1" applyAlignment="1"/>
    <xf numFmtId="40" fontId="0" fillId="0" borderId="2" xfId="0" applyNumberFormat="1" applyBorder="1"/>
    <xf numFmtId="0" fontId="4" fillId="0" borderId="0" xfId="3" applyAlignment="1">
      <alignment horizontal="center"/>
    </xf>
    <xf numFmtId="0" fontId="5" fillId="0" borderId="0" xfId="3" applyFont="1" applyAlignment="1">
      <alignment horizontal="center"/>
    </xf>
    <xf numFmtId="0" fontId="5" fillId="0" borderId="1" xfId="0" applyFont="1" applyBorder="1" applyAlignment="1">
      <alignment horizontal="center"/>
    </xf>
    <xf numFmtId="40" fontId="5" fillId="0" borderId="1" xfId="3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0" xfId="0" applyFont="1" applyAlignment="1">
      <alignment horizontal="center"/>
    </xf>
    <xf numFmtId="0" fontId="33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90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86" builtinId="3"/>
    <cellStyle name="Comma 3" xfId="4"/>
    <cellStyle name="Currency" xfId="1" builtinId="4"/>
    <cellStyle name="Currency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87"/>
    <cellStyle name="Normal 5" xfId="88"/>
    <cellStyle name="Note 2" xfId="43"/>
    <cellStyle name="Output 2" xfId="44"/>
    <cellStyle name="Percent" xfId="2" builtinId="5"/>
    <cellStyle name="Percent 2" xfId="89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defined" xfId="82"/>
    <cellStyle name="Title 2" xfId="83"/>
    <cellStyle name="Total 2" xfId="84"/>
    <cellStyle name="Warning Text 2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zoomScaleNormal="100" workbookViewId="0"/>
  </sheetViews>
  <sheetFormatPr defaultRowHeight="12.75" x14ac:dyDescent="0.2"/>
  <cols>
    <col min="1" max="1" width="9.140625" style="1" customWidth="1"/>
    <col min="2" max="2" width="28.7109375" style="1" bestFit="1" customWidth="1"/>
    <col min="3" max="3" width="1.7109375" style="1" customWidth="1"/>
    <col min="4" max="4" width="15" style="1" bestFit="1" customWidth="1"/>
    <col min="5" max="5" width="1.7109375" style="1" customWidth="1"/>
    <col min="6" max="6" width="9.140625" style="1"/>
    <col min="7" max="7" width="9.140625" style="23"/>
    <col min="8" max="8" width="1.7109375" style="1" customWidth="1"/>
    <col min="9" max="10" width="9.140625" style="1"/>
    <col min="11" max="11" width="8.42578125" style="1" bestFit="1" customWidth="1"/>
    <col min="12" max="12" width="5.7109375" style="1" customWidth="1"/>
    <col min="13" max="14" width="9.140625" style="1"/>
    <col min="15" max="15" width="1.7109375" style="1" customWidth="1"/>
    <col min="16" max="16384" width="9.140625" style="1"/>
  </cols>
  <sheetData>
    <row r="1" spans="1:18" x14ac:dyDescent="0.2">
      <c r="Q1" s="147" t="s">
        <v>43</v>
      </c>
      <c r="R1" s="147"/>
    </row>
    <row r="2" spans="1:18" x14ac:dyDescent="0.2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1:18" x14ac:dyDescent="0.2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18" x14ac:dyDescent="0.2">
      <c r="A4" s="148" t="s">
        <v>44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5" spans="1:18" x14ac:dyDescent="0.2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pans="1:18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">
      <c r="A8"/>
      <c r="B8" s="3"/>
      <c r="C8"/>
      <c r="D8" s="4"/>
      <c r="E8"/>
      <c r="F8" s="149" t="s">
        <v>3</v>
      </c>
      <c r="G8" s="149"/>
      <c r="H8" s="149"/>
      <c r="I8" s="149"/>
      <c r="J8" s="149"/>
      <c r="K8" s="149"/>
      <c r="L8"/>
      <c r="M8" s="149" t="s">
        <v>4</v>
      </c>
      <c r="N8" s="149"/>
      <c r="O8" s="149"/>
      <c r="P8" s="149"/>
      <c r="Q8" s="149"/>
      <c r="R8" s="149"/>
    </row>
    <row r="9" spans="1:18" x14ac:dyDescent="0.2">
      <c r="A9" s="6"/>
      <c r="B9" s="6"/>
      <c r="C9" s="7"/>
      <c r="D9" s="8"/>
      <c r="E9" s="7"/>
      <c r="F9" s="9"/>
      <c r="G9" s="129" t="s">
        <v>6</v>
      </c>
      <c r="H9" s="6"/>
      <c r="I9" s="6" t="s">
        <v>7</v>
      </c>
      <c r="J9" s="6" t="s">
        <v>8</v>
      </c>
      <c r="K9" s="6" t="s">
        <v>9</v>
      </c>
      <c r="L9" s="7"/>
      <c r="M9" s="129"/>
      <c r="N9" s="129" t="s">
        <v>6</v>
      </c>
      <c r="P9" s="6" t="s">
        <v>7</v>
      </c>
      <c r="Q9" s="6" t="s">
        <v>8</v>
      </c>
      <c r="R9" s="6" t="s">
        <v>9</v>
      </c>
    </row>
    <row r="10" spans="1:18" x14ac:dyDescent="0.2">
      <c r="A10" s="10" t="s">
        <v>10</v>
      </c>
      <c r="B10" s="10" t="s">
        <v>11</v>
      </c>
      <c r="C10" s="11"/>
      <c r="D10" s="12" t="s">
        <v>5</v>
      </c>
      <c r="E10" s="7"/>
      <c r="F10" s="127" t="s">
        <v>12</v>
      </c>
      <c r="G10" s="127" t="s">
        <v>13</v>
      </c>
      <c r="H10" s="10"/>
      <c r="I10" s="10" t="s">
        <v>14</v>
      </c>
      <c r="J10" s="10" t="s">
        <v>15</v>
      </c>
      <c r="K10" s="10" t="s">
        <v>14</v>
      </c>
      <c r="L10" s="7"/>
      <c r="M10" s="127" t="s">
        <v>12</v>
      </c>
      <c r="N10" s="127" t="s">
        <v>13</v>
      </c>
      <c r="P10" s="10" t="s">
        <v>14</v>
      </c>
      <c r="Q10" s="10" t="s">
        <v>15</v>
      </c>
      <c r="R10" s="10" t="s">
        <v>14</v>
      </c>
    </row>
    <row r="11" spans="1:18" x14ac:dyDescent="0.2">
      <c r="A11" s="2">
        <v>39001</v>
      </c>
      <c r="B11" s="1" t="s">
        <v>16</v>
      </c>
      <c r="D11" s="13">
        <v>179338.52000000002</v>
      </c>
      <c r="E11" s="14"/>
      <c r="F11" s="140">
        <v>40</v>
      </c>
      <c r="G11" s="140" t="s">
        <v>17</v>
      </c>
      <c r="I11" s="16">
        <v>0</v>
      </c>
      <c r="J11" s="16">
        <v>0.1</v>
      </c>
      <c r="K11" s="24">
        <f t="shared" ref="K11:K27" si="0">IF(J11="","",I11-J11)</f>
        <v>-0.1</v>
      </c>
      <c r="M11" s="140">
        <v>40</v>
      </c>
      <c r="N11" s="140" t="s">
        <v>17</v>
      </c>
      <c r="P11" s="16">
        <v>0</v>
      </c>
      <c r="Q11" s="16">
        <v>0.1</v>
      </c>
      <c r="R11" s="24">
        <f t="shared" ref="R11:R27" si="1">IF(Q11="","",P11-Q11)</f>
        <v>-0.1</v>
      </c>
    </row>
    <row r="12" spans="1:18" x14ac:dyDescent="0.2">
      <c r="A12" s="2">
        <v>39004</v>
      </c>
      <c r="B12" s="1" t="s">
        <v>18</v>
      </c>
      <c r="D12" s="14">
        <v>15383.91</v>
      </c>
      <c r="E12" s="14"/>
      <c r="F12" s="140">
        <v>15</v>
      </c>
      <c r="G12" s="140" t="s">
        <v>17</v>
      </c>
      <c r="I12" s="16">
        <v>0</v>
      </c>
      <c r="J12" s="16">
        <v>0.1</v>
      </c>
      <c r="K12" s="24">
        <f t="shared" si="0"/>
        <v>-0.1</v>
      </c>
      <c r="M12" s="140">
        <v>15</v>
      </c>
      <c r="N12" s="140" t="s">
        <v>17</v>
      </c>
      <c r="P12" s="16">
        <v>0</v>
      </c>
      <c r="Q12" s="16">
        <v>0.1</v>
      </c>
      <c r="R12" s="24">
        <f t="shared" si="1"/>
        <v>-0.1</v>
      </c>
    </row>
    <row r="13" spans="1:18" x14ac:dyDescent="0.2">
      <c r="A13" s="2">
        <v>39009</v>
      </c>
      <c r="B13" s="1" t="s">
        <v>19</v>
      </c>
      <c r="D13" s="14">
        <v>38834</v>
      </c>
      <c r="E13" s="14"/>
      <c r="F13" s="140">
        <v>20</v>
      </c>
      <c r="G13" s="140" t="s">
        <v>20</v>
      </c>
      <c r="I13" s="16">
        <v>0</v>
      </c>
      <c r="J13" s="16">
        <v>0</v>
      </c>
      <c r="K13" s="24">
        <f t="shared" si="0"/>
        <v>0</v>
      </c>
      <c r="M13" s="140">
        <v>20</v>
      </c>
      <c r="N13" s="140" t="s">
        <v>20</v>
      </c>
      <c r="P13" s="16">
        <v>0</v>
      </c>
      <c r="Q13" s="16">
        <v>0</v>
      </c>
      <c r="R13" s="24">
        <f t="shared" si="1"/>
        <v>0</v>
      </c>
    </row>
    <row r="14" spans="1:18" x14ac:dyDescent="0.2">
      <c r="A14" s="2">
        <v>39100</v>
      </c>
      <c r="B14" s="1" t="s">
        <v>21</v>
      </c>
      <c r="D14" s="14">
        <v>41397.210000000006</v>
      </c>
      <c r="E14" s="14"/>
      <c r="F14" s="140">
        <v>20</v>
      </c>
      <c r="G14" s="141" t="s">
        <v>20</v>
      </c>
      <c r="I14" s="16">
        <v>0</v>
      </c>
      <c r="J14" s="16">
        <v>0</v>
      </c>
      <c r="K14" s="24">
        <f t="shared" si="0"/>
        <v>0</v>
      </c>
      <c r="M14" s="140">
        <v>20</v>
      </c>
      <c r="N14" s="141" t="s">
        <v>20</v>
      </c>
      <c r="P14" s="16">
        <v>0</v>
      </c>
      <c r="Q14" s="16">
        <v>0</v>
      </c>
      <c r="R14" s="24">
        <f t="shared" si="1"/>
        <v>0</v>
      </c>
    </row>
    <row r="15" spans="1:18" x14ac:dyDescent="0.2">
      <c r="A15" s="2">
        <v>39200</v>
      </c>
      <c r="B15" s="1" t="s">
        <v>22</v>
      </c>
      <c r="D15" s="14">
        <v>27284.69</v>
      </c>
      <c r="E15" s="14"/>
      <c r="F15" s="140">
        <v>15</v>
      </c>
      <c r="G15" s="141" t="s">
        <v>23</v>
      </c>
      <c r="I15" s="18">
        <v>0.05</v>
      </c>
      <c r="J15" s="16">
        <v>0</v>
      </c>
      <c r="K15" s="24">
        <f t="shared" si="0"/>
        <v>0.05</v>
      </c>
      <c r="M15" s="140">
        <v>15</v>
      </c>
      <c r="N15" s="141" t="s">
        <v>23</v>
      </c>
      <c r="P15" s="18">
        <v>0.1</v>
      </c>
      <c r="Q15" s="16">
        <v>0</v>
      </c>
      <c r="R15" s="24">
        <f t="shared" si="1"/>
        <v>0.1</v>
      </c>
    </row>
    <row r="16" spans="1:18" x14ac:dyDescent="0.2">
      <c r="A16" s="2">
        <v>39300</v>
      </c>
      <c r="B16" s="1" t="s">
        <v>24</v>
      </c>
      <c r="D16" s="14">
        <v>0</v>
      </c>
      <c r="E16" s="14"/>
      <c r="F16" s="140">
        <v>9</v>
      </c>
      <c r="G16" s="141" t="s">
        <v>25</v>
      </c>
      <c r="I16" s="16">
        <v>0</v>
      </c>
      <c r="J16" s="16">
        <v>0</v>
      </c>
      <c r="K16" s="24">
        <f t="shared" si="0"/>
        <v>0</v>
      </c>
      <c r="M16" s="140">
        <v>9</v>
      </c>
      <c r="N16" s="141" t="s">
        <v>25</v>
      </c>
      <c r="P16" s="16">
        <v>0</v>
      </c>
      <c r="Q16" s="16">
        <v>0</v>
      </c>
      <c r="R16" s="24">
        <f t="shared" si="1"/>
        <v>0</v>
      </c>
    </row>
    <row r="17" spans="1:18" x14ac:dyDescent="0.2">
      <c r="A17" s="2">
        <v>39400</v>
      </c>
      <c r="B17" s="1" t="s">
        <v>26</v>
      </c>
      <c r="D17" s="14">
        <v>175867.44</v>
      </c>
      <c r="E17" s="14"/>
      <c r="F17" s="140">
        <v>15</v>
      </c>
      <c r="G17" s="141" t="s">
        <v>20</v>
      </c>
      <c r="I17" s="16">
        <v>0</v>
      </c>
      <c r="J17" s="16">
        <v>0</v>
      </c>
      <c r="K17" s="24">
        <f t="shared" si="0"/>
        <v>0</v>
      </c>
      <c r="M17" s="140">
        <v>15</v>
      </c>
      <c r="N17" s="141" t="s">
        <v>45</v>
      </c>
      <c r="P17" s="16">
        <v>0</v>
      </c>
      <c r="Q17" s="16">
        <v>0</v>
      </c>
      <c r="R17" s="24">
        <f t="shared" si="1"/>
        <v>0</v>
      </c>
    </row>
    <row r="18" spans="1:18" x14ac:dyDescent="0.2">
      <c r="A18" s="2">
        <v>39600</v>
      </c>
      <c r="B18" s="1" t="s">
        <v>27</v>
      </c>
      <c r="D18" s="14">
        <v>20515.690000000002</v>
      </c>
      <c r="E18" s="14"/>
      <c r="F18" s="140">
        <v>15</v>
      </c>
      <c r="G18" s="140" t="s">
        <v>23</v>
      </c>
      <c r="I18" s="16">
        <v>0.05</v>
      </c>
      <c r="J18" s="16">
        <v>0</v>
      </c>
      <c r="K18" s="24">
        <f t="shared" si="0"/>
        <v>0.05</v>
      </c>
      <c r="M18" s="140">
        <v>15</v>
      </c>
      <c r="N18" s="140" t="s">
        <v>23</v>
      </c>
      <c r="P18" s="16">
        <v>0.16</v>
      </c>
      <c r="Q18" s="16">
        <v>0</v>
      </c>
      <c r="R18" s="24">
        <f t="shared" si="1"/>
        <v>0.16</v>
      </c>
    </row>
    <row r="19" spans="1:18" x14ac:dyDescent="0.2">
      <c r="A19" s="2">
        <v>39700</v>
      </c>
      <c r="B19" s="1" t="s">
        <v>28</v>
      </c>
      <c r="D19" s="14">
        <v>37541</v>
      </c>
      <c r="E19" s="14"/>
      <c r="F19" s="140">
        <v>15</v>
      </c>
      <c r="G19" s="140" t="s">
        <v>29</v>
      </c>
      <c r="I19" s="16">
        <v>0</v>
      </c>
      <c r="J19" s="16">
        <v>0</v>
      </c>
      <c r="K19" s="24">
        <f t="shared" si="0"/>
        <v>0</v>
      </c>
      <c r="M19" s="140">
        <v>12</v>
      </c>
      <c r="N19" s="140" t="s">
        <v>29</v>
      </c>
      <c r="P19" s="16">
        <v>0</v>
      </c>
      <c r="Q19" s="16">
        <v>0</v>
      </c>
      <c r="R19" s="24">
        <f t="shared" si="1"/>
        <v>0</v>
      </c>
    </row>
    <row r="20" spans="1:18" x14ac:dyDescent="0.2">
      <c r="A20" s="2">
        <v>39800</v>
      </c>
      <c r="B20" s="1" t="s">
        <v>30</v>
      </c>
      <c r="D20" s="14">
        <v>814166.87999999989</v>
      </c>
      <c r="E20" s="14"/>
      <c r="F20" s="140">
        <v>20</v>
      </c>
      <c r="G20" s="140" t="s">
        <v>31</v>
      </c>
      <c r="I20" s="19">
        <v>0</v>
      </c>
      <c r="J20" s="16">
        <v>0</v>
      </c>
      <c r="K20" s="24">
        <f t="shared" si="0"/>
        <v>0</v>
      </c>
      <c r="M20" s="140">
        <v>20</v>
      </c>
      <c r="N20" s="140" t="s">
        <v>31</v>
      </c>
      <c r="P20" s="19">
        <v>0</v>
      </c>
      <c r="Q20" s="16">
        <v>0</v>
      </c>
      <c r="R20" s="24">
        <f t="shared" si="1"/>
        <v>0</v>
      </c>
    </row>
    <row r="21" spans="1:18" x14ac:dyDescent="0.2">
      <c r="A21" s="2">
        <v>39900</v>
      </c>
      <c r="B21" s="1" t="s">
        <v>32</v>
      </c>
      <c r="D21" s="14">
        <v>0</v>
      </c>
      <c r="E21" s="14"/>
      <c r="F21" s="140">
        <v>10</v>
      </c>
      <c r="G21" s="140" t="s">
        <v>33</v>
      </c>
      <c r="I21" s="16">
        <v>0</v>
      </c>
      <c r="J21" s="16">
        <v>0</v>
      </c>
      <c r="K21" s="24">
        <f t="shared" si="0"/>
        <v>0</v>
      </c>
      <c r="M21" s="140">
        <v>10</v>
      </c>
      <c r="N21" s="140" t="s">
        <v>33</v>
      </c>
      <c r="P21" s="16">
        <v>0</v>
      </c>
      <c r="Q21" s="16">
        <v>0</v>
      </c>
      <c r="R21" s="24">
        <f t="shared" si="1"/>
        <v>0</v>
      </c>
    </row>
    <row r="22" spans="1:18" x14ac:dyDescent="0.2">
      <c r="A22" s="2">
        <v>39901</v>
      </c>
      <c r="B22" s="1" t="s">
        <v>34</v>
      </c>
      <c r="D22" s="14">
        <v>0</v>
      </c>
      <c r="E22" s="14"/>
      <c r="F22" s="140">
        <v>10</v>
      </c>
      <c r="G22" s="140" t="s">
        <v>33</v>
      </c>
      <c r="I22" s="16">
        <v>0</v>
      </c>
      <c r="J22" s="16">
        <v>0</v>
      </c>
      <c r="K22" s="24">
        <f t="shared" si="0"/>
        <v>0</v>
      </c>
      <c r="M22" s="140">
        <v>7</v>
      </c>
      <c r="N22" s="140" t="s">
        <v>33</v>
      </c>
      <c r="P22" s="16">
        <v>0</v>
      </c>
      <c r="Q22" s="16">
        <v>0</v>
      </c>
      <c r="R22" s="24">
        <f t="shared" si="1"/>
        <v>0</v>
      </c>
    </row>
    <row r="23" spans="1:18" x14ac:dyDescent="0.2">
      <c r="A23" s="2">
        <v>39902</v>
      </c>
      <c r="B23" s="1" t="s">
        <v>35</v>
      </c>
      <c r="D23" s="14">
        <v>0</v>
      </c>
      <c r="E23" s="14"/>
      <c r="F23" s="140">
        <v>7</v>
      </c>
      <c r="G23" s="140" t="s">
        <v>33</v>
      </c>
      <c r="I23" s="16">
        <v>0</v>
      </c>
      <c r="J23" s="16">
        <v>0</v>
      </c>
      <c r="K23" s="24">
        <f t="shared" si="0"/>
        <v>0</v>
      </c>
      <c r="M23" s="140">
        <v>7</v>
      </c>
      <c r="N23" s="140" t="s">
        <v>33</v>
      </c>
      <c r="P23" s="16">
        <v>0</v>
      </c>
      <c r="Q23" s="16">
        <v>0</v>
      </c>
      <c r="R23" s="24">
        <f t="shared" si="1"/>
        <v>0</v>
      </c>
    </row>
    <row r="24" spans="1:18" x14ac:dyDescent="0.2">
      <c r="A24" s="2">
        <v>39903</v>
      </c>
      <c r="B24" s="1" t="s">
        <v>36</v>
      </c>
      <c r="D24" s="14">
        <v>0</v>
      </c>
      <c r="E24" s="14"/>
      <c r="F24" s="140">
        <v>10</v>
      </c>
      <c r="G24" s="140" t="s">
        <v>33</v>
      </c>
      <c r="I24" s="16">
        <v>0</v>
      </c>
      <c r="J24" s="16">
        <v>0</v>
      </c>
      <c r="K24" s="24">
        <f t="shared" si="0"/>
        <v>0</v>
      </c>
      <c r="M24" s="140">
        <v>10</v>
      </c>
      <c r="N24" s="140" t="s">
        <v>33</v>
      </c>
      <c r="P24" s="16">
        <v>0</v>
      </c>
      <c r="Q24" s="16">
        <v>0</v>
      </c>
      <c r="R24" s="24">
        <f t="shared" si="1"/>
        <v>0</v>
      </c>
    </row>
    <row r="25" spans="1:18" x14ac:dyDescent="0.2">
      <c r="A25" s="2">
        <v>39906</v>
      </c>
      <c r="B25" s="1" t="s">
        <v>37</v>
      </c>
      <c r="D25" s="14">
        <v>74189.62</v>
      </c>
      <c r="E25" s="14"/>
      <c r="F25" s="140">
        <v>7</v>
      </c>
      <c r="G25" s="140" t="s">
        <v>38</v>
      </c>
      <c r="I25" s="16">
        <v>0</v>
      </c>
      <c r="J25" s="16">
        <v>0</v>
      </c>
      <c r="K25" s="24">
        <f t="shared" si="0"/>
        <v>0</v>
      </c>
      <c r="M25" s="140">
        <v>5</v>
      </c>
      <c r="N25" s="140" t="s">
        <v>45</v>
      </c>
      <c r="P25" s="16">
        <v>0</v>
      </c>
      <c r="Q25" s="16">
        <v>0</v>
      </c>
      <c r="R25" s="24">
        <f t="shared" si="1"/>
        <v>0</v>
      </c>
    </row>
    <row r="26" spans="1:18" x14ac:dyDescent="0.2">
      <c r="A26" s="2">
        <v>39907</v>
      </c>
      <c r="B26" s="1" t="s">
        <v>39</v>
      </c>
      <c r="D26" s="14">
        <v>35063.769999999997</v>
      </c>
      <c r="E26" s="14"/>
      <c r="F26" s="140">
        <v>9</v>
      </c>
      <c r="G26" s="140" t="s">
        <v>40</v>
      </c>
      <c r="I26" s="16">
        <v>0</v>
      </c>
      <c r="J26" s="16">
        <v>0</v>
      </c>
      <c r="K26" s="24">
        <f t="shared" si="0"/>
        <v>0</v>
      </c>
      <c r="M26" s="140">
        <v>7</v>
      </c>
      <c r="N26" s="140" t="s">
        <v>40</v>
      </c>
      <c r="P26" s="16">
        <v>0</v>
      </c>
      <c r="Q26" s="16">
        <v>0</v>
      </c>
      <c r="R26" s="24">
        <f t="shared" si="1"/>
        <v>0</v>
      </c>
    </row>
    <row r="27" spans="1:18" x14ac:dyDescent="0.2">
      <c r="A27" s="2">
        <v>39908</v>
      </c>
      <c r="B27" s="1" t="s">
        <v>41</v>
      </c>
      <c r="D27" s="14">
        <v>828509.36</v>
      </c>
      <c r="E27" s="14"/>
      <c r="F27" s="140">
        <v>12</v>
      </c>
      <c r="G27" s="140" t="s">
        <v>31</v>
      </c>
      <c r="I27" s="16">
        <v>0</v>
      </c>
      <c r="J27" s="16">
        <v>0</v>
      </c>
      <c r="K27" s="24">
        <f t="shared" si="0"/>
        <v>0</v>
      </c>
      <c r="M27" s="140">
        <v>12</v>
      </c>
      <c r="N27" s="140" t="s">
        <v>31</v>
      </c>
      <c r="P27" s="16">
        <v>0</v>
      </c>
      <c r="Q27" s="16">
        <v>0</v>
      </c>
      <c r="R27" s="24">
        <f t="shared" si="1"/>
        <v>0</v>
      </c>
    </row>
    <row r="28" spans="1:18" x14ac:dyDescent="0.2">
      <c r="B28" s="20" t="s">
        <v>42</v>
      </c>
      <c r="D28" s="21">
        <f>SUM(D11:D27)</f>
        <v>2288092.09</v>
      </c>
      <c r="E28" s="22"/>
      <c r="L28" s="15"/>
      <c r="M28" s="15"/>
    </row>
  </sheetData>
  <mergeCells count="7">
    <mergeCell ref="Q1:R1"/>
    <mergeCell ref="A2:R2"/>
    <mergeCell ref="A3:R3"/>
    <mergeCell ref="A5:R5"/>
    <mergeCell ref="F8:K8"/>
    <mergeCell ref="M8:R8"/>
    <mergeCell ref="A4:R4"/>
  </mergeCells>
  <pageMargins left="0.75" right="0.75" top="1" bottom="1" header="0.5" footer="0.5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Normal="100" workbookViewId="0">
      <selection sqref="A1:L1"/>
    </sheetView>
  </sheetViews>
  <sheetFormatPr defaultRowHeight="12.75" x14ac:dyDescent="0.2"/>
  <cols>
    <col min="1" max="1" width="9.140625" customWidth="1"/>
    <col min="2" max="2" width="27.7109375" customWidth="1"/>
    <col min="3" max="3" width="1.7109375" customWidth="1"/>
    <col min="4" max="4" width="22.140625" customWidth="1"/>
    <col min="5" max="5" width="1.7109375" customWidth="1"/>
    <col min="6" max="6" width="12.5703125" bestFit="1" customWidth="1"/>
    <col min="7" max="7" width="12.28515625" bestFit="1" customWidth="1"/>
    <col min="8" max="8" width="3.7109375" customWidth="1"/>
    <col min="9" max="9" width="12.5703125" bestFit="1" customWidth="1"/>
    <col min="10" max="10" width="12.85546875" customWidth="1"/>
    <col min="11" max="11" width="2.7109375" customWidth="1"/>
    <col min="12" max="12" width="12.85546875" bestFit="1" customWidth="1"/>
    <col min="14" max="14" width="12.85546875" customWidth="1"/>
    <col min="15" max="15" width="12.85546875" bestFit="1" customWidth="1"/>
    <col min="16" max="16" width="9.28515625" bestFit="1" customWidth="1"/>
  </cols>
  <sheetData>
    <row r="1" spans="1:17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7" x14ac:dyDescent="0.2">
      <c r="A2" s="152" t="s">
        <v>157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5.75" x14ac:dyDescent="0.25">
      <c r="A3" s="152" t="s">
        <v>158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37"/>
      <c r="N3" s="37"/>
      <c r="O3" s="37"/>
      <c r="P3" s="37"/>
      <c r="Q3" s="37"/>
    </row>
    <row r="4" spans="1:17" ht="15.75" x14ac:dyDescent="0.25">
      <c r="A4" s="152" t="s">
        <v>159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37"/>
      <c r="N4" s="37"/>
      <c r="O4" s="37"/>
      <c r="P4" s="37"/>
      <c r="Q4" s="37"/>
    </row>
    <row r="5" spans="1:17" ht="15.75" x14ac:dyDescent="0.25">
      <c r="A5" s="152" t="s">
        <v>211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38"/>
      <c r="N5" s="38"/>
      <c r="O5" s="38"/>
      <c r="P5" s="38"/>
      <c r="Q5" s="38"/>
    </row>
    <row r="6" spans="1:17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38"/>
      <c r="N6" s="38"/>
      <c r="O6" s="38"/>
      <c r="P6" s="38"/>
      <c r="Q6" s="38"/>
    </row>
    <row r="7" spans="1:17" ht="15.75" x14ac:dyDescent="0.25">
      <c r="A7" s="39"/>
      <c r="B7" s="39"/>
      <c r="C7" s="39"/>
      <c r="D7" s="40"/>
      <c r="E7" s="39"/>
      <c r="F7" s="150" t="s">
        <v>160</v>
      </c>
      <c r="G7" s="150"/>
      <c r="H7" s="39"/>
      <c r="I7" s="151" t="s">
        <v>161</v>
      </c>
      <c r="J7" s="151"/>
      <c r="K7" s="39"/>
      <c r="L7" s="41" t="s">
        <v>162</v>
      </c>
      <c r="M7" s="38"/>
      <c r="N7" s="38"/>
      <c r="O7" s="38"/>
      <c r="P7" s="38"/>
      <c r="Q7" s="38"/>
    </row>
    <row r="8" spans="1:17" x14ac:dyDescent="0.2">
      <c r="A8" s="39"/>
      <c r="B8" s="39"/>
      <c r="C8" s="26"/>
      <c r="D8" s="42"/>
      <c r="E8" s="26"/>
      <c r="F8" s="43" t="s">
        <v>163</v>
      </c>
      <c r="G8" s="26" t="s">
        <v>164</v>
      </c>
      <c r="H8" s="26"/>
      <c r="I8" s="44" t="s">
        <v>163</v>
      </c>
      <c r="J8" s="26" t="s">
        <v>163</v>
      </c>
      <c r="K8" s="26"/>
      <c r="L8" s="41" t="s">
        <v>165</v>
      </c>
    </row>
    <row r="9" spans="1:17" x14ac:dyDescent="0.2">
      <c r="A9" s="45" t="s">
        <v>10</v>
      </c>
      <c r="B9" s="45" t="s">
        <v>11</v>
      </c>
      <c r="C9" s="26"/>
      <c r="D9" s="46" t="s">
        <v>5</v>
      </c>
      <c r="E9" s="26"/>
      <c r="F9" s="47" t="s">
        <v>166</v>
      </c>
      <c r="G9" s="45" t="s">
        <v>167</v>
      </c>
      <c r="H9" s="26"/>
      <c r="I9" s="48" t="s">
        <v>166</v>
      </c>
      <c r="J9" s="45" t="s">
        <v>167</v>
      </c>
      <c r="K9" s="26"/>
      <c r="L9" s="49" t="s">
        <v>168</v>
      </c>
    </row>
    <row r="10" spans="1:17" x14ac:dyDescent="0.2">
      <c r="A10" s="26" t="s">
        <v>169</v>
      </c>
      <c r="B10" s="26" t="s">
        <v>170</v>
      </c>
      <c r="C10" s="26"/>
      <c r="D10" s="42" t="s">
        <v>171</v>
      </c>
      <c r="E10" s="26"/>
      <c r="F10" s="43" t="s">
        <v>172</v>
      </c>
      <c r="G10" s="26" t="s">
        <v>173</v>
      </c>
      <c r="H10" s="26"/>
      <c r="I10" s="44" t="s">
        <v>174</v>
      </c>
      <c r="J10" s="26" t="s">
        <v>175</v>
      </c>
      <c r="K10" s="26"/>
      <c r="L10" s="41" t="s">
        <v>176</v>
      </c>
    </row>
    <row r="11" spans="1:17" x14ac:dyDescent="0.2">
      <c r="A11" s="50" t="s">
        <v>177</v>
      </c>
      <c r="B11" s="51"/>
      <c r="H11" s="52"/>
      <c r="I11" s="52"/>
      <c r="J11" s="52"/>
      <c r="K11" s="52"/>
      <c r="L11" s="52"/>
    </row>
    <row r="12" spans="1:17" x14ac:dyDescent="0.2">
      <c r="A12" s="53">
        <f>Accrual!A10</f>
        <v>39001</v>
      </c>
      <c r="B12" t="str">
        <f>Accrual!B10</f>
        <v>Structures &amp; Improvements</v>
      </c>
      <c r="D12" s="54">
        <f>Accrual!D10</f>
        <v>179338.52000000002</v>
      </c>
      <c r="E12" s="54"/>
      <c r="F12" s="55">
        <f>'Existing Rates'!F4</f>
        <v>2.6799999999999997E-2</v>
      </c>
      <c r="G12" s="56">
        <f t="shared" ref="G12:G19" si="0">D12*F12</f>
        <v>4806.272336</v>
      </c>
      <c r="H12" s="57"/>
      <c r="I12" s="58">
        <f>Accrual!R10</f>
        <v>2.47E-2</v>
      </c>
      <c r="J12" s="59">
        <f>D12*I12</f>
        <v>4429.6614440000003</v>
      </c>
      <c r="K12" s="60"/>
      <c r="L12" s="59">
        <f>J12-G12</f>
        <v>-376.61089199999969</v>
      </c>
      <c r="N12" s="20"/>
      <c r="P12" s="61"/>
    </row>
    <row r="13" spans="1:17" x14ac:dyDescent="0.2">
      <c r="A13" s="53">
        <f>Accrual!A11</f>
        <v>39004</v>
      </c>
      <c r="B13" t="str">
        <f>Accrual!B11</f>
        <v>Air Conditioning</v>
      </c>
      <c r="D13" s="62">
        <f>Accrual!D11</f>
        <v>15383.91</v>
      </c>
      <c r="E13" s="62"/>
      <c r="F13" s="55">
        <f>'Existing Rates'!F5</f>
        <v>7.3300000000000004E-2</v>
      </c>
      <c r="G13" s="4">
        <f t="shared" si="0"/>
        <v>1127.6406030000001</v>
      </c>
      <c r="H13" s="57"/>
      <c r="I13" s="58">
        <f>Accrual!R11</f>
        <v>6.4299999999999996E-2</v>
      </c>
      <c r="J13" s="63">
        <f>D13*I13</f>
        <v>989.18541299999993</v>
      </c>
      <c r="K13" s="60"/>
      <c r="L13" s="64">
        <f>J13-G13</f>
        <v>-138.45519000000013</v>
      </c>
      <c r="N13" s="20"/>
      <c r="P13" s="61"/>
    </row>
    <row r="14" spans="1:17" x14ac:dyDescent="0.2">
      <c r="A14" s="53">
        <f>Accrual!A12</f>
        <v>39200</v>
      </c>
      <c r="B14" t="str">
        <f>Accrual!B12</f>
        <v>Transportation Equipment</v>
      </c>
      <c r="D14" s="62">
        <f>Accrual!D12</f>
        <v>27284.69</v>
      </c>
      <c r="E14" s="62"/>
      <c r="F14" s="55">
        <f>'Existing Rates'!F10</f>
        <v>6.6699999999999995E-2</v>
      </c>
      <c r="G14" s="4">
        <f t="shared" si="0"/>
        <v>1819.8888229999998</v>
      </c>
      <c r="H14" s="57"/>
      <c r="I14" s="58">
        <f>Accrual!R12</f>
        <v>5.4100000000000002E-2</v>
      </c>
      <c r="J14" s="63">
        <f t="shared" ref="J14:J19" si="1">D14*I14</f>
        <v>1476.101729</v>
      </c>
      <c r="K14" s="60"/>
      <c r="L14" s="64">
        <f t="shared" ref="L14:L19" si="2">J14-G14</f>
        <v>-343.7870939999998</v>
      </c>
      <c r="N14" s="20"/>
      <c r="P14" s="61"/>
    </row>
    <row r="15" spans="1:17" x14ac:dyDescent="0.2">
      <c r="A15" s="53">
        <f>Accrual!A13</f>
        <v>39400</v>
      </c>
      <c r="B15" t="str">
        <f>Accrual!B13</f>
        <v>Tools Shop And Garage</v>
      </c>
      <c r="C15" s="65"/>
      <c r="D15" s="62">
        <f>Accrual!D13</f>
        <v>175867.44</v>
      </c>
      <c r="E15" s="62"/>
      <c r="F15" s="55">
        <f>'Existing Rates'!F12</f>
        <v>3.4000000000000002E-2</v>
      </c>
      <c r="G15" s="4">
        <f t="shared" si="0"/>
        <v>5979.4929600000005</v>
      </c>
      <c r="H15" s="66"/>
      <c r="I15" s="58">
        <f>Accrual!R13</f>
        <v>4.82E-2</v>
      </c>
      <c r="J15" s="63">
        <f t="shared" si="1"/>
        <v>8476.8106079999998</v>
      </c>
      <c r="K15" s="66"/>
      <c r="L15" s="64">
        <f t="shared" si="2"/>
        <v>2497.3176479999993</v>
      </c>
      <c r="N15" s="20"/>
      <c r="P15" s="61"/>
    </row>
    <row r="16" spans="1:17" x14ac:dyDescent="0.2">
      <c r="A16" s="53">
        <f>Accrual!A14</f>
        <v>39600</v>
      </c>
      <c r="B16" t="str">
        <f>Accrual!B14</f>
        <v>Power Operated Equipment</v>
      </c>
      <c r="C16" s="65"/>
      <c r="D16" s="62">
        <f>Accrual!D14</f>
        <v>20515.690000000002</v>
      </c>
      <c r="E16" s="62"/>
      <c r="F16" s="67">
        <f>'Existing Rates'!F14</f>
        <v>4.36E-2</v>
      </c>
      <c r="G16" s="4">
        <f t="shared" si="0"/>
        <v>894.48408400000005</v>
      </c>
      <c r="H16" s="66"/>
      <c r="I16" s="58">
        <f>Accrual!R14</f>
        <v>5.0200000000000002E-2</v>
      </c>
      <c r="J16" s="63">
        <f t="shared" si="1"/>
        <v>1029.8876380000002</v>
      </c>
      <c r="K16" s="66"/>
      <c r="L16" s="64">
        <f t="shared" si="2"/>
        <v>135.4035540000001</v>
      </c>
      <c r="N16" s="20"/>
    </row>
    <row r="17" spans="1:16" x14ac:dyDescent="0.2">
      <c r="A17" s="53">
        <f>Accrual!A15</f>
        <v>39700</v>
      </c>
      <c r="B17" t="str">
        <f>Accrual!B15</f>
        <v>Communication Equipment</v>
      </c>
      <c r="C17" s="65"/>
      <c r="D17" s="62">
        <f>Accrual!D15</f>
        <v>37541</v>
      </c>
      <c r="E17" s="62"/>
      <c r="F17" s="67">
        <f>'Existing Rates'!F15</f>
        <v>3.1300000000000001E-2</v>
      </c>
      <c r="G17" s="4">
        <f t="shared" si="0"/>
        <v>1175.0333000000001</v>
      </c>
      <c r="H17" s="66"/>
      <c r="I17" s="58">
        <f>Accrual!R15</f>
        <v>8.2600000000000007E-2</v>
      </c>
      <c r="J17" s="63">
        <f t="shared" si="1"/>
        <v>3100.8866000000003</v>
      </c>
      <c r="K17" s="66"/>
      <c r="L17" s="64">
        <f t="shared" si="2"/>
        <v>1925.8533000000002</v>
      </c>
      <c r="N17" s="20"/>
      <c r="P17" s="61"/>
    </row>
    <row r="18" spans="1:16" x14ac:dyDescent="0.2">
      <c r="A18" s="53">
        <f>Accrual!A16</f>
        <v>39800</v>
      </c>
      <c r="B18" t="str">
        <f>Accrual!B16</f>
        <v>Miscellaneous Equipment</v>
      </c>
      <c r="C18" s="65"/>
      <c r="D18" s="62">
        <f>Accrual!D16</f>
        <v>814166.87999999989</v>
      </c>
      <c r="E18" s="62"/>
      <c r="F18" s="67">
        <f>'Existing Rates'!F18</f>
        <v>3.4700000000000002E-2</v>
      </c>
      <c r="G18" s="4">
        <f t="shared" si="0"/>
        <v>28251.590735999998</v>
      </c>
      <c r="H18" s="66"/>
      <c r="I18" s="58">
        <f>Accrual!R16</f>
        <v>2.6599999999999999E-2</v>
      </c>
      <c r="J18" s="63">
        <f t="shared" si="1"/>
        <v>21656.839007999995</v>
      </c>
      <c r="K18" s="66"/>
      <c r="L18" s="64">
        <f t="shared" si="2"/>
        <v>-6594.7517280000029</v>
      </c>
      <c r="N18" s="20"/>
      <c r="P18" s="61"/>
    </row>
    <row r="19" spans="1:16" x14ac:dyDescent="0.2">
      <c r="A19" s="53">
        <f>Accrual!A17</f>
        <v>39907</v>
      </c>
      <c r="B19" t="str">
        <f>Accrual!B17</f>
        <v>Pc Software</v>
      </c>
      <c r="C19" s="65"/>
      <c r="D19" s="62">
        <f>Accrual!D17</f>
        <v>35063.769999999997</v>
      </c>
      <c r="E19" s="62"/>
      <c r="F19" s="67">
        <f>'Existing Rates'!F24</f>
        <v>0.1111</v>
      </c>
      <c r="G19" s="4">
        <f t="shared" si="0"/>
        <v>3895.5848469999996</v>
      </c>
      <c r="H19" s="66"/>
      <c r="I19" s="58">
        <f>Accrual!R17</f>
        <v>0.1245</v>
      </c>
      <c r="J19" s="63">
        <f t="shared" si="1"/>
        <v>4365.4393649999993</v>
      </c>
      <c r="K19" s="66"/>
      <c r="L19" s="64">
        <f t="shared" si="2"/>
        <v>469.85451799999964</v>
      </c>
      <c r="N19" s="20"/>
      <c r="P19" s="61"/>
    </row>
    <row r="20" spans="1:16" x14ac:dyDescent="0.2">
      <c r="A20" s="53"/>
      <c r="B20" s="9" t="s">
        <v>179</v>
      </c>
      <c r="D20" s="135">
        <f>SUM(D12:D19)</f>
        <v>1305161.8999999999</v>
      </c>
      <c r="E20" s="62"/>
      <c r="F20" s="55">
        <f>G20/D20</f>
        <v>3.6738727731019424E-2</v>
      </c>
      <c r="G20" s="135">
        <f>SUM(G12:G19)</f>
        <v>47949.987688999994</v>
      </c>
      <c r="H20" s="66"/>
      <c r="I20" s="58">
        <f>J20/D20</f>
        <v>3.4880585929607653E-2</v>
      </c>
      <c r="J20" s="135">
        <f>SUM(J12:J19)</f>
        <v>45524.81180499999</v>
      </c>
      <c r="K20" s="66"/>
      <c r="L20" s="135">
        <f>SUM(L12:L19)</f>
        <v>-2425.1758840000034</v>
      </c>
      <c r="M20" t="s">
        <v>252</v>
      </c>
    </row>
    <row r="21" spans="1:16" x14ac:dyDescent="0.2">
      <c r="A21" s="53"/>
      <c r="B21" s="9"/>
      <c r="D21" s="117"/>
      <c r="E21" s="62"/>
      <c r="F21" s="55"/>
      <c r="G21" s="117"/>
      <c r="H21" s="66"/>
      <c r="I21" s="58"/>
      <c r="J21" s="117"/>
      <c r="K21" s="66"/>
      <c r="L21" s="117"/>
    </row>
    <row r="22" spans="1:16" x14ac:dyDescent="0.2">
      <c r="A22" s="145" t="s">
        <v>242</v>
      </c>
      <c r="B22" s="145"/>
      <c r="C22" s="145"/>
      <c r="D22" s="145"/>
      <c r="E22" s="145"/>
      <c r="F22" s="145"/>
      <c r="G22" s="145"/>
      <c r="H22" s="145"/>
      <c r="I22" s="131">
        <v>3.8797583869863199E-2</v>
      </c>
      <c r="J22" s="144">
        <v>50637.128279000004</v>
      </c>
      <c r="K22" s="52"/>
      <c r="L22" s="144">
        <v>2687.1405899999995</v>
      </c>
      <c r="M22" t="s">
        <v>253</v>
      </c>
    </row>
    <row r="23" spans="1:16" x14ac:dyDescent="0.2">
      <c r="A23" s="53">
        <v>39009</v>
      </c>
      <c r="B23" t="s">
        <v>19</v>
      </c>
      <c r="D23" s="117">
        <f>'PBC Plant Balance 2017'!F13</f>
        <v>38834</v>
      </c>
      <c r="E23" s="62"/>
      <c r="F23" s="55"/>
      <c r="G23" s="117"/>
      <c r="H23" s="66"/>
      <c r="I23" s="58">
        <f>(1-'KY MSGO Parameters'!R13)/'KY MSGO Parameters'!M13</f>
        <v>0.05</v>
      </c>
      <c r="J23" s="117"/>
      <c r="K23" s="66"/>
      <c r="L23" s="117"/>
    </row>
    <row r="24" spans="1:16" x14ac:dyDescent="0.2">
      <c r="A24" s="53">
        <v>39100</v>
      </c>
      <c r="B24" t="s">
        <v>180</v>
      </c>
      <c r="D24" s="117">
        <f>'PBC Plant Balance 2017'!F22</f>
        <v>41397.21</v>
      </c>
      <c r="E24" s="62"/>
      <c r="F24" s="55"/>
      <c r="G24" s="117"/>
      <c r="H24" s="66"/>
      <c r="I24" s="58">
        <f>(1-'KY MSGO Parameters'!R14)/'KY MSGO Parameters'!M14</f>
        <v>0.05</v>
      </c>
      <c r="J24" s="117"/>
      <c r="K24" s="66"/>
      <c r="L24" s="117">
        <f>L20-L22</f>
        <v>-5112.3164740000029</v>
      </c>
      <c r="M24" t="s">
        <v>254</v>
      </c>
    </row>
    <row r="25" spans="1:16" x14ac:dyDescent="0.2">
      <c r="A25" s="53">
        <v>39906</v>
      </c>
      <c r="B25" t="e">
        <f>Accrual!#REF!</f>
        <v>#REF!</v>
      </c>
      <c r="D25" s="117">
        <f>'PBC Plant Balance 2017'!F62</f>
        <v>74189.62</v>
      </c>
      <c r="E25" s="62"/>
      <c r="F25" s="55"/>
      <c r="G25" s="117"/>
      <c r="H25" s="66"/>
      <c r="I25" s="58">
        <f>(1-'KY MSGO Parameters'!R25)/'KY MSGO Parameters'!M25</f>
        <v>0.2</v>
      </c>
      <c r="J25" s="117"/>
      <c r="K25" s="66"/>
      <c r="L25" s="117"/>
    </row>
    <row r="26" spans="1:16" x14ac:dyDescent="0.2">
      <c r="A26" s="53">
        <v>39908</v>
      </c>
      <c r="B26" s="118" t="s">
        <v>41</v>
      </c>
      <c r="D26" s="117">
        <f>'PBC Plant Balance 2017'!F68</f>
        <v>828509.36</v>
      </c>
      <c r="E26" s="62"/>
      <c r="F26" s="67"/>
      <c r="G26" s="117"/>
      <c r="H26" s="66"/>
      <c r="I26" s="58">
        <f>(1-'KY MSGO Parameters'!R27)/'KY MSGO Parameters'!M27</f>
        <v>8.3333333333333329E-2</v>
      </c>
      <c r="J26" s="117"/>
      <c r="K26" s="66"/>
      <c r="L26" s="117"/>
    </row>
    <row r="27" spans="1:16" x14ac:dyDescent="0.2">
      <c r="B27" s="120" t="s">
        <v>241</v>
      </c>
      <c r="C27" s="52"/>
      <c r="D27" s="124">
        <f>SUM(D23:D26)</f>
        <v>982930.19</v>
      </c>
      <c r="E27" s="52"/>
      <c r="F27" s="52"/>
      <c r="G27" s="121"/>
      <c r="H27" s="52"/>
      <c r="I27" s="52"/>
      <c r="J27" s="121"/>
      <c r="K27" s="52"/>
      <c r="L27" s="121"/>
    </row>
    <row r="28" spans="1:16" x14ac:dyDescent="0.2">
      <c r="A28" s="53"/>
      <c r="B28" s="106"/>
      <c r="C28" s="65"/>
      <c r="D28" s="62"/>
      <c r="E28" s="62"/>
      <c r="F28" s="61"/>
      <c r="G28" s="4"/>
      <c r="H28" s="66"/>
      <c r="I28" s="61"/>
      <c r="J28" s="68"/>
      <c r="K28" s="66"/>
      <c r="L28" s="64"/>
      <c r="O28" s="61"/>
    </row>
    <row r="29" spans="1:16" ht="13.5" thickBot="1" x14ac:dyDescent="0.25">
      <c r="B29" s="9" t="s">
        <v>181</v>
      </c>
      <c r="D29" s="69">
        <f>D20+D27</f>
        <v>2288092.09</v>
      </c>
      <c r="E29" s="34"/>
    </row>
    <row r="30" spans="1:16" ht="13.5" thickTop="1" x14ac:dyDescent="0.2">
      <c r="B30" s="9" t="s">
        <v>182</v>
      </c>
      <c r="D30" s="34">
        <f>'PBC Plant Balance 2017'!F69</f>
        <v>3582953.0400000014</v>
      </c>
      <c r="E30" s="34"/>
      <c r="J30" s="70"/>
    </row>
    <row r="31" spans="1:16" x14ac:dyDescent="0.2">
      <c r="B31" s="9" t="s">
        <v>183</v>
      </c>
      <c r="D31" s="34">
        <f>'PBC Plant Balance 2017'!F3+'PBC Plant Balance 2017'!F5</f>
        <v>1294860.95</v>
      </c>
      <c r="E31" s="34"/>
    </row>
    <row r="32" spans="1:16" x14ac:dyDescent="0.2">
      <c r="B32" s="9" t="s">
        <v>243</v>
      </c>
      <c r="D32" s="34">
        <f>'PBC Plant Balance 2017'!F3+'PBC Plant Balance 2017'!F5</f>
        <v>1294860.95</v>
      </c>
    </row>
    <row r="33" spans="1:14" s="52" customFormat="1" x14ac:dyDescent="0.2">
      <c r="B33" s="120" t="s">
        <v>244</v>
      </c>
      <c r="D33" s="146">
        <f>D31-D32</f>
        <v>0</v>
      </c>
    </row>
    <row r="34" spans="1:14" s="52" customFormat="1" x14ac:dyDescent="0.2">
      <c r="A34" s="5"/>
    </row>
    <row r="35" spans="1:14" s="52" customFormat="1" x14ac:dyDescent="0.2">
      <c r="A35" s="5"/>
    </row>
    <row r="36" spans="1:14" s="52" customFormat="1" x14ac:dyDescent="0.2">
      <c r="A36" s="136"/>
      <c r="B36" s="52" t="s">
        <v>179</v>
      </c>
      <c r="D36" s="144">
        <v>1305161.8999999999</v>
      </c>
      <c r="F36" s="131">
        <v>3.6738727731019424E-2</v>
      </c>
      <c r="G36" s="144">
        <v>47949.987688999994</v>
      </c>
      <c r="I36" s="131">
        <v>3.8797583869863199E-2</v>
      </c>
      <c r="J36" s="144">
        <v>50637.128279000004</v>
      </c>
      <c r="L36" s="144">
        <v>2687.1405899999995</v>
      </c>
      <c r="N36" s="52" t="s">
        <v>255</v>
      </c>
    </row>
    <row r="37" spans="1:14" s="52" customFormat="1" x14ac:dyDescent="0.2">
      <c r="A37" s="130"/>
      <c r="D37" s="131"/>
      <c r="F37" s="131"/>
      <c r="G37" s="132"/>
    </row>
    <row r="38" spans="1:14" s="52" customFormat="1" x14ac:dyDescent="0.2">
      <c r="A38" s="130"/>
      <c r="D38" s="131"/>
      <c r="F38" s="131"/>
      <c r="G38" s="132"/>
    </row>
    <row r="39" spans="1:14" s="52" customFormat="1" x14ac:dyDescent="0.2">
      <c r="A39" s="130"/>
      <c r="D39" s="131"/>
      <c r="F39" s="131"/>
      <c r="G39" s="132"/>
    </row>
    <row r="40" spans="1:14" s="52" customFormat="1" x14ac:dyDescent="0.2">
      <c r="A40" s="130"/>
      <c r="D40" s="131"/>
      <c r="F40" s="131"/>
      <c r="G40" s="132"/>
    </row>
    <row r="41" spans="1:14" s="52" customFormat="1" x14ac:dyDescent="0.2">
      <c r="A41" s="130"/>
      <c r="D41" s="131"/>
      <c r="F41" s="131"/>
      <c r="G41" s="132"/>
    </row>
    <row r="42" spans="1:14" s="52" customFormat="1" x14ac:dyDescent="0.2">
      <c r="A42" s="130"/>
      <c r="D42" s="131"/>
      <c r="F42" s="131"/>
      <c r="G42" s="132"/>
    </row>
    <row r="43" spans="1:14" s="52" customFormat="1" x14ac:dyDescent="0.2">
      <c r="D43" s="131"/>
      <c r="E43" s="133"/>
    </row>
    <row r="44" spans="1:14" s="52" customFormat="1" x14ac:dyDescent="0.2">
      <c r="D44" s="131"/>
      <c r="E44" s="133"/>
    </row>
    <row r="45" spans="1:14" s="52" customFormat="1" x14ac:dyDescent="0.2">
      <c r="D45" s="131"/>
      <c r="E45" s="133"/>
    </row>
    <row r="46" spans="1:14" s="52" customFormat="1" x14ac:dyDescent="0.2">
      <c r="D46" s="131"/>
      <c r="E46" s="133"/>
    </row>
    <row r="47" spans="1:14" s="52" customFormat="1" x14ac:dyDescent="0.2"/>
  </sheetData>
  <mergeCells count="7">
    <mergeCell ref="F7:G7"/>
    <mergeCell ref="I7:J7"/>
    <mergeCell ref="A1:L1"/>
    <mergeCell ref="A2:L2"/>
    <mergeCell ref="A3:L3"/>
    <mergeCell ref="A4:L4"/>
    <mergeCell ref="A5:L5"/>
  </mergeCells>
  <pageMargins left="0.75" right="0.75" top="1" bottom="1" header="0.5" footer="0.5"/>
  <pageSetup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zoomScaleNormal="100" workbookViewId="0">
      <selection sqref="A1:R1"/>
    </sheetView>
  </sheetViews>
  <sheetFormatPr defaultRowHeight="12.75" x14ac:dyDescent="0.2"/>
  <cols>
    <col min="1" max="1" width="11.140625" style="1" customWidth="1"/>
    <col min="2" max="2" width="29" style="1" customWidth="1"/>
    <col min="3" max="3" width="1.7109375" style="5" customWidth="1"/>
    <col min="4" max="4" width="16" style="1" bestFit="1" customWidth="1"/>
    <col min="5" max="5" width="1.85546875" style="5" customWidth="1"/>
    <col min="6" max="6" width="18" style="1" customWidth="1"/>
    <col min="7" max="7" width="1.7109375" style="5" customWidth="1"/>
    <col min="8" max="8" width="12.85546875" style="1" customWidth="1"/>
    <col min="9" max="9" width="1.7109375" style="5" customWidth="1"/>
    <col min="10" max="10" width="16.5703125" style="1" customWidth="1"/>
    <col min="11" max="11" width="1.7109375" style="5" customWidth="1"/>
    <col min="12" max="12" width="16" style="1" customWidth="1"/>
    <col min="13" max="13" width="1.7109375" style="5" customWidth="1"/>
    <col min="14" max="14" width="15.5703125" style="1" customWidth="1"/>
    <col min="15" max="15" width="1.7109375" style="5" customWidth="1"/>
    <col min="16" max="16" width="14" style="1" customWidth="1"/>
    <col min="17" max="17" width="1.7109375" style="5" customWidth="1"/>
    <col min="18" max="18" width="12.5703125" style="90" customWidth="1"/>
    <col min="19" max="264" width="9.140625" style="1"/>
    <col min="265" max="265" width="21" style="1" customWidth="1"/>
    <col min="266" max="266" width="30.7109375" style="1" customWidth="1"/>
    <col min="267" max="267" width="20.140625" style="1" customWidth="1"/>
    <col min="268" max="268" width="19.140625" style="1" customWidth="1"/>
    <col min="269" max="269" width="18" style="1" customWidth="1"/>
    <col min="270" max="270" width="19.5703125" style="1" customWidth="1"/>
    <col min="271" max="271" width="15.28515625" style="1" customWidth="1"/>
    <col min="272" max="272" width="20" style="1" customWidth="1"/>
    <col min="273" max="273" width="15.28515625" style="1" customWidth="1"/>
    <col min="274" max="274" width="14.7109375" style="1" customWidth="1"/>
    <col min="275" max="520" width="9.140625" style="1"/>
    <col min="521" max="521" width="21" style="1" customWidth="1"/>
    <col min="522" max="522" width="30.7109375" style="1" customWidth="1"/>
    <col min="523" max="523" width="20.140625" style="1" customWidth="1"/>
    <col min="524" max="524" width="19.140625" style="1" customWidth="1"/>
    <col min="525" max="525" width="18" style="1" customWidth="1"/>
    <col min="526" max="526" width="19.5703125" style="1" customWidth="1"/>
    <col min="527" max="527" width="15.28515625" style="1" customWidth="1"/>
    <col min="528" max="528" width="20" style="1" customWidth="1"/>
    <col min="529" max="529" width="15.28515625" style="1" customWidth="1"/>
    <col min="530" max="530" width="14.7109375" style="1" customWidth="1"/>
    <col min="531" max="776" width="9.140625" style="1"/>
    <col min="777" max="777" width="21" style="1" customWidth="1"/>
    <col min="778" max="778" width="30.7109375" style="1" customWidth="1"/>
    <col min="779" max="779" width="20.140625" style="1" customWidth="1"/>
    <col min="780" max="780" width="19.140625" style="1" customWidth="1"/>
    <col min="781" max="781" width="18" style="1" customWidth="1"/>
    <col min="782" max="782" width="19.5703125" style="1" customWidth="1"/>
    <col min="783" max="783" width="15.28515625" style="1" customWidth="1"/>
    <col min="784" max="784" width="20" style="1" customWidth="1"/>
    <col min="785" max="785" width="15.28515625" style="1" customWidth="1"/>
    <col min="786" max="786" width="14.7109375" style="1" customWidth="1"/>
    <col min="787" max="1032" width="9.140625" style="1"/>
    <col min="1033" max="1033" width="21" style="1" customWidth="1"/>
    <col min="1034" max="1034" width="30.7109375" style="1" customWidth="1"/>
    <col min="1035" max="1035" width="20.140625" style="1" customWidth="1"/>
    <col min="1036" max="1036" width="19.140625" style="1" customWidth="1"/>
    <col min="1037" max="1037" width="18" style="1" customWidth="1"/>
    <col min="1038" max="1038" width="19.5703125" style="1" customWidth="1"/>
    <col min="1039" max="1039" width="15.28515625" style="1" customWidth="1"/>
    <col min="1040" max="1040" width="20" style="1" customWidth="1"/>
    <col min="1041" max="1041" width="15.28515625" style="1" customWidth="1"/>
    <col min="1042" max="1042" width="14.7109375" style="1" customWidth="1"/>
    <col min="1043" max="1288" width="9.140625" style="1"/>
    <col min="1289" max="1289" width="21" style="1" customWidth="1"/>
    <col min="1290" max="1290" width="30.7109375" style="1" customWidth="1"/>
    <col min="1291" max="1291" width="20.140625" style="1" customWidth="1"/>
    <col min="1292" max="1292" width="19.140625" style="1" customWidth="1"/>
    <col min="1293" max="1293" width="18" style="1" customWidth="1"/>
    <col min="1294" max="1294" width="19.5703125" style="1" customWidth="1"/>
    <col min="1295" max="1295" width="15.28515625" style="1" customWidth="1"/>
    <col min="1296" max="1296" width="20" style="1" customWidth="1"/>
    <col min="1297" max="1297" width="15.28515625" style="1" customWidth="1"/>
    <col min="1298" max="1298" width="14.7109375" style="1" customWidth="1"/>
    <col min="1299" max="1544" width="9.140625" style="1"/>
    <col min="1545" max="1545" width="21" style="1" customWidth="1"/>
    <col min="1546" max="1546" width="30.7109375" style="1" customWidth="1"/>
    <col min="1547" max="1547" width="20.140625" style="1" customWidth="1"/>
    <col min="1548" max="1548" width="19.140625" style="1" customWidth="1"/>
    <col min="1549" max="1549" width="18" style="1" customWidth="1"/>
    <col min="1550" max="1550" width="19.5703125" style="1" customWidth="1"/>
    <col min="1551" max="1551" width="15.28515625" style="1" customWidth="1"/>
    <col min="1552" max="1552" width="20" style="1" customWidth="1"/>
    <col min="1553" max="1553" width="15.28515625" style="1" customWidth="1"/>
    <col min="1554" max="1554" width="14.7109375" style="1" customWidth="1"/>
    <col min="1555" max="1800" width="9.140625" style="1"/>
    <col min="1801" max="1801" width="21" style="1" customWidth="1"/>
    <col min="1802" max="1802" width="30.7109375" style="1" customWidth="1"/>
    <col min="1803" max="1803" width="20.140625" style="1" customWidth="1"/>
    <col min="1804" max="1804" width="19.140625" style="1" customWidth="1"/>
    <col min="1805" max="1805" width="18" style="1" customWidth="1"/>
    <col min="1806" max="1806" width="19.5703125" style="1" customWidth="1"/>
    <col min="1807" max="1807" width="15.28515625" style="1" customWidth="1"/>
    <col min="1808" max="1808" width="20" style="1" customWidth="1"/>
    <col min="1809" max="1809" width="15.28515625" style="1" customWidth="1"/>
    <col min="1810" max="1810" width="14.7109375" style="1" customWidth="1"/>
    <col min="1811" max="2056" width="9.140625" style="1"/>
    <col min="2057" max="2057" width="21" style="1" customWidth="1"/>
    <col min="2058" max="2058" width="30.7109375" style="1" customWidth="1"/>
    <col min="2059" max="2059" width="20.140625" style="1" customWidth="1"/>
    <col min="2060" max="2060" width="19.140625" style="1" customWidth="1"/>
    <col min="2061" max="2061" width="18" style="1" customWidth="1"/>
    <col min="2062" max="2062" width="19.5703125" style="1" customWidth="1"/>
    <col min="2063" max="2063" width="15.28515625" style="1" customWidth="1"/>
    <col min="2064" max="2064" width="20" style="1" customWidth="1"/>
    <col min="2065" max="2065" width="15.28515625" style="1" customWidth="1"/>
    <col min="2066" max="2066" width="14.7109375" style="1" customWidth="1"/>
    <col min="2067" max="2312" width="9.140625" style="1"/>
    <col min="2313" max="2313" width="21" style="1" customWidth="1"/>
    <col min="2314" max="2314" width="30.7109375" style="1" customWidth="1"/>
    <col min="2315" max="2315" width="20.140625" style="1" customWidth="1"/>
    <col min="2316" max="2316" width="19.140625" style="1" customWidth="1"/>
    <col min="2317" max="2317" width="18" style="1" customWidth="1"/>
    <col min="2318" max="2318" width="19.5703125" style="1" customWidth="1"/>
    <col min="2319" max="2319" width="15.28515625" style="1" customWidth="1"/>
    <col min="2320" max="2320" width="20" style="1" customWidth="1"/>
    <col min="2321" max="2321" width="15.28515625" style="1" customWidth="1"/>
    <col min="2322" max="2322" width="14.7109375" style="1" customWidth="1"/>
    <col min="2323" max="2568" width="9.140625" style="1"/>
    <col min="2569" max="2569" width="21" style="1" customWidth="1"/>
    <col min="2570" max="2570" width="30.7109375" style="1" customWidth="1"/>
    <col min="2571" max="2571" width="20.140625" style="1" customWidth="1"/>
    <col min="2572" max="2572" width="19.140625" style="1" customWidth="1"/>
    <col min="2573" max="2573" width="18" style="1" customWidth="1"/>
    <col min="2574" max="2574" width="19.5703125" style="1" customWidth="1"/>
    <col min="2575" max="2575" width="15.28515625" style="1" customWidth="1"/>
    <col min="2576" max="2576" width="20" style="1" customWidth="1"/>
    <col min="2577" max="2577" width="15.28515625" style="1" customWidth="1"/>
    <col min="2578" max="2578" width="14.7109375" style="1" customWidth="1"/>
    <col min="2579" max="2824" width="9.140625" style="1"/>
    <col min="2825" max="2825" width="21" style="1" customWidth="1"/>
    <col min="2826" max="2826" width="30.7109375" style="1" customWidth="1"/>
    <col min="2827" max="2827" width="20.140625" style="1" customWidth="1"/>
    <col min="2828" max="2828" width="19.140625" style="1" customWidth="1"/>
    <col min="2829" max="2829" width="18" style="1" customWidth="1"/>
    <col min="2830" max="2830" width="19.5703125" style="1" customWidth="1"/>
    <col min="2831" max="2831" width="15.28515625" style="1" customWidth="1"/>
    <col min="2832" max="2832" width="20" style="1" customWidth="1"/>
    <col min="2833" max="2833" width="15.28515625" style="1" customWidth="1"/>
    <col min="2834" max="2834" width="14.7109375" style="1" customWidth="1"/>
    <col min="2835" max="3080" width="9.140625" style="1"/>
    <col min="3081" max="3081" width="21" style="1" customWidth="1"/>
    <col min="3082" max="3082" width="30.7109375" style="1" customWidth="1"/>
    <col min="3083" max="3083" width="20.140625" style="1" customWidth="1"/>
    <col min="3084" max="3084" width="19.140625" style="1" customWidth="1"/>
    <col min="3085" max="3085" width="18" style="1" customWidth="1"/>
    <col min="3086" max="3086" width="19.5703125" style="1" customWidth="1"/>
    <col min="3087" max="3087" width="15.28515625" style="1" customWidth="1"/>
    <col min="3088" max="3088" width="20" style="1" customWidth="1"/>
    <col min="3089" max="3089" width="15.28515625" style="1" customWidth="1"/>
    <col min="3090" max="3090" width="14.7109375" style="1" customWidth="1"/>
    <col min="3091" max="3336" width="9.140625" style="1"/>
    <col min="3337" max="3337" width="21" style="1" customWidth="1"/>
    <col min="3338" max="3338" width="30.7109375" style="1" customWidth="1"/>
    <col min="3339" max="3339" width="20.140625" style="1" customWidth="1"/>
    <col min="3340" max="3340" width="19.140625" style="1" customWidth="1"/>
    <col min="3341" max="3341" width="18" style="1" customWidth="1"/>
    <col min="3342" max="3342" width="19.5703125" style="1" customWidth="1"/>
    <col min="3343" max="3343" width="15.28515625" style="1" customWidth="1"/>
    <col min="3344" max="3344" width="20" style="1" customWidth="1"/>
    <col min="3345" max="3345" width="15.28515625" style="1" customWidth="1"/>
    <col min="3346" max="3346" width="14.7109375" style="1" customWidth="1"/>
    <col min="3347" max="3592" width="9.140625" style="1"/>
    <col min="3593" max="3593" width="21" style="1" customWidth="1"/>
    <col min="3594" max="3594" width="30.7109375" style="1" customWidth="1"/>
    <col min="3595" max="3595" width="20.140625" style="1" customWidth="1"/>
    <col min="3596" max="3596" width="19.140625" style="1" customWidth="1"/>
    <col min="3597" max="3597" width="18" style="1" customWidth="1"/>
    <col min="3598" max="3598" width="19.5703125" style="1" customWidth="1"/>
    <col min="3599" max="3599" width="15.28515625" style="1" customWidth="1"/>
    <col min="3600" max="3600" width="20" style="1" customWidth="1"/>
    <col min="3601" max="3601" width="15.28515625" style="1" customWidth="1"/>
    <col min="3602" max="3602" width="14.7109375" style="1" customWidth="1"/>
    <col min="3603" max="3848" width="9.140625" style="1"/>
    <col min="3849" max="3849" width="21" style="1" customWidth="1"/>
    <col min="3850" max="3850" width="30.7109375" style="1" customWidth="1"/>
    <col min="3851" max="3851" width="20.140625" style="1" customWidth="1"/>
    <col min="3852" max="3852" width="19.140625" style="1" customWidth="1"/>
    <col min="3853" max="3853" width="18" style="1" customWidth="1"/>
    <col min="3854" max="3854" width="19.5703125" style="1" customWidth="1"/>
    <col min="3855" max="3855" width="15.28515625" style="1" customWidth="1"/>
    <col min="3856" max="3856" width="20" style="1" customWidth="1"/>
    <col min="3857" max="3857" width="15.28515625" style="1" customWidth="1"/>
    <col min="3858" max="3858" width="14.7109375" style="1" customWidth="1"/>
    <col min="3859" max="4104" width="9.140625" style="1"/>
    <col min="4105" max="4105" width="21" style="1" customWidth="1"/>
    <col min="4106" max="4106" width="30.7109375" style="1" customWidth="1"/>
    <col min="4107" max="4107" width="20.140625" style="1" customWidth="1"/>
    <col min="4108" max="4108" width="19.140625" style="1" customWidth="1"/>
    <col min="4109" max="4109" width="18" style="1" customWidth="1"/>
    <col min="4110" max="4110" width="19.5703125" style="1" customWidth="1"/>
    <col min="4111" max="4111" width="15.28515625" style="1" customWidth="1"/>
    <col min="4112" max="4112" width="20" style="1" customWidth="1"/>
    <col min="4113" max="4113" width="15.28515625" style="1" customWidth="1"/>
    <col min="4114" max="4114" width="14.7109375" style="1" customWidth="1"/>
    <col min="4115" max="4360" width="9.140625" style="1"/>
    <col min="4361" max="4361" width="21" style="1" customWidth="1"/>
    <col min="4362" max="4362" width="30.7109375" style="1" customWidth="1"/>
    <col min="4363" max="4363" width="20.140625" style="1" customWidth="1"/>
    <col min="4364" max="4364" width="19.140625" style="1" customWidth="1"/>
    <col min="4365" max="4365" width="18" style="1" customWidth="1"/>
    <col min="4366" max="4366" width="19.5703125" style="1" customWidth="1"/>
    <col min="4367" max="4367" width="15.28515625" style="1" customWidth="1"/>
    <col min="4368" max="4368" width="20" style="1" customWidth="1"/>
    <col min="4369" max="4369" width="15.28515625" style="1" customWidth="1"/>
    <col min="4370" max="4370" width="14.7109375" style="1" customWidth="1"/>
    <col min="4371" max="4616" width="9.140625" style="1"/>
    <col min="4617" max="4617" width="21" style="1" customWidth="1"/>
    <col min="4618" max="4618" width="30.7109375" style="1" customWidth="1"/>
    <col min="4619" max="4619" width="20.140625" style="1" customWidth="1"/>
    <col min="4620" max="4620" width="19.140625" style="1" customWidth="1"/>
    <col min="4621" max="4621" width="18" style="1" customWidth="1"/>
    <col min="4622" max="4622" width="19.5703125" style="1" customWidth="1"/>
    <col min="4623" max="4623" width="15.28515625" style="1" customWidth="1"/>
    <col min="4624" max="4624" width="20" style="1" customWidth="1"/>
    <col min="4625" max="4625" width="15.28515625" style="1" customWidth="1"/>
    <col min="4626" max="4626" width="14.7109375" style="1" customWidth="1"/>
    <col min="4627" max="4872" width="9.140625" style="1"/>
    <col min="4873" max="4873" width="21" style="1" customWidth="1"/>
    <col min="4874" max="4874" width="30.7109375" style="1" customWidth="1"/>
    <col min="4875" max="4875" width="20.140625" style="1" customWidth="1"/>
    <col min="4876" max="4876" width="19.140625" style="1" customWidth="1"/>
    <col min="4877" max="4877" width="18" style="1" customWidth="1"/>
    <col min="4878" max="4878" width="19.5703125" style="1" customWidth="1"/>
    <col min="4879" max="4879" width="15.28515625" style="1" customWidth="1"/>
    <col min="4880" max="4880" width="20" style="1" customWidth="1"/>
    <col min="4881" max="4881" width="15.28515625" style="1" customWidth="1"/>
    <col min="4882" max="4882" width="14.7109375" style="1" customWidth="1"/>
    <col min="4883" max="5128" width="9.140625" style="1"/>
    <col min="5129" max="5129" width="21" style="1" customWidth="1"/>
    <col min="5130" max="5130" width="30.7109375" style="1" customWidth="1"/>
    <col min="5131" max="5131" width="20.140625" style="1" customWidth="1"/>
    <col min="5132" max="5132" width="19.140625" style="1" customWidth="1"/>
    <col min="5133" max="5133" width="18" style="1" customWidth="1"/>
    <col min="5134" max="5134" width="19.5703125" style="1" customWidth="1"/>
    <col min="5135" max="5135" width="15.28515625" style="1" customWidth="1"/>
    <col min="5136" max="5136" width="20" style="1" customWidth="1"/>
    <col min="5137" max="5137" width="15.28515625" style="1" customWidth="1"/>
    <col min="5138" max="5138" width="14.7109375" style="1" customWidth="1"/>
    <col min="5139" max="5384" width="9.140625" style="1"/>
    <col min="5385" max="5385" width="21" style="1" customWidth="1"/>
    <col min="5386" max="5386" width="30.7109375" style="1" customWidth="1"/>
    <col min="5387" max="5387" width="20.140625" style="1" customWidth="1"/>
    <col min="5388" max="5388" width="19.140625" style="1" customWidth="1"/>
    <col min="5389" max="5389" width="18" style="1" customWidth="1"/>
    <col min="5390" max="5390" width="19.5703125" style="1" customWidth="1"/>
    <col min="5391" max="5391" width="15.28515625" style="1" customWidth="1"/>
    <col min="5392" max="5392" width="20" style="1" customWidth="1"/>
    <col min="5393" max="5393" width="15.28515625" style="1" customWidth="1"/>
    <col min="5394" max="5394" width="14.7109375" style="1" customWidth="1"/>
    <col min="5395" max="5640" width="9.140625" style="1"/>
    <col min="5641" max="5641" width="21" style="1" customWidth="1"/>
    <col min="5642" max="5642" width="30.7109375" style="1" customWidth="1"/>
    <col min="5643" max="5643" width="20.140625" style="1" customWidth="1"/>
    <col min="5644" max="5644" width="19.140625" style="1" customWidth="1"/>
    <col min="5645" max="5645" width="18" style="1" customWidth="1"/>
    <col min="5646" max="5646" width="19.5703125" style="1" customWidth="1"/>
    <col min="5647" max="5647" width="15.28515625" style="1" customWidth="1"/>
    <col min="5648" max="5648" width="20" style="1" customWidth="1"/>
    <col min="5649" max="5649" width="15.28515625" style="1" customWidth="1"/>
    <col min="5650" max="5650" width="14.7109375" style="1" customWidth="1"/>
    <col min="5651" max="5896" width="9.140625" style="1"/>
    <col min="5897" max="5897" width="21" style="1" customWidth="1"/>
    <col min="5898" max="5898" width="30.7109375" style="1" customWidth="1"/>
    <col min="5899" max="5899" width="20.140625" style="1" customWidth="1"/>
    <col min="5900" max="5900" width="19.140625" style="1" customWidth="1"/>
    <col min="5901" max="5901" width="18" style="1" customWidth="1"/>
    <col min="5902" max="5902" width="19.5703125" style="1" customWidth="1"/>
    <col min="5903" max="5903" width="15.28515625" style="1" customWidth="1"/>
    <col min="5904" max="5904" width="20" style="1" customWidth="1"/>
    <col min="5905" max="5905" width="15.28515625" style="1" customWidth="1"/>
    <col min="5906" max="5906" width="14.7109375" style="1" customWidth="1"/>
    <col min="5907" max="6152" width="9.140625" style="1"/>
    <col min="6153" max="6153" width="21" style="1" customWidth="1"/>
    <col min="6154" max="6154" width="30.7109375" style="1" customWidth="1"/>
    <col min="6155" max="6155" width="20.140625" style="1" customWidth="1"/>
    <col min="6156" max="6156" width="19.140625" style="1" customWidth="1"/>
    <col min="6157" max="6157" width="18" style="1" customWidth="1"/>
    <col min="6158" max="6158" width="19.5703125" style="1" customWidth="1"/>
    <col min="6159" max="6159" width="15.28515625" style="1" customWidth="1"/>
    <col min="6160" max="6160" width="20" style="1" customWidth="1"/>
    <col min="6161" max="6161" width="15.28515625" style="1" customWidth="1"/>
    <col min="6162" max="6162" width="14.7109375" style="1" customWidth="1"/>
    <col min="6163" max="6408" width="9.140625" style="1"/>
    <col min="6409" max="6409" width="21" style="1" customWidth="1"/>
    <col min="6410" max="6410" width="30.7109375" style="1" customWidth="1"/>
    <col min="6411" max="6411" width="20.140625" style="1" customWidth="1"/>
    <col min="6412" max="6412" width="19.140625" style="1" customWidth="1"/>
    <col min="6413" max="6413" width="18" style="1" customWidth="1"/>
    <col min="6414" max="6414" width="19.5703125" style="1" customWidth="1"/>
    <col min="6415" max="6415" width="15.28515625" style="1" customWidth="1"/>
    <col min="6416" max="6416" width="20" style="1" customWidth="1"/>
    <col min="6417" max="6417" width="15.28515625" style="1" customWidth="1"/>
    <col min="6418" max="6418" width="14.7109375" style="1" customWidth="1"/>
    <col min="6419" max="6664" width="9.140625" style="1"/>
    <col min="6665" max="6665" width="21" style="1" customWidth="1"/>
    <col min="6666" max="6666" width="30.7109375" style="1" customWidth="1"/>
    <col min="6667" max="6667" width="20.140625" style="1" customWidth="1"/>
    <col min="6668" max="6668" width="19.140625" style="1" customWidth="1"/>
    <col min="6669" max="6669" width="18" style="1" customWidth="1"/>
    <col min="6670" max="6670" width="19.5703125" style="1" customWidth="1"/>
    <col min="6671" max="6671" width="15.28515625" style="1" customWidth="1"/>
    <col min="6672" max="6672" width="20" style="1" customWidth="1"/>
    <col min="6673" max="6673" width="15.28515625" style="1" customWidth="1"/>
    <col min="6674" max="6674" width="14.7109375" style="1" customWidth="1"/>
    <col min="6675" max="6920" width="9.140625" style="1"/>
    <col min="6921" max="6921" width="21" style="1" customWidth="1"/>
    <col min="6922" max="6922" width="30.7109375" style="1" customWidth="1"/>
    <col min="6923" max="6923" width="20.140625" style="1" customWidth="1"/>
    <col min="6924" max="6924" width="19.140625" style="1" customWidth="1"/>
    <col min="6925" max="6925" width="18" style="1" customWidth="1"/>
    <col min="6926" max="6926" width="19.5703125" style="1" customWidth="1"/>
    <col min="6927" max="6927" width="15.28515625" style="1" customWidth="1"/>
    <col min="6928" max="6928" width="20" style="1" customWidth="1"/>
    <col min="6929" max="6929" width="15.28515625" style="1" customWidth="1"/>
    <col min="6930" max="6930" width="14.7109375" style="1" customWidth="1"/>
    <col min="6931" max="7176" width="9.140625" style="1"/>
    <col min="7177" max="7177" width="21" style="1" customWidth="1"/>
    <col min="7178" max="7178" width="30.7109375" style="1" customWidth="1"/>
    <col min="7179" max="7179" width="20.140625" style="1" customWidth="1"/>
    <col min="7180" max="7180" width="19.140625" style="1" customWidth="1"/>
    <col min="7181" max="7181" width="18" style="1" customWidth="1"/>
    <col min="7182" max="7182" width="19.5703125" style="1" customWidth="1"/>
    <col min="7183" max="7183" width="15.28515625" style="1" customWidth="1"/>
    <col min="7184" max="7184" width="20" style="1" customWidth="1"/>
    <col min="7185" max="7185" width="15.28515625" style="1" customWidth="1"/>
    <col min="7186" max="7186" width="14.7109375" style="1" customWidth="1"/>
    <col min="7187" max="7432" width="9.140625" style="1"/>
    <col min="7433" max="7433" width="21" style="1" customWidth="1"/>
    <col min="7434" max="7434" width="30.7109375" style="1" customWidth="1"/>
    <col min="7435" max="7435" width="20.140625" style="1" customWidth="1"/>
    <col min="7436" max="7436" width="19.140625" style="1" customWidth="1"/>
    <col min="7437" max="7437" width="18" style="1" customWidth="1"/>
    <col min="7438" max="7438" width="19.5703125" style="1" customWidth="1"/>
    <col min="7439" max="7439" width="15.28515625" style="1" customWidth="1"/>
    <col min="7440" max="7440" width="20" style="1" customWidth="1"/>
    <col min="7441" max="7441" width="15.28515625" style="1" customWidth="1"/>
    <col min="7442" max="7442" width="14.7109375" style="1" customWidth="1"/>
    <col min="7443" max="7688" width="9.140625" style="1"/>
    <col min="7689" max="7689" width="21" style="1" customWidth="1"/>
    <col min="7690" max="7690" width="30.7109375" style="1" customWidth="1"/>
    <col min="7691" max="7691" width="20.140625" style="1" customWidth="1"/>
    <col min="7692" max="7692" width="19.140625" style="1" customWidth="1"/>
    <col min="7693" max="7693" width="18" style="1" customWidth="1"/>
    <col min="7694" max="7694" width="19.5703125" style="1" customWidth="1"/>
    <col min="7695" max="7695" width="15.28515625" style="1" customWidth="1"/>
    <col min="7696" max="7696" width="20" style="1" customWidth="1"/>
    <col min="7697" max="7697" width="15.28515625" style="1" customWidth="1"/>
    <col min="7698" max="7698" width="14.7109375" style="1" customWidth="1"/>
    <col min="7699" max="7944" width="9.140625" style="1"/>
    <col min="7945" max="7945" width="21" style="1" customWidth="1"/>
    <col min="7946" max="7946" width="30.7109375" style="1" customWidth="1"/>
    <col min="7947" max="7947" width="20.140625" style="1" customWidth="1"/>
    <col min="7948" max="7948" width="19.140625" style="1" customWidth="1"/>
    <col min="7949" max="7949" width="18" style="1" customWidth="1"/>
    <col min="7950" max="7950" width="19.5703125" style="1" customWidth="1"/>
    <col min="7951" max="7951" width="15.28515625" style="1" customWidth="1"/>
    <col min="7952" max="7952" width="20" style="1" customWidth="1"/>
    <col min="7953" max="7953" width="15.28515625" style="1" customWidth="1"/>
    <col min="7954" max="7954" width="14.7109375" style="1" customWidth="1"/>
    <col min="7955" max="8200" width="9.140625" style="1"/>
    <col min="8201" max="8201" width="21" style="1" customWidth="1"/>
    <col min="8202" max="8202" width="30.7109375" style="1" customWidth="1"/>
    <col min="8203" max="8203" width="20.140625" style="1" customWidth="1"/>
    <col min="8204" max="8204" width="19.140625" style="1" customWidth="1"/>
    <col min="8205" max="8205" width="18" style="1" customWidth="1"/>
    <col min="8206" max="8206" width="19.5703125" style="1" customWidth="1"/>
    <col min="8207" max="8207" width="15.28515625" style="1" customWidth="1"/>
    <col min="8208" max="8208" width="20" style="1" customWidth="1"/>
    <col min="8209" max="8209" width="15.28515625" style="1" customWidth="1"/>
    <col min="8210" max="8210" width="14.7109375" style="1" customWidth="1"/>
    <col min="8211" max="8456" width="9.140625" style="1"/>
    <col min="8457" max="8457" width="21" style="1" customWidth="1"/>
    <col min="8458" max="8458" width="30.7109375" style="1" customWidth="1"/>
    <col min="8459" max="8459" width="20.140625" style="1" customWidth="1"/>
    <col min="8460" max="8460" width="19.140625" style="1" customWidth="1"/>
    <col min="8461" max="8461" width="18" style="1" customWidth="1"/>
    <col min="8462" max="8462" width="19.5703125" style="1" customWidth="1"/>
    <col min="8463" max="8463" width="15.28515625" style="1" customWidth="1"/>
    <col min="8464" max="8464" width="20" style="1" customWidth="1"/>
    <col min="8465" max="8465" width="15.28515625" style="1" customWidth="1"/>
    <col min="8466" max="8466" width="14.7109375" style="1" customWidth="1"/>
    <col min="8467" max="8712" width="9.140625" style="1"/>
    <col min="8713" max="8713" width="21" style="1" customWidth="1"/>
    <col min="8714" max="8714" width="30.7109375" style="1" customWidth="1"/>
    <col min="8715" max="8715" width="20.140625" style="1" customWidth="1"/>
    <col min="8716" max="8716" width="19.140625" style="1" customWidth="1"/>
    <col min="8717" max="8717" width="18" style="1" customWidth="1"/>
    <col min="8718" max="8718" width="19.5703125" style="1" customWidth="1"/>
    <col min="8719" max="8719" width="15.28515625" style="1" customWidth="1"/>
    <col min="8720" max="8720" width="20" style="1" customWidth="1"/>
    <col min="8721" max="8721" width="15.28515625" style="1" customWidth="1"/>
    <col min="8722" max="8722" width="14.7109375" style="1" customWidth="1"/>
    <col min="8723" max="8968" width="9.140625" style="1"/>
    <col min="8969" max="8969" width="21" style="1" customWidth="1"/>
    <col min="8970" max="8970" width="30.7109375" style="1" customWidth="1"/>
    <col min="8971" max="8971" width="20.140625" style="1" customWidth="1"/>
    <col min="8972" max="8972" width="19.140625" style="1" customWidth="1"/>
    <col min="8973" max="8973" width="18" style="1" customWidth="1"/>
    <col min="8974" max="8974" width="19.5703125" style="1" customWidth="1"/>
    <col min="8975" max="8975" width="15.28515625" style="1" customWidth="1"/>
    <col min="8976" max="8976" width="20" style="1" customWidth="1"/>
    <col min="8977" max="8977" width="15.28515625" style="1" customWidth="1"/>
    <col min="8978" max="8978" width="14.7109375" style="1" customWidth="1"/>
    <col min="8979" max="9224" width="9.140625" style="1"/>
    <col min="9225" max="9225" width="21" style="1" customWidth="1"/>
    <col min="9226" max="9226" width="30.7109375" style="1" customWidth="1"/>
    <col min="9227" max="9227" width="20.140625" style="1" customWidth="1"/>
    <col min="9228" max="9228" width="19.140625" style="1" customWidth="1"/>
    <col min="9229" max="9229" width="18" style="1" customWidth="1"/>
    <col min="9230" max="9230" width="19.5703125" style="1" customWidth="1"/>
    <col min="9231" max="9231" width="15.28515625" style="1" customWidth="1"/>
    <col min="9232" max="9232" width="20" style="1" customWidth="1"/>
    <col min="9233" max="9233" width="15.28515625" style="1" customWidth="1"/>
    <col min="9234" max="9234" width="14.7109375" style="1" customWidth="1"/>
    <col min="9235" max="9480" width="9.140625" style="1"/>
    <col min="9481" max="9481" width="21" style="1" customWidth="1"/>
    <col min="9482" max="9482" width="30.7109375" style="1" customWidth="1"/>
    <col min="9483" max="9483" width="20.140625" style="1" customWidth="1"/>
    <col min="9484" max="9484" width="19.140625" style="1" customWidth="1"/>
    <col min="9485" max="9485" width="18" style="1" customWidth="1"/>
    <col min="9486" max="9486" width="19.5703125" style="1" customWidth="1"/>
    <col min="9487" max="9487" width="15.28515625" style="1" customWidth="1"/>
    <col min="9488" max="9488" width="20" style="1" customWidth="1"/>
    <col min="9489" max="9489" width="15.28515625" style="1" customWidth="1"/>
    <col min="9490" max="9490" width="14.7109375" style="1" customWidth="1"/>
    <col min="9491" max="9736" width="9.140625" style="1"/>
    <col min="9737" max="9737" width="21" style="1" customWidth="1"/>
    <col min="9738" max="9738" width="30.7109375" style="1" customWidth="1"/>
    <col min="9739" max="9739" width="20.140625" style="1" customWidth="1"/>
    <col min="9740" max="9740" width="19.140625" style="1" customWidth="1"/>
    <col min="9741" max="9741" width="18" style="1" customWidth="1"/>
    <col min="9742" max="9742" width="19.5703125" style="1" customWidth="1"/>
    <col min="9743" max="9743" width="15.28515625" style="1" customWidth="1"/>
    <col min="9744" max="9744" width="20" style="1" customWidth="1"/>
    <col min="9745" max="9745" width="15.28515625" style="1" customWidth="1"/>
    <col min="9746" max="9746" width="14.7109375" style="1" customWidth="1"/>
    <col min="9747" max="9992" width="9.140625" style="1"/>
    <col min="9993" max="9993" width="21" style="1" customWidth="1"/>
    <col min="9994" max="9994" width="30.7109375" style="1" customWidth="1"/>
    <col min="9995" max="9995" width="20.140625" style="1" customWidth="1"/>
    <col min="9996" max="9996" width="19.140625" style="1" customWidth="1"/>
    <col min="9997" max="9997" width="18" style="1" customWidth="1"/>
    <col min="9998" max="9998" width="19.5703125" style="1" customWidth="1"/>
    <col min="9999" max="9999" width="15.28515625" style="1" customWidth="1"/>
    <col min="10000" max="10000" width="20" style="1" customWidth="1"/>
    <col min="10001" max="10001" width="15.28515625" style="1" customWidth="1"/>
    <col min="10002" max="10002" width="14.7109375" style="1" customWidth="1"/>
    <col min="10003" max="10248" width="9.140625" style="1"/>
    <col min="10249" max="10249" width="21" style="1" customWidth="1"/>
    <col min="10250" max="10250" width="30.7109375" style="1" customWidth="1"/>
    <col min="10251" max="10251" width="20.140625" style="1" customWidth="1"/>
    <col min="10252" max="10252" width="19.140625" style="1" customWidth="1"/>
    <col min="10253" max="10253" width="18" style="1" customWidth="1"/>
    <col min="10254" max="10254" width="19.5703125" style="1" customWidth="1"/>
    <col min="10255" max="10255" width="15.28515625" style="1" customWidth="1"/>
    <col min="10256" max="10256" width="20" style="1" customWidth="1"/>
    <col min="10257" max="10257" width="15.28515625" style="1" customWidth="1"/>
    <col min="10258" max="10258" width="14.7109375" style="1" customWidth="1"/>
    <col min="10259" max="10504" width="9.140625" style="1"/>
    <col min="10505" max="10505" width="21" style="1" customWidth="1"/>
    <col min="10506" max="10506" width="30.7109375" style="1" customWidth="1"/>
    <col min="10507" max="10507" width="20.140625" style="1" customWidth="1"/>
    <col min="10508" max="10508" width="19.140625" style="1" customWidth="1"/>
    <col min="10509" max="10509" width="18" style="1" customWidth="1"/>
    <col min="10510" max="10510" width="19.5703125" style="1" customWidth="1"/>
    <col min="10511" max="10511" width="15.28515625" style="1" customWidth="1"/>
    <col min="10512" max="10512" width="20" style="1" customWidth="1"/>
    <col min="10513" max="10513" width="15.28515625" style="1" customWidth="1"/>
    <col min="10514" max="10514" width="14.7109375" style="1" customWidth="1"/>
    <col min="10515" max="10760" width="9.140625" style="1"/>
    <col min="10761" max="10761" width="21" style="1" customWidth="1"/>
    <col min="10762" max="10762" width="30.7109375" style="1" customWidth="1"/>
    <col min="10763" max="10763" width="20.140625" style="1" customWidth="1"/>
    <col min="10764" max="10764" width="19.140625" style="1" customWidth="1"/>
    <col min="10765" max="10765" width="18" style="1" customWidth="1"/>
    <col min="10766" max="10766" width="19.5703125" style="1" customWidth="1"/>
    <col min="10767" max="10767" width="15.28515625" style="1" customWidth="1"/>
    <col min="10768" max="10768" width="20" style="1" customWidth="1"/>
    <col min="10769" max="10769" width="15.28515625" style="1" customWidth="1"/>
    <col min="10770" max="10770" width="14.7109375" style="1" customWidth="1"/>
    <col min="10771" max="11016" width="9.140625" style="1"/>
    <col min="11017" max="11017" width="21" style="1" customWidth="1"/>
    <col min="11018" max="11018" width="30.7109375" style="1" customWidth="1"/>
    <col min="11019" max="11019" width="20.140625" style="1" customWidth="1"/>
    <col min="11020" max="11020" width="19.140625" style="1" customWidth="1"/>
    <col min="11021" max="11021" width="18" style="1" customWidth="1"/>
    <col min="11022" max="11022" width="19.5703125" style="1" customWidth="1"/>
    <col min="11023" max="11023" width="15.28515625" style="1" customWidth="1"/>
    <col min="11024" max="11024" width="20" style="1" customWidth="1"/>
    <col min="11025" max="11025" width="15.28515625" style="1" customWidth="1"/>
    <col min="11026" max="11026" width="14.7109375" style="1" customWidth="1"/>
    <col min="11027" max="11272" width="9.140625" style="1"/>
    <col min="11273" max="11273" width="21" style="1" customWidth="1"/>
    <col min="11274" max="11274" width="30.7109375" style="1" customWidth="1"/>
    <col min="11275" max="11275" width="20.140625" style="1" customWidth="1"/>
    <col min="11276" max="11276" width="19.140625" style="1" customWidth="1"/>
    <col min="11277" max="11277" width="18" style="1" customWidth="1"/>
    <col min="11278" max="11278" width="19.5703125" style="1" customWidth="1"/>
    <col min="11279" max="11279" width="15.28515625" style="1" customWidth="1"/>
    <col min="11280" max="11280" width="20" style="1" customWidth="1"/>
    <col min="11281" max="11281" width="15.28515625" style="1" customWidth="1"/>
    <col min="11282" max="11282" width="14.7109375" style="1" customWidth="1"/>
    <col min="11283" max="11528" width="9.140625" style="1"/>
    <col min="11529" max="11529" width="21" style="1" customWidth="1"/>
    <col min="11530" max="11530" width="30.7109375" style="1" customWidth="1"/>
    <col min="11531" max="11531" width="20.140625" style="1" customWidth="1"/>
    <col min="11532" max="11532" width="19.140625" style="1" customWidth="1"/>
    <col min="11533" max="11533" width="18" style="1" customWidth="1"/>
    <col min="11534" max="11534" width="19.5703125" style="1" customWidth="1"/>
    <col min="11535" max="11535" width="15.28515625" style="1" customWidth="1"/>
    <col min="11536" max="11536" width="20" style="1" customWidth="1"/>
    <col min="11537" max="11537" width="15.28515625" style="1" customWidth="1"/>
    <col min="11538" max="11538" width="14.7109375" style="1" customWidth="1"/>
    <col min="11539" max="11784" width="9.140625" style="1"/>
    <col min="11785" max="11785" width="21" style="1" customWidth="1"/>
    <col min="11786" max="11786" width="30.7109375" style="1" customWidth="1"/>
    <col min="11787" max="11787" width="20.140625" style="1" customWidth="1"/>
    <col min="11788" max="11788" width="19.140625" style="1" customWidth="1"/>
    <col min="11789" max="11789" width="18" style="1" customWidth="1"/>
    <col min="11790" max="11790" width="19.5703125" style="1" customWidth="1"/>
    <col min="11791" max="11791" width="15.28515625" style="1" customWidth="1"/>
    <col min="11792" max="11792" width="20" style="1" customWidth="1"/>
    <col min="11793" max="11793" width="15.28515625" style="1" customWidth="1"/>
    <col min="11794" max="11794" width="14.7109375" style="1" customWidth="1"/>
    <col min="11795" max="12040" width="9.140625" style="1"/>
    <col min="12041" max="12041" width="21" style="1" customWidth="1"/>
    <col min="12042" max="12042" width="30.7109375" style="1" customWidth="1"/>
    <col min="12043" max="12043" width="20.140625" style="1" customWidth="1"/>
    <col min="12044" max="12044" width="19.140625" style="1" customWidth="1"/>
    <col min="12045" max="12045" width="18" style="1" customWidth="1"/>
    <col min="12046" max="12046" width="19.5703125" style="1" customWidth="1"/>
    <col min="12047" max="12047" width="15.28515625" style="1" customWidth="1"/>
    <col min="12048" max="12048" width="20" style="1" customWidth="1"/>
    <col min="12049" max="12049" width="15.28515625" style="1" customWidth="1"/>
    <col min="12050" max="12050" width="14.7109375" style="1" customWidth="1"/>
    <col min="12051" max="12296" width="9.140625" style="1"/>
    <col min="12297" max="12297" width="21" style="1" customWidth="1"/>
    <col min="12298" max="12298" width="30.7109375" style="1" customWidth="1"/>
    <col min="12299" max="12299" width="20.140625" style="1" customWidth="1"/>
    <col min="12300" max="12300" width="19.140625" style="1" customWidth="1"/>
    <col min="12301" max="12301" width="18" style="1" customWidth="1"/>
    <col min="12302" max="12302" width="19.5703125" style="1" customWidth="1"/>
    <col min="12303" max="12303" width="15.28515625" style="1" customWidth="1"/>
    <col min="12304" max="12304" width="20" style="1" customWidth="1"/>
    <col min="12305" max="12305" width="15.28515625" style="1" customWidth="1"/>
    <col min="12306" max="12306" width="14.7109375" style="1" customWidth="1"/>
    <col min="12307" max="12552" width="9.140625" style="1"/>
    <col min="12553" max="12553" width="21" style="1" customWidth="1"/>
    <col min="12554" max="12554" width="30.7109375" style="1" customWidth="1"/>
    <col min="12555" max="12555" width="20.140625" style="1" customWidth="1"/>
    <col min="12556" max="12556" width="19.140625" style="1" customWidth="1"/>
    <col min="12557" max="12557" width="18" style="1" customWidth="1"/>
    <col min="12558" max="12558" width="19.5703125" style="1" customWidth="1"/>
    <col min="12559" max="12559" width="15.28515625" style="1" customWidth="1"/>
    <col min="12560" max="12560" width="20" style="1" customWidth="1"/>
    <col min="12561" max="12561" width="15.28515625" style="1" customWidth="1"/>
    <col min="12562" max="12562" width="14.7109375" style="1" customWidth="1"/>
    <col min="12563" max="12808" width="9.140625" style="1"/>
    <col min="12809" max="12809" width="21" style="1" customWidth="1"/>
    <col min="12810" max="12810" width="30.7109375" style="1" customWidth="1"/>
    <col min="12811" max="12811" width="20.140625" style="1" customWidth="1"/>
    <col min="12812" max="12812" width="19.140625" style="1" customWidth="1"/>
    <col min="12813" max="12813" width="18" style="1" customWidth="1"/>
    <col min="12814" max="12814" width="19.5703125" style="1" customWidth="1"/>
    <col min="12815" max="12815" width="15.28515625" style="1" customWidth="1"/>
    <col min="12816" max="12816" width="20" style="1" customWidth="1"/>
    <col min="12817" max="12817" width="15.28515625" style="1" customWidth="1"/>
    <col min="12818" max="12818" width="14.7109375" style="1" customWidth="1"/>
    <col min="12819" max="13064" width="9.140625" style="1"/>
    <col min="13065" max="13065" width="21" style="1" customWidth="1"/>
    <col min="13066" max="13066" width="30.7109375" style="1" customWidth="1"/>
    <col min="13067" max="13067" width="20.140625" style="1" customWidth="1"/>
    <col min="13068" max="13068" width="19.140625" style="1" customWidth="1"/>
    <col min="13069" max="13069" width="18" style="1" customWidth="1"/>
    <col min="13070" max="13070" width="19.5703125" style="1" customWidth="1"/>
    <col min="13071" max="13071" width="15.28515625" style="1" customWidth="1"/>
    <col min="13072" max="13072" width="20" style="1" customWidth="1"/>
    <col min="13073" max="13073" width="15.28515625" style="1" customWidth="1"/>
    <col min="13074" max="13074" width="14.7109375" style="1" customWidth="1"/>
    <col min="13075" max="13320" width="9.140625" style="1"/>
    <col min="13321" max="13321" width="21" style="1" customWidth="1"/>
    <col min="13322" max="13322" width="30.7109375" style="1" customWidth="1"/>
    <col min="13323" max="13323" width="20.140625" style="1" customWidth="1"/>
    <col min="13324" max="13324" width="19.140625" style="1" customWidth="1"/>
    <col min="13325" max="13325" width="18" style="1" customWidth="1"/>
    <col min="13326" max="13326" width="19.5703125" style="1" customWidth="1"/>
    <col min="13327" max="13327" width="15.28515625" style="1" customWidth="1"/>
    <col min="13328" max="13328" width="20" style="1" customWidth="1"/>
    <col min="13329" max="13329" width="15.28515625" style="1" customWidth="1"/>
    <col min="13330" max="13330" width="14.7109375" style="1" customWidth="1"/>
    <col min="13331" max="13576" width="9.140625" style="1"/>
    <col min="13577" max="13577" width="21" style="1" customWidth="1"/>
    <col min="13578" max="13578" width="30.7109375" style="1" customWidth="1"/>
    <col min="13579" max="13579" width="20.140625" style="1" customWidth="1"/>
    <col min="13580" max="13580" width="19.140625" style="1" customWidth="1"/>
    <col min="13581" max="13581" width="18" style="1" customWidth="1"/>
    <col min="13582" max="13582" width="19.5703125" style="1" customWidth="1"/>
    <col min="13583" max="13583" width="15.28515625" style="1" customWidth="1"/>
    <col min="13584" max="13584" width="20" style="1" customWidth="1"/>
    <col min="13585" max="13585" width="15.28515625" style="1" customWidth="1"/>
    <col min="13586" max="13586" width="14.7109375" style="1" customWidth="1"/>
    <col min="13587" max="13832" width="9.140625" style="1"/>
    <col min="13833" max="13833" width="21" style="1" customWidth="1"/>
    <col min="13834" max="13834" width="30.7109375" style="1" customWidth="1"/>
    <col min="13835" max="13835" width="20.140625" style="1" customWidth="1"/>
    <col min="13836" max="13836" width="19.140625" style="1" customWidth="1"/>
    <col min="13837" max="13837" width="18" style="1" customWidth="1"/>
    <col min="13838" max="13838" width="19.5703125" style="1" customWidth="1"/>
    <col min="13839" max="13839" width="15.28515625" style="1" customWidth="1"/>
    <col min="13840" max="13840" width="20" style="1" customWidth="1"/>
    <col min="13841" max="13841" width="15.28515625" style="1" customWidth="1"/>
    <col min="13842" max="13842" width="14.7109375" style="1" customWidth="1"/>
    <col min="13843" max="14088" width="9.140625" style="1"/>
    <col min="14089" max="14089" width="21" style="1" customWidth="1"/>
    <col min="14090" max="14090" width="30.7109375" style="1" customWidth="1"/>
    <col min="14091" max="14091" width="20.140625" style="1" customWidth="1"/>
    <col min="14092" max="14092" width="19.140625" style="1" customWidth="1"/>
    <col min="14093" max="14093" width="18" style="1" customWidth="1"/>
    <col min="14094" max="14094" width="19.5703125" style="1" customWidth="1"/>
    <col min="14095" max="14095" width="15.28515625" style="1" customWidth="1"/>
    <col min="14096" max="14096" width="20" style="1" customWidth="1"/>
    <col min="14097" max="14097" width="15.28515625" style="1" customWidth="1"/>
    <col min="14098" max="14098" width="14.7109375" style="1" customWidth="1"/>
    <col min="14099" max="14344" width="9.140625" style="1"/>
    <col min="14345" max="14345" width="21" style="1" customWidth="1"/>
    <col min="14346" max="14346" width="30.7109375" style="1" customWidth="1"/>
    <col min="14347" max="14347" width="20.140625" style="1" customWidth="1"/>
    <col min="14348" max="14348" width="19.140625" style="1" customWidth="1"/>
    <col min="14349" max="14349" width="18" style="1" customWidth="1"/>
    <col min="14350" max="14350" width="19.5703125" style="1" customWidth="1"/>
    <col min="14351" max="14351" width="15.28515625" style="1" customWidth="1"/>
    <col min="14352" max="14352" width="20" style="1" customWidth="1"/>
    <col min="14353" max="14353" width="15.28515625" style="1" customWidth="1"/>
    <col min="14354" max="14354" width="14.7109375" style="1" customWidth="1"/>
    <col min="14355" max="14600" width="9.140625" style="1"/>
    <col min="14601" max="14601" width="21" style="1" customWidth="1"/>
    <col min="14602" max="14602" width="30.7109375" style="1" customWidth="1"/>
    <col min="14603" max="14603" width="20.140625" style="1" customWidth="1"/>
    <col min="14604" max="14604" width="19.140625" style="1" customWidth="1"/>
    <col min="14605" max="14605" width="18" style="1" customWidth="1"/>
    <col min="14606" max="14606" width="19.5703125" style="1" customWidth="1"/>
    <col min="14607" max="14607" width="15.28515625" style="1" customWidth="1"/>
    <col min="14608" max="14608" width="20" style="1" customWidth="1"/>
    <col min="14609" max="14609" width="15.28515625" style="1" customWidth="1"/>
    <col min="14610" max="14610" width="14.7109375" style="1" customWidth="1"/>
    <col min="14611" max="14856" width="9.140625" style="1"/>
    <col min="14857" max="14857" width="21" style="1" customWidth="1"/>
    <col min="14858" max="14858" width="30.7109375" style="1" customWidth="1"/>
    <col min="14859" max="14859" width="20.140625" style="1" customWidth="1"/>
    <col min="14860" max="14860" width="19.140625" style="1" customWidth="1"/>
    <col min="14861" max="14861" width="18" style="1" customWidth="1"/>
    <col min="14862" max="14862" width="19.5703125" style="1" customWidth="1"/>
    <col min="14863" max="14863" width="15.28515625" style="1" customWidth="1"/>
    <col min="14864" max="14864" width="20" style="1" customWidth="1"/>
    <col min="14865" max="14865" width="15.28515625" style="1" customWidth="1"/>
    <col min="14866" max="14866" width="14.7109375" style="1" customWidth="1"/>
    <col min="14867" max="15112" width="9.140625" style="1"/>
    <col min="15113" max="15113" width="21" style="1" customWidth="1"/>
    <col min="15114" max="15114" width="30.7109375" style="1" customWidth="1"/>
    <col min="15115" max="15115" width="20.140625" style="1" customWidth="1"/>
    <col min="15116" max="15116" width="19.140625" style="1" customWidth="1"/>
    <col min="15117" max="15117" width="18" style="1" customWidth="1"/>
    <col min="15118" max="15118" width="19.5703125" style="1" customWidth="1"/>
    <col min="15119" max="15119" width="15.28515625" style="1" customWidth="1"/>
    <col min="15120" max="15120" width="20" style="1" customWidth="1"/>
    <col min="15121" max="15121" width="15.28515625" style="1" customWidth="1"/>
    <col min="15122" max="15122" width="14.7109375" style="1" customWidth="1"/>
    <col min="15123" max="15368" width="9.140625" style="1"/>
    <col min="15369" max="15369" width="21" style="1" customWidth="1"/>
    <col min="15370" max="15370" width="30.7109375" style="1" customWidth="1"/>
    <col min="15371" max="15371" width="20.140625" style="1" customWidth="1"/>
    <col min="15372" max="15372" width="19.140625" style="1" customWidth="1"/>
    <col min="15373" max="15373" width="18" style="1" customWidth="1"/>
    <col min="15374" max="15374" width="19.5703125" style="1" customWidth="1"/>
    <col min="15375" max="15375" width="15.28515625" style="1" customWidth="1"/>
    <col min="15376" max="15376" width="20" style="1" customWidth="1"/>
    <col min="15377" max="15377" width="15.28515625" style="1" customWidth="1"/>
    <col min="15378" max="15378" width="14.7109375" style="1" customWidth="1"/>
    <col min="15379" max="15624" width="9.140625" style="1"/>
    <col min="15625" max="15625" width="21" style="1" customWidth="1"/>
    <col min="15626" max="15626" width="30.7109375" style="1" customWidth="1"/>
    <col min="15627" max="15627" width="20.140625" style="1" customWidth="1"/>
    <col min="15628" max="15628" width="19.140625" style="1" customWidth="1"/>
    <col min="15629" max="15629" width="18" style="1" customWidth="1"/>
    <col min="15630" max="15630" width="19.5703125" style="1" customWidth="1"/>
    <col min="15631" max="15631" width="15.28515625" style="1" customWidth="1"/>
    <col min="15632" max="15632" width="20" style="1" customWidth="1"/>
    <col min="15633" max="15633" width="15.28515625" style="1" customWidth="1"/>
    <col min="15634" max="15634" width="14.7109375" style="1" customWidth="1"/>
    <col min="15635" max="15880" width="9.140625" style="1"/>
    <col min="15881" max="15881" width="21" style="1" customWidth="1"/>
    <col min="15882" max="15882" width="30.7109375" style="1" customWidth="1"/>
    <col min="15883" max="15883" width="20.140625" style="1" customWidth="1"/>
    <col min="15884" max="15884" width="19.140625" style="1" customWidth="1"/>
    <col min="15885" max="15885" width="18" style="1" customWidth="1"/>
    <col min="15886" max="15886" width="19.5703125" style="1" customWidth="1"/>
    <col min="15887" max="15887" width="15.28515625" style="1" customWidth="1"/>
    <col min="15888" max="15888" width="20" style="1" customWidth="1"/>
    <col min="15889" max="15889" width="15.28515625" style="1" customWidth="1"/>
    <col min="15890" max="15890" width="14.7109375" style="1" customWidth="1"/>
    <col min="15891" max="16136" width="9.140625" style="1"/>
    <col min="16137" max="16137" width="21" style="1" customWidth="1"/>
    <col min="16138" max="16138" width="30.7109375" style="1" customWidth="1"/>
    <col min="16139" max="16139" width="20.140625" style="1" customWidth="1"/>
    <col min="16140" max="16140" width="19.140625" style="1" customWidth="1"/>
    <col min="16141" max="16141" width="18" style="1" customWidth="1"/>
    <col min="16142" max="16142" width="19.5703125" style="1" customWidth="1"/>
    <col min="16143" max="16143" width="15.28515625" style="1" customWidth="1"/>
    <col min="16144" max="16144" width="20" style="1" customWidth="1"/>
    <col min="16145" max="16145" width="15.28515625" style="1" customWidth="1"/>
    <col min="16146" max="16146" width="14.7109375" style="1" customWidth="1"/>
    <col min="16147" max="16384" width="9.140625" style="1"/>
  </cols>
  <sheetData>
    <row r="1" spans="1:19" ht="15.75" x14ac:dyDescent="0.25">
      <c r="A1" s="153" t="s">
        <v>184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19" ht="15.75" x14ac:dyDescent="0.25">
      <c r="A2" s="153" t="s">
        <v>185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19" ht="15.75" x14ac:dyDescent="0.25">
      <c r="A3" s="153" t="s">
        <v>206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</row>
    <row r="4" spans="1:19" ht="15.75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9" x14ac:dyDescent="0.2">
      <c r="A5" s="39" t="s">
        <v>251</v>
      </c>
      <c r="D5" s="74"/>
      <c r="F5" s="26"/>
      <c r="H5" s="72" t="s">
        <v>186</v>
      </c>
      <c r="J5" s="72" t="s">
        <v>9</v>
      </c>
      <c r="P5" s="72" t="s">
        <v>163</v>
      </c>
      <c r="R5" s="73" t="s">
        <v>163</v>
      </c>
    </row>
    <row r="6" spans="1:19" x14ac:dyDescent="0.2">
      <c r="D6" s="74" t="s">
        <v>209</v>
      </c>
      <c r="F6" s="126" t="s">
        <v>219</v>
      </c>
      <c r="H6" s="72" t="s">
        <v>14</v>
      </c>
      <c r="J6" s="72" t="s">
        <v>14</v>
      </c>
      <c r="L6" s="72" t="s">
        <v>187</v>
      </c>
      <c r="N6" s="72" t="s">
        <v>188</v>
      </c>
      <c r="P6" s="72" t="s">
        <v>167</v>
      </c>
      <c r="R6" s="73" t="s">
        <v>167</v>
      </c>
    </row>
    <row r="7" spans="1:19" x14ac:dyDescent="0.2">
      <c r="A7" s="134" t="s">
        <v>10</v>
      </c>
      <c r="B7" s="125" t="s">
        <v>11</v>
      </c>
      <c r="C7" s="75"/>
      <c r="D7" s="128" t="s">
        <v>210</v>
      </c>
      <c r="E7" s="75"/>
      <c r="F7" s="76" t="s">
        <v>199</v>
      </c>
      <c r="G7" s="75"/>
      <c r="H7" s="76" t="s">
        <v>203</v>
      </c>
      <c r="I7" s="75"/>
      <c r="J7" s="76" t="s">
        <v>189</v>
      </c>
      <c r="K7" s="75"/>
      <c r="L7" s="76" t="s">
        <v>190</v>
      </c>
      <c r="M7" s="75"/>
      <c r="N7" s="76" t="s">
        <v>191</v>
      </c>
      <c r="O7" s="75"/>
      <c r="P7" s="76" t="s">
        <v>189</v>
      </c>
      <c r="Q7" s="75"/>
      <c r="R7" s="48" t="s">
        <v>166</v>
      </c>
    </row>
    <row r="8" spans="1:19" x14ac:dyDescent="0.2">
      <c r="A8" s="126" t="s">
        <v>169</v>
      </c>
      <c r="B8" s="126" t="s">
        <v>170</v>
      </c>
      <c r="C8" s="126"/>
      <c r="D8" s="42" t="s">
        <v>171</v>
      </c>
      <c r="E8" s="126"/>
      <c r="F8" s="43" t="s">
        <v>172</v>
      </c>
      <c r="H8" s="126" t="s">
        <v>173</v>
      </c>
      <c r="I8" s="126"/>
      <c r="J8" s="44" t="s">
        <v>174</v>
      </c>
      <c r="L8" s="126" t="s">
        <v>175</v>
      </c>
      <c r="M8" s="126"/>
      <c r="N8" s="41" t="s">
        <v>176</v>
      </c>
      <c r="P8" s="41" t="s">
        <v>245</v>
      </c>
      <c r="R8" s="41" t="s">
        <v>246</v>
      </c>
    </row>
    <row r="9" spans="1:19" x14ac:dyDescent="0.2">
      <c r="A9" s="154" t="s">
        <v>192</v>
      </c>
      <c r="B9" s="154"/>
      <c r="C9" s="25"/>
      <c r="D9" s="4"/>
      <c r="E9" s="25"/>
      <c r="G9" s="25"/>
      <c r="H9" s="5"/>
      <c r="I9" s="25"/>
      <c r="J9" s="5"/>
      <c r="K9" s="25"/>
      <c r="L9" s="5"/>
      <c r="M9" s="25"/>
      <c r="N9" s="5"/>
      <c r="O9" s="25"/>
      <c r="P9" s="5"/>
      <c r="Q9" s="25"/>
      <c r="R9" s="17"/>
    </row>
    <row r="10" spans="1:19" x14ac:dyDescent="0.2">
      <c r="A10" s="20">
        <v>39001</v>
      </c>
      <c r="B10" s="77" t="s">
        <v>193</v>
      </c>
      <c r="C10" s="78"/>
      <c r="D10" s="56">
        <f>'MSGO TR 2017'!D6</f>
        <v>179338.52000000002</v>
      </c>
      <c r="E10" s="25"/>
      <c r="F10" s="137">
        <f>'MSGO TR 2017'!K6</f>
        <v>77619.36781324372</v>
      </c>
      <c r="G10" s="25"/>
      <c r="H10" s="80">
        <f>'KY MSGO Parameters'!R11</f>
        <v>-0.1</v>
      </c>
      <c r="I10" s="25"/>
      <c r="J10" s="138">
        <f t="shared" ref="J10:J17" si="0">D10*H10</f>
        <v>-17933.852000000003</v>
      </c>
      <c r="K10" s="78"/>
      <c r="L10" s="138">
        <f t="shared" ref="L10:L17" si="1">D10-F10-J10</f>
        <v>119653.0041867563</v>
      </c>
      <c r="M10" s="25"/>
      <c r="N10" s="79">
        <f>'MSGO TR 2017'!N6</f>
        <v>26.973135367130496</v>
      </c>
      <c r="O10" s="25"/>
      <c r="P10" s="138">
        <f t="shared" ref="P10:P17" si="2">IF(N10&gt;1,L10/N10,L10)</f>
        <v>4436.0065138206228</v>
      </c>
      <c r="Q10" s="78"/>
      <c r="R10" s="17">
        <f t="shared" ref="R10:R18" si="3">ROUND(P10/D10,4)</f>
        <v>2.47E-2</v>
      </c>
      <c r="S10" s="82"/>
    </row>
    <row r="11" spans="1:19" x14ac:dyDescent="0.2">
      <c r="A11" s="20">
        <v>39004</v>
      </c>
      <c r="B11" s="77" t="s">
        <v>195</v>
      </c>
      <c r="C11" s="78"/>
      <c r="D11" s="4">
        <f>'MSGO TR 2017'!D9</f>
        <v>15383.91</v>
      </c>
      <c r="E11" s="25"/>
      <c r="F11" s="85">
        <f>'MSGO TR 2017'!K9</f>
        <v>7582.4292929450494</v>
      </c>
      <c r="G11" s="25"/>
      <c r="H11" s="80">
        <f>'KY MSGO Parameters'!R12</f>
        <v>-0.1</v>
      </c>
      <c r="I11" s="25"/>
      <c r="J11" s="81">
        <f t="shared" si="0"/>
        <v>-1538.3910000000001</v>
      </c>
      <c r="K11" s="78"/>
      <c r="L11" s="81">
        <f t="shared" si="1"/>
        <v>9339.8717070549501</v>
      </c>
      <c r="M11" s="25"/>
      <c r="N11" s="79">
        <f>'MSGO TR 2017'!N9</f>
        <v>9.4369074281817831</v>
      </c>
      <c r="O11" s="25"/>
      <c r="P11" s="81">
        <f t="shared" si="2"/>
        <v>989.71742365120042</v>
      </c>
      <c r="R11" s="17">
        <f t="shared" si="3"/>
        <v>6.4299999999999996E-2</v>
      </c>
      <c r="S11" s="82"/>
    </row>
    <row r="12" spans="1:19" x14ac:dyDescent="0.2">
      <c r="A12" s="20">
        <v>39200</v>
      </c>
      <c r="B12" s="77" t="s">
        <v>22</v>
      </c>
      <c r="C12" s="78"/>
      <c r="D12" s="4">
        <f>'MSGO TR 2017'!D21</f>
        <v>27284.69</v>
      </c>
      <c r="E12" s="78"/>
      <c r="F12" s="85">
        <f>'MSGO TR 2017'!K21</f>
        <v>9570.447054098142</v>
      </c>
      <c r="G12" s="78"/>
      <c r="H12" s="80">
        <f>'KY MSGO Parameters'!R15</f>
        <v>0.1</v>
      </c>
      <c r="I12" s="78"/>
      <c r="J12" s="81">
        <f t="shared" si="0"/>
        <v>2728.4690000000001</v>
      </c>
      <c r="K12" s="78"/>
      <c r="L12" s="81">
        <f t="shared" si="1"/>
        <v>14985.773945901856</v>
      </c>
      <c r="M12" s="78"/>
      <c r="N12" s="79">
        <f>'MSGO TR 2017'!N21</f>
        <v>10.161196066328406</v>
      </c>
      <c r="O12" s="78"/>
      <c r="P12" s="81">
        <f t="shared" si="2"/>
        <v>1474.8041321199246</v>
      </c>
      <c r="R12" s="17">
        <f t="shared" si="3"/>
        <v>5.4100000000000002E-2</v>
      </c>
      <c r="S12" s="82"/>
    </row>
    <row r="13" spans="1:19" x14ac:dyDescent="0.2">
      <c r="A13" s="20">
        <v>39400</v>
      </c>
      <c r="B13" s="1" t="s">
        <v>178</v>
      </c>
      <c r="D13" s="4">
        <f>'MSGO TR 2017'!D28</f>
        <v>175867.44</v>
      </c>
      <c r="F13" s="85">
        <f>'MSGO TR 2017'!K28</f>
        <v>132187.86586723354</v>
      </c>
      <c r="H13" s="80">
        <f>'KY MSGO Parameters'!R17</f>
        <v>0</v>
      </c>
      <c r="J13" s="81">
        <f t="shared" si="0"/>
        <v>0</v>
      </c>
      <c r="L13" s="81">
        <f t="shared" si="1"/>
        <v>43679.574132766458</v>
      </c>
      <c r="N13" s="79">
        <f>'MSGO TR 2017'!N28</f>
        <v>5.156033907727946</v>
      </c>
      <c r="P13" s="81">
        <f t="shared" si="2"/>
        <v>8471.5451671678911</v>
      </c>
      <c r="R13" s="17">
        <f t="shared" si="3"/>
        <v>4.82E-2</v>
      </c>
      <c r="S13" s="82"/>
    </row>
    <row r="14" spans="1:19" x14ac:dyDescent="0.2">
      <c r="A14" s="20">
        <v>39600</v>
      </c>
      <c r="B14" s="77" t="s">
        <v>27</v>
      </c>
      <c r="D14" s="4">
        <f>'MSGO TR 2017'!D31</f>
        <v>20515.690000000002</v>
      </c>
      <c r="F14" s="85">
        <f>'MSGO TR 2017'!K31</f>
        <v>6906.826437442015</v>
      </c>
      <c r="H14" s="80">
        <f>'KY MSGO Parameters'!R18</f>
        <v>0.16</v>
      </c>
      <c r="J14" s="81">
        <f t="shared" si="0"/>
        <v>3282.5104000000006</v>
      </c>
      <c r="K14" s="78"/>
      <c r="L14" s="81">
        <f t="shared" si="1"/>
        <v>10326.353162557987</v>
      </c>
      <c r="N14" s="79">
        <f>'MSGO TR 2017'!N31</f>
        <v>10.023998966679162</v>
      </c>
      <c r="P14" s="81">
        <f t="shared" si="2"/>
        <v>1030.1630314292611</v>
      </c>
      <c r="Q14" s="78"/>
      <c r="R14" s="17">
        <f t="shared" si="3"/>
        <v>5.0200000000000002E-2</v>
      </c>
      <c r="S14" s="82"/>
    </row>
    <row r="15" spans="1:19" x14ac:dyDescent="0.2">
      <c r="A15" s="20">
        <v>39700</v>
      </c>
      <c r="B15" s="77" t="s">
        <v>28</v>
      </c>
      <c r="C15" s="78"/>
      <c r="D15" s="4">
        <f>'MSGO TR 2017'!D33</f>
        <v>37541</v>
      </c>
      <c r="E15" s="78"/>
      <c r="F15" s="85">
        <f>'MSGO TR 2017'!K33</f>
        <v>1887.8386826189344</v>
      </c>
      <c r="G15" s="78"/>
      <c r="H15" s="80">
        <f>'KY MSGO Parameters'!R19</f>
        <v>0</v>
      </c>
      <c r="I15" s="78"/>
      <c r="J15" s="81">
        <f t="shared" si="0"/>
        <v>0</v>
      </c>
      <c r="K15" s="78"/>
      <c r="L15" s="81">
        <f t="shared" si="1"/>
        <v>35653.161317381062</v>
      </c>
      <c r="M15" s="78"/>
      <c r="N15" s="79">
        <f>'MSGO TR 2017'!N33</f>
        <v>11.500522</v>
      </c>
      <c r="O15" s="78"/>
      <c r="P15" s="81">
        <f t="shared" si="2"/>
        <v>3100.1341780295766</v>
      </c>
      <c r="Q15" s="78"/>
      <c r="R15" s="17">
        <f t="shared" si="3"/>
        <v>8.2600000000000007E-2</v>
      </c>
      <c r="S15" s="82"/>
    </row>
    <row r="16" spans="1:19" x14ac:dyDescent="0.2">
      <c r="A16" s="20">
        <v>39800</v>
      </c>
      <c r="B16" s="77" t="s">
        <v>30</v>
      </c>
      <c r="C16" s="78"/>
      <c r="D16" s="4">
        <f>'MSGO TR 2017'!D45</f>
        <v>814166.87999999989</v>
      </c>
      <c r="E16" s="78"/>
      <c r="F16" s="85">
        <f>'MSGO TR 2017'!K45</f>
        <v>644969.50415593549</v>
      </c>
      <c r="G16" s="78"/>
      <c r="H16" s="80">
        <f>'KY MSGO Parameters'!R20</f>
        <v>0</v>
      </c>
      <c r="I16" s="78"/>
      <c r="J16" s="81">
        <f t="shared" si="0"/>
        <v>0</v>
      </c>
      <c r="K16" s="78"/>
      <c r="L16" s="81">
        <f t="shared" si="1"/>
        <v>169197.3758440644</v>
      </c>
      <c r="M16" s="78"/>
      <c r="N16" s="79">
        <f>'MSGO TR 2017'!N45</f>
        <v>7.8059664342601609</v>
      </c>
      <c r="O16" s="78"/>
      <c r="P16" s="81">
        <f t="shared" si="2"/>
        <v>21675.391159954521</v>
      </c>
      <c r="Q16" s="78"/>
      <c r="R16" s="17">
        <f t="shared" si="3"/>
        <v>2.6599999999999999E-2</v>
      </c>
      <c r="S16" s="82"/>
    </row>
    <row r="17" spans="1:18" x14ac:dyDescent="0.2">
      <c r="A17" s="20">
        <v>39907</v>
      </c>
      <c r="B17" s="1" t="s">
        <v>39</v>
      </c>
      <c r="D17" s="4">
        <f>'MSGO TR 2017'!D51</f>
        <v>35063.769999999997</v>
      </c>
      <c r="F17" s="86">
        <f>'MSGO TR 2017'!K51</f>
        <v>16192.580696483186</v>
      </c>
      <c r="H17" s="80">
        <f>'KY MSGO Parameters'!R26</f>
        <v>0</v>
      </c>
      <c r="J17" s="81">
        <f t="shared" si="0"/>
        <v>0</v>
      </c>
      <c r="L17" s="81">
        <f t="shared" si="1"/>
        <v>18871.18930351681</v>
      </c>
      <c r="N17" s="79">
        <f>'MSGO TR 2017'!N51</f>
        <v>4.3243359999999997</v>
      </c>
      <c r="P17" s="81">
        <f t="shared" si="2"/>
        <v>4363.9507437712546</v>
      </c>
      <c r="R17" s="17">
        <f t="shared" si="3"/>
        <v>0.1245</v>
      </c>
    </row>
    <row r="18" spans="1:18" x14ac:dyDescent="0.2">
      <c r="A18" s="20"/>
      <c r="B18" s="84" t="s">
        <v>194</v>
      </c>
      <c r="C18" s="78"/>
      <c r="D18" s="139">
        <f>SUM(D10:D17)</f>
        <v>1305161.8999999999</v>
      </c>
      <c r="E18" s="78"/>
      <c r="F18" s="139">
        <f>SUM(F10:F17)</f>
        <v>896916.86</v>
      </c>
      <c r="G18" s="78"/>
      <c r="H18" s="83"/>
      <c r="I18" s="78"/>
      <c r="J18" s="139">
        <f>SUM(J10:J17)</f>
        <v>-13461.2636</v>
      </c>
      <c r="K18" s="78"/>
      <c r="L18" s="139">
        <f>SUM(L10:L17)</f>
        <v>421706.30359999981</v>
      </c>
      <c r="M18" s="78"/>
      <c r="N18" s="4"/>
      <c r="O18" s="78"/>
      <c r="P18" s="139">
        <f>SUM(P10:P17)</f>
        <v>45541.712349944246</v>
      </c>
      <c r="Q18" s="78"/>
      <c r="R18" s="17">
        <f t="shared" si="3"/>
        <v>3.49E-2</v>
      </c>
    </row>
    <row r="19" spans="1:18" x14ac:dyDescent="0.2">
      <c r="A19" s="20"/>
      <c r="B19" s="77"/>
      <c r="C19" s="78"/>
      <c r="D19" s="4"/>
      <c r="E19" s="78"/>
      <c r="F19" s="4"/>
      <c r="G19" s="78"/>
      <c r="H19" s="83"/>
      <c r="I19" s="78"/>
      <c r="J19" s="81"/>
      <c r="K19" s="78"/>
      <c r="L19" s="81"/>
      <c r="M19" s="78"/>
      <c r="N19" s="4"/>
      <c r="O19" s="78"/>
      <c r="P19" s="81"/>
      <c r="Q19" s="78"/>
      <c r="R19" s="17"/>
    </row>
    <row r="20" spans="1:18" x14ac:dyDescent="0.2">
      <c r="A20" s="155" t="s">
        <v>242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78"/>
      <c r="N20" s="4"/>
      <c r="O20" s="78"/>
      <c r="P20" s="81"/>
      <c r="Q20" s="78"/>
      <c r="R20" s="17"/>
    </row>
    <row r="21" spans="1:18" x14ac:dyDescent="0.2">
      <c r="A21" s="122" t="s">
        <v>239</v>
      </c>
      <c r="B21" s="77"/>
      <c r="C21" s="78"/>
      <c r="D21" s="4"/>
      <c r="E21" s="78"/>
      <c r="F21" s="4"/>
      <c r="G21" s="78"/>
      <c r="H21" s="83"/>
      <c r="I21" s="78"/>
      <c r="J21" s="81"/>
      <c r="K21" s="78"/>
      <c r="L21" s="81"/>
      <c r="M21" s="78"/>
      <c r="N21" s="4"/>
      <c r="O21" s="78"/>
      <c r="P21" s="81"/>
      <c r="Q21" s="78"/>
      <c r="R21" s="17"/>
    </row>
    <row r="22" spans="1:18" x14ac:dyDescent="0.2">
      <c r="A22" s="20">
        <v>39009</v>
      </c>
      <c r="B22" s="1" t="s">
        <v>19</v>
      </c>
      <c r="C22" s="78"/>
      <c r="D22" s="56">
        <f>'PBC Plant Balance 2017'!F13</f>
        <v>38834</v>
      </c>
      <c r="E22" s="78"/>
      <c r="F22" s="56">
        <f>'PBC Reserve Balance 2017'!E4</f>
        <v>38834</v>
      </c>
      <c r="G22" s="78"/>
      <c r="H22" s="83"/>
      <c r="I22" s="78"/>
      <c r="J22" s="81"/>
      <c r="K22" s="78"/>
      <c r="L22" s="81"/>
      <c r="M22" s="78"/>
      <c r="N22" s="4"/>
      <c r="O22" s="78"/>
      <c r="P22" s="81"/>
      <c r="Q22" s="78"/>
      <c r="R22" s="17">
        <v>0.05</v>
      </c>
    </row>
    <row r="23" spans="1:18" x14ac:dyDescent="0.2">
      <c r="A23" s="20">
        <v>39100</v>
      </c>
      <c r="B23" s="77" t="s">
        <v>180</v>
      </c>
      <c r="C23" s="78"/>
      <c r="D23" s="4">
        <f>'PBC Plant Balance 2017'!F22</f>
        <v>41397.21</v>
      </c>
      <c r="E23" s="78"/>
      <c r="F23" s="4">
        <f>'PBC Reserve Balance 2017'!E5</f>
        <v>41397.21</v>
      </c>
      <c r="G23" s="78"/>
      <c r="H23" s="83"/>
      <c r="I23" s="78"/>
      <c r="J23" s="81"/>
      <c r="K23" s="78"/>
      <c r="L23" s="81"/>
      <c r="M23" s="78"/>
      <c r="N23" s="4"/>
      <c r="O23" s="78"/>
      <c r="P23" s="81"/>
      <c r="Q23" s="78"/>
      <c r="R23" s="17">
        <v>0.05</v>
      </c>
    </row>
    <row r="24" spans="1:18" x14ac:dyDescent="0.2">
      <c r="A24" s="20">
        <v>39906</v>
      </c>
      <c r="B24" s="1" t="s">
        <v>37</v>
      </c>
      <c r="C24" s="78"/>
      <c r="D24" s="4">
        <f>'PBC Plant Balance 2017'!F62</f>
        <v>74189.62</v>
      </c>
      <c r="E24" s="78"/>
      <c r="F24" s="4">
        <f>D24</f>
        <v>74189.62</v>
      </c>
      <c r="G24" s="78"/>
      <c r="H24" s="83"/>
      <c r="I24" s="78"/>
      <c r="J24" s="81"/>
      <c r="K24" s="78"/>
      <c r="L24" s="81"/>
      <c r="M24" s="78"/>
      <c r="N24" s="4"/>
      <c r="O24" s="78"/>
      <c r="P24" s="81"/>
      <c r="Q24" s="78"/>
      <c r="R24" s="17">
        <v>0.2</v>
      </c>
    </row>
    <row r="25" spans="1:18" x14ac:dyDescent="0.2">
      <c r="A25" s="20">
        <v>39908</v>
      </c>
      <c r="B25" s="1" t="s">
        <v>41</v>
      </c>
      <c r="C25" s="78"/>
      <c r="D25" s="4">
        <f>'PBC Plant Balance 2017'!F68</f>
        <v>828509.36</v>
      </c>
      <c r="E25" s="78"/>
      <c r="F25" s="4">
        <f>'PBC Reserve Balance 2017'!E14</f>
        <v>828509.36</v>
      </c>
      <c r="G25" s="78"/>
      <c r="H25" s="83"/>
      <c r="I25" s="78"/>
      <c r="J25" s="81"/>
      <c r="K25" s="78"/>
      <c r="L25" s="81"/>
      <c r="M25" s="78"/>
      <c r="N25" s="4"/>
      <c r="O25" s="78"/>
      <c r="P25" s="81"/>
      <c r="Q25" s="78"/>
      <c r="R25" s="17">
        <v>8.3333333333333329E-2</v>
      </c>
    </row>
    <row r="26" spans="1:18" x14ac:dyDescent="0.2">
      <c r="B26" s="84" t="s">
        <v>240</v>
      </c>
      <c r="C26" s="78"/>
      <c r="D26" s="139">
        <f>SUM(D22:D25)</f>
        <v>982930.19</v>
      </c>
      <c r="E26" s="78"/>
      <c r="F26" s="139">
        <f>SUM(F22:F25)</f>
        <v>982930.19</v>
      </c>
      <c r="G26" s="78"/>
      <c r="H26" s="83"/>
      <c r="I26" s="78"/>
      <c r="J26" s="81"/>
      <c r="K26" s="78"/>
      <c r="L26" s="81"/>
      <c r="M26" s="78"/>
      <c r="N26" s="4"/>
      <c r="O26" s="78"/>
      <c r="P26" s="81"/>
      <c r="Q26" s="78"/>
      <c r="R26" s="17"/>
    </row>
    <row r="27" spans="1:18" x14ac:dyDescent="0.2">
      <c r="B27" s="77"/>
      <c r="C27" s="78"/>
      <c r="D27" s="4"/>
      <c r="E27" s="78"/>
      <c r="F27" s="4"/>
      <c r="G27" s="78"/>
      <c r="H27" s="83"/>
      <c r="I27" s="78"/>
      <c r="J27" s="81"/>
      <c r="K27" s="78"/>
      <c r="L27" s="81"/>
      <c r="M27" s="78"/>
      <c r="N27" s="4"/>
      <c r="O27" s="78"/>
      <c r="P27" s="81"/>
      <c r="Q27" s="78"/>
      <c r="R27" s="17"/>
    </row>
    <row r="28" spans="1:18" x14ac:dyDescent="0.2">
      <c r="B28" s="84" t="s">
        <v>247</v>
      </c>
      <c r="C28" s="25"/>
      <c r="D28" s="139">
        <f>D18+D26</f>
        <v>2288092.09</v>
      </c>
      <c r="E28" s="87"/>
      <c r="F28" s="139">
        <f>F18+F26</f>
        <v>1879847.0499999998</v>
      </c>
      <c r="G28" s="75"/>
      <c r="O28" s="87"/>
      <c r="P28" s="5"/>
      <c r="Q28" s="87"/>
      <c r="R28" s="17"/>
    </row>
    <row r="29" spans="1:18" x14ac:dyDescent="0.2">
      <c r="B29" s="84"/>
      <c r="C29" s="25"/>
      <c r="D29" s="4"/>
      <c r="E29" s="87"/>
      <c r="G29" s="75"/>
      <c r="O29" s="87"/>
      <c r="P29" s="5"/>
      <c r="Q29" s="87"/>
      <c r="R29" s="17"/>
    </row>
    <row r="30" spans="1:18" x14ac:dyDescent="0.2">
      <c r="A30" s="88"/>
      <c r="B30" s="84" t="s">
        <v>196</v>
      </c>
      <c r="D30" s="89">
        <f>'PBC Plant Balance 2017'!F3+'PBC Plant Balance 2017'!F5</f>
        <v>1294860.95</v>
      </c>
      <c r="F30" s="79">
        <v>0</v>
      </c>
    </row>
    <row r="31" spans="1:18" x14ac:dyDescent="0.2">
      <c r="A31" s="88"/>
      <c r="B31" s="84" t="s">
        <v>181</v>
      </c>
      <c r="D31" s="91">
        <f>D18+D26+D30</f>
        <v>3582953.04</v>
      </c>
      <c r="F31" s="91">
        <f>F18+F26+F30</f>
        <v>1879847.0499999998</v>
      </c>
      <c r="J31" s="92"/>
    </row>
    <row r="32" spans="1:18" ht="13.5" thickBot="1" x14ac:dyDescent="0.25">
      <c r="B32" s="84" t="s">
        <v>182</v>
      </c>
      <c r="D32" s="93">
        <f>'PBC Plant Balance 2017'!F69</f>
        <v>3582953.0400000014</v>
      </c>
      <c r="F32" s="94">
        <f>'PBC Reserve Balance 2017'!E15</f>
        <v>1879847.0499999998</v>
      </c>
    </row>
    <row r="33" spans="2:10" ht="13.5" thickTop="1" x14ac:dyDescent="0.2">
      <c r="B33" s="95" t="s">
        <v>183</v>
      </c>
      <c r="D33" s="96">
        <f>D31-D32</f>
        <v>0</v>
      </c>
      <c r="F33" s="96">
        <f>F31-F32</f>
        <v>0</v>
      </c>
    </row>
    <row r="37" spans="2:10" x14ac:dyDescent="0.2">
      <c r="D37" s="53"/>
      <c r="H37" s="79"/>
    </row>
    <row r="38" spans="2:10" x14ac:dyDescent="0.2">
      <c r="D38" s="53"/>
      <c r="F38" s="79"/>
    </row>
    <row r="39" spans="2:10" x14ac:dyDescent="0.2">
      <c r="D39" s="53"/>
      <c r="H39" s="92"/>
      <c r="J39" s="92"/>
    </row>
    <row r="40" spans="2:10" x14ac:dyDescent="0.2">
      <c r="D40" s="53"/>
    </row>
    <row r="41" spans="2:10" x14ac:dyDescent="0.2">
      <c r="D41"/>
    </row>
    <row r="42" spans="2:10" x14ac:dyDescent="0.2">
      <c r="D42" s="53"/>
    </row>
    <row r="43" spans="2:10" x14ac:dyDescent="0.2">
      <c r="D43" s="53"/>
    </row>
    <row r="44" spans="2:10" x14ac:dyDescent="0.2">
      <c r="D44" s="53"/>
    </row>
    <row r="45" spans="2:10" x14ac:dyDescent="0.2">
      <c r="D45" s="53"/>
    </row>
  </sheetData>
  <mergeCells count="5">
    <mergeCell ref="A1:R1"/>
    <mergeCell ref="A2:R2"/>
    <mergeCell ref="A3:R3"/>
    <mergeCell ref="A9:B9"/>
    <mergeCell ref="A20:L20"/>
  </mergeCells>
  <pageMargins left="0.7" right="0.7" top="0.75" bottom="0.75" header="0.3" footer="0.3"/>
  <pageSetup scale="6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Normal="100" workbookViewId="0"/>
  </sheetViews>
  <sheetFormatPr defaultRowHeight="12.75" outlineLevelRow="2" x14ac:dyDescent="0.2"/>
  <cols>
    <col min="4" max="4" width="12.85546875" style="105" bestFit="1" customWidth="1"/>
    <col min="7" max="7" width="7.85546875" customWidth="1"/>
    <col min="8" max="9" width="12.85546875" bestFit="1" customWidth="1"/>
    <col min="10" max="10" width="11.28515625" style="107" bestFit="1" customWidth="1"/>
    <col min="11" max="11" width="12.85546875" bestFit="1" customWidth="1"/>
    <col min="12" max="12" width="11.28515625" bestFit="1" customWidth="1"/>
    <col min="13" max="13" width="14" style="105" customWidth="1"/>
    <col min="14" max="14" width="12" bestFit="1" customWidth="1"/>
    <col min="16" max="16" width="11.28515625" bestFit="1" customWidth="1"/>
    <col min="17" max="17" width="10.28515625" bestFit="1" customWidth="1"/>
  </cols>
  <sheetData>
    <row r="1" spans="1:17" x14ac:dyDescent="0.2">
      <c r="A1" s="36"/>
      <c r="B1" s="36"/>
      <c r="C1" s="36"/>
      <c r="D1" s="142"/>
      <c r="E1" s="36"/>
      <c r="F1" s="36"/>
      <c r="G1" s="36" t="s">
        <v>197</v>
      </c>
      <c r="H1" s="97" t="s">
        <v>198</v>
      </c>
      <c r="I1" s="97" t="s">
        <v>198</v>
      </c>
      <c r="J1" s="114"/>
      <c r="K1" s="97"/>
      <c r="L1" s="97"/>
      <c r="M1" s="142"/>
      <c r="N1" s="98" t="s">
        <v>250</v>
      </c>
    </row>
    <row r="2" spans="1:17" x14ac:dyDescent="0.2">
      <c r="A2" s="99"/>
      <c r="B2" s="99"/>
      <c r="C2" s="99"/>
      <c r="D2" s="143" t="s">
        <v>5</v>
      </c>
      <c r="E2" s="98"/>
      <c r="F2" s="98"/>
      <c r="G2" s="100" t="s">
        <v>14</v>
      </c>
      <c r="H2" s="8" t="s">
        <v>199</v>
      </c>
      <c r="I2" s="101" t="s">
        <v>199</v>
      </c>
      <c r="J2" s="115" t="s">
        <v>218</v>
      </c>
      <c r="K2" s="8" t="s">
        <v>219</v>
      </c>
      <c r="L2" s="8" t="s">
        <v>163</v>
      </c>
      <c r="M2" s="142"/>
      <c r="N2" s="102" t="s">
        <v>200</v>
      </c>
    </row>
    <row r="3" spans="1:17" x14ac:dyDescent="0.2">
      <c r="A3" s="27" t="s">
        <v>10</v>
      </c>
      <c r="B3" s="99" t="s">
        <v>50</v>
      </c>
      <c r="C3" s="27" t="s">
        <v>201</v>
      </c>
      <c r="D3" s="142" t="s">
        <v>220</v>
      </c>
      <c r="E3" s="27" t="s">
        <v>12</v>
      </c>
      <c r="F3" s="27" t="s">
        <v>202</v>
      </c>
      <c r="G3" s="27" t="s">
        <v>203</v>
      </c>
      <c r="H3" s="97" t="s">
        <v>204</v>
      </c>
      <c r="I3" s="97" t="s">
        <v>205</v>
      </c>
      <c r="J3" s="116" t="s">
        <v>221</v>
      </c>
      <c r="K3" s="97" t="s">
        <v>199</v>
      </c>
      <c r="L3" s="97" t="s">
        <v>167</v>
      </c>
      <c r="M3" s="142" t="s">
        <v>249</v>
      </c>
      <c r="N3" s="27" t="s">
        <v>191</v>
      </c>
    </row>
    <row r="4" spans="1:17" hidden="1" outlineLevel="2" x14ac:dyDescent="0.2">
      <c r="A4" t="s">
        <v>59</v>
      </c>
      <c r="B4">
        <v>2003</v>
      </c>
      <c r="C4">
        <v>14.5</v>
      </c>
      <c r="D4">
        <v>35669.800000000003</v>
      </c>
      <c r="E4">
        <v>40</v>
      </c>
      <c r="F4">
        <v>27.606189000000001</v>
      </c>
      <c r="G4" s="90">
        <f>'KY MSGO Parameters'!$R$11</f>
        <v>-0.1</v>
      </c>
      <c r="H4" s="4">
        <f t="shared" ref="H4:H50" si="0">+D4*(1-F4/E4)</f>
        <v>11052.118990195002</v>
      </c>
      <c r="I4" s="4">
        <f t="shared" ref="I4:I50" si="1">H4*(1-G4)</f>
        <v>12157.330889214503</v>
      </c>
      <c r="J4" s="79">
        <f>$I$60</f>
        <v>1.2081585334289455</v>
      </c>
      <c r="K4" s="4">
        <f t="shared" ref="K4:K50" si="2">IF((D4*(1-F4/E4)*(1-G4)&lt;0),D4*(1-G4),I4*J4)</f>
        <v>14687.983057523812</v>
      </c>
      <c r="L4" s="4">
        <f>+D4/E4</f>
        <v>891.74500000000012</v>
      </c>
      <c r="M4" s="105">
        <f>D4*F4</f>
        <v>984707.24039220007</v>
      </c>
    </row>
    <row r="5" spans="1:17" hidden="1" outlineLevel="2" x14ac:dyDescent="0.2">
      <c r="A5" t="s">
        <v>59</v>
      </c>
      <c r="B5">
        <v>2002</v>
      </c>
      <c r="C5">
        <v>15.5</v>
      </c>
      <c r="D5">
        <v>143668.72</v>
      </c>
      <c r="E5">
        <v>40</v>
      </c>
      <c r="F5">
        <v>26.815961999999999</v>
      </c>
      <c r="G5" s="90">
        <f>'KY MSGO Parameters'!$R$11</f>
        <v>-0.1</v>
      </c>
      <c r="H5" s="4">
        <f t="shared" si="0"/>
        <v>47353.346597283999</v>
      </c>
      <c r="I5" s="4">
        <f t="shared" si="1"/>
        <v>52088.681257012402</v>
      </c>
      <c r="J5" s="79">
        <f>$I$60</f>
        <v>1.2081585334289455</v>
      </c>
      <c r="K5" s="4">
        <f t="shared" si="2"/>
        <v>62931.384755719904</v>
      </c>
      <c r="L5" s="4">
        <f>+D5/E5</f>
        <v>3591.7179999999998</v>
      </c>
      <c r="M5" s="105">
        <f>D5*F5</f>
        <v>3852614.9361086399</v>
      </c>
    </row>
    <row r="6" spans="1:17" outlineLevel="1" collapsed="1" x14ac:dyDescent="0.2">
      <c r="A6" s="103" t="s">
        <v>144</v>
      </c>
      <c r="D6" s="105">
        <f>SUBTOTAL(9,D4:D5)</f>
        <v>179338.52000000002</v>
      </c>
      <c r="G6" s="90"/>
      <c r="H6" s="4">
        <f>SUBTOTAL(9,H4:H5)</f>
        <v>58405.465587479004</v>
      </c>
      <c r="I6" s="4">
        <f>SUBTOTAL(9,I4:I5)</f>
        <v>64246.012146226902</v>
      </c>
      <c r="J6" s="79"/>
      <c r="K6" s="4">
        <f>SUBTOTAL(9,K4:K5)</f>
        <v>77619.36781324372</v>
      </c>
      <c r="L6" s="4">
        <f>SUBTOTAL(9,L4:L5)</f>
        <v>4483.4629999999997</v>
      </c>
      <c r="M6" s="4">
        <f>SUBTOTAL(9,M4:M5)</f>
        <v>4837322.1765008401</v>
      </c>
      <c r="N6" s="104">
        <f>M6/D6</f>
        <v>26.973135367130496</v>
      </c>
      <c r="P6" s="107"/>
    </row>
    <row r="7" spans="1:17" hidden="1" outlineLevel="2" x14ac:dyDescent="0.2">
      <c r="A7" t="s">
        <v>63</v>
      </c>
      <c r="B7">
        <v>2016</v>
      </c>
      <c r="C7">
        <v>1.5</v>
      </c>
      <c r="D7">
        <v>9612.91</v>
      </c>
      <c r="E7">
        <v>15</v>
      </c>
      <c r="F7">
        <v>13.659128000000001</v>
      </c>
      <c r="G7" s="90">
        <f>'KY MSGO Parameters'!$R$12</f>
        <v>-0.1</v>
      </c>
      <c r="H7" s="4">
        <f t="shared" si="0"/>
        <v>859.31212383466641</v>
      </c>
      <c r="I7" s="4">
        <f t="shared" si="1"/>
        <v>945.24333621813309</v>
      </c>
      <c r="J7" s="79">
        <f t="shared" ref="J7:J50" si="3">$I$60</f>
        <v>1.2081585334289455</v>
      </c>
      <c r="K7" s="4">
        <f t="shared" si="2"/>
        <v>1142.0038028187832</v>
      </c>
      <c r="L7" s="4">
        <f>+D7/E7</f>
        <v>640.8606666666667</v>
      </c>
      <c r="M7" s="105">
        <f>D7*F7</f>
        <v>131303.96814248001</v>
      </c>
    </row>
    <row r="8" spans="1:17" hidden="1" outlineLevel="2" x14ac:dyDescent="0.2">
      <c r="A8" t="s">
        <v>63</v>
      </c>
      <c r="B8">
        <v>1998</v>
      </c>
      <c r="C8">
        <v>19.5</v>
      </c>
      <c r="D8">
        <v>5771</v>
      </c>
      <c r="E8">
        <v>15</v>
      </c>
      <c r="F8">
        <v>2.4038409999999999</v>
      </c>
      <c r="G8" s="90">
        <f>'KY MSGO Parameters'!$R$12</f>
        <v>-0.1</v>
      </c>
      <c r="H8" s="4">
        <f t="shared" si="0"/>
        <v>4846.1622392666668</v>
      </c>
      <c r="I8" s="4">
        <f t="shared" si="1"/>
        <v>5330.7784631933337</v>
      </c>
      <c r="J8" s="79">
        <f t="shared" si="3"/>
        <v>1.2081585334289455</v>
      </c>
      <c r="K8" s="4">
        <f t="shared" si="2"/>
        <v>6440.4254901262657</v>
      </c>
      <c r="L8" s="4">
        <f>+D8/E8</f>
        <v>384.73333333333335</v>
      </c>
      <c r="M8" s="105">
        <f>D8*F8</f>
        <v>13872.566411</v>
      </c>
    </row>
    <row r="9" spans="1:17" outlineLevel="1" collapsed="1" x14ac:dyDescent="0.2">
      <c r="A9" s="103" t="s">
        <v>145</v>
      </c>
      <c r="D9" s="105">
        <f>SUBTOTAL(9,D7:D8)</f>
        <v>15383.91</v>
      </c>
      <c r="G9" s="90"/>
      <c r="H9" s="4">
        <f>SUBTOTAL(9,H7:H8)</f>
        <v>5705.4743631013334</v>
      </c>
      <c r="I9" s="4">
        <f>SUBTOTAL(9,I7:I8)</f>
        <v>6276.0217994114664</v>
      </c>
      <c r="J9" s="79"/>
      <c r="K9" s="4">
        <f>SUBTOTAL(9,K7:K8)</f>
        <v>7582.4292929450494</v>
      </c>
      <c r="L9" s="4">
        <f>SUBTOTAL(9,L7:L8)</f>
        <v>1025.5940000000001</v>
      </c>
      <c r="M9" s="4">
        <f>SUBTOTAL(9,M7:M8)</f>
        <v>145176.53455348001</v>
      </c>
      <c r="N9" s="104">
        <f>M9/D9</f>
        <v>9.4369074281817831</v>
      </c>
      <c r="P9" s="107"/>
      <c r="Q9" s="107"/>
    </row>
    <row r="10" spans="1:17" hidden="1" outlineLevel="2" x14ac:dyDescent="0.2">
      <c r="G10" s="90"/>
      <c r="H10" s="4"/>
      <c r="I10" s="4"/>
      <c r="J10" s="79"/>
      <c r="K10" s="86"/>
      <c r="L10" s="4"/>
    </row>
    <row r="11" spans="1:17" outlineLevel="1" collapsed="1" x14ac:dyDescent="0.2">
      <c r="A11" s="103" t="s">
        <v>146</v>
      </c>
      <c r="D11" s="105">
        <f>SUBTOTAL(9,D10:D10)</f>
        <v>0</v>
      </c>
      <c r="G11" s="90"/>
      <c r="H11" s="4">
        <f>SUBTOTAL(9,H10:H10)</f>
        <v>0</v>
      </c>
      <c r="I11" s="4">
        <f>SUBTOTAL(9,I10:I10)</f>
        <v>0</v>
      </c>
      <c r="J11" s="79"/>
      <c r="K11" s="86">
        <f>SUBTOTAL(9,K10:K10)</f>
        <v>0</v>
      </c>
      <c r="L11" s="4">
        <f>SUBTOTAL(9,L10:L10)</f>
        <v>0</v>
      </c>
      <c r="N11" s="123" t="s">
        <v>236</v>
      </c>
      <c r="P11" s="107"/>
    </row>
    <row r="12" spans="1:17" hidden="1" outlineLevel="2" x14ac:dyDescent="0.2">
      <c r="G12" s="90"/>
      <c r="H12" s="4"/>
      <c r="I12" s="4"/>
      <c r="J12" s="79"/>
      <c r="K12" s="86"/>
      <c r="L12" s="4"/>
    </row>
    <row r="13" spans="1:17" hidden="1" outlineLevel="2" x14ac:dyDescent="0.2">
      <c r="G13" s="90"/>
      <c r="H13" s="4"/>
      <c r="I13" s="4"/>
      <c r="J13" s="79"/>
      <c r="K13" s="86"/>
      <c r="L13" s="4"/>
    </row>
    <row r="14" spans="1:17" hidden="1" outlineLevel="2" x14ac:dyDescent="0.2">
      <c r="G14" s="90"/>
      <c r="H14" s="4"/>
      <c r="I14" s="4"/>
      <c r="J14" s="79"/>
      <c r="K14" s="86"/>
      <c r="L14" s="4"/>
    </row>
    <row r="15" spans="1:17" hidden="1" outlineLevel="2" x14ac:dyDescent="0.2">
      <c r="G15" s="90"/>
      <c r="H15" s="4"/>
      <c r="I15" s="4"/>
      <c r="J15" s="79"/>
      <c r="K15" s="86"/>
      <c r="L15" s="4"/>
    </row>
    <row r="16" spans="1:17" hidden="1" outlineLevel="2" x14ac:dyDescent="0.2">
      <c r="G16" s="90"/>
      <c r="H16" s="4"/>
      <c r="I16" s="4"/>
      <c r="J16" s="79"/>
      <c r="K16" s="86"/>
      <c r="L16" s="4"/>
    </row>
    <row r="17" spans="1:16" hidden="1" outlineLevel="2" x14ac:dyDescent="0.2">
      <c r="G17" s="90"/>
      <c r="H17" s="4"/>
      <c r="I17" s="4"/>
      <c r="J17" s="79"/>
      <c r="K17" s="86"/>
      <c r="L17" s="4"/>
    </row>
    <row r="18" spans="1:16" outlineLevel="1" collapsed="1" x14ac:dyDescent="0.2">
      <c r="A18" s="103" t="s">
        <v>147</v>
      </c>
      <c r="D18" s="105">
        <f>SUBTOTAL(9,D12:D17)</f>
        <v>0</v>
      </c>
      <c r="G18" s="90"/>
      <c r="H18" s="4">
        <f>SUBTOTAL(9,H12:H17)</f>
        <v>0</v>
      </c>
      <c r="I18" s="4">
        <f>SUBTOTAL(9,I12:I17)</f>
        <v>0</v>
      </c>
      <c r="J18" s="79"/>
      <c r="K18" s="86">
        <f>SUBTOTAL(9,K12:K17)</f>
        <v>0</v>
      </c>
      <c r="L18" s="4">
        <f>SUBTOTAL(9,L12:L17)</f>
        <v>0</v>
      </c>
      <c r="N18" s="123" t="s">
        <v>236</v>
      </c>
      <c r="P18" s="107"/>
    </row>
    <row r="19" spans="1:16" hidden="1" outlineLevel="2" x14ac:dyDescent="0.2">
      <c r="A19" t="s">
        <v>84</v>
      </c>
      <c r="B19">
        <v>2013</v>
      </c>
      <c r="C19">
        <v>4.5</v>
      </c>
      <c r="D19">
        <v>23175</v>
      </c>
      <c r="E19">
        <v>15</v>
      </c>
      <c r="F19">
        <v>10.563160999999999</v>
      </c>
      <c r="G19" s="90">
        <f>'KY MSGO Parameters'!$R$15</f>
        <v>0.1</v>
      </c>
      <c r="H19" s="4">
        <f t="shared" si="0"/>
        <v>6854.916255000001</v>
      </c>
      <c r="I19" s="4">
        <f t="shared" si="1"/>
        <v>6169.4246295000012</v>
      </c>
      <c r="J19" s="79">
        <f t="shared" si="3"/>
        <v>1.2081585334289455</v>
      </c>
      <c r="K19" s="4">
        <f t="shared" si="2"/>
        <v>7453.6430124771368</v>
      </c>
      <c r="L19" s="4">
        <f>+D19/E19</f>
        <v>1545</v>
      </c>
      <c r="M19" s="105">
        <f t="shared" ref="M19:M44" si="4">D19*F19</f>
        <v>244801.25617499999</v>
      </c>
    </row>
    <row r="20" spans="1:16" hidden="1" outlineLevel="2" x14ac:dyDescent="0.2">
      <c r="A20" t="s">
        <v>84</v>
      </c>
      <c r="B20">
        <v>2010</v>
      </c>
      <c r="C20">
        <v>7.5</v>
      </c>
      <c r="D20">
        <v>4109.6899999999996</v>
      </c>
      <c r="E20">
        <v>15</v>
      </c>
      <c r="F20">
        <v>7.8944710000000002</v>
      </c>
      <c r="G20" s="90">
        <f>'KY MSGO Parameters'!$R$15</f>
        <v>0.1</v>
      </c>
      <c r="H20" s="4">
        <f t="shared" si="0"/>
        <v>1946.7680984006665</v>
      </c>
      <c r="I20" s="4">
        <f t="shared" si="1"/>
        <v>1752.0912885605999</v>
      </c>
      <c r="J20" s="79">
        <f t="shared" si="3"/>
        <v>1.2081585334289455</v>
      </c>
      <c r="K20" s="4">
        <f t="shared" si="2"/>
        <v>2116.8040416210056</v>
      </c>
      <c r="L20" s="4">
        <f>+D20/E20</f>
        <v>273.97933333333333</v>
      </c>
      <c r="M20" s="105">
        <f t="shared" si="4"/>
        <v>32443.828523989996</v>
      </c>
    </row>
    <row r="21" spans="1:16" outlineLevel="1" collapsed="1" x14ac:dyDescent="0.2">
      <c r="A21" s="103" t="s">
        <v>148</v>
      </c>
      <c r="D21" s="105">
        <f>SUBTOTAL(9,D19:D20)</f>
        <v>27284.69</v>
      </c>
      <c r="G21" s="90"/>
      <c r="H21" s="4">
        <f>SUBTOTAL(9,H19:H20)</f>
        <v>8801.6843534006675</v>
      </c>
      <c r="I21" s="4">
        <f>SUBTOTAL(9,I19:I20)</f>
        <v>7921.5159180606006</v>
      </c>
      <c r="J21" s="79"/>
      <c r="K21" s="4">
        <f>SUBTOTAL(9,K19:K20)</f>
        <v>9570.447054098142</v>
      </c>
      <c r="L21" s="4">
        <f>SUBTOTAL(9,L19:L20)</f>
        <v>1818.9793333333332</v>
      </c>
      <c r="M21" s="4">
        <f>SUBTOTAL(9,M19:M20)</f>
        <v>277245.08469898999</v>
      </c>
      <c r="N21" s="104">
        <f>M21/D21</f>
        <v>10.161196066328406</v>
      </c>
      <c r="P21" s="107"/>
    </row>
    <row r="22" spans="1:16" hidden="1" outlineLevel="2" x14ac:dyDescent="0.2">
      <c r="A22" t="s">
        <v>89</v>
      </c>
      <c r="B22">
        <v>2017</v>
      </c>
      <c r="C22">
        <v>0.5</v>
      </c>
      <c r="D22">
        <v>13346.43</v>
      </c>
      <c r="E22">
        <v>15</v>
      </c>
      <c r="F22">
        <v>14.5</v>
      </c>
      <c r="G22" s="90">
        <f>'KY MSGO Parameters'!$R$17</f>
        <v>0</v>
      </c>
      <c r="H22" s="4">
        <f t="shared" si="0"/>
        <v>444.88099999999991</v>
      </c>
      <c r="I22" s="4">
        <f t="shared" si="1"/>
        <v>444.88099999999991</v>
      </c>
      <c r="J22" s="79">
        <f t="shared" si="3"/>
        <v>1.2081585334289455</v>
      </c>
      <c r="K22" s="4">
        <f t="shared" si="2"/>
        <v>537.48677651040259</v>
      </c>
      <c r="L22" s="4">
        <f t="shared" ref="L22:L27" si="5">+D22/E22</f>
        <v>889.76200000000006</v>
      </c>
      <c r="M22" s="105">
        <f t="shared" si="4"/>
        <v>193523.23500000002</v>
      </c>
    </row>
    <row r="23" spans="1:16" hidden="1" outlineLevel="2" x14ac:dyDescent="0.2">
      <c r="A23" t="s">
        <v>89</v>
      </c>
      <c r="B23">
        <v>2015</v>
      </c>
      <c r="C23">
        <v>2.5</v>
      </c>
      <c r="D23">
        <v>30291.18</v>
      </c>
      <c r="E23">
        <v>15</v>
      </c>
      <c r="F23">
        <v>12.5</v>
      </c>
      <c r="G23" s="90">
        <f>'KY MSGO Parameters'!$R$17</f>
        <v>0</v>
      </c>
      <c r="H23" s="4">
        <f t="shared" si="0"/>
        <v>5048.5299999999988</v>
      </c>
      <c r="I23" s="4">
        <f t="shared" si="1"/>
        <v>5048.5299999999988</v>
      </c>
      <c r="J23" s="79">
        <f t="shared" si="3"/>
        <v>1.2081585334289455</v>
      </c>
      <c r="K23" s="4">
        <f t="shared" si="2"/>
        <v>6099.424600772033</v>
      </c>
      <c r="L23" s="4">
        <f t="shared" si="5"/>
        <v>2019.412</v>
      </c>
      <c r="M23" s="105">
        <f t="shared" si="4"/>
        <v>378639.75</v>
      </c>
    </row>
    <row r="24" spans="1:16" hidden="1" outlineLevel="2" x14ac:dyDescent="0.2">
      <c r="A24" t="s">
        <v>89</v>
      </c>
      <c r="B24">
        <v>2014</v>
      </c>
      <c r="C24">
        <v>3.5</v>
      </c>
      <c r="D24">
        <v>5498.25</v>
      </c>
      <c r="E24">
        <v>15</v>
      </c>
      <c r="F24">
        <v>11.5</v>
      </c>
      <c r="G24" s="90">
        <f>'KY MSGO Parameters'!$R$17</f>
        <v>0</v>
      </c>
      <c r="H24" s="4">
        <f t="shared" si="0"/>
        <v>1282.9249999999997</v>
      </c>
      <c r="I24" s="4">
        <f t="shared" si="1"/>
        <v>1282.9249999999997</v>
      </c>
      <c r="J24" s="79">
        <f t="shared" si="3"/>
        <v>1.2081585334289455</v>
      </c>
      <c r="K24" s="4">
        <f t="shared" si="2"/>
        <v>1549.9767864993296</v>
      </c>
      <c r="L24" s="4">
        <f t="shared" si="5"/>
        <v>366.55</v>
      </c>
      <c r="M24" s="105">
        <f t="shared" si="4"/>
        <v>63229.875</v>
      </c>
    </row>
    <row r="25" spans="1:16" hidden="1" outlineLevel="2" x14ac:dyDescent="0.2">
      <c r="A25" t="s">
        <v>89</v>
      </c>
      <c r="B25">
        <v>2007</v>
      </c>
      <c r="C25">
        <v>10.5</v>
      </c>
      <c r="D25">
        <v>13706.31</v>
      </c>
      <c r="E25">
        <v>15</v>
      </c>
      <c r="F25">
        <v>4.6389820000000004</v>
      </c>
      <c r="G25" s="90">
        <f>'KY MSGO Parameters'!$R$17</f>
        <v>0</v>
      </c>
      <c r="H25" s="4">
        <f t="shared" si="0"/>
        <v>9467.4216415719984</v>
      </c>
      <c r="I25" s="4">
        <f t="shared" si="1"/>
        <v>9467.4216415719984</v>
      </c>
      <c r="J25" s="79">
        <f t="shared" si="3"/>
        <v>1.2081585334289455</v>
      </c>
      <c r="K25" s="4">
        <f t="shared" si="2"/>
        <v>11438.146245835085</v>
      </c>
      <c r="L25" s="4">
        <f t="shared" si="5"/>
        <v>913.75400000000002</v>
      </c>
      <c r="M25" s="105">
        <f t="shared" si="4"/>
        <v>63583.325376420005</v>
      </c>
    </row>
    <row r="26" spans="1:16" hidden="1" outlineLevel="2" x14ac:dyDescent="0.2">
      <c r="A26" t="s">
        <v>89</v>
      </c>
      <c r="B26">
        <v>2006</v>
      </c>
      <c r="C26">
        <v>11.5</v>
      </c>
      <c r="D26">
        <v>4818.97</v>
      </c>
      <c r="E26">
        <v>15</v>
      </c>
      <c r="F26">
        <v>3.7758370000000001</v>
      </c>
      <c r="G26" s="90">
        <f>'KY MSGO Parameters'!$R$17</f>
        <v>0</v>
      </c>
      <c r="H26" s="4">
        <f t="shared" si="0"/>
        <v>3605.9269848073336</v>
      </c>
      <c r="I26" s="4">
        <f t="shared" si="1"/>
        <v>3605.9269848073336</v>
      </c>
      <c r="J26" s="79">
        <f t="shared" si="3"/>
        <v>1.2081585334289455</v>
      </c>
      <c r="K26" s="4">
        <f t="shared" si="2"/>
        <v>4356.5314576166875</v>
      </c>
      <c r="L26" s="4">
        <f t="shared" si="5"/>
        <v>321.2646666666667</v>
      </c>
      <c r="M26" s="105">
        <f t="shared" si="4"/>
        <v>18195.645227890003</v>
      </c>
    </row>
    <row r="27" spans="1:16" hidden="1" outlineLevel="2" x14ac:dyDescent="0.2">
      <c r="A27" t="s">
        <v>89</v>
      </c>
      <c r="B27">
        <v>2003</v>
      </c>
      <c r="C27">
        <v>14.5</v>
      </c>
      <c r="D27">
        <v>108206.3</v>
      </c>
      <c r="E27">
        <v>15</v>
      </c>
      <c r="F27">
        <v>1.75227</v>
      </c>
      <c r="G27" s="90">
        <f>'KY MSGO Parameters'!$R$17</f>
        <v>0</v>
      </c>
      <c r="H27" s="4">
        <f t="shared" si="0"/>
        <v>95565.85644660001</v>
      </c>
      <c r="I27" s="4">
        <f t="shared" si="1"/>
        <v>95565.85644660001</v>
      </c>
      <c r="J27" s="79">
        <f t="shared" si="3"/>
        <v>1.2081585334289455</v>
      </c>
      <c r="K27" s="86">
        <f>D27</f>
        <v>108206.3</v>
      </c>
      <c r="L27" s="4">
        <f t="shared" si="5"/>
        <v>7213.7533333333331</v>
      </c>
      <c r="M27" s="105">
        <f t="shared" si="4"/>
        <v>189606.65330100001</v>
      </c>
    </row>
    <row r="28" spans="1:16" outlineLevel="1" collapsed="1" x14ac:dyDescent="0.2">
      <c r="A28" s="103" t="s">
        <v>149</v>
      </c>
      <c r="D28" s="105">
        <f>SUBTOTAL(9,D22:D27)</f>
        <v>175867.44</v>
      </c>
      <c r="G28" s="90"/>
      <c r="H28" s="4">
        <f>SUBTOTAL(9,H22:H27)</f>
        <v>115415.54107297934</v>
      </c>
      <c r="I28" s="4">
        <f>SUBTOTAL(9,I22:I27)</f>
        <v>115415.54107297934</v>
      </c>
      <c r="J28" s="79"/>
      <c r="K28" s="4">
        <f>SUBTOTAL(9,K22:K27)</f>
        <v>132187.86586723354</v>
      </c>
      <c r="L28" s="4">
        <f>SUBTOTAL(9,L22:L27)</f>
        <v>11724.495999999999</v>
      </c>
      <c r="M28" s="4">
        <f>SUBTOTAL(9,M22:M27)</f>
        <v>906778.48390531004</v>
      </c>
      <c r="N28" s="104">
        <f>M28/D28</f>
        <v>5.156033907727946</v>
      </c>
      <c r="P28" s="107"/>
    </row>
    <row r="29" spans="1:16" hidden="1" outlineLevel="2" x14ac:dyDescent="0.2">
      <c r="A29" t="s">
        <v>97</v>
      </c>
      <c r="B29">
        <v>2015</v>
      </c>
      <c r="C29">
        <v>2.5</v>
      </c>
      <c r="D29">
        <v>9478.52</v>
      </c>
      <c r="E29">
        <v>15</v>
      </c>
      <c r="F29">
        <v>12.503707</v>
      </c>
      <c r="G29" s="90">
        <f>'KY MSGO Parameters'!$R$18</f>
        <v>0.16</v>
      </c>
      <c r="H29" s="4">
        <f t="shared" si="0"/>
        <v>1577.410875090666</v>
      </c>
      <c r="I29" s="4">
        <f t="shared" si="1"/>
        <v>1325.0251350761594</v>
      </c>
      <c r="J29" s="79">
        <f t="shared" si="3"/>
        <v>1.2081585334289455</v>
      </c>
      <c r="K29" s="4">
        <f t="shared" si="2"/>
        <v>1600.8404239501031</v>
      </c>
      <c r="L29" s="4">
        <f>+D29/E29</f>
        <v>631.90133333333335</v>
      </c>
      <c r="M29" s="105">
        <f t="shared" si="4"/>
        <v>118516.63687364</v>
      </c>
    </row>
    <row r="30" spans="1:16" hidden="1" outlineLevel="2" x14ac:dyDescent="0.2">
      <c r="A30" t="s">
        <v>97</v>
      </c>
      <c r="B30">
        <v>2010</v>
      </c>
      <c r="C30">
        <v>7.5</v>
      </c>
      <c r="D30">
        <v>11037.17</v>
      </c>
      <c r="E30">
        <v>15</v>
      </c>
      <c r="F30">
        <v>7.8944710000000002</v>
      </c>
      <c r="G30" s="90">
        <f>'KY MSGO Parameters'!$R$18</f>
        <v>0.16</v>
      </c>
      <c r="H30" s="4">
        <f t="shared" si="0"/>
        <v>5228.3287675286665</v>
      </c>
      <c r="I30" s="4">
        <f t="shared" si="1"/>
        <v>4391.79616472408</v>
      </c>
      <c r="J30" s="79">
        <f t="shared" si="3"/>
        <v>1.2081585334289455</v>
      </c>
      <c r="K30" s="4">
        <f t="shared" si="2"/>
        <v>5305.9860134919118</v>
      </c>
      <c r="L30" s="4">
        <f>+D30/E30</f>
        <v>735.81133333333332</v>
      </c>
      <c r="M30" s="105">
        <f t="shared" si="4"/>
        <v>87132.618487070009</v>
      </c>
    </row>
    <row r="31" spans="1:16" outlineLevel="1" collapsed="1" x14ac:dyDescent="0.2">
      <c r="A31" s="103" t="s">
        <v>150</v>
      </c>
      <c r="D31" s="105">
        <f>SUBTOTAL(9,D29:D30)</f>
        <v>20515.690000000002</v>
      </c>
      <c r="G31" s="90"/>
      <c r="H31" s="4">
        <f>SUBTOTAL(9,H29:H30)</f>
        <v>6805.7396426193327</v>
      </c>
      <c r="I31" s="4">
        <f>SUBTOTAL(9,I29:I30)</f>
        <v>5716.8212998002391</v>
      </c>
      <c r="J31" s="79"/>
      <c r="K31" s="4">
        <f>SUBTOTAL(9,K29:K30)</f>
        <v>6906.826437442015</v>
      </c>
      <c r="L31" s="4">
        <f>SUBTOTAL(9,L29:L30)</f>
        <v>1367.7126666666668</v>
      </c>
      <c r="M31" s="4">
        <f>SUBTOTAL(9,M29:M30)</f>
        <v>205649.25536071003</v>
      </c>
      <c r="N31" s="104">
        <f>M31/D31</f>
        <v>10.023998966679162</v>
      </c>
      <c r="P31" s="107"/>
    </row>
    <row r="32" spans="1:16" hidden="1" outlineLevel="2" x14ac:dyDescent="0.2">
      <c r="A32" t="s">
        <v>100</v>
      </c>
      <c r="B32">
        <v>2017</v>
      </c>
      <c r="C32">
        <v>0.5</v>
      </c>
      <c r="D32">
        <v>37541</v>
      </c>
      <c r="E32">
        <v>12</v>
      </c>
      <c r="F32">
        <v>11.500522</v>
      </c>
      <c r="G32" s="90">
        <f>'KY MSGO Parameters'!$R$19</f>
        <v>0</v>
      </c>
      <c r="H32" s="4">
        <f t="shared" si="0"/>
        <v>1562.575299833333</v>
      </c>
      <c r="I32" s="4">
        <f t="shared" si="1"/>
        <v>1562.575299833333</v>
      </c>
      <c r="J32" s="79">
        <f t="shared" si="3"/>
        <v>1.2081585334289455</v>
      </c>
      <c r="K32" s="4">
        <f t="shared" si="2"/>
        <v>1887.8386826189344</v>
      </c>
      <c r="L32" s="4">
        <f>+D32/E32</f>
        <v>3128.4166666666665</v>
      </c>
      <c r="M32" s="105">
        <f t="shared" si="4"/>
        <v>431741.096402</v>
      </c>
    </row>
    <row r="33" spans="1:16" outlineLevel="1" collapsed="1" x14ac:dyDescent="0.2">
      <c r="A33" s="103" t="s">
        <v>151</v>
      </c>
      <c r="D33" s="105">
        <f>SUBTOTAL(9,D32:D32)</f>
        <v>37541</v>
      </c>
      <c r="G33" s="90"/>
      <c r="H33" s="4">
        <f>SUBTOTAL(9,H32:H32)</f>
        <v>1562.575299833333</v>
      </c>
      <c r="I33" s="4">
        <f>SUBTOTAL(9,I32:I32)</f>
        <v>1562.575299833333</v>
      </c>
      <c r="J33" s="79"/>
      <c r="K33" s="4">
        <f>SUBTOTAL(9,K32:K32)</f>
        <v>1887.8386826189344</v>
      </c>
      <c r="L33" s="4">
        <f>SUBTOTAL(9,L32:L32)</f>
        <v>3128.4166666666665</v>
      </c>
      <c r="M33" s="4">
        <f>SUBTOTAL(9,M32:M32)</f>
        <v>431741.096402</v>
      </c>
      <c r="N33" s="104">
        <f>M33/D33</f>
        <v>11.500522</v>
      </c>
      <c r="P33" s="107"/>
    </row>
    <row r="34" spans="1:16" hidden="1" outlineLevel="2" x14ac:dyDescent="0.2">
      <c r="A34" t="s">
        <v>102</v>
      </c>
      <c r="B34">
        <v>2015</v>
      </c>
      <c r="C34">
        <v>2.5</v>
      </c>
      <c r="D34">
        <v>2958.7</v>
      </c>
      <c r="E34">
        <v>20</v>
      </c>
      <c r="F34">
        <v>17.665914999999998</v>
      </c>
      <c r="G34" s="90">
        <f>'KY MSGO Parameters'!$R$20</f>
        <v>0</v>
      </c>
      <c r="H34" s="4">
        <f t="shared" si="0"/>
        <v>345.29286447500016</v>
      </c>
      <c r="I34" s="4">
        <f t="shared" si="1"/>
        <v>345.29286447500016</v>
      </c>
      <c r="J34" s="79">
        <f t="shared" si="3"/>
        <v>1.2081585334289455</v>
      </c>
      <c r="K34" s="4">
        <f t="shared" si="2"/>
        <v>417.16852074759584</v>
      </c>
      <c r="L34" s="4">
        <f t="shared" ref="L34:L44" si="6">+D34/E34</f>
        <v>147.935</v>
      </c>
      <c r="M34" s="105">
        <f t="shared" si="4"/>
        <v>52268.142710499989</v>
      </c>
    </row>
    <row r="35" spans="1:16" hidden="1" outlineLevel="2" x14ac:dyDescent="0.2">
      <c r="A35" t="s">
        <v>102</v>
      </c>
      <c r="B35">
        <v>2010</v>
      </c>
      <c r="C35">
        <v>7.5</v>
      </c>
      <c r="D35">
        <v>1577.24</v>
      </c>
      <c r="E35">
        <v>20</v>
      </c>
      <c r="F35">
        <v>13.249017</v>
      </c>
      <c r="G35" s="90">
        <f>'KY MSGO Parameters'!$R$20</f>
        <v>0</v>
      </c>
      <c r="H35" s="4">
        <f t="shared" si="0"/>
        <v>532.396021346</v>
      </c>
      <c r="I35" s="4">
        <f t="shared" si="1"/>
        <v>532.396021346</v>
      </c>
      <c r="J35" s="79">
        <f t="shared" si="3"/>
        <v>1.2081585334289455</v>
      </c>
      <c r="K35" s="4">
        <f t="shared" si="2"/>
        <v>643.2187963527889</v>
      </c>
      <c r="L35" s="4">
        <f t="shared" si="6"/>
        <v>78.861999999999995</v>
      </c>
      <c r="M35" s="105">
        <f t="shared" si="4"/>
        <v>20896.879573080001</v>
      </c>
    </row>
    <row r="36" spans="1:16" hidden="1" outlineLevel="2" x14ac:dyDescent="0.2">
      <c r="A36" t="s">
        <v>102</v>
      </c>
      <c r="B36">
        <v>2008</v>
      </c>
      <c r="C36">
        <v>9.5</v>
      </c>
      <c r="D36">
        <v>10921.48</v>
      </c>
      <c r="E36">
        <v>20</v>
      </c>
      <c r="F36">
        <v>11.608878000000001</v>
      </c>
      <c r="G36" s="90">
        <f>'KY MSGO Parameters'!$R$20</f>
        <v>0</v>
      </c>
      <c r="H36" s="4">
        <f t="shared" si="0"/>
        <v>4582.173555028</v>
      </c>
      <c r="I36" s="4">
        <f t="shared" si="1"/>
        <v>4582.173555028</v>
      </c>
      <c r="J36" s="79">
        <f t="shared" si="3"/>
        <v>1.2081585334289455</v>
      </c>
      <c r="K36" s="4">
        <f t="shared" si="2"/>
        <v>5535.992082159526</v>
      </c>
      <c r="L36" s="4">
        <f t="shared" si="6"/>
        <v>546.07399999999996</v>
      </c>
      <c r="M36" s="105">
        <f t="shared" si="4"/>
        <v>126786.12889944001</v>
      </c>
    </row>
    <row r="37" spans="1:16" hidden="1" outlineLevel="2" x14ac:dyDescent="0.2">
      <c r="A37" t="s">
        <v>102</v>
      </c>
      <c r="B37">
        <v>2006</v>
      </c>
      <c r="C37">
        <v>11.5</v>
      </c>
      <c r="D37">
        <v>372030.15</v>
      </c>
      <c r="E37">
        <v>20</v>
      </c>
      <c r="F37">
        <v>10.057492999999999</v>
      </c>
      <c r="G37" s="90">
        <f>'KY MSGO Parameters'!$R$20</f>
        <v>0</v>
      </c>
      <c r="H37" s="4">
        <f t="shared" si="0"/>
        <v>184945.61852930253</v>
      </c>
      <c r="I37" s="4">
        <f t="shared" si="1"/>
        <v>184945.61852930253</v>
      </c>
      <c r="J37" s="79">
        <f t="shared" si="3"/>
        <v>1.2081585334289455</v>
      </c>
      <c r="K37" s="4">
        <f t="shared" si="2"/>
        <v>223443.62724647135</v>
      </c>
      <c r="L37" s="4">
        <f t="shared" si="6"/>
        <v>18601.5075</v>
      </c>
      <c r="M37" s="105">
        <f t="shared" si="4"/>
        <v>3741690.6294139498</v>
      </c>
    </row>
    <row r="38" spans="1:16" hidden="1" outlineLevel="2" x14ac:dyDescent="0.2">
      <c r="A38" t="s">
        <v>102</v>
      </c>
      <c r="B38">
        <v>2005</v>
      </c>
      <c r="C38">
        <v>12.5</v>
      </c>
      <c r="D38">
        <v>1675.12</v>
      </c>
      <c r="E38">
        <v>20</v>
      </c>
      <c r="F38">
        <v>9.3184199999999997</v>
      </c>
      <c r="G38" s="90">
        <f>'KY MSGO Parameters'!$R$20</f>
        <v>0</v>
      </c>
      <c r="H38" s="4">
        <f t="shared" si="0"/>
        <v>894.64641447999986</v>
      </c>
      <c r="I38" s="4">
        <f t="shared" si="1"/>
        <v>894.64641447999986</v>
      </c>
      <c r="J38" s="79">
        <f t="shared" si="3"/>
        <v>1.2081585334289455</v>
      </c>
      <c r="K38" s="4">
        <f t="shared" si="2"/>
        <v>1080.8747000556211</v>
      </c>
      <c r="L38" s="4">
        <f t="shared" si="6"/>
        <v>83.756</v>
      </c>
      <c r="M38" s="105">
        <f t="shared" si="4"/>
        <v>15609.471710399999</v>
      </c>
    </row>
    <row r="39" spans="1:16" hidden="1" outlineLevel="2" x14ac:dyDescent="0.2">
      <c r="A39" t="s">
        <v>102</v>
      </c>
      <c r="B39">
        <v>2004</v>
      </c>
      <c r="C39">
        <v>13.5</v>
      </c>
      <c r="D39">
        <v>5828.16</v>
      </c>
      <c r="E39">
        <v>20</v>
      </c>
      <c r="F39">
        <v>8.6058540000000008</v>
      </c>
      <c r="G39" s="90">
        <f>'KY MSGO Parameters'!$R$20</f>
        <v>0</v>
      </c>
      <c r="H39" s="4">
        <f t="shared" si="0"/>
        <v>3320.3452975679993</v>
      </c>
      <c r="I39" s="4">
        <f t="shared" si="1"/>
        <v>3320.3452975679993</v>
      </c>
      <c r="J39" s="79">
        <f t="shared" si="3"/>
        <v>1.2081585334289455</v>
      </c>
      <c r="K39" s="4">
        <f t="shared" si="2"/>
        <v>4011.5035051874497</v>
      </c>
      <c r="L39" s="4">
        <f t="shared" si="6"/>
        <v>291.40800000000002</v>
      </c>
      <c r="M39" s="105">
        <f t="shared" si="4"/>
        <v>50156.294048640004</v>
      </c>
    </row>
    <row r="40" spans="1:16" hidden="1" outlineLevel="2" x14ac:dyDescent="0.2">
      <c r="A40" t="s">
        <v>102</v>
      </c>
      <c r="B40">
        <v>2003</v>
      </c>
      <c r="C40">
        <v>14.5</v>
      </c>
      <c r="D40">
        <v>363.88</v>
      </c>
      <c r="E40">
        <v>20</v>
      </c>
      <c r="F40">
        <v>7.9217779999999998</v>
      </c>
      <c r="G40" s="90">
        <f>'KY MSGO Parameters'!$R$20</f>
        <v>0</v>
      </c>
      <c r="H40" s="4">
        <f t="shared" si="0"/>
        <v>219.75117106800002</v>
      </c>
      <c r="I40" s="4">
        <f t="shared" si="1"/>
        <v>219.75117106800002</v>
      </c>
      <c r="J40" s="79">
        <f t="shared" si="3"/>
        <v>1.2081585334289455</v>
      </c>
      <c r="K40" s="4">
        <f t="shared" si="2"/>
        <v>265.49425255680825</v>
      </c>
      <c r="L40" s="4">
        <f t="shared" si="6"/>
        <v>18.193999999999999</v>
      </c>
      <c r="M40" s="105">
        <f t="shared" si="4"/>
        <v>2882.5765786399998</v>
      </c>
    </row>
    <row r="41" spans="1:16" hidden="1" outlineLevel="2" x14ac:dyDescent="0.2">
      <c r="A41" t="s">
        <v>102</v>
      </c>
      <c r="B41">
        <v>2002</v>
      </c>
      <c r="C41">
        <v>15.5</v>
      </c>
      <c r="D41">
        <v>1891.07</v>
      </c>
      <c r="E41">
        <v>20</v>
      </c>
      <c r="F41">
        <v>7.2685919999999999</v>
      </c>
      <c r="G41" s="90">
        <f>'KY MSGO Parameters'!$R$20</f>
        <v>0</v>
      </c>
      <c r="H41" s="4">
        <f t="shared" si="0"/>
        <v>1203.7991863279999</v>
      </c>
      <c r="I41" s="4">
        <f t="shared" si="1"/>
        <v>1203.7991863279999</v>
      </c>
      <c r="J41" s="79">
        <f t="shared" si="3"/>
        <v>1.2081585334289455</v>
      </c>
      <c r="K41" s="4">
        <f t="shared" si="2"/>
        <v>1454.3802594969943</v>
      </c>
      <c r="L41" s="4">
        <f t="shared" si="6"/>
        <v>94.5535</v>
      </c>
      <c r="M41" s="105">
        <f t="shared" si="4"/>
        <v>13745.41627344</v>
      </c>
    </row>
    <row r="42" spans="1:16" hidden="1" outlineLevel="2" x14ac:dyDescent="0.2">
      <c r="A42" t="s">
        <v>102</v>
      </c>
      <c r="B42">
        <v>2000</v>
      </c>
      <c r="C42">
        <v>17.5</v>
      </c>
      <c r="D42">
        <v>55616.6</v>
      </c>
      <c r="E42">
        <v>20</v>
      </c>
      <c r="F42">
        <v>6.0663169999999997</v>
      </c>
      <c r="G42" s="90">
        <f>'KY MSGO Parameters'!$R$20</f>
        <v>0</v>
      </c>
      <c r="H42" s="4">
        <f t="shared" si="0"/>
        <v>38747.203696889999</v>
      </c>
      <c r="I42" s="4">
        <f t="shared" si="1"/>
        <v>38747.203696889999</v>
      </c>
      <c r="J42" s="79">
        <f t="shared" si="3"/>
        <v>1.2081585334289455</v>
      </c>
      <c r="K42" s="4">
        <f t="shared" si="2"/>
        <v>46812.764792907241</v>
      </c>
      <c r="L42" s="4">
        <f t="shared" si="6"/>
        <v>2780.83</v>
      </c>
      <c r="M42" s="105">
        <f t="shared" si="4"/>
        <v>337387.92606219999</v>
      </c>
    </row>
    <row r="43" spans="1:16" hidden="1" outlineLevel="2" x14ac:dyDescent="0.2">
      <c r="A43" t="s">
        <v>102</v>
      </c>
      <c r="B43">
        <v>1999</v>
      </c>
      <c r="C43">
        <v>18.5</v>
      </c>
      <c r="D43">
        <v>358067.49</v>
      </c>
      <c r="E43">
        <v>20</v>
      </c>
      <c r="F43">
        <v>5.5232020000000004</v>
      </c>
      <c r="G43" s="90">
        <f>'KY MSGO Parameters'!$R$20</f>
        <v>0</v>
      </c>
      <c r="H43" s="4">
        <f t="shared" si="0"/>
        <v>259183.536154851</v>
      </c>
      <c r="I43" s="4">
        <f t="shared" si="1"/>
        <v>259183.536154851</v>
      </c>
      <c r="J43" s="79">
        <f t="shared" si="3"/>
        <v>1.2081585334289455</v>
      </c>
      <c r="K43" s="86">
        <f>D43</f>
        <v>358067.49</v>
      </c>
      <c r="L43" s="4">
        <f t="shared" si="6"/>
        <v>17903.374499999998</v>
      </c>
      <c r="M43" s="105">
        <f t="shared" si="4"/>
        <v>1977679.07690298</v>
      </c>
    </row>
    <row r="44" spans="1:16" hidden="1" outlineLevel="2" x14ac:dyDescent="0.2">
      <c r="A44" t="s">
        <v>102</v>
      </c>
      <c r="B44">
        <v>1998</v>
      </c>
      <c r="C44">
        <v>19.5</v>
      </c>
      <c r="D44">
        <v>3236.99</v>
      </c>
      <c r="E44">
        <v>20</v>
      </c>
      <c r="F44">
        <v>5.022195</v>
      </c>
      <c r="G44" s="90">
        <f>'KY MSGO Parameters'!$R$20</f>
        <v>0</v>
      </c>
      <c r="H44" s="4">
        <f t="shared" si="0"/>
        <v>2424.1502503474999</v>
      </c>
      <c r="I44" s="4">
        <f t="shared" si="1"/>
        <v>2424.1502503474999</v>
      </c>
      <c r="J44" s="79">
        <f t="shared" si="3"/>
        <v>1.2081585334289455</v>
      </c>
      <c r="K44" s="86">
        <f>D44</f>
        <v>3236.99</v>
      </c>
      <c r="L44" s="4">
        <f t="shared" si="6"/>
        <v>161.84949999999998</v>
      </c>
      <c r="M44" s="105">
        <f t="shared" si="4"/>
        <v>16256.794993049998</v>
      </c>
    </row>
    <row r="45" spans="1:16" outlineLevel="1" collapsed="1" x14ac:dyDescent="0.2">
      <c r="A45" s="103" t="s">
        <v>152</v>
      </c>
      <c r="D45" s="105">
        <f>SUBTOTAL(9,D34:D44)</f>
        <v>814166.87999999989</v>
      </c>
      <c r="G45" s="90"/>
      <c r="H45" s="4">
        <f>SUBTOTAL(9,H34:H44)</f>
        <v>496398.91314168408</v>
      </c>
      <c r="I45" s="4">
        <f>SUBTOTAL(9,I34:I44)</f>
        <v>496398.91314168408</v>
      </c>
      <c r="J45" s="79"/>
      <c r="K45" s="4">
        <f>SUBTOTAL(9,K34:K44)</f>
        <v>644969.50415593549</v>
      </c>
      <c r="L45" s="4">
        <f>SUBTOTAL(9,L34:L44)</f>
        <v>40708.343999999997</v>
      </c>
      <c r="M45" s="4">
        <f>SUBTOTAL(9,M34:M44)</f>
        <v>6355359.3371663196</v>
      </c>
      <c r="N45" s="104">
        <f>M45/D45</f>
        <v>7.8059664342601609</v>
      </c>
      <c r="P45" s="107"/>
    </row>
    <row r="46" spans="1:16" hidden="1" outlineLevel="2" x14ac:dyDescent="0.2">
      <c r="G46" s="90"/>
      <c r="H46" s="4"/>
      <c r="I46" s="4"/>
      <c r="J46" s="79"/>
      <c r="K46" s="4"/>
      <c r="L46" s="4"/>
    </row>
    <row r="47" spans="1:16" hidden="1" outlineLevel="2" x14ac:dyDescent="0.2">
      <c r="G47" s="90"/>
      <c r="H47" s="4"/>
      <c r="I47" s="4"/>
      <c r="J47" s="79"/>
      <c r="K47" s="4"/>
      <c r="L47" s="4"/>
    </row>
    <row r="48" spans="1:16" hidden="1" outlineLevel="2" x14ac:dyDescent="0.2">
      <c r="G48" s="90"/>
      <c r="H48" s="4"/>
      <c r="I48" s="4"/>
      <c r="J48" s="79"/>
      <c r="K48" s="4"/>
      <c r="L48" s="4"/>
    </row>
    <row r="49" spans="1:16" outlineLevel="1" collapsed="1" x14ac:dyDescent="0.2">
      <c r="A49" s="103" t="s">
        <v>153</v>
      </c>
      <c r="D49" s="105">
        <f>SUBTOTAL(9,D46:D48)</f>
        <v>0</v>
      </c>
      <c r="G49" s="90"/>
      <c r="H49" s="4">
        <f>SUBTOTAL(9,H46:H48)</f>
        <v>0</v>
      </c>
      <c r="I49" s="4">
        <f>SUBTOTAL(9,I46:I48)</f>
        <v>0</v>
      </c>
      <c r="J49" s="79"/>
      <c r="K49" s="4">
        <f>SUBTOTAL(9,K46:K48)</f>
        <v>0</v>
      </c>
      <c r="L49" s="4">
        <f>SUBTOTAL(9,L46:L48)</f>
        <v>0</v>
      </c>
      <c r="N49" s="123" t="s">
        <v>236</v>
      </c>
      <c r="P49" s="107"/>
    </row>
    <row r="50" spans="1:16" hidden="1" outlineLevel="2" x14ac:dyDescent="0.2">
      <c r="A50" t="s">
        <v>119</v>
      </c>
      <c r="B50">
        <v>2014</v>
      </c>
      <c r="C50">
        <v>3.5</v>
      </c>
      <c r="D50">
        <v>35063.769999999997</v>
      </c>
      <c r="E50">
        <v>7</v>
      </c>
      <c r="F50">
        <v>4.3243359999999997</v>
      </c>
      <c r="G50" s="90">
        <f>'KY MSGO Parameters'!$R$26</f>
        <v>0</v>
      </c>
      <c r="H50" s="4">
        <f t="shared" si="0"/>
        <v>13402.695299039999</v>
      </c>
      <c r="I50" s="4">
        <f t="shared" si="1"/>
        <v>13402.695299039999</v>
      </c>
      <c r="J50" s="79">
        <f t="shared" si="3"/>
        <v>1.2081585334289455</v>
      </c>
      <c r="K50" s="4">
        <f t="shared" si="2"/>
        <v>16192.580696483186</v>
      </c>
      <c r="L50" s="4">
        <f>+D50/E50</f>
        <v>5009.1099999999997</v>
      </c>
      <c r="M50" s="105">
        <f t="shared" ref="M50" si="7">D50*F50</f>
        <v>151627.52290671997</v>
      </c>
    </row>
    <row r="51" spans="1:16" outlineLevel="1" collapsed="1" x14ac:dyDescent="0.2">
      <c r="A51" s="103" t="s">
        <v>154</v>
      </c>
      <c r="D51" s="105">
        <f>SUBTOTAL(9,D50:D50)</f>
        <v>35063.769999999997</v>
      </c>
      <c r="G51" s="90"/>
      <c r="H51" s="4">
        <f>SUBTOTAL(9,H50:H50)</f>
        <v>13402.695299039999</v>
      </c>
      <c r="I51" s="4">
        <f>SUBTOTAL(9,I50:I50)</f>
        <v>13402.695299039999</v>
      </c>
      <c r="J51" s="79"/>
      <c r="K51" s="4">
        <f>SUBTOTAL(9,K50:K50)</f>
        <v>16192.580696483186</v>
      </c>
      <c r="L51" s="4">
        <f>SUBTOTAL(9,L50:L50)</f>
        <v>5009.1099999999997</v>
      </c>
      <c r="M51" s="4">
        <f>SUBTOTAL(9,M50:M50)</f>
        <v>151627.52290671997</v>
      </c>
      <c r="N51" s="104">
        <f>M51/D51</f>
        <v>4.3243359999999997</v>
      </c>
      <c r="P51" s="107"/>
    </row>
    <row r="52" spans="1:16" hidden="1" outlineLevel="2" x14ac:dyDescent="0.2">
      <c r="G52" s="90"/>
      <c r="H52" s="4"/>
      <c r="I52" s="4"/>
      <c r="J52" s="79"/>
      <c r="K52" s="86"/>
      <c r="L52" s="4"/>
    </row>
    <row r="53" spans="1:16" hidden="1" outlineLevel="2" x14ac:dyDescent="0.2">
      <c r="G53" s="90"/>
      <c r="H53" s="4"/>
      <c r="I53" s="4"/>
      <c r="J53" s="79"/>
      <c r="K53" s="86"/>
      <c r="L53" s="4"/>
    </row>
    <row r="54" spans="1:16" hidden="1" outlineLevel="2" x14ac:dyDescent="0.2">
      <c r="G54" s="90"/>
      <c r="H54" s="4"/>
      <c r="I54" s="4"/>
      <c r="J54" s="79"/>
      <c r="K54" s="86"/>
      <c r="L54" s="4"/>
    </row>
    <row r="55" spans="1:16" outlineLevel="1" collapsed="1" x14ac:dyDescent="0.2">
      <c r="A55" s="103" t="s">
        <v>155</v>
      </c>
      <c r="D55" s="105">
        <f>SUBTOTAL(9,D52:D54)</f>
        <v>0</v>
      </c>
      <c r="G55" s="90"/>
      <c r="H55" s="4">
        <f>SUBTOTAL(9,H52:H54)</f>
        <v>0</v>
      </c>
      <c r="I55" s="4">
        <f>SUBTOTAL(9,I52:I54)</f>
        <v>0</v>
      </c>
      <c r="J55" s="79"/>
      <c r="K55" s="86">
        <f>SUBTOTAL(9,K52:K54)</f>
        <v>0</v>
      </c>
      <c r="L55" s="4">
        <f>SUBTOTAL(9,L52:L54)</f>
        <v>0</v>
      </c>
      <c r="N55" s="123" t="s">
        <v>236</v>
      </c>
      <c r="P55" s="107"/>
    </row>
    <row r="56" spans="1:16" x14ac:dyDescent="0.2">
      <c r="A56" s="103" t="s">
        <v>156</v>
      </c>
      <c r="D56" s="105">
        <f>SUBTOTAL(9,D4:D54)</f>
        <v>1305161.9000000001</v>
      </c>
      <c r="G56" s="90"/>
      <c r="H56" s="4">
        <f>SUBTOTAL(9,H4:H54)</f>
        <v>706498.08876013698</v>
      </c>
      <c r="I56" s="4">
        <f>SUBTOTAL(9,I4:I54)</f>
        <v>710940.09597703582</v>
      </c>
      <c r="J56" s="79"/>
      <c r="K56" s="4">
        <f>SUBTOTAL(9,K4:K54)</f>
        <v>896916.85999999987</v>
      </c>
      <c r="L56" s="4">
        <f>SUBTOTAL(9,L4:L54)</f>
        <v>69266.115666666679</v>
      </c>
      <c r="M56" s="4">
        <f>SUBTOTAL(9,M4:M54)</f>
        <v>13310899.491494372</v>
      </c>
      <c r="N56" s="104">
        <f>M56/D56</f>
        <v>10.198657723225272</v>
      </c>
    </row>
    <row r="58" spans="1:16" x14ac:dyDescent="0.2">
      <c r="H58" s="96" t="s">
        <v>208</v>
      </c>
      <c r="I58" s="34">
        <f>'PBC Reserve Balance 2017'!E18</f>
        <v>896916.85999999987</v>
      </c>
      <c r="K58" s="107">
        <f>K56-I58</f>
        <v>0</v>
      </c>
    </row>
    <row r="59" spans="1:16" x14ac:dyDescent="0.2">
      <c r="H59" s="96" t="s">
        <v>222</v>
      </c>
      <c r="I59" s="107">
        <f>I56</f>
        <v>710940.09597703582</v>
      </c>
    </row>
    <row r="60" spans="1:16" x14ac:dyDescent="0.2">
      <c r="A60" s="65" t="s">
        <v>248</v>
      </c>
      <c r="H60" s="96" t="s">
        <v>223</v>
      </c>
      <c r="I60" s="107">
        <v>1.2081585334289455</v>
      </c>
    </row>
    <row r="61" spans="1:16" x14ac:dyDescent="0.2">
      <c r="A61">
        <v>39009</v>
      </c>
      <c r="D61" s="105">
        <f>D10</f>
        <v>0</v>
      </c>
    </row>
    <row r="62" spans="1:16" x14ac:dyDescent="0.2">
      <c r="A62">
        <v>39100</v>
      </c>
      <c r="D62" s="105">
        <f>D18</f>
        <v>0</v>
      </c>
    </row>
    <row r="63" spans="1:16" x14ac:dyDescent="0.2">
      <c r="A63">
        <v>39906</v>
      </c>
      <c r="D63" s="105">
        <f>D49</f>
        <v>0</v>
      </c>
    </row>
    <row r="64" spans="1:16" x14ac:dyDescent="0.2">
      <c r="A64">
        <v>39908</v>
      </c>
      <c r="D64" s="105">
        <f>D55</f>
        <v>0</v>
      </c>
    </row>
  </sheetData>
  <pageMargins left="0.75" right="0.75" top="1" bottom="1" header="0.5" footer="0.5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workbookViewId="0"/>
  </sheetViews>
  <sheetFormatPr defaultRowHeight="15" outlineLevelRow="2" x14ac:dyDescent="0.25"/>
  <cols>
    <col min="1" max="1" width="22" style="30" bestFit="1" customWidth="1"/>
    <col min="2" max="2" width="23.42578125" style="30" bestFit="1" customWidth="1"/>
    <col min="3" max="3" width="34.140625" style="30" bestFit="1" customWidth="1"/>
    <col min="4" max="4" width="36.28515625" style="30" bestFit="1" customWidth="1"/>
    <col min="5" max="5" width="7.85546875" style="30" bestFit="1" customWidth="1"/>
    <col min="6" max="6" width="12.42578125" style="32" bestFit="1" customWidth="1"/>
    <col min="7" max="7" width="9.140625" style="30"/>
    <col min="8" max="8" width="12.42578125" style="30" bestFit="1" customWidth="1"/>
    <col min="9" max="16384" width="9.140625" style="30"/>
  </cols>
  <sheetData>
    <row r="1" spans="1:10" x14ac:dyDescent="0.25">
      <c r="A1" s="28" t="s">
        <v>46</v>
      </c>
      <c r="B1" s="28" t="s">
        <v>47</v>
      </c>
      <c r="C1" s="28" t="s">
        <v>48</v>
      </c>
      <c r="D1" s="28" t="s">
        <v>49</v>
      </c>
      <c r="E1" s="28" t="s">
        <v>50</v>
      </c>
      <c r="F1" s="29" t="s">
        <v>51</v>
      </c>
    </row>
    <row r="2" spans="1:10" hidden="1" outlineLevel="2" x14ac:dyDescent="0.25">
      <c r="A2" s="31" t="s">
        <v>52</v>
      </c>
      <c r="B2" s="31" t="s">
        <v>53</v>
      </c>
      <c r="C2" s="31" t="s">
        <v>54</v>
      </c>
      <c r="D2" s="31" t="s">
        <v>55</v>
      </c>
      <c r="E2" s="31" t="s">
        <v>56</v>
      </c>
      <c r="F2" s="32">
        <v>185309.27</v>
      </c>
    </row>
    <row r="3" spans="1:10" outlineLevel="1" collapsed="1" x14ac:dyDescent="0.25">
      <c r="A3" s="31"/>
      <c r="B3" s="31"/>
      <c r="C3" s="35" t="s">
        <v>142</v>
      </c>
      <c r="D3" s="31"/>
      <c r="E3" s="31"/>
      <c r="F3" s="32">
        <f>SUBTOTAL(9,F2:F2)</f>
        <v>185309.27</v>
      </c>
      <c r="I3"/>
      <c r="J3" s="34"/>
    </row>
    <row r="4" spans="1:10" hidden="1" outlineLevel="2" x14ac:dyDescent="0.25">
      <c r="A4" s="31" t="s">
        <v>52</v>
      </c>
      <c r="B4" s="31" t="s">
        <v>53</v>
      </c>
      <c r="C4" s="31" t="s">
        <v>57</v>
      </c>
      <c r="D4" s="31" t="s">
        <v>58</v>
      </c>
      <c r="E4" s="31" t="s">
        <v>56</v>
      </c>
      <c r="F4" s="32">
        <v>1109551.68</v>
      </c>
      <c r="I4"/>
      <c r="J4" s="34"/>
    </row>
    <row r="5" spans="1:10" outlineLevel="1" collapsed="1" x14ac:dyDescent="0.25">
      <c r="A5" s="31"/>
      <c r="B5" s="31"/>
      <c r="C5" s="35" t="s">
        <v>143</v>
      </c>
      <c r="D5" s="31"/>
      <c r="E5" s="31"/>
      <c r="F5" s="32">
        <f>SUBTOTAL(9,F4:F4)</f>
        <v>1109551.68</v>
      </c>
      <c r="I5"/>
      <c r="J5" s="34"/>
    </row>
    <row r="6" spans="1:10" hidden="1" outlineLevel="2" x14ac:dyDescent="0.25">
      <c r="A6" s="31" t="s">
        <v>52</v>
      </c>
      <c r="B6" s="31" t="s">
        <v>53</v>
      </c>
      <c r="C6" s="31" t="s">
        <v>59</v>
      </c>
      <c r="D6" s="31" t="s">
        <v>60</v>
      </c>
      <c r="E6" s="31" t="s">
        <v>61</v>
      </c>
      <c r="F6" s="32">
        <v>35669.800000000003</v>
      </c>
      <c r="I6"/>
      <c r="J6" s="34"/>
    </row>
    <row r="7" spans="1:10" hidden="1" outlineLevel="2" x14ac:dyDescent="0.25">
      <c r="A7" s="31" t="s">
        <v>52</v>
      </c>
      <c r="B7" s="31" t="s">
        <v>53</v>
      </c>
      <c r="C7" s="31" t="s">
        <v>59</v>
      </c>
      <c r="D7" s="31" t="s">
        <v>60</v>
      </c>
      <c r="E7" s="31" t="s">
        <v>62</v>
      </c>
      <c r="F7" s="32">
        <v>143668.72</v>
      </c>
      <c r="I7"/>
      <c r="J7" s="34"/>
    </row>
    <row r="8" spans="1:10" outlineLevel="1" collapsed="1" x14ac:dyDescent="0.25">
      <c r="A8" s="31"/>
      <c r="B8" s="31"/>
      <c r="C8" s="35" t="s">
        <v>144</v>
      </c>
      <c r="D8" s="31"/>
      <c r="E8" s="31"/>
      <c r="F8" s="32">
        <f>SUBTOTAL(9,F6:F7)</f>
        <v>179338.52000000002</v>
      </c>
      <c r="H8" s="32">
        <f>'PBC Reserve Balance 2017'!E2</f>
        <v>96161.03</v>
      </c>
      <c r="I8"/>
      <c r="J8" s="34"/>
    </row>
    <row r="9" spans="1:10" hidden="1" outlineLevel="2" x14ac:dyDescent="0.25">
      <c r="A9" s="31" t="s">
        <v>52</v>
      </c>
      <c r="B9" s="31" t="s">
        <v>53</v>
      </c>
      <c r="C9" s="31" t="s">
        <v>63</v>
      </c>
      <c r="D9" s="31" t="s">
        <v>64</v>
      </c>
      <c r="E9" s="31" t="s">
        <v>56</v>
      </c>
      <c r="F9" s="32">
        <v>5771</v>
      </c>
      <c r="I9"/>
      <c r="J9" s="34"/>
    </row>
    <row r="10" spans="1:10" hidden="1" outlineLevel="2" x14ac:dyDescent="0.25">
      <c r="A10" s="31" t="s">
        <v>52</v>
      </c>
      <c r="B10" s="31" t="s">
        <v>53</v>
      </c>
      <c r="C10" s="31" t="s">
        <v>63</v>
      </c>
      <c r="D10" s="31" t="s">
        <v>65</v>
      </c>
      <c r="E10" s="31" t="s">
        <v>66</v>
      </c>
      <c r="F10" s="32">
        <v>9612.91</v>
      </c>
      <c r="I10"/>
      <c r="J10" s="34"/>
    </row>
    <row r="11" spans="1:10" outlineLevel="1" collapsed="1" x14ac:dyDescent="0.25">
      <c r="A11" s="31"/>
      <c r="B11" s="31"/>
      <c r="C11" s="35" t="s">
        <v>145</v>
      </c>
      <c r="D11" s="31"/>
      <c r="E11" s="31"/>
      <c r="F11" s="32">
        <f>SUBTOTAL(9,F9:F10)</f>
        <v>15383.91</v>
      </c>
      <c r="H11" s="32">
        <f>'PBC Reserve Balance 2017'!E3</f>
        <v>7969.05</v>
      </c>
      <c r="I11"/>
      <c r="J11" s="34"/>
    </row>
    <row r="12" spans="1:10" hidden="1" outlineLevel="2" x14ac:dyDescent="0.25">
      <c r="A12" s="31" t="s">
        <v>52</v>
      </c>
      <c r="B12" s="31" t="s">
        <v>53</v>
      </c>
      <c r="C12" s="31" t="s">
        <v>67</v>
      </c>
      <c r="D12" s="31" t="s">
        <v>68</v>
      </c>
      <c r="E12" s="31" t="s">
        <v>69</v>
      </c>
      <c r="F12" s="32">
        <v>38834</v>
      </c>
      <c r="I12"/>
      <c r="J12" s="34"/>
    </row>
    <row r="13" spans="1:10" outlineLevel="1" collapsed="1" x14ac:dyDescent="0.25">
      <c r="A13" s="31"/>
      <c r="B13" s="31"/>
      <c r="C13" s="35" t="s">
        <v>146</v>
      </c>
      <c r="D13" s="31"/>
      <c r="E13" s="31"/>
      <c r="F13" s="32">
        <f>SUBTOTAL(9,F12:F12)</f>
        <v>38834</v>
      </c>
      <c r="H13" s="32">
        <f>'PBC Reserve Balance 2017'!E4</f>
        <v>38834</v>
      </c>
      <c r="I13" t="s">
        <v>207</v>
      </c>
      <c r="J13" s="34"/>
    </row>
    <row r="14" spans="1:10" hidden="1" outlineLevel="2" x14ac:dyDescent="0.25">
      <c r="A14" s="31" t="s">
        <v>52</v>
      </c>
      <c r="B14" s="31" t="s">
        <v>53</v>
      </c>
      <c r="C14" s="31" t="s">
        <v>70</v>
      </c>
      <c r="D14" s="31" t="s">
        <v>71</v>
      </c>
      <c r="E14" s="31" t="s">
        <v>72</v>
      </c>
      <c r="F14" s="32">
        <v>19516.650000000001</v>
      </c>
      <c r="I14"/>
      <c r="J14" s="34"/>
    </row>
    <row r="15" spans="1:10" hidden="1" outlineLevel="2" x14ac:dyDescent="0.25">
      <c r="A15" s="31" t="s">
        <v>52</v>
      </c>
      <c r="B15" s="31" t="s">
        <v>53</v>
      </c>
      <c r="C15" s="31" t="s">
        <v>70</v>
      </c>
      <c r="D15" s="31" t="s">
        <v>71</v>
      </c>
      <c r="E15" s="31" t="s">
        <v>73</v>
      </c>
      <c r="F15" s="32">
        <v>1227.03</v>
      </c>
      <c r="I15"/>
      <c r="J15" s="34"/>
    </row>
    <row r="16" spans="1:10" hidden="1" outlineLevel="2" x14ac:dyDescent="0.25">
      <c r="A16" s="31" t="s">
        <v>52</v>
      </c>
      <c r="B16" s="31" t="s">
        <v>53</v>
      </c>
      <c r="C16" s="31" t="s">
        <v>70</v>
      </c>
      <c r="D16" s="31" t="s">
        <v>74</v>
      </c>
      <c r="E16" s="31" t="s">
        <v>72</v>
      </c>
      <c r="F16" s="32">
        <v>2032.99</v>
      </c>
      <c r="I16"/>
      <c r="J16" s="34"/>
    </row>
    <row r="17" spans="1:9" hidden="1" outlineLevel="2" x14ac:dyDescent="0.25">
      <c r="A17" s="31" t="s">
        <v>52</v>
      </c>
      <c r="B17" s="31" t="s">
        <v>53</v>
      </c>
      <c r="C17" s="31" t="s">
        <v>70</v>
      </c>
      <c r="D17" s="31" t="s">
        <v>75</v>
      </c>
      <c r="E17" s="31" t="s">
        <v>76</v>
      </c>
      <c r="F17" s="32">
        <v>2949.48</v>
      </c>
    </row>
    <row r="18" spans="1:9" hidden="1" outlineLevel="2" x14ac:dyDescent="0.25">
      <c r="A18" s="31" t="s">
        <v>52</v>
      </c>
      <c r="B18" s="31" t="s">
        <v>53</v>
      </c>
      <c r="C18" s="31" t="s">
        <v>70</v>
      </c>
      <c r="D18" s="31" t="s">
        <v>77</v>
      </c>
      <c r="E18" s="31" t="s">
        <v>78</v>
      </c>
      <c r="F18" s="32">
        <v>6377.62</v>
      </c>
    </row>
    <row r="19" spans="1:9" hidden="1" outlineLevel="2" x14ac:dyDescent="0.25">
      <c r="A19" s="31" t="s">
        <v>52</v>
      </c>
      <c r="B19" s="31" t="s">
        <v>53</v>
      </c>
      <c r="C19" s="31" t="s">
        <v>70</v>
      </c>
      <c r="D19" s="31" t="s">
        <v>79</v>
      </c>
      <c r="E19" s="31" t="s">
        <v>80</v>
      </c>
      <c r="F19" s="32">
        <v>2320.56</v>
      </c>
    </row>
    <row r="20" spans="1:9" hidden="1" outlineLevel="2" x14ac:dyDescent="0.25">
      <c r="A20" s="31" t="s">
        <v>52</v>
      </c>
      <c r="B20" s="31" t="s">
        <v>53</v>
      </c>
      <c r="C20" s="31" t="s">
        <v>70</v>
      </c>
      <c r="D20" s="31" t="s">
        <v>81</v>
      </c>
      <c r="E20" s="31" t="s">
        <v>82</v>
      </c>
      <c r="F20" s="32">
        <v>467.32</v>
      </c>
    </row>
    <row r="21" spans="1:9" hidden="1" outlineLevel="2" x14ac:dyDescent="0.25">
      <c r="A21" s="31" t="s">
        <v>52</v>
      </c>
      <c r="B21" s="31" t="s">
        <v>53</v>
      </c>
      <c r="C21" s="31" t="s">
        <v>70</v>
      </c>
      <c r="D21" s="31" t="s">
        <v>83</v>
      </c>
      <c r="E21" s="31" t="s">
        <v>72</v>
      </c>
      <c r="F21" s="32">
        <v>6505.56</v>
      </c>
    </row>
    <row r="22" spans="1:9" outlineLevel="1" collapsed="1" x14ac:dyDescent="0.25">
      <c r="A22" s="31"/>
      <c r="B22" s="31"/>
      <c r="C22" s="35" t="s">
        <v>147</v>
      </c>
      <c r="D22" s="31"/>
      <c r="E22" s="31"/>
      <c r="F22" s="32">
        <f>SUBTOTAL(9,F14:F21)</f>
        <v>41397.21</v>
      </c>
      <c r="H22" s="32">
        <f>'PBC Reserve Balance 2017'!E5</f>
        <v>41397.21</v>
      </c>
      <c r="I22" s="30" t="s">
        <v>207</v>
      </c>
    </row>
    <row r="23" spans="1:9" hidden="1" outlineLevel="2" x14ac:dyDescent="0.25">
      <c r="A23" s="31" t="s">
        <v>52</v>
      </c>
      <c r="B23" s="31" t="s">
        <v>53</v>
      </c>
      <c r="C23" s="31" t="s">
        <v>84</v>
      </c>
      <c r="D23" s="31" t="s">
        <v>85</v>
      </c>
      <c r="E23" s="31" t="s">
        <v>86</v>
      </c>
      <c r="F23" s="32">
        <v>23175</v>
      </c>
    </row>
    <row r="24" spans="1:9" hidden="1" outlineLevel="2" x14ac:dyDescent="0.25">
      <c r="A24" s="31" t="s">
        <v>52</v>
      </c>
      <c r="B24" s="31" t="s">
        <v>53</v>
      </c>
      <c r="C24" s="31" t="s">
        <v>84</v>
      </c>
      <c r="D24" s="31" t="s">
        <v>87</v>
      </c>
      <c r="E24" s="31" t="s">
        <v>88</v>
      </c>
      <c r="F24" s="32">
        <v>4109.6899999999996</v>
      </c>
    </row>
    <row r="25" spans="1:9" outlineLevel="1" collapsed="1" x14ac:dyDescent="0.25">
      <c r="A25" s="31"/>
      <c r="B25" s="31"/>
      <c r="C25" s="35" t="s">
        <v>148</v>
      </c>
      <c r="D25" s="31"/>
      <c r="E25" s="31"/>
      <c r="F25" s="32">
        <f>SUBTOTAL(9,F23:F24)</f>
        <v>27284.69</v>
      </c>
      <c r="H25" s="32">
        <f>'PBC Reserve Balance 2017'!E6</f>
        <v>14259.34</v>
      </c>
    </row>
    <row r="26" spans="1:9" hidden="1" outlineLevel="2" x14ac:dyDescent="0.25">
      <c r="A26" s="31" t="s">
        <v>52</v>
      </c>
      <c r="B26" s="31" t="s">
        <v>53</v>
      </c>
      <c r="C26" s="31" t="s">
        <v>89</v>
      </c>
      <c r="D26" s="31" t="s">
        <v>90</v>
      </c>
      <c r="E26" s="31" t="s">
        <v>91</v>
      </c>
      <c r="F26" s="32">
        <v>13346.43</v>
      </c>
    </row>
    <row r="27" spans="1:9" hidden="1" outlineLevel="2" x14ac:dyDescent="0.25">
      <c r="A27" s="31" t="s">
        <v>52</v>
      </c>
      <c r="B27" s="31" t="s">
        <v>53</v>
      </c>
      <c r="C27" s="31" t="s">
        <v>89</v>
      </c>
      <c r="D27" s="31" t="s">
        <v>92</v>
      </c>
      <c r="E27" s="31" t="s">
        <v>61</v>
      </c>
      <c r="F27" s="32">
        <v>108206.3</v>
      </c>
    </row>
    <row r="28" spans="1:9" hidden="1" outlineLevel="2" x14ac:dyDescent="0.25">
      <c r="A28" s="31" t="s">
        <v>52</v>
      </c>
      <c r="B28" s="31" t="s">
        <v>53</v>
      </c>
      <c r="C28" s="31" t="s">
        <v>89</v>
      </c>
      <c r="D28" s="31" t="s">
        <v>93</v>
      </c>
      <c r="E28" s="31" t="s">
        <v>76</v>
      </c>
      <c r="F28" s="32">
        <v>30291.18</v>
      </c>
    </row>
    <row r="29" spans="1:9" hidden="1" outlineLevel="2" x14ac:dyDescent="0.25">
      <c r="A29" s="31" t="s">
        <v>52</v>
      </c>
      <c r="B29" s="31" t="s">
        <v>53</v>
      </c>
      <c r="C29" s="31" t="s">
        <v>89</v>
      </c>
      <c r="D29" s="31" t="s">
        <v>94</v>
      </c>
      <c r="E29" s="31" t="s">
        <v>72</v>
      </c>
      <c r="F29" s="32">
        <v>4818.97</v>
      </c>
    </row>
    <row r="30" spans="1:9" hidden="1" outlineLevel="2" x14ac:dyDescent="0.25">
      <c r="A30" s="31" t="s">
        <v>52</v>
      </c>
      <c r="B30" s="31" t="s">
        <v>53</v>
      </c>
      <c r="C30" s="31" t="s">
        <v>89</v>
      </c>
      <c r="D30" s="31" t="s">
        <v>94</v>
      </c>
      <c r="E30" s="31" t="s">
        <v>80</v>
      </c>
      <c r="F30" s="32">
        <v>13706.31</v>
      </c>
    </row>
    <row r="31" spans="1:9" hidden="1" outlineLevel="2" x14ac:dyDescent="0.25">
      <c r="A31" s="31" t="s">
        <v>52</v>
      </c>
      <c r="B31" s="31" t="s">
        <v>53</v>
      </c>
      <c r="C31" s="31" t="s">
        <v>89</v>
      </c>
      <c r="D31" s="31" t="s">
        <v>95</v>
      </c>
      <c r="E31" s="31" t="s">
        <v>96</v>
      </c>
      <c r="F31" s="32">
        <v>5498.25</v>
      </c>
    </row>
    <row r="32" spans="1:9" outlineLevel="1" collapsed="1" x14ac:dyDescent="0.25">
      <c r="A32" s="31"/>
      <c r="B32" s="31"/>
      <c r="C32" s="35" t="s">
        <v>149</v>
      </c>
      <c r="D32" s="31"/>
      <c r="E32" s="31"/>
      <c r="F32" s="32">
        <f>SUBTOTAL(9,F26:F31)</f>
        <v>175867.44</v>
      </c>
      <c r="H32" s="32">
        <f>'PBC Reserve Balance 2017'!E7</f>
        <v>130426.59</v>
      </c>
    </row>
    <row r="33" spans="1:8" hidden="1" outlineLevel="2" x14ac:dyDescent="0.25">
      <c r="A33" s="31" t="s">
        <v>52</v>
      </c>
      <c r="B33" s="31" t="s">
        <v>53</v>
      </c>
      <c r="C33" s="31" t="s">
        <v>97</v>
      </c>
      <c r="D33" s="31" t="s">
        <v>98</v>
      </c>
      <c r="E33" s="31" t="s">
        <v>88</v>
      </c>
      <c r="F33" s="32">
        <v>11037.17</v>
      </c>
    </row>
    <row r="34" spans="1:8" hidden="1" outlineLevel="2" x14ac:dyDescent="0.25">
      <c r="A34" s="31" t="s">
        <v>52</v>
      </c>
      <c r="B34" s="31" t="s">
        <v>53</v>
      </c>
      <c r="C34" s="31" t="s">
        <v>97</v>
      </c>
      <c r="D34" s="31" t="s">
        <v>99</v>
      </c>
      <c r="E34" s="31" t="s">
        <v>76</v>
      </c>
      <c r="F34" s="32">
        <v>9478.52</v>
      </c>
    </row>
    <row r="35" spans="1:8" outlineLevel="1" collapsed="1" x14ac:dyDescent="0.25">
      <c r="A35" s="31"/>
      <c r="B35" s="31"/>
      <c r="C35" s="35" t="s">
        <v>150</v>
      </c>
      <c r="D35" s="31"/>
      <c r="E35" s="31"/>
      <c r="F35" s="32">
        <f>SUBTOTAL(9,F33:F34)</f>
        <v>20515.690000000002</v>
      </c>
      <c r="H35" s="32">
        <f>'PBC Reserve Balance 2017'!E8</f>
        <v>6836.84</v>
      </c>
    </row>
    <row r="36" spans="1:8" hidden="1" outlineLevel="2" x14ac:dyDescent="0.25">
      <c r="A36" s="31" t="s">
        <v>52</v>
      </c>
      <c r="B36" s="31" t="s">
        <v>53</v>
      </c>
      <c r="C36" s="31" t="s">
        <v>100</v>
      </c>
      <c r="D36" s="31" t="s">
        <v>101</v>
      </c>
      <c r="E36" s="31" t="s">
        <v>91</v>
      </c>
      <c r="F36" s="32">
        <v>37541</v>
      </c>
    </row>
    <row r="37" spans="1:8" outlineLevel="1" collapsed="1" x14ac:dyDescent="0.25">
      <c r="A37" s="31"/>
      <c r="B37" s="31"/>
      <c r="C37" s="35" t="s">
        <v>151</v>
      </c>
      <c r="D37" s="31"/>
      <c r="E37" s="31"/>
      <c r="F37" s="32">
        <f>SUBTOTAL(9,F36:F36)</f>
        <v>37541</v>
      </c>
      <c r="H37" s="32">
        <f>'PBC Reserve Balance 2017'!E9</f>
        <v>-9431.25</v>
      </c>
    </row>
    <row r="38" spans="1:8" hidden="1" outlineLevel="2" x14ac:dyDescent="0.25">
      <c r="A38" s="31" t="s">
        <v>52</v>
      </c>
      <c r="B38" s="31" t="s">
        <v>53</v>
      </c>
      <c r="C38" s="31" t="s">
        <v>102</v>
      </c>
      <c r="D38" s="31" t="s">
        <v>103</v>
      </c>
      <c r="E38" s="31" t="s">
        <v>72</v>
      </c>
      <c r="F38" s="32">
        <v>57835.12</v>
      </c>
    </row>
    <row r="39" spans="1:8" hidden="1" outlineLevel="2" x14ac:dyDescent="0.25">
      <c r="A39" s="31" t="s">
        <v>52</v>
      </c>
      <c r="B39" s="31" t="s">
        <v>53</v>
      </c>
      <c r="C39" s="31" t="s">
        <v>102</v>
      </c>
      <c r="D39" s="31" t="s">
        <v>104</v>
      </c>
      <c r="E39" s="31" t="s">
        <v>69</v>
      </c>
      <c r="F39" s="32">
        <v>11086.93</v>
      </c>
    </row>
    <row r="40" spans="1:8" hidden="1" outlineLevel="2" x14ac:dyDescent="0.25">
      <c r="A40" s="31" t="s">
        <v>52</v>
      </c>
      <c r="B40" s="31" t="s">
        <v>53</v>
      </c>
      <c r="C40" s="31" t="s">
        <v>102</v>
      </c>
      <c r="D40" s="31" t="s">
        <v>105</v>
      </c>
      <c r="E40" s="31" t="s">
        <v>56</v>
      </c>
      <c r="F40" s="32">
        <v>1967.66</v>
      </c>
    </row>
    <row r="41" spans="1:8" hidden="1" outlineLevel="2" x14ac:dyDescent="0.25">
      <c r="A41" s="31" t="s">
        <v>52</v>
      </c>
      <c r="B41" s="31" t="s">
        <v>53</v>
      </c>
      <c r="C41" s="31" t="s">
        <v>102</v>
      </c>
      <c r="D41" s="31" t="s">
        <v>105</v>
      </c>
      <c r="E41" s="31" t="s">
        <v>106</v>
      </c>
      <c r="F41" s="32">
        <v>1881.27</v>
      </c>
    </row>
    <row r="42" spans="1:8" hidden="1" outlineLevel="2" x14ac:dyDescent="0.25">
      <c r="A42" s="31" t="s">
        <v>52</v>
      </c>
      <c r="B42" s="31" t="s">
        <v>53</v>
      </c>
      <c r="C42" s="31" t="s">
        <v>102</v>
      </c>
      <c r="D42" s="31" t="s">
        <v>107</v>
      </c>
      <c r="E42" s="31" t="s">
        <v>61</v>
      </c>
      <c r="F42" s="32">
        <v>363.88</v>
      </c>
    </row>
    <row r="43" spans="1:8" hidden="1" outlineLevel="2" x14ac:dyDescent="0.25">
      <c r="A43" s="31" t="s">
        <v>52</v>
      </c>
      <c r="B43" s="31" t="s">
        <v>53</v>
      </c>
      <c r="C43" s="31" t="s">
        <v>102</v>
      </c>
      <c r="D43" s="31" t="s">
        <v>107</v>
      </c>
      <c r="E43" s="31" t="s">
        <v>73</v>
      </c>
      <c r="F43" s="32">
        <v>1675.12</v>
      </c>
    </row>
    <row r="44" spans="1:8" hidden="1" outlineLevel="2" x14ac:dyDescent="0.25">
      <c r="A44" s="31" t="s">
        <v>52</v>
      </c>
      <c r="B44" s="31" t="s">
        <v>53</v>
      </c>
      <c r="C44" s="31" t="s">
        <v>102</v>
      </c>
      <c r="D44" s="31" t="s">
        <v>107</v>
      </c>
      <c r="E44" s="31" t="s">
        <v>69</v>
      </c>
      <c r="F44" s="32">
        <v>346980.56</v>
      </c>
    </row>
    <row r="45" spans="1:8" hidden="1" outlineLevel="2" x14ac:dyDescent="0.25">
      <c r="A45" s="31" t="s">
        <v>52</v>
      </c>
      <c r="B45" s="31" t="s">
        <v>53</v>
      </c>
      <c r="C45" s="31" t="s">
        <v>102</v>
      </c>
      <c r="D45" s="31" t="s">
        <v>107</v>
      </c>
      <c r="E45" s="31" t="s">
        <v>56</v>
      </c>
      <c r="F45" s="32">
        <v>650.30999999999995</v>
      </c>
    </row>
    <row r="46" spans="1:8" hidden="1" outlineLevel="2" x14ac:dyDescent="0.25">
      <c r="A46" s="31" t="s">
        <v>52</v>
      </c>
      <c r="B46" s="31" t="s">
        <v>53</v>
      </c>
      <c r="C46" s="31" t="s">
        <v>102</v>
      </c>
      <c r="D46" s="31" t="s">
        <v>107</v>
      </c>
      <c r="E46" s="31" t="s">
        <v>108</v>
      </c>
      <c r="F46" s="32">
        <v>10921.48</v>
      </c>
    </row>
    <row r="47" spans="1:8" hidden="1" outlineLevel="2" x14ac:dyDescent="0.25">
      <c r="A47" s="31" t="s">
        <v>52</v>
      </c>
      <c r="B47" s="31" t="s">
        <v>53</v>
      </c>
      <c r="C47" s="31" t="s">
        <v>102</v>
      </c>
      <c r="D47" s="31" t="s">
        <v>107</v>
      </c>
      <c r="E47" s="31" t="s">
        <v>106</v>
      </c>
      <c r="F47" s="32">
        <v>3946.89</v>
      </c>
    </row>
    <row r="48" spans="1:8" hidden="1" outlineLevel="2" x14ac:dyDescent="0.25">
      <c r="A48" s="31" t="s">
        <v>52</v>
      </c>
      <c r="B48" s="31" t="s">
        <v>53</v>
      </c>
      <c r="C48" s="31" t="s">
        <v>102</v>
      </c>
      <c r="D48" s="31" t="s">
        <v>107</v>
      </c>
      <c r="E48" s="31" t="s">
        <v>62</v>
      </c>
      <c r="F48" s="32">
        <v>1891.07</v>
      </c>
    </row>
    <row r="49" spans="1:9" hidden="1" outlineLevel="2" x14ac:dyDescent="0.25">
      <c r="A49" s="31" t="s">
        <v>52</v>
      </c>
      <c r="B49" s="31" t="s">
        <v>53</v>
      </c>
      <c r="C49" s="31" t="s">
        <v>102</v>
      </c>
      <c r="D49" s="31" t="s">
        <v>107</v>
      </c>
      <c r="E49" s="31" t="s">
        <v>109</v>
      </c>
      <c r="F49" s="32">
        <v>55616.6</v>
      </c>
    </row>
    <row r="50" spans="1:9" hidden="1" outlineLevel="2" x14ac:dyDescent="0.25">
      <c r="A50" s="31" t="s">
        <v>52</v>
      </c>
      <c r="B50" s="31" t="s">
        <v>53</v>
      </c>
      <c r="C50" s="31" t="s">
        <v>102</v>
      </c>
      <c r="D50" s="31" t="s">
        <v>107</v>
      </c>
      <c r="E50" s="31" t="s">
        <v>72</v>
      </c>
      <c r="F50" s="32">
        <v>61822.85</v>
      </c>
    </row>
    <row r="51" spans="1:9" hidden="1" outlineLevel="2" x14ac:dyDescent="0.25">
      <c r="A51" s="31" t="s">
        <v>52</v>
      </c>
      <c r="B51" s="31" t="s">
        <v>53</v>
      </c>
      <c r="C51" s="31" t="s">
        <v>102</v>
      </c>
      <c r="D51" s="31" t="s">
        <v>107</v>
      </c>
      <c r="E51" s="31" t="s">
        <v>88</v>
      </c>
      <c r="F51" s="32">
        <v>1577.24</v>
      </c>
    </row>
    <row r="52" spans="1:9" hidden="1" outlineLevel="2" x14ac:dyDescent="0.25">
      <c r="A52" s="31" t="s">
        <v>52</v>
      </c>
      <c r="B52" s="31" t="s">
        <v>53</v>
      </c>
      <c r="C52" s="31" t="s">
        <v>102</v>
      </c>
      <c r="D52" s="31" t="s">
        <v>110</v>
      </c>
      <c r="E52" s="31" t="s">
        <v>56</v>
      </c>
      <c r="F52" s="32">
        <v>619.02</v>
      </c>
    </row>
    <row r="53" spans="1:9" hidden="1" outlineLevel="2" x14ac:dyDescent="0.25">
      <c r="A53" s="31" t="s">
        <v>52</v>
      </c>
      <c r="B53" s="31" t="s">
        <v>53</v>
      </c>
      <c r="C53" s="31" t="s">
        <v>102</v>
      </c>
      <c r="D53" s="31" t="s">
        <v>111</v>
      </c>
      <c r="E53" s="31" t="s">
        <v>72</v>
      </c>
      <c r="F53" s="32">
        <v>252372.18</v>
      </c>
    </row>
    <row r="54" spans="1:9" hidden="1" outlineLevel="2" x14ac:dyDescent="0.25">
      <c r="A54" s="31" t="s">
        <v>52</v>
      </c>
      <c r="B54" s="31" t="s">
        <v>53</v>
      </c>
      <c r="C54" s="31" t="s">
        <v>102</v>
      </c>
      <c r="D54" s="31" t="s">
        <v>112</v>
      </c>
      <c r="E54" s="31" t="s">
        <v>76</v>
      </c>
      <c r="F54" s="32">
        <v>2958.7</v>
      </c>
    </row>
    <row r="55" spans="1:9" outlineLevel="1" collapsed="1" x14ac:dyDescent="0.25">
      <c r="A55" s="31"/>
      <c r="B55" s="31"/>
      <c r="C55" s="35" t="s">
        <v>152</v>
      </c>
      <c r="D55" s="31"/>
      <c r="E55" s="31"/>
      <c r="F55" s="32">
        <f>SUBTOTAL(9,F38:F54)</f>
        <v>814166.87999999989</v>
      </c>
      <c r="H55" s="32">
        <f>'PBC Reserve Balance 2017'!E10</f>
        <v>667186.76</v>
      </c>
    </row>
    <row r="56" spans="1:9" hidden="1" outlineLevel="2" x14ac:dyDescent="0.25">
      <c r="A56" s="31" t="s">
        <v>52</v>
      </c>
      <c r="B56" s="31" t="s">
        <v>53</v>
      </c>
      <c r="C56" s="31" t="s">
        <v>113</v>
      </c>
      <c r="D56" s="31" t="s">
        <v>114</v>
      </c>
      <c r="E56" s="31" t="s">
        <v>96</v>
      </c>
      <c r="F56" s="32">
        <v>9496.3700000000008</v>
      </c>
    </row>
    <row r="57" spans="1:9" hidden="1" outlineLevel="2" x14ac:dyDescent="0.25">
      <c r="A57" s="31" t="s">
        <v>52</v>
      </c>
      <c r="B57" s="31" t="s">
        <v>53</v>
      </c>
      <c r="C57" s="31" t="s">
        <v>113</v>
      </c>
      <c r="D57" s="31" t="s">
        <v>115</v>
      </c>
      <c r="E57" s="31" t="s">
        <v>96</v>
      </c>
      <c r="F57" s="32">
        <v>11552.47</v>
      </c>
    </row>
    <row r="58" spans="1:9" hidden="1" outlineLevel="2" x14ac:dyDescent="0.25">
      <c r="A58" s="31" t="s">
        <v>52</v>
      </c>
      <c r="B58" s="31" t="s">
        <v>53</v>
      </c>
      <c r="C58" s="31" t="s">
        <v>113</v>
      </c>
      <c r="D58" s="31" t="s">
        <v>116</v>
      </c>
      <c r="E58" s="31" t="s">
        <v>96</v>
      </c>
      <c r="F58" s="32">
        <v>22791.279999999999</v>
      </c>
    </row>
    <row r="59" spans="1:9" hidden="1" outlineLevel="2" x14ac:dyDescent="0.25">
      <c r="A59" s="31" t="s">
        <v>52</v>
      </c>
      <c r="B59" s="31" t="s">
        <v>53</v>
      </c>
      <c r="C59" s="31" t="s">
        <v>113</v>
      </c>
      <c r="D59" s="31" t="s">
        <v>117</v>
      </c>
      <c r="E59" s="31" t="s">
        <v>96</v>
      </c>
      <c r="F59" s="32">
        <v>15194.16</v>
      </c>
    </row>
    <row r="60" spans="1:9" hidden="1" outlineLevel="2" x14ac:dyDescent="0.25">
      <c r="A60" s="31" t="s">
        <v>52</v>
      </c>
      <c r="B60" s="31" t="s">
        <v>53</v>
      </c>
      <c r="C60" s="31" t="s">
        <v>113</v>
      </c>
      <c r="D60" s="31" t="s">
        <v>117</v>
      </c>
      <c r="E60" s="31" t="s">
        <v>86</v>
      </c>
      <c r="F60" s="32">
        <v>4011.95</v>
      </c>
    </row>
    <row r="61" spans="1:9" hidden="1" outlineLevel="2" x14ac:dyDescent="0.25">
      <c r="A61" s="31" t="s">
        <v>52</v>
      </c>
      <c r="B61" s="31" t="s">
        <v>53</v>
      </c>
      <c r="C61" s="31" t="s">
        <v>113</v>
      </c>
      <c r="D61" s="31" t="s">
        <v>118</v>
      </c>
      <c r="E61" s="31" t="s">
        <v>76</v>
      </c>
      <c r="F61" s="32">
        <v>11143.39</v>
      </c>
    </row>
    <row r="62" spans="1:9" outlineLevel="1" collapsed="1" x14ac:dyDescent="0.25">
      <c r="A62" s="31"/>
      <c r="B62" s="31"/>
      <c r="C62" s="35" t="s">
        <v>153</v>
      </c>
      <c r="D62" s="31"/>
      <c r="E62" s="31"/>
      <c r="F62" s="32">
        <f>SUBTOTAL(9,F56:F61)</f>
        <v>74189.62</v>
      </c>
      <c r="H62" s="32">
        <f>'PBC Reserve Balance 2017'!E12</f>
        <v>74207.98</v>
      </c>
      <c r="I62" s="30" t="s">
        <v>207</v>
      </c>
    </row>
    <row r="63" spans="1:9" hidden="1" outlineLevel="2" x14ac:dyDescent="0.25">
      <c r="A63" s="31" t="s">
        <v>52</v>
      </c>
      <c r="B63" s="31" t="s">
        <v>53</v>
      </c>
      <c r="C63" s="31" t="s">
        <v>119</v>
      </c>
      <c r="D63" s="31" t="s">
        <v>120</v>
      </c>
      <c r="E63" s="31" t="s">
        <v>96</v>
      </c>
      <c r="F63" s="32">
        <v>35063.769999999997</v>
      </c>
    </row>
    <row r="64" spans="1:9" outlineLevel="1" collapsed="1" x14ac:dyDescent="0.25">
      <c r="A64" s="31"/>
      <c r="B64" s="31"/>
      <c r="C64" s="35" t="s">
        <v>154</v>
      </c>
      <c r="D64" s="31"/>
      <c r="E64" s="31"/>
      <c r="F64" s="32">
        <f>SUBTOTAL(9,F63:F63)</f>
        <v>35063.769999999997</v>
      </c>
      <c r="H64" s="32">
        <f>'PBC Reserve Balance 2017'!E13</f>
        <v>18255.91</v>
      </c>
    </row>
    <row r="65" spans="1:9" hidden="1" outlineLevel="2" x14ac:dyDescent="0.25">
      <c r="A65" s="31" t="s">
        <v>52</v>
      </c>
      <c r="B65" s="31" t="s">
        <v>53</v>
      </c>
      <c r="C65" s="31" t="s">
        <v>121</v>
      </c>
      <c r="D65" s="31" t="s">
        <v>122</v>
      </c>
      <c r="E65" s="31" t="s">
        <v>86</v>
      </c>
      <c r="F65" s="32">
        <v>789137.05</v>
      </c>
    </row>
    <row r="66" spans="1:9" hidden="1" outlineLevel="2" x14ac:dyDescent="0.25">
      <c r="A66" s="31" t="s">
        <v>52</v>
      </c>
      <c r="B66" s="31" t="s">
        <v>53</v>
      </c>
      <c r="C66" s="31" t="s">
        <v>121</v>
      </c>
      <c r="D66" s="31" t="s">
        <v>122</v>
      </c>
      <c r="E66" s="31" t="s">
        <v>96</v>
      </c>
      <c r="F66" s="32">
        <v>20640.849999999999</v>
      </c>
    </row>
    <row r="67" spans="1:9" hidden="1" outlineLevel="2" x14ac:dyDescent="0.25">
      <c r="A67" s="31" t="s">
        <v>52</v>
      </c>
      <c r="B67" s="31" t="s">
        <v>53</v>
      </c>
      <c r="C67" s="31" t="s">
        <v>121</v>
      </c>
      <c r="D67" s="31" t="s">
        <v>122</v>
      </c>
      <c r="E67" s="31" t="s">
        <v>76</v>
      </c>
      <c r="F67" s="32">
        <v>18731.46</v>
      </c>
    </row>
    <row r="68" spans="1:9" outlineLevel="1" collapsed="1" x14ac:dyDescent="0.25">
      <c r="A68" s="31"/>
      <c r="B68" s="31"/>
      <c r="C68" s="35" t="s">
        <v>155</v>
      </c>
      <c r="D68" s="31"/>
      <c r="E68" s="31"/>
      <c r="F68" s="32">
        <f>SUBTOTAL(9,F65:F67)</f>
        <v>828509.36</v>
      </c>
      <c r="H68" s="32">
        <f>'PBC Reserve Balance 2017'!E14</f>
        <v>828509.36</v>
      </c>
      <c r="I68" s="30" t="s">
        <v>207</v>
      </c>
    </row>
    <row r="69" spans="1:9" x14ac:dyDescent="0.25">
      <c r="A69" s="31"/>
      <c r="B69" s="31"/>
      <c r="C69" s="35" t="s">
        <v>156</v>
      </c>
      <c r="D69" s="31"/>
      <c r="E69" s="31"/>
      <c r="F69" s="32">
        <f>SUBTOTAL(9,F2:F67)</f>
        <v>3582953.0400000014</v>
      </c>
      <c r="H69" s="32">
        <f>SUM(H8:H68)</f>
        <v>1914612.8199999998</v>
      </c>
    </row>
    <row r="71" spans="1:9" x14ac:dyDescent="0.25">
      <c r="C71" s="30">
        <v>39901</v>
      </c>
      <c r="H71" s="32">
        <f>'PBC Reserve Balance 2017'!E11</f>
        <v>-34765.769999999997</v>
      </c>
    </row>
    <row r="72" spans="1:9" x14ac:dyDescent="0.25">
      <c r="H72" s="32">
        <f>H69+H71</f>
        <v>1879847.0499999998</v>
      </c>
    </row>
  </sheetData>
  <pageMargins left="0.7" right="0.7" top="0.75" bottom="0.75" header="0.3" footer="0.3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/>
  </sheetViews>
  <sheetFormatPr defaultRowHeight="12.75" x14ac:dyDescent="0.2"/>
  <cols>
    <col min="1" max="1" width="11.140625" bestFit="1" customWidth="1"/>
    <col min="2" max="2" width="20.7109375" bestFit="1" customWidth="1"/>
    <col min="3" max="3" width="21.7109375" bestFit="1" customWidth="1"/>
    <col min="4" max="4" width="35.28515625" bestFit="1" customWidth="1"/>
    <col min="5" max="5" width="12.28515625" bestFit="1" customWidth="1"/>
  </cols>
  <sheetData>
    <row r="1" spans="1:7" x14ac:dyDescent="0.2">
      <c r="A1" s="6" t="s">
        <v>123</v>
      </c>
      <c r="B1" s="6" t="s">
        <v>124</v>
      </c>
      <c r="C1" s="6" t="s">
        <v>125</v>
      </c>
      <c r="D1" s="6" t="s">
        <v>126</v>
      </c>
      <c r="E1" s="33" t="s">
        <v>127</v>
      </c>
    </row>
    <row r="2" spans="1:7" x14ac:dyDescent="0.2">
      <c r="A2" t="s">
        <v>128</v>
      </c>
      <c r="B2" t="s">
        <v>52</v>
      </c>
      <c r="C2" t="s">
        <v>53</v>
      </c>
      <c r="D2" t="s">
        <v>129</v>
      </c>
      <c r="E2" s="34">
        <v>96161.03</v>
      </c>
    </row>
    <row r="3" spans="1:7" x14ac:dyDescent="0.2">
      <c r="A3" t="s">
        <v>128</v>
      </c>
      <c r="B3" t="s">
        <v>52</v>
      </c>
      <c r="C3" t="s">
        <v>53</v>
      </c>
      <c r="D3" t="s">
        <v>130</v>
      </c>
      <c r="E3" s="34">
        <v>7969.05</v>
      </c>
    </row>
    <row r="4" spans="1:7" x14ac:dyDescent="0.2">
      <c r="A4" t="s">
        <v>128</v>
      </c>
      <c r="B4" t="s">
        <v>52</v>
      </c>
      <c r="C4" t="s">
        <v>53</v>
      </c>
      <c r="D4" t="s">
        <v>131</v>
      </c>
      <c r="E4" s="119">
        <v>38834</v>
      </c>
      <c r="F4" s="65" t="s">
        <v>236</v>
      </c>
    </row>
    <row r="5" spans="1:7" x14ac:dyDescent="0.2">
      <c r="A5" t="s">
        <v>128</v>
      </c>
      <c r="B5" t="s">
        <v>52</v>
      </c>
      <c r="C5" t="s">
        <v>53</v>
      </c>
      <c r="D5" t="s">
        <v>132</v>
      </c>
      <c r="E5" s="119">
        <v>41397.21</v>
      </c>
      <c r="F5" s="65" t="s">
        <v>236</v>
      </c>
    </row>
    <row r="6" spans="1:7" x14ac:dyDescent="0.2">
      <c r="A6" t="s">
        <v>128</v>
      </c>
      <c r="B6" t="s">
        <v>52</v>
      </c>
      <c r="C6" t="s">
        <v>53</v>
      </c>
      <c r="D6" t="s">
        <v>133</v>
      </c>
      <c r="E6" s="34">
        <v>14259.34</v>
      </c>
    </row>
    <row r="7" spans="1:7" x14ac:dyDescent="0.2">
      <c r="A7" t="s">
        <v>128</v>
      </c>
      <c r="B7" t="s">
        <v>52</v>
      </c>
      <c r="C7" t="s">
        <v>53</v>
      </c>
      <c r="D7" t="s">
        <v>134</v>
      </c>
      <c r="E7" s="34">
        <v>130426.59</v>
      </c>
    </row>
    <row r="8" spans="1:7" x14ac:dyDescent="0.2">
      <c r="A8" t="s">
        <v>128</v>
      </c>
      <c r="B8" t="s">
        <v>52</v>
      </c>
      <c r="C8" t="s">
        <v>53</v>
      </c>
      <c r="D8" t="s">
        <v>135</v>
      </c>
      <c r="E8" s="34">
        <v>6836.84</v>
      </c>
    </row>
    <row r="9" spans="1:7" x14ac:dyDescent="0.2">
      <c r="A9" t="s">
        <v>128</v>
      </c>
      <c r="B9" t="s">
        <v>52</v>
      </c>
      <c r="C9" t="s">
        <v>53</v>
      </c>
      <c r="D9" t="s">
        <v>136</v>
      </c>
      <c r="E9" s="34">
        <v>-9431.25</v>
      </c>
    </row>
    <row r="10" spans="1:7" x14ac:dyDescent="0.2">
      <c r="A10" t="s">
        <v>128</v>
      </c>
      <c r="B10" t="s">
        <v>52</v>
      </c>
      <c r="C10" t="s">
        <v>53</v>
      </c>
      <c r="D10" t="s">
        <v>137</v>
      </c>
      <c r="E10" s="34">
        <v>667186.76</v>
      </c>
    </row>
    <row r="11" spans="1:7" x14ac:dyDescent="0.2">
      <c r="A11" t="s">
        <v>128</v>
      </c>
      <c r="B11" t="s">
        <v>52</v>
      </c>
      <c r="C11" t="s">
        <v>53</v>
      </c>
      <c r="D11" t="s">
        <v>138</v>
      </c>
      <c r="E11" s="34">
        <v>-34765.769999999997</v>
      </c>
    </row>
    <row r="12" spans="1:7" x14ac:dyDescent="0.2">
      <c r="A12" t="s">
        <v>128</v>
      </c>
      <c r="B12" t="s">
        <v>52</v>
      </c>
      <c r="C12" t="s">
        <v>53</v>
      </c>
      <c r="D12" t="s">
        <v>139</v>
      </c>
      <c r="E12" s="34">
        <v>74207.98</v>
      </c>
      <c r="G12">
        <v>74189.62</v>
      </c>
    </row>
    <row r="13" spans="1:7" x14ac:dyDescent="0.2">
      <c r="A13" t="s">
        <v>128</v>
      </c>
      <c r="B13" t="s">
        <v>52</v>
      </c>
      <c r="C13" t="s">
        <v>53</v>
      </c>
      <c r="D13" t="s">
        <v>140</v>
      </c>
      <c r="E13" s="34">
        <v>18255.91</v>
      </c>
    </row>
    <row r="14" spans="1:7" x14ac:dyDescent="0.2">
      <c r="A14" t="s">
        <v>128</v>
      </c>
      <c r="B14" t="s">
        <v>52</v>
      </c>
      <c r="C14" t="s">
        <v>53</v>
      </c>
      <c r="D14" t="s">
        <v>141</v>
      </c>
      <c r="E14" s="119">
        <v>828509.36</v>
      </c>
      <c r="F14" s="65" t="s">
        <v>236</v>
      </c>
    </row>
    <row r="15" spans="1:7" x14ac:dyDescent="0.2">
      <c r="E15" s="34">
        <f>SUM(E2:E14)</f>
        <v>1879847.0499999998</v>
      </c>
    </row>
    <row r="17" spans="5:6" x14ac:dyDescent="0.2">
      <c r="E17" s="34">
        <f>E4+E5+G12+E14</f>
        <v>982930.19</v>
      </c>
      <c r="F17" s="65" t="s">
        <v>237</v>
      </c>
    </row>
    <row r="18" spans="5:6" x14ac:dyDescent="0.2">
      <c r="E18" s="34">
        <f>E15-E17</f>
        <v>896916.85999999987</v>
      </c>
      <c r="F18" s="65" t="s">
        <v>238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/>
  </sheetViews>
  <sheetFormatPr defaultRowHeight="15" x14ac:dyDescent="0.25"/>
  <cols>
    <col min="1" max="1" width="22" style="110" bestFit="1" customWidth="1"/>
    <col min="2" max="2" width="23.42578125" style="110" bestFit="1" customWidth="1"/>
    <col min="3" max="3" width="36.85546875" style="110" bestFit="1" customWidth="1"/>
    <col min="4" max="4" width="17" style="110" bestFit="1" customWidth="1"/>
    <col min="5" max="5" width="20.28515625" style="110" bestFit="1" customWidth="1"/>
    <col min="6" max="6" width="17" style="110" bestFit="1" customWidth="1"/>
    <col min="7" max="16384" width="9.140625" style="110"/>
  </cols>
  <sheetData>
    <row r="1" spans="1:6" x14ac:dyDescent="0.25">
      <c r="A1" s="108" t="s">
        <v>224</v>
      </c>
      <c r="B1" s="108" t="s">
        <v>225</v>
      </c>
      <c r="C1" s="108" t="s">
        <v>226</v>
      </c>
      <c r="D1" s="109" t="s">
        <v>227</v>
      </c>
      <c r="E1" s="109" t="s">
        <v>228</v>
      </c>
      <c r="F1" s="109" t="s">
        <v>229</v>
      </c>
    </row>
    <row r="2" spans="1:6" x14ac:dyDescent="0.25">
      <c r="A2" s="111" t="s">
        <v>52</v>
      </c>
      <c r="B2" s="111" t="s">
        <v>53</v>
      </c>
      <c r="C2" s="111" t="s">
        <v>230</v>
      </c>
      <c r="D2" s="112">
        <v>0</v>
      </c>
      <c r="E2" s="112">
        <v>0</v>
      </c>
      <c r="F2" s="113">
        <f>+D2+E2</f>
        <v>0</v>
      </c>
    </row>
    <row r="3" spans="1:6" x14ac:dyDescent="0.25">
      <c r="A3" s="111" t="s">
        <v>52</v>
      </c>
      <c r="B3" s="111" t="s">
        <v>53</v>
      </c>
      <c r="C3" s="111" t="s">
        <v>231</v>
      </c>
      <c r="D3" s="112">
        <v>0</v>
      </c>
      <c r="E3" s="112">
        <v>0</v>
      </c>
      <c r="F3" s="113">
        <f t="shared" ref="F3:F25" si="0">+D3+E3</f>
        <v>0</v>
      </c>
    </row>
    <row r="4" spans="1:6" x14ac:dyDescent="0.25">
      <c r="A4" s="111" t="s">
        <v>52</v>
      </c>
      <c r="B4" s="111" t="s">
        <v>53</v>
      </c>
      <c r="C4" s="111" t="s">
        <v>129</v>
      </c>
      <c r="D4" s="112">
        <v>2.4299999999999999E-2</v>
      </c>
      <c r="E4" s="112">
        <v>2.5000000000000001E-3</v>
      </c>
      <c r="F4" s="113">
        <f t="shared" si="0"/>
        <v>2.6799999999999997E-2</v>
      </c>
    </row>
    <row r="5" spans="1:6" x14ac:dyDescent="0.25">
      <c r="A5" s="111" t="s">
        <v>52</v>
      </c>
      <c r="B5" s="111" t="s">
        <v>53</v>
      </c>
      <c r="C5" s="111" t="s">
        <v>130</v>
      </c>
      <c r="D5" s="112">
        <v>6.6600000000000006E-2</v>
      </c>
      <c r="E5" s="112">
        <v>6.7000000000000002E-3</v>
      </c>
      <c r="F5" s="113">
        <f t="shared" si="0"/>
        <v>7.3300000000000004E-2</v>
      </c>
    </row>
    <row r="6" spans="1:6" x14ac:dyDescent="0.25">
      <c r="A6" s="111" t="s">
        <v>52</v>
      </c>
      <c r="B6" s="111" t="s">
        <v>53</v>
      </c>
      <c r="C6" s="111" t="s">
        <v>131</v>
      </c>
      <c r="D6" s="112">
        <v>0.05</v>
      </c>
      <c r="E6" s="112">
        <v>0</v>
      </c>
      <c r="F6" s="113">
        <f t="shared" si="0"/>
        <v>0.05</v>
      </c>
    </row>
    <row r="7" spans="1:6" x14ac:dyDescent="0.25">
      <c r="A7" s="111" t="s">
        <v>52</v>
      </c>
      <c r="B7" s="111" t="s">
        <v>53</v>
      </c>
      <c r="C7" s="111" t="s">
        <v>232</v>
      </c>
      <c r="D7" s="112">
        <v>0.05</v>
      </c>
      <c r="E7" s="112">
        <v>0</v>
      </c>
      <c r="F7" s="113">
        <f t="shared" si="0"/>
        <v>0.05</v>
      </c>
    </row>
    <row r="8" spans="1:6" x14ac:dyDescent="0.25">
      <c r="A8" s="111" t="s">
        <v>52</v>
      </c>
      <c r="B8" s="111" t="s">
        <v>53</v>
      </c>
      <c r="C8" s="111" t="s">
        <v>212</v>
      </c>
      <c r="D8" s="112">
        <v>0.05</v>
      </c>
      <c r="E8" s="112">
        <v>0</v>
      </c>
      <c r="F8" s="113">
        <f t="shared" si="0"/>
        <v>0.05</v>
      </c>
    </row>
    <row r="9" spans="1:6" x14ac:dyDescent="0.25">
      <c r="A9" s="111" t="s">
        <v>52</v>
      </c>
      <c r="B9" s="111" t="s">
        <v>53</v>
      </c>
      <c r="C9" s="111" t="s">
        <v>213</v>
      </c>
      <c r="D9" s="112">
        <v>0.05</v>
      </c>
      <c r="E9" s="112">
        <v>0</v>
      </c>
      <c r="F9" s="113">
        <f t="shared" si="0"/>
        <v>0.05</v>
      </c>
    </row>
    <row r="10" spans="1:6" x14ac:dyDescent="0.25">
      <c r="A10" s="111" t="s">
        <v>52</v>
      </c>
      <c r="B10" s="111" t="s">
        <v>53</v>
      </c>
      <c r="C10" s="111" t="s">
        <v>133</v>
      </c>
      <c r="D10" s="112">
        <v>6.6699999999999995E-2</v>
      </c>
      <c r="E10" s="112">
        <v>0</v>
      </c>
      <c r="F10" s="113">
        <f t="shared" si="0"/>
        <v>6.6699999999999995E-2</v>
      </c>
    </row>
    <row r="11" spans="1:6" x14ac:dyDescent="0.25">
      <c r="A11" s="111" t="s">
        <v>52</v>
      </c>
      <c r="B11" s="111" t="s">
        <v>53</v>
      </c>
      <c r="C11" s="111" t="s">
        <v>214</v>
      </c>
      <c r="D11" s="112">
        <v>8.1000000000000003E-2</v>
      </c>
      <c r="E11" s="112">
        <v>0</v>
      </c>
      <c r="F11" s="113">
        <f t="shared" si="0"/>
        <v>8.1000000000000003E-2</v>
      </c>
    </row>
    <row r="12" spans="1:6" x14ac:dyDescent="0.25">
      <c r="A12" s="111" t="s">
        <v>52</v>
      </c>
      <c r="B12" s="111" t="s">
        <v>53</v>
      </c>
      <c r="C12" s="111" t="s">
        <v>134</v>
      </c>
      <c r="D12" s="112">
        <v>3.4000000000000002E-2</v>
      </c>
      <c r="E12" s="112">
        <v>0</v>
      </c>
      <c r="F12" s="113">
        <f t="shared" si="0"/>
        <v>3.4000000000000002E-2</v>
      </c>
    </row>
    <row r="13" spans="1:6" x14ac:dyDescent="0.25">
      <c r="A13" s="111" t="s">
        <v>52</v>
      </c>
      <c r="B13" s="111" t="s">
        <v>53</v>
      </c>
      <c r="C13" s="111" t="s">
        <v>215</v>
      </c>
      <c r="D13" s="112">
        <v>4.1399999999999999E-2</v>
      </c>
      <c r="E13" s="112">
        <v>0</v>
      </c>
      <c r="F13" s="113">
        <f t="shared" si="0"/>
        <v>4.1399999999999999E-2</v>
      </c>
    </row>
    <row r="14" spans="1:6" x14ac:dyDescent="0.25">
      <c r="A14" s="111" t="s">
        <v>52</v>
      </c>
      <c r="B14" s="111" t="s">
        <v>53</v>
      </c>
      <c r="C14" s="111" t="s">
        <v>135</v>
      </c>
      <c r="D14" s="112">
        <v>4.36E-2</v>
      </c>
      <c r="E14" s="112">
        <v>0</v>
      </c>
      <c r="F14" s="113">
        <f t="shared" si="0"/>
        <v>4.36E-2</v>
      </c>
    </row>
    <row r="15" spans="1:6" x14ac:dyDescent="0.25">
      <c r="A15" s="111" t="s">
        <v>52</v>
      </c>
      <c r="B15" s="111" t="s">
        <v>53</v>
      </c>
      <c r="C15" s="111" t="s">
        <v>136</v>
      </c>
      <c r="D15" s="112">
        <v>3.1300000000000001E-2</v>
      </c>
      <c r="E15" s="112">
        <v>0</v>
      </c>
      <c r="F15" s="113">
        <f t="shared" si="0"/>
        <v>3.1300000000000001E-2</v>
      </c>
    </row>
    <row r="16" spans="1:6" x14ac:dyDescent="0.25">
      <c r="A16" s="111" t="s">
        <v>52</v>
      </c>
      <c r="B16" s="111" t="s">
        <v>53</v>
      </c>
      <c r="C16" s="111" t="s">
        <v>216</v>
      </c>
      <c r="D16" s="112">
        <v>3.1300000000000001E-2</v>
      </c>
      <c r="E16" s="112">
        <v>0</v>
      </c>
      <c r="F16" s="113">
        <f t="shared" si="0"/>
        <v>3.1300000000000001E-2</v>
      </c>
    </row>
    <row r="17" spans="1:6" x14ac:dyDescent="0.25">
      <c r="A17" s="111" t="s">
        <v>52</v>
      </c>
      <c r="B17" s="111" t="s">
        <v>53</v>
      </c>
      <c r="C17" s="111" t="s">
        <v>217</v>
      </c>
      <c r="D17" s="112">
        <v>3.1300000000000001E-2</v>
      </c>
      <c r="E17" s="112">
        <v>0</v>
      </c>
      <c r="F17" s="113">
        <f t="shared" si="0"/>
        <v>3.1300000000000001E-2</v>
      </c>
    </row>
    <row r="18" spans="1:6" x14ac:dyDescent="0.25">
      <c r="A18" s="111" t="s">
        <v>52</v>
      </c>
      <c r="B18" s="111" t="s">
        <v>53</v>
      </c>
      <c r="C18" s="111" t="s">
        <v>137</v>
      </c>
      <c r="D18" s="112">
        <v>3.4700000000000002E-2</v>
      </c>
      <c r="E18" s="112">
        <v>0</v>
      </c>
      <c r="F18" s="113">
        <f t="shared" si="0"/>
        <v>3.4700000000000002E-2</v>
      </c>
    </row>
    <row r="19" spans="1:6" x14ac:dyDescent="0.25">
      <c r="A19" s="111" t="s">
        <v>52</v>
      </c>
      <c r="B19" s="111" t="s">
        <v>53</v>
      </c>
      <c r="C19" s="111" t="s">
        <v>233</v>
      </c>
      <c r="D19" s="112">
        <v>0.1</v>
      </c>
      <c r="E19" s="112">
        <v>0</v>
      </c>
      <c r="F19" s="113">
        <f t="shared" si="0"/>
        <v>0.1</v>
      </c>
    </row>
    <row r="20" spans="1:6" x14ac:dyDescent="0.25">
      <c r="A20" s="111" t="s">
        <v>52</v>
      </c>
      <c r="B20" s="111" t="s">
        <v>53</v>
      </c>
      <c r="C20" s="111" t="s">
        <v>138</v>
      </c>
      <c r="D20" s="112">
        <v>6.3E-2</v>
      </c>
      <c r="E20" s="112">
        <v>0</v>
      </c>
      <c r="F20" s="113">
        <f t="shared" si="0"/>
        <v>6.3E-2</v>
      </c>
    </row>
    <row r="21" spans="1:6" x14ac:dyDescent="0.25">
      <c r="A21" s="111" t="s">
        <v>52</v>
      </c>
      <c r="B21" s="111" t="s">
        <v>53</v>
      </c>
      <c r="C21" s="111" t="s">
        <v>234</v>
      </c>
      <c r="D21" s="112">
        <v>0.1429</v>
      </c>
      <c r="E21" s="112">
        <v>0</v>
      </c>
      <c r="F21" s="113">
        <f t="shared" si="0"/>
        <v>0.1429</v>
      </c>
    </row>
    <row r="22" spans="1:6" x14ac:dyDescent="0.25">
      <c r="A22" s="111" t="s">
        <v>52</v>
      </c>
      <c r="B22" s="111" t="s">
        <v>53</v>
      </c>
      <c r="C22" s="111" t="s">
        <v>235</v>
      </c>
      <c r="D22" s="112">
        <v>0.1</v>
      </c>
      <c r="E22" s="112">
        <v>0</v>
      </c>
      <c r="F22" s="113">
        <f t="shared" si="0"/>
        <v>0.1</v>
      </c>
    </row>
    <row r="23" spans="1:6" x14ac:dyDescent="0.25">
      <c r="A23" s="111" t="s">
        <v>52</v>
      </c>
      <c r="B23" s="111" t="s">
        <v>53</v>
      </c>
      <c r="C23" s="111" t="s">
        <v>139</v>
      </c>
      <c r="D23" s="112">
        <v>4.3700000000000003E-2</v>
      </c>
      <c r="E23" s="112">
        <v>0</v>
      </c>
      <c r="F23" s="113">
        <f t="shared" si="0"/>
        <v>4.3700000000000003E-2</v>
      </c>
    </row>
    <row r="24" spans="1:6" x14ac:dyDescent="0.25">
      <c r="A24" s="111" t="s">
        <v>52</v>
      </c>
      <c r="B24" s="111" t="s">
        <v>53</v>
      </c>
      <c r="C24" s="111" t="s">
        <v>140</v>
      </c>
      <c r="D24" s="112">
        <v>0.1111</v>
      </c>
      <c r="E24" s="112">
        <v>0</v>
      </c>
      <c r="F24" s="113">
        <f t="shared" si="0"/>
        <v>0.1111</v>
      </c>
    </row>
    <row r="25" spans="1:6" x14ac:dyDescent="0.25">
      <c r="A25" s="111" t="s">
        <v>52</v>
      </c>
      <c r="B25" s="111" t="s">
        <v>53</v>
      </c>
      <c r="C25" s="111" t="s">
        <v>141</v>
      </c>
      <c r="D25" s="112">
        <v>1.6999999999999999E-3</v>
      </c>
      <c r="E25" s="112">
        <v>0</v>
      </c>
      <c r="F25" s="113">
        <f t="shared" si="0"/>
        <v>1.6999999999999999E-3</v>
      </c>
    </row>
  </sheetData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KY MSGO Parameters</vt:lpstr>
      <vt:lpstr>Comparison</vt:lpstr>
      <vt:lpstr>Accrual</vt:lpstr>
      <vt:lpstr>MSGO TR 2017</vt:lpstr>
      <vt:lpstr>PBC Plant Balance 2017</vt:lpstr>
      <vt:lpstr>PBC Reserve Balance 2017</vt:lpstr>
      <vt:lpstr>Existing Rates</vt:lpstr>
    </vt:vector>
  </TitlesOfParts>
  <Company>Alliance Consulting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Watts</dc:creator>
  <cp:lastModifiedBy>Eric J Wilen</cp:lastModifiedBy>
  <cp:lastPrinted>2019-01-22T15:07:10Z</cp:lastPrinted>
  <dcterms:created xsi:type="dcterms:W3CDTF">2015-01-30T22:17:48Z</dcterms:created>
  <dcterms:modified xsi:type="dcterms:W3CDTF">2019-01-22T15:08:34Z</dcterms:modified>
</cp:coreProperties>
</file>