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https://collaborate.duke-energy.com/sites/2018KYGasRateCase/2018  KY Gas Rate Case/Discovery/STAFF'S 5th Set Data Requests/"/>
    </mc:Choice>
  </mc:AlternateContent>
  <bookViews>
    <workbookView xWindow="0" yWindow="0" windowWidth="19200" windowHeight="6375"/>
  </bookViews>
  <sheets>
    <sheet name="Union" sheetId="2" r:id="rId1"/>
    <sheet name="Non-Union" sheetId="1" r:id="rId2"/>
    <sheet name="Staff DR-02-005" sheetId="3" r:id="rId3"/>
  </sheets>
  <definedNames>
    <definedName name="_xlnm.Print_Area" localSheetId="1">'Non-Union'!$A$1:$K$73</definedName>
    <definedName name="_xlnm.Print_Area" localSheetId="2">'Staff DR-02-005'!$A$1:$K$73</definedName>
    <definedName name="_xlnm.Print_Area" localSheetId="0">Union!$A$1:$K$73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9" i="2" l="1"/>
  <c r="C68" i="2"/>
  <c r="C63" i="2"/>
  <c r="C62" i="2"/>
  <c r="C69" i="1"/>
  <c r="C68" i="1"/>
  <c r="C63" i="1"/>
  <c r="C62" i="1"/>
  <c r="C56" i="1"/>
  <c r="C55" i="1"/>
  <c r="C32" i="1"/>
  <c r="F23" i="1"/>
  <c r="C23" i="1"/>
  <c r="C48" i="2"/>
  <c r="C43" i="1"/>
  <c r="C42" i="1"/>
  <c r="C38" i="1"/>
  <c r="C37" i="1"/>
  <c r="F46" i="1"/>
  <c r="C46" i="1"/>
  <c r="F33" i="1"/>
  <c r="C33" i="1"/>
  <c r="F32" i="1"/>
  <c r="D37" i="1"/>
  <c r="D38" i="1"/>
  <c r="C56" i="2"/>
  <c r="C55" i="2"/>
  <c r="F46" i="2"/>
  <c r="C46" i="2"/>
  <c r="F38" i="2"/>
  <c r="F37" i="2"/>
  <c r="C38" i="2"/>
  <c r="D38" i="2" s="1"/>
  <c r="D37" i="2"/>
  <c r="C37" i="2"/>
  <c r="D15" i="3"/>
  <c r="D14" i="3"/>
  <c r="D37" i="3"/>
  <c r="C14" i="3"/>
  <c r="F33" i="2"/>
  <c r="F32" i="2"/>
  <c r="C33" i="2"/>
  <c r="C32" i="2"/>
  <c r="F10" i="1"/>
  <c r="F9" i="1"/>
  <c r="C10" i="1"/>
  <c r="C9" i="1"/>
  <c r="F23" i="2"/>
  <c r="C23" i="2"/>
  <c r="F10" i="2"/>
  <c r="F9" i="2"/>
  <c r="C10" i="2"/>
  <c r="C9" i="2"/>
  <c r="C70" i="3"/>
  <c r="C64" i="3"/>
  <c r="C57" i="3"/>
  <c r="C44" i="3"/>
  <c r="C48" i="3" s="1"/>
  <c r="F43" i="3"/>
  <c r="C43" i="3"/>
  <c r="C42" i="3"/>
  <c r="C39" i="3"/>
  <c r="F38" i="3"/>
  <c r="G38" i="3" s="1"/>
  <c r="D38" i="3"/>
  <c r="F37" i="3"/>
  <c r="G37" i="3" s="1"/>
  <c r="F34" i="3"/>
  <c r="C34" i="3"/>
  <c r="F20" i="3"/>
  <c r="F16" i="3"/>
  <c r="G15" i="3"/>
  <c r="F15" i="3"/>
  <c r="C15" i="3"/>
  <c r="F14" i="3"/>
  <c r="F19" i="3" s="1"/>
  <c r="F21" i="3" s="1"/>
  <c r="F25" i="3" s="1"/>
  <c r="C16" i="3"/>
  <c r="F11" i="3"/>
  <c r="C11" i="3"/>
  <c r="C70" i="2"/>
  <c r="C64" i="2"/>
  <c r="C57" i="2"/>
  <c r="C43" i="2"/>
  <c r="C42" i="2"/>
  <c r="C39" i="2"/>
  <c r="G38" i="2"/>
  <c r="G37" i="2"/>
  <c r="F34" i="2"/>
  <c r="C34" i="2"/>
  <c r="F15" i="2"/>
  <c r="F20" i="2" s="1"/>
  <c r="C15" i="2"/>
  <c r="D15" i="2" s="1"/>
  <c r="F14" i="2"/>
  <c r="F19" i="2" s="1"/>
  <c r="F21" i="2" s="1"/>
  <c r="F25" i="2" s="1"/>
  <c r="C14" i="2"/>
  <c r="C16" i="2" s="1"/>
  <c r="F11" i="2"/>
  <c r="C11" i="2"/>
  <c r="F43" i="2" l="1"/>
  <c r="C44" i="2"/>
  <c r="G15" i="2"/>
  <c r="F16" i="2"/>
  <c r="G14" i="3"/>
  <c r="F39" i="3"/>
  <c r="C19" i="3"/>
  <c r="C20" i="3"/>
  <c r="F42" i="3"/>
  <c r="F44" i="3" s="1"/>
  <c r="F48" i="3" s="1"/>
  <c r="D14" i="2"/>
  <c r="C19" i="2"/>
  <c r="G14" i="2"/>
  <c r="F39" i="2"/>
  <c r="C20" i="2"/>
  <c r="F42" i="2"/>
  <c r="F44" i="2" s="1"/>
  <c r="F48" i="2" s="1"/>
  <c r="C70" i="1"/>
  <c r="C64" i="1"/>
  <c r="C57" i="1"/>
  <c r="F37" i="1"/>
  <c r="F42" i="1" s="1"/>
  <c r="G37" i="1"/>
  <c r="C39" i="1"/>
  <c r="F34" i="1"/>
  <c r="F38" i="1"/>
  <c r="G38" i="1" s="1"/>
  <c r="C15" i="1"/>
  <c r="C20" i="1" s="1"/>
  <c r="C14" i="1"/>
  <c r="D14" i="1" s="1"/>
  <c r="C11" i="1"/>
  <c r="F15" i="1"/>
  <c r="G15" i="1" s="1"/>
  <c r="F14" i="1"/>
  <c r="G14" i="1" s="1"/>
  <c r="F11" i="1"/>
  <c r="F20" i="1"/>
  <c r="C34" i="1"/>
  <c r="F39" i="1" l="1"/>
  <c r="F43" i="1"/>
  <c r="F44" i="1"/>
  <c r="F48" i="1" s="1"/>
  <c r="C44" i="1"/>
  <c r="F19" i="1"/>
  <c r="F21" i="1" s="1"/>
  <c r="F25" i="1" s="1"/>
  <c r="F16" i="1"/>
  <c r="D15" i="1"/>
  <c r="C21" i="3"/>
  <c r="C25" i="3" s="1"/>
  <c r="C21" i="2"/>
  <c r="C25" i="2" s="1"/>
  <c r="C16" i="1"/>
  <c r="C19" i="1"/>
  <c r="C21" i="1" s="1"/>
  <c r="C25" i="1" s="1"/>
  <c r="C48" i="1" l="1"/>
</calcChain>
</file>

<file path=xl/sharedStrings.xml><?xml version="1.0" encoding="utf-8"?>
<sst xmlns="http://schemas.openxmlformats.org/spreadsheetml/2006/main" count="167" uniqueCount="28">
  <si>
    <t>Question No. 5 - Second Request</t>
  </si>
  <si>
    <t>Responding Witness: Renee H. Metzler</t>
  </si>
  <si>
    <t>The below is an analysis of the Test Period numbers:</t>
  </si>
  <si>
    <t>Kentucky</t>
  </si>
  <si>
    <t>Allocated from Affiliates</t>
  </si>
  <si>
    <t xml:space="preserve">A. </t>
  </si>
  <si>
    <t>Total Costs:</t>
  </si>
  <si>
    <t xml:space="preserve">     Single Coverage</t>
  </si>
  <si>
    <t xml:space="preserve">     Other Coverage</t>
  </si>
  <si>
    <t xml:space="preserve">Total    </t>
  </si>
  <si>
    <t>Employee Cost:</t>
  </si>
  <si>
    <t>Employer Cost:</t>
  </si>
  <si>
    <t>Total KY Cost (Previously submitted)</t>
  </si>
  <si>
    <t>Change</t>
  </si>
  <si>
    <r>
      <rPr>
        <b/>
        <sz val="11"/>
        <color theme="1"/>
        <rFont val="Calibri"/>
        <family val="2"/>
        <scheme val="minor"/>
      </rPr>
      <t>Note:</t>
    </r>
    <r>
      <rPr>
        <sz val="11"/>
        <color theme="1"/>
        <rFont val="Calibri"/>
        <family val="2"/>
        <scheme val="minor"/>
      </rPr>
      <t xml:space="preserve">  The calculations above only look at the premium cost share.  It does not reflect the out of pocket costs incurred by the employee (coinsurance, copays, deductibles).  For medical coverage, the employee pays on average 17% of the premium and 34% of the total cost of coverage.</t>
    </r>
  </si>
  <si>
    <t>B.</t>
  </si>
  <si>
    <r>
      <rPr>
        <b/>
        <sz val="11"/>
        <color theme="1"/>
        <rFont val="Calibri"/>
        <family val="2"/>
        <scheme val="minor"/>
      </rPr>
      <t>Note:</t>
    </r>
    <r>
      <rPr>
        <sz val="11"/>
        <color theme="1"/>
        <rFont val="Calibri"/>
        <family val="2"/>
        <scheme val="minor"/>
      </rPr>
      <t xml:space="preserve">  The calculations above only look at the premium cost share.  It does not reflect the out of pocket costs incurred by the employee (coinsurance, copays, deductibles).  For dental coverage, the employee pays on average 35% of the premium and 56% of the total cost of coverage.</t>
    </r>
  </si>
  <si>
    <t xml:space="preserve">C. </t>
  </si>
  <si>
    <t>For the Test period, the jurisdictional cost for providing long-term disability insurance insurance is expected to be the following:</t>
  </si>
  <si>
    <t>Total</t>
  </si>
  <si>
    <t xml:space="preserve">D. </t>
  </si>
  <si>
    <t>For the Test period, the jurisdictional cost for providing life insurance coverage over $50k is expected to be the following:</t>
  </si>
  <si>
    <t>E.</t>
  </si>
  <si>
    <t>For the Test period, the jurisdictional cost of company match for individuals with a DC and DB plan is expected to be the following:</t>
  </si>
  <si>
    <t>F.  See 'allocated from affiliates' portion of A-E above</t>
  </si>
  <si>
    <t>Question No. 3 - Fifth Request</t>
  </si>
  <si>
    <t>DEK Union Employees</t>
  </si>
  <si>
    <t>DEK Non-Union Employees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</si>
</sst>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9">
    <xf numFmtId="0" fontId="0" fillId="0" borderId="0" xfId="0"/>
    <xf numFmtId="164" fontId="0" fillId="0" borderId="0" xfId="0" applyNumberFormat="1"/>
    <xf numFmtId="0" fontId="0" fillId="0" borderId="0" xfId="0" applyAlignment="1">
      <alignment horizontal="center"/>
    </xf>
    <xf numFmtId="0" fontId="4" fillId="0" borderId="0" xfId="0" applyFont="1" applyAlignment="1">
      <alignment horizontal="center"/>
    </xf>
    <xf numFmtId="0" fontId="4" fillId="0" borderId="0" xfId="0" applyFont="1"/>
    <xf numFmtId="164" fontId="0" fillId="0" borderId="1" xfId="0" applyNumberFormat="1" applyBorder="1"/>
    <xf numFmtId="164" fontId="0" fillId="0" borderId="0" xfId="1" applyNumberFormat="1" applyFont="1"/>
    <xf numFmtId="164" fontId="4" fillId="0" borderId="0" xfId="1" applyNumberFormat="1" applyFont="1"/>
    <xf numFmtId="164" fontId="0" fillId="0" borderId="1" xfId="1" applyNumberFormat="1" applyFont="1" applyBorder="1"/>
    <xf numFmtId="164" fontId="4" fillId="0" borderId="1" xfId="1" applyNumberFormat="1" applyFont="1" applyBorder="1"/>
    <xf numFmtId="9" fontId="0" fillId="0" borderId="0" xfId="2" applyFont="1"/>
    <xf numFmtId="164" fontId="4" fillId="0" borderId="0" xfId="0" applyNumberFormat="1" applyFont="1"/>
    <xf numFmtId="164" fontId="4" fillId="0" borderId="1" xfId="0" applyNumberFormat="1" applyFont="1" applyBorder="1"/>
    <xf numFmtId="0" fontId="2" fillId="0" borderId="0" xfId="0" applyFont="1"/>
    <xf numFmtId="164" fontId="2" fillId="0" borderId="0" xfId="0" applyNumberFormat="1" applyFont="1"/>
    <xf numFmtId="0" fontId="0" fillId="0" borderId="0" xfId="0" applyAlignment="1">
      <alignment horizontal="center" wrapText="1"/>
    </xf>
    <xf numFmtId="0" fontId="0" fillId="0" borderId="0" xfId="0" applyAlignment="1">
      <alignment horizontal="center" wrapText="1"/>
    </xf>
    <xf numFmtId="0" fontId="0" fillId="0" borderId="0" xfId="0" applyAlignment="1">
      <alignment horizontal="center" wrapText="1"/>
    </xf>
    <xf numFmtId="0" fontId="0" fillId="0" borderId="0" xfId="0" applyAlignment="1">
      <alignment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73"/>
  <sheetViews>
    <sheetView tabSelected="1" view="pageLayout" zoomScaleNormal="100" workbookViewId="0">
      <selection activeCell="H5" sqref="H5"/>
    </sheetView>
  </sheetViews>
  <sheetFormatPr defaultRowHeight="15" x14ac:dyDescent="0.25"/>
  <cols>
    <col min="2" max="2" width="34.5703125" customWidth="1"/>
    <col min="3" max="3" width="25.42578125" customWidth="1"/>
    <col min="5" max="5" width="3" customWidth="1"/>
    <col min="6" max="6" width="23.28515625" bestFit="1" customWidth="1"/>
    <col min="8" max="8" width="18.28515625" customWidth="1"/>
    <col min="9" max="9" width="21.5703125" customWidth="1"/>
    <col min="10" max="10" width="11.5703125" bestFit="1" customWidth="1"/>
  </cols>
  <sheetData>
    <row r="1" spans="1:8" x14ac:dyDescent="0.25">
      <c r="A1" s="17" t="s">
        <v>25</v>
      </c>
      <c r="B1" s="17"/>
      <c r="C1" s="17"/>
      <c r="D1" s="17"/>
      <c r="E1" s="17"/>
      <c r="F1" s="17"/>
      <c r="G1" s="17"/>
      <c r="H1" s="16"/>
    </row>
    <row r="2" spans="1:8" x14ac:dyDescent="0.25">
      <c r="A2" s="17" t="s">
        <v>1</v>
      </c>
      <c r="B2" s="17"/>
      <c r="C2" s="17"/>
      <c r="D2" s="17"/>
      <c r="E2" s="17"/>
      <c r="F2" s="17"/>
      <c r="G2" s="17"/>
      <c r="H2" s="16"/>
    </row>
    <row r="3" spans="1:8" x14ac:dyDescent="0.25">
      <c r="A3" s="16"/>
      <c r="B3" s="16"/>
      <c r="C3" s="16" t="s">
        <v>26</v>
      </c>
      <c r="D3" s="16"/>
      <c r="E3" s="16"/>
      <c r="F3" s="16"/>
      <c r="G3" s="16"/>
      <c r="H3" s="16"/>
    </row>
    <row r="4" spans="1:8" x14ac:dyDescent="0.25">
      <c r="A4" s="16"/>
      <c r="B4" s="16"/>
      <c r="C4" s="16"/>
      <c r="D4" s="16"/>
      <c r="E4" s="16"/>
      <c r="F4" s="16"/>
      <c r="G4" s="16"/>
      <c r="H4" s="16"/>
    </row>
    <row r="5" spans="1:8" x14ac:dyDescent="0.25">
      <c r="A5" t="s">
        <v>2</v>
      </c>
    </row>
    <row r="7" spans="1:8" x14ac:dyDescent="0.25">
      <c r="C7" s="2" t="s">
        <v>3</v>
      </c>
      <c r="F7" s="3" t="s">
        <v>4</v>
      </c>
    </row>
    <row r="8" spans="1:8" x14ac:dyDescent="0.25">
      <c r="A8" t="s">
        <v>5</v>
      </c>
      <c r="B8" t="s">
        <v>6</v>
      </c>
      <c r="F8" s="4"/>
    </row>
    <row r="9" spans="1:8" x14ac:dyDescent="0.25">
      <c r="B9" t="s">
        <v>7</v>
      </c>
      <c r="C9" s="6">
        <f>0.93*149227.305618889</f>
        <v>138781.39422556676</v>
      </c>
      <c r="F9" s="7">
        <f>0.93*64427.6689269329</f>
        <v>59917.732102047601</v>
      </c>
    </row>
    <row r="10" spans="1:8" x14ac:dyDescent="0.25">
      <c r="B10" t="s">
        <v>8</v>
      </c>
      <c r="C10" s="8">
        <f>0.93*673330.59370565</f>
        <v>626197.45214625448</v>
      </c>
      <c r="F10" s="9">
        <f>0.93*290704.977817087</f>
        <v>270355.62936989096</v>
      </c>
    </row>
    <row r="11" spans="1:8" x14ac:dyDescent="0.25">
      <c r="B11" t="s">
        <v>9</v>
      </c>
      <c r="C11" s="6">
        <f>SUM(C9:C10)</f>
        <v>764978.84637182124</v>
      </c>
      <c r="F11" s="7">
        <f>SUM(F9:F10)</f>
        <v>330273.36147193855</v>
      </c>
    </row>
    <row r="12" spans="1:8" x14ac:dyDescent="0.25">
      <c r="F12" s="4"/>
    </row>
    <row r="13" spans="1:8" x14ac:dyDescent="0.25">
      <c r="B13" t="s">
        <v>10</v>
      </c>
      <c r="F13" s="4"/>
    </row>
    <row r="14" spans="1:8" x14ac:dyDescent="0.25">
      <c r="B14" t="s">
        <v>7</v>
      </c>
      <c r="C14" s="1">
        <f>C9*0.21</f>
        <v>29144.09278736902</v>
      </c>
      <c r="D14" s="10">
        <f>C14/C9</f>
        <v>0.21</v>
      </c>
      <c r="F14" s="11">
        <f>F9*0.21</f>
        <v>12582.723741429996</v>
      </c>
      <c r="G14" s="10">
        <f>F14/F9</f>
        <v>0.21</v>
      </c>
      <c r="H14" s="10"/>
    </row>
    <row r="15" spans="1:8" x14ac:dyDescent="0.25">
      <c r="B15" t="s">
        <v>8</v>
      </c>
      <c r="C15" s="5">
        <f>C10*0.33</f>
        <v>206645.159208264</v>
      </c>
      <c r="D15" s="10">
        <f>C15/C10</f>
        <v>0.33</v>
      </c>
      <c r="F15" s="12">
        <f>F10*0.33</f>
        <v>89217.357692064019</v>
      </c>
      <c r="G15" s="10">
        <f>F15/F10</f>
        <v>0.33</v>
      </c>
      <c r="H15" s="10"/>
    </row>
    <row r="16" spans="1:8" x14ac:dyDescent="0.25">
      <c r="B16" t="s">
        <v>9</v>
      </c>
      <c r="C16" s="1">
        <f>SUM(C14:C15)</f>
        <v>235789.25199563301</v>
      </c>
      <c r="F16" s="11">
        <f>SUM(F14:F15)</f>
        <v>101800.08143349402</v>
      </c>
    </row>
    <row r="17" spans="1:11" x14ac:dyDescent="0.25">
      <c r="C17" s="1"/>
      <c r="F17" s="4"/>
    </row>
    <row r="18" spans="1:11" x14ac:dyDescent="0.25">
      <c r="B18" t="s">
        <v>11</v>
      </c>
      <c r="C18" s="1"/>
      <c r="F18" s="4"/>
    </row>
    <row r="19" spans="1:11" x14ac:dyDescent="0.25">
      <c r="B19" t="s">
        <v>7</v>
      </c>
      <c r="C19" s="1">
        <f>C9-C14</f>
        <v>109637.30143819774</v>
      </c>
      <c r="F19" s="11">
        <f>F9-F14</f>
        <v>47335.008360617605</v>
      </c>
    </row>
    <row r="20" spans="1:11" x14ac:dyDescent="0.25">
      <c r="B20" t="s">
        <v>8</v>
      </c>
      <c r="C20" s="5">
        <f>C10-C15</f>
        <v>419552.29293799051</v>
      </c>
      <c r="F20" s="12">
        <f>F10-F15</f>
        <v>181138.27167782694</v>
      </c>
    </row>
    <row r="21" spans="1:11" x14ac:dyDescent="0.25">
      <c r="B21" t="s">
        <v>9</v>
      </c>
      <c r="C21" s="1">
        <f>SUM(C19:C20)</f>
        <v>529189.59437618824</v>
      </c>
      <c r="F21" s="11">
        <f>SUM(F19:F20)</f>
        <v>228473.28003844456</v>
      </c>
    </row>
    <row r="22" spans="1:11" x14ac:dyDescent="0.25">
      <c r="C22" s="1"/>
      <c r="F22" s="11"/>
    </row>
    <row r="23" spans="1:11" x14ac:dyDescent="0.25">
      <c r="B23" t="s">
        <v>12</v>
      </c>
      <c r="C23" s="6">
        <f>0.93*685569.3406</f>
        <v>637579.48675799998</v>
      </c>
      <c r="F23" s="7">
        <f>0.93*295988.956709017</f>
        <v>275269.72973938583</v>
      </c>
    </row>
    <row r="24" spans="1:11" x14ac:dyDescent="0.25">
      <c r="F24" s="4"/>
    </row>
    <row r="25" spans="1:11" x14ac:dyDescent="0.25">
      <c r="B25" t="s">
        <v>13</v>
      </c>
      <c r="C25" s="1">
        <f>C23-C21</f>
        <v>108389.89238181175</v>
      </c>
      <c r="F25" s="11">
        <f>F23-F21</f>
        <v>46796.449700941273</v>
      </c>
    </row>
    <row r="27" spans="1:11" ht="29.25" customHeight="1" x14ac:dyDescent="0.25">
      <c r="A27" s="18" t="s">
        <v>14</v>
      </c>
      <c r="B27" s="18"/>
      <c r="C27" s="18"/>
      <c r="D27" s="18"/>
      <c r="E27" s="18"/>
      <c r="F27" s="18"/>
      <c r="G27" s="18"/>
      <c r="H27" s="18"/>
      <c r="I27" s="18"/>
      <c r="J27" s="18"/>
      <c r="K27" s="18"/>
    </row>
    <row r="30" spans="1:11" x14ac:dyDescent="0.25">
      <c r="A30" t="s">
        <v>15</v>
      </c>
      <c r="C30" s="2" t="s">
        <v>3</v>
      </c>
      <c r="F30" s="3" t="s">
        <v>4</v>
      </c>
    </row>
    <row r="31" spans="1:11" x14ac:dyDescent="0.25">
      <c r="B31" t="s">
        <v>6</v>
      </c>
      <c r="F31" s="13"/>
    </row>
    <row r="32" spans="1:11" x14ac:dyDescent="0.25">
      <c r="B32" t="s">
        <v>7</v>
      </c>
      <c r="C32" s="6">
        <f>0.93*7437.37011586866</f>
        <v>6916.7542077578537</v>
      </c>
      <c r="F32" s="7">
        <f>0.93*3428.6356908995</f>
        <v>3188.6311925365349</v>
      </c>
    </row>
    <row r="33" spans="2:8" x14ac:dyDescent="0.25">
      <c r="B33" t="s">
        <v>8</v>
      </c>
      <c r="C33" s="8">
        <f>0.93*49629.7172369992</f>
        <v>46155.637030409256</v>
      </c>
      <c r="F33" s="9">
        <f>0.93*22879.3534807366</f>
        <v>21277.798737085039</v>
      </c>
    </row>
    <row r="34" spans="2:8" x14ac:dyDescent="0.25">
      <c r="B34" t="s">
        <v>9</v>
      </c>
      <c r="C34" s="6">
        <f>SUM(C32:C33)</f>
        <v>53072.391238167111</v>
      </c>
      <c r="F34" s="7">
        <f>SUM(F32:F33)</f>
        <v>24466.429929621572</v>
      </c>
    </row>
    <row r="35" spans="2:8" x14ac:dyDescent="0.25">
      <c r="F35" s="13"/>
    </row>
    <row r="36" spans="2:8" x14ac:dyDescent="0.25">
      <c r="B36" t="s">
        <v>10</v>
      </c>
      <c r="F36" s="13"/>
    </row>
    <row r="37" spans="2:8" x14ac:dyDescent="0.25">
      <c r="B37" t="s">
        <v>7</v>
      </c>
      <c r="C37" s="1">
        <f>0.6*C32</f>
        <v>4150.0525246547122</v>
      </c>
      <c r="D37" s="10">
        <f>C37/C32</f>
        <v>0.6</v>
      </c>
      <c r="F37" s="11">
        <f>F32*0.6</f>
        <v>1913.1787155219208</v>
      </c>
      <c r="G37" s="10">
        <f>F37/F32</f>
        <v>0.6</v>
      </c>
      <c r="H37" s="10"/>
    </row>
    <row r="38" spans="2:8" x14ac:dyDescent="0.25">
      <c r="B38" t="s">
        <v>8</v>
      </c>
      <c r="C38" s="5">
        <f>0.6*C33</f>
        <v>27693.382218245551</v>
      </c>
      <c r="D38" s="10">
        <f>C38/C33</f>
        <v>0.6</v>
      </c>
      <c r="F38" s="12">
        <f>F33*0.6</f>
        <v>12766.679242251023</v>
      </c>
      <c r="G38" s="10">
        <f>F38/F33</f>
        <v>0.6</v>
      </c>
      <c r="H38" s="10"/>
    </row>
    <row r="39" spans="2:8" x14ac:dyDescent="0.25">
      <c r="B39" t="s">
        <v>9</v>
      </c>
      <c r="C39" s="1">
        <f>SUM(C37:C38)</f>
        <v>31843.434742900263</v>
      </c>
      <c r="F39" s="11">
        <f>SUM(F37:F38)</f>
        <v>14679.857957772943</v>
      </c>
    </row>
    <row r="40" spans="2:8" x14ac:dyDescent="0.25">
      <c r="C40" s="1"/>
      <c r="F40" s="13"/>
    </row>
    <row r="41" spans="2:8" x14ac:dyDescent="0.25">
      <c r="B41" t="s">
        <v>11</v>
      </c>
      <c r="C41" s="1"/>
      <c r="F41" s="13"/>
    </row>
    <row r="42" spans="2:8" x14ac:dyDescent="0.25">
      <c r="B42" t="s">
        <v>7</v>
      </c>
      <c r="C42" s="1">
        <f>C32-C37</f>
        <v>2766.7016831031415</v>
      </c>
      <c r="F42" s="11">
        <f>F32-F37</f>
        <v>1275.452477014614</v>
      </c>
    </row>
    <row r="43" spans="2:8" x14ac:dyDescent="0.25">
      <c r="B43" t="s">
        <v>8</v>
      </c>
      <c r="C43" s="5">
        <f>C33-C38</f>
        <v>18462.254812163705</v>
      </c>
      <c r="F43" s="12">
        <f>F33-F38</f>
        <v>8511.1194948340162</v>
      </c>
    </row>
    <row r="44" spans="2:8" x14ac:dyDescent="0.25">
      <c r="B44" t="s">
        <v>9</v>
      </c>
      <c r="C44" s="1">
        <f>SUM(C42:C43)</f>
        <v>21228.956495266844</v>
      </c>
      <c r="F44" s="11">
        <f>SUM(F42:F43)</f>
        <v>9786.5719718486307</v>
      </c>
    </row>
    <row r="45" spans="2:8" x14ac:dyDescent="0.25">
      <c r="C45" s="1"/>
      <c r="F45" s="14"/>
    </row>
    <row r="46" spans="2:8" x14ac:dyDescent="0.25">
      <c r="B46" t="s">
        <v>12</v>
      </c>
      <c r="C46" s="6">
        <f>0.93*37068.7608</f>
        <v>34473.947543999995</v>
      </c>
      <c r="F46" s="7">
        <f>0.93*17088.7389381256</f>
        <v>15892.527212456809</v>
      </c>
    </row>
    <row r="47" spans="2:8" x14ac:dyDescent="0.25">
      <c r="F47" s="4"/>
    </row>
    <row r="48" spans="2:8" x14ac:dyDescent="0.25">
      <c r="B48" t="s">
        <v>13</v>
      </c>
      <c r="C48" s="1">
        <f>C46-C44</f>
        <v>13244.991048733151</v>
      </c>
      <c r="F48" s="11">
        <f>F46-F44</f>
        <v>6105.9552406081784</v>
      </c>
    </row>
    <row r="49" spans="1:11" x14ac:dyDescent="0.25">
      <c r="C49" s="1"/>
      <c r="F49" s="1"/>
    </row>
    <row r="50" spans="1:11" ht="30.75" customHeight="1" x14ac:dyDescent="0.25">
      <c r="A50" s="18" t="s">
        <v>16</v>
      </c>
      <c r="B50" s="18"/>
      <c r="C50" s="18"/>
      <c r="D50" s="18"/>
      <c r="E50" s="18"/>
      <c r="F50" s="18"/>
      <c r="G50" s="18"/>
      <c r="H50" s="18"/>
      <c r="I50" s="18"/>
      <c r="J50" s="18"/>
      <c r="K50" s="18"/>
    </row>
    <row r="53" spans="1:11" x14ac:dyDescent="0.25">
      <c r="A53" t="s">
        <v>17</v>
      </c>
      <c r="B53" t="s">
        <v>18</v>
      </c>
    </row>
    <row r="55" spans="1:11" x14ac:dyDescent="0.25">
      <c r="B55" t="s">
        <v>3</v>
      </c>
      <c r="C55" s="6">
        <f>0.93*14708.5998</f>
        <v>13678.997814</v>
      </c>
    </row>
    <row r="56" spans="1:11" x14ac:dyDescent="0.25">
      <c r="B56" t="s">
        <v>4</v>
      </c>
      <c r="C56" s="9">
        <f>0.93*8030.82793819338</f>
        <v>7468.6699825198439</v>
      </c>
    </row>
    <row r="57" spans="1:11" x14ac:dyDescent="0.25">
      <c r="B57" t="s">
        <v>19</v>
      </c>
      <c r="C57" s="1">
        <f>SUM(C55:C56)</f>
        <v>21147.667796519843</v>
      </c>
    </row>
    <row r="60" spans="1:11" x14ac:dyDescent="0.25">
      <c r="A60" t="s">
        <v>20</v>
      </c>
      <c r="B60" t="s">
        <v>21</v>
      </c>
    </row>
    <row r="62" spans="1:11" x14ac:dyDescent="0.25">
      <c r="B62" t="s">
        <v>3</v>
      </c>
      <c r="C62" s="6">
        <f>0.93*4396.81829268293</f>
        <v>4089.0410121951254</v>
      </c>
    </row>
    <row r="63" spans="1:11" x14ac:dyDescent="0.25">
      <c r="B63" t="s">
        <v>4</v>
      </c>
      <c r="C63" s="8">
        <f>0.93*3023.4145280771</f>
        <v>2811.7755111117031</v>
      </c>
    </row>
    <row r="64" spans="1:11" x14ac:dyDescent="0.25">
      <c r="B64" t="s">
        <v>19</v>
      </c>
      <c r="C64" s="1">
        <f>SUM(C62:C63)</f>
        <v>6900.8165233068285</v>
      </c>
    </row>
    <row r="66" spans="1:3" x14ac:dyDescent="0.25">
      <c r="A66" t="s">
        <v>22</v>
      </c>
      <c r="B66" t="s">
        <v>23</v>
      </c>
    </row>
    <row r="68" spans="1:3" x14ac:dyDescent="0.25">
      <c r="B68" t="s">
        <v>3</v>
      </c>
      <c r="C68" s="6">
        <f>0.93*340385.25375298</f>
        <v>316558.28599027137</v>
      </c>
    </row>
    <row r="69" spans="1:3" x14ac:dyDescent="0.25">
      <c r="B69" t="s">
        <v>4</v>
      </c>
      <c r="C69" s="8">
        <f>0.93*153427.361336642</f>
        <v>142687.44604307707</v>
      </c>
    </row>
    <row r="70" spans="1:3" x14ac:dyDescent="0.25">
      <c r="B70" t="s">
        <v>19</v>
      </c>
      <c r="C70" s="1">
        <f>SUM(C68:C69)</f>
        <v>459245.73203334841</v>
      </c>
    </row>
    <row r="73" spans="1:3" x14ac:dyDescent="0.25">
      <c r="A73" t="s">
        <v>24</v>
      </c>
    </row>
  </sheetData>
  <mergeCells count="4">
    <mergeCell ref="A1:G1"/>
    <mergeCell ref="A2:G2"/>
    <mergeCell ref="A27:K27"/>
    <mergeCell ref="A50:K50"/>
  </mergeCells>
  <pageMargins left="0.7" right="0.7" top="0.75" bottom="0.75" header="0.3" footer="0.3"/>
  <pageSetup scale="46" orientation="landscape" r:id="rId1"/>
  <headerFooter>
    <oddHeader>&amp;R&amp;"Times New Roman,Bold"&amp;10KyPSC Case No. 2018-00261
STAFF-DR-05-003(b) Attachment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73"/>
  <sheetViews>
    <sheetView view="pageBreakPreview" zoomScale="60" zoomScaleNormal="100" workbookViewId="0">
      <selection activeCell="H5" sqref="H5"/>
    </sheetView>
  </sheetViews>
  <sheetFormatPr defaultRowHeight="15" x14ac:dyDescent="0.25"/>
  <cols>
    <col min="2" max="2" width="34.5703125" customWidth="1"/>
    <col min="3" max="3" width="25.42578125" customWidth="1"/>
    <col min="5" max="5" width="3" customWidth="1"/>
    <col min="6" max="6" width="23.28515625" bestFit="1" customWidth="1"/>
    <col min="8" max="8" width="18.28515625" customWidth="1"/>
    <col min="9" max="9" width="21.5703125" customWidth="1"/>
    <col min="10" max="10" width="11.5703125" bestFit="1" customWidth="1"/>
  </cols>
  <sheetData>
    <row r="1" spans="1:8" x14ac:dyDescent="0.25">
      <c r="A1" s="17" t="s">
        <v>25</v>
      </c>
      <c r="B1" s="17"/>
      <c r="C1" s="17"/>
      <c r="D1" s="17"/>
      <c r="E1" s="17"/>
      <c r="F1" s="17"/>
      <c r="G1" s="17"/>
      <c r="H1" s="15"/>
    </row>
    <row r="2" spans="1:8" x14ac:dyDescent="0.25">
      <c r="A2" s="17" t="s">
        <v>1</v>
      </c>
      <c r="B2" s="17"/>
      <c r="C2" s="17"/>
      <c r="D2" s="17"/>
      <c r="E2" s="17"/>
      <c r="F2" s="17"/>
      <c r="G2" s="17"/>
      <c r="H2" s="15"/>
    </row>
    <row r="3" spans="1:8" x14ac:dyDescent="0.25">
      <c r="A3" s="15"/>
      <c r="B3" s="15"/>
      <c r="C3" s="15" t="s">
        <v>27</v>
      </c>
      <c r="D3" s="15"/>
      <c r="E3" s="15"/>
      <c r="F3" s="15"/>
      <c r="G3" s="15"/>
      <c r="H3" s="15"/>
    </row>
    <row r="4" spans="1:8" x14ac:dyDescent="0.25">
      <c r="A4" s="15"/>
      <c r="B4" s="15"/>
      <c r="C4" s="15"/>
      <c r="D4" s="15"/>
      <c r="E4" s="15"/>
      <c r="F4" s="15"/>
      <c r="G4" s="15"/>
      <c r="H4" s="15"/>
    </row>
    <row r="5" spans="1:8" x14ac:dyDescent="0.25">
      <c r="A5" t="s">
        <v>2</v>
      </c>
    </row>
    <row r="7" spans="1:8" x14ac:dyDescent="0.25">
      <c r="C7" s="2" t="s">
        <v>3</v>
      </c>
      <c r="F7" s="3" t="s">
        <v>4</v>
      </c>
    </row>
    <row r="8" spans="1:8" x14ac:dyDescent="0.25">
      <c r="A8" t="s">
        <v>5</v>
      </c>
      <c r="B8" t="s">
        <v>6</v>
      </c>
      <c r="F8" s="4"/>
    </row>
    <row r="9" spans="1:8" x14ac:dyDescent="0.25">
      <c r="B9" t="s">
        <v>7</v>
      </c>
      <c r="C9" s="6">
        <f>0.07*149227.305618889</f>
        <v>10445.911393322231</v>
      </c>
      <c r="F9" s="7">
        <f>0.07*64427.6689269329</f>
        <v>4509.9368248853034</v>
      </c>
    </row>
    <row r="10" spans="1:8" x14ac:dyDescent="0.25">
      <c r="B10" t="s">
        <v>8</v>
      </c>
      <c r="C10" s="8">
        <f>0.07*673330.59370565</f>
        <v>47133.141559395503</v>
      </c>
      <c r="F10" s="9">
        <f>0.07*290704.977817087</f>
        <v>20349.348447196095</v>
      </c>
    </row>
    <row r="11" spans="1:8" x14ac:dyDescent="0.25">
      <c r="B11" t="s">
        <v>9</v>
      </c>
      <c r="C11" s="6">
        <f>SUM(C9:C10)</f>
        <v>57579.052952717735</v>
      </c>
      <c r="F11" s="7">
        <f>SUM(F9:F10)</f>
        <v>24859.285272081397</v>
      </c>
    </row>
    <row r="12" spans="1:8" x14ac:dyDescent="0.25">
      <c r="F12" s="4"/>
    </row>
    <row r="13" spans="1:8" x14ac:dyDescent="0.25">
      <c r="B13" t="s">
        <v>10</v>
      </c>
      <c r="F13" s="4"/>
    </row>
    <row r="14" spans="1:8" x14ac:dyDescent="0.25">
      <c r="B14" t="s">
        <v>7</v>
      </c>
      <c r="C14" s="1">
        <f>C9*0.21</f>
        <v>2193.6413925976685</v>
      </c>
      <c r="D14" s="10">
        <f>C14/C9</f>
        <v>0.21000000000000002</v>
      </c>
      <c r="F14" s="11">
        <f>F9*0.21</f>
        <v>947.08673322591369</v>
      </c>
      <c r="G14" s="10">
        <f>F14/F9</f>
        <v>0.21</v>
      </c>
      <c r="H14" s="10"/>
    </row>
    <row r="15" spans="1:8" x14ac:dyDescent="0.25">
      <c r="B15" t="s">
        <v>8</v>
      </c>
      <c r="C15" s="5">
        <f>C10*0.33</f>
        <v>15553.936714600517</v>
      </c>
      <c r="D15" s="10">
        <f>C15/C10</f>
        <v>0.33</v>
      </c>
      <c r="F15" s="12">
        <f>F10*0.33</f>
        <v>6715.2849875747115</v>
      </c>
      <c r="G15" s="10">
        <f>F15/F10</f>
        <v>0.33</v>
      </c>
      <c r="H15" s="10"/>
    </row>
    <row r="16" spans="1:8" x14ac:dyDescent="0.25">
      <c r="B16" t="s">
        <v>9</v>
      </c>
      <c r="C16" s="1">
        <f>SUM(C14:C15)</f>
        <v>17747.578107198184</v>
      </c>
      <c r="F16" s="11">
        <f>SUM(F14:F15)</f>
        <v>7662.3717208006256</v>
      </c>
    </row>
    <row r="17" spans="1:11" x14ac:dyDescent="0.25">
      <c r="C17" s="1"/>
      <c r="F17" s="4"/>
    </row>
    <row r="18" spans="1:11" x14ac:dyDescent="0.25">
      <c r="B18" t="s">
        <v>11</v>
      </c>
      <c r="C18" s="1"/>
      <c r="F18" s="4"/>
    </row>
    <row r="19" spans="1:11" x14ac:dyDescent="0.25">
      <c r="B19" t="s">
        <v>7</v>
      </c>
      <c r="C19" s="1">
        <f>C9-C14</f>
        <v>8252.2700007245621</v>
      </c>
      <c r="F19" s="11">
        <f>F9-F14</f>
        <v>3562.8500916593898</v>
      </c>
    </row>
    <row r="20" spans="1:11" x14ac:dyDescent="0.25">
      <c r="B20" t="s">
        <v>8</v>
      </c>
      <c r="C20" s="5">
        <f>C10-C15</f>
        <v>31579.204844794986</v>
      </c>
      <c r="F20" s="12">
        <f>F10-F15</f>
        <v>13634.063459621382</v>
      </c>
    </row>
    <row r="21" spans="1:11" x14ac:dyDescent="0.25">
      <c r="B21" t="s">
        <v>9</v>
      </c>
      <c r="C21" s="1">
        <f>SUM(C19:C20)</f>
        <v>39831.474845519551</v>
      </c>
      <c r="F21" s="11">
        <f>SUM(F19:F20)</f>
        <v>17196.913551280773</v>
      </c>
    </row>
    <row r="22" spans="1:11" x14ac:dyDescent="0.25">
      <c r="C22" s="1"/>
      <c r="F22" s="11"/>
    </row>
    <row r="23" spans="1:11" x14ac:dyDescent="0.25">
      <c r="B23" t="s">
        <v>12</v>
      </c>
      <c r="C23" s="6">
        <f>0.07*685569.3406</f>
        <v>47989.853842000004</v>
      </c>
      <c r="F23" s="7">
        <f>0.07*295988.956709017</f>
        <v>20719.226969631192</v>
      </c>
    </row>
    <row r="24" spans="1:11" x14ac:dyDescent="0.25">
      <c r="F24" s="4"/>
    </row>
    <row r="25" spans="1:11" x14ac:dyDescent="0.25">
      <c r="B25" t="s">
        <v>13</v>
      </c>
      <c r="C25" s="1">
        <f>C23-C21</f>
        <v>8158.3789964804528</v>
      </c>
      <c r="F25" s="11">
        <f>F23-F21</f>
        <v>3522.3134183504189</v>
      </c>
    </row>
    <row r="27" spans="1:11" ht="29.25" customHeight="1" x14ac:dyDescent="0.25">
      <c r="A27" s="18" t="s">
        <v>14</v>
      </c>
      <c r="B27" s="18"/>
      <c r="C27" s="18"/>
      <c r="D27" s="18"/>
      <c r="E27" s="18"/>
      <c r="F27" s="18"/>
      <c r="G27" s="18"/>
      <c r="H27" s="18"/>
      <c r="I27" s="18"/>
      <c r="J27" s="18"/>
      <c r="K27" s="18"/>
    </row>
    <row r="30" spans="1:11" x14ac:dyDescent="0.25">
      <c r="A30" t="s">
        <v>15</v>
      </c>
      <c r="C30" s="2" t="s">
        <v>3</v>
      </c>
      <c r="F30" s="3" t="s">
        <v>4</v>
      </c>
    </row>
    <row r="31" spans="1:11" x14ac:dyDescent="0.25">
      <c r="B31" t="s">
        <v>6</v>
      </c>
      <c r="F31" s="13"/>
    </row>
    <row r="32" spans="1:11" x14ac:dyDescent="0.25">
      <c r="B32" t="s">
        <v>7</v>
      </c>
      <c r="C32" s="6">
        <f>0.07*7437.37011586866</f>
        <v>520.61590811080623</v>
      </c>
      <c r="F32" s="7">
        <f>0.07*3428.6356908995</f>
        <v>240.00449836296502</v>
      </c>
    </row>
    <row r="33" spans="2:8" x14ac:dyDescent="0.25">
      <c r="B33" t="s">
        <v>8</v>
      </c>
      <c r="C33" s="8">
        <f>0.07*49629.7172369992</f>
        <v>3474.0802065899443</v>
      </c>
      <c r="F33" s="9">
        <f>0.07*22879.3534807366</f>
        <v>1601.5547436515621</v>
      </c>
    </row>
    <row r="34" spans="2:8" x14ac:dyDescent="0.25">
      <c r="B34" t="s">
        <v>9</v>
      </c>
      <c r="C34" s="6">
        <f>SUM(C32:C33)</f>
        <v>3994.6961147007505</v>
      </c>
      <c r="F34" s="7">
        <f>SUM(F32:F33)</f>
        <v>1841.5592420145272</v>
      </c>
    </row>
    <row r="35" spans="2:8" x14ac:dyDescent="0.25">
      <c r="F35" s="13"/>
    </row>
    <row r="36" spans="2:8" x14ac:dyDescent="0.25">
      <c r="B36" t="s">
        <v>10</v>
      </c>
      <c r="F36" s="13"/>
    </row>
    <row r="37" spans="2:8" x14ac:dyDescent="0.25">
      <c r="B37" t="s">
        <v>7</v>
      </c>
      <c r="C37" s="1">
        <f>0.6*C32</f>
        <v>312.36954486648375</v>
      </c>
      <c r="D37" s="10">
        <f>C37/C32</f>
        <v>0.6</v>
      </c>
      <c r="F37" s="11">
        <f>F32*0.6</f>
        <v>144.00269901777901</v>
      </c>
      <c r="G37" s="10">
        <f>F37/F32</f>
        <v>0.6</v>
      </c>
      <c r="H37" s="10"/>
    </row>
    <row r="38" spans="2:8" x14ac:dyDescent="0.25">
      <c r="B38" t="s">
        <v>8</v>
      </c>
      <c r="C38" s="5">
        <f>0.6*C33</f>
        <v>2084.4481239539664</v>
      </c>
      <c r="D38" s="10">
        <f>C38/C33</f>
        <v>0.6</v>
      </c>
      <c r="F38" s="12">
        <f>F33*0.6</f>
        <v>960.9328461909372</v>
      </c>
      <c r="G38" s="10">
        <f>F38/F33</f>
        <v>0.6</v>
      </c>
      <c r="H38" s="10"/>
    </row>
    <row r="39" spans="2:8" x14ac:dyDescent="0.25">
      <c r="B39" t="s">
        <v>9</v>
      </c>
      <c r="C39" s="1">
        <f>SUM(C37:C38)</f>
        <v>2396.8176688204503</v>
      </c>
      <c r="F39" s="11">
        <f>SUM(F37:F38)</f>
        <v>1104.9355452087161</v>
      </c>
    </row>
    <row r="40" spans="2:8" x14ac:dyDescent="0.25">
      <c r="C40" s="1"/>
      <c r="F40" s="13"/>
    </row>
    <row r="41" spans="2:8" x14ac:dyDescent="0.25">
      <c r="B41" t="s">
        <v>11</v>
      </c>
      <c r="C41" s="1"/>
      <c r="F41" s="13"/>
    </row>
    <row r="42" spans="2:8" x14ac:dyDescent="0.25">
      <c r="B42" t="s">
        <v>7</v>
      </c>
      <c r="C42" s="1">
        <f>C32-C37</f>
        <v>208.24636324432248</v>
      </c>
      <c r="F42" s="11">
        <f>F32-F37</f>
        <v>96.001799345186015</v>
      </c>
    </row>
    <row r="43" spans="2:8" x14ac:dyDescent="0.25">
      <c r="B43" t="s">
        <v>8</v>
      </c>
      <c r="C43" s="5">
        <f>C33-C38</f>
        <v>1389.6320826359779</v>
      </c>
      <c r="F43" s="12">
        <f>F33-F38</f>
        <v>640.62189746062495</v>
      </c>
    </row>
    <row r="44" spans="2:8" x14ac:dyDescent="0.25">
      <c r="B44" t="s">
        <v>9</v>
      </c>
      <c r="C44" s="1">
        <f>SUM(C42:C43)</f>
        <v>1597.8784458803004</v>
      </c>
      <c r="F44" s="11">
        <f>SUM(F42:F43)</f>
        <v>736.62369680581094</v>
      </c>
    </row>
    <row r="45" spans="2:8" x14ac:dyDescent="0.25">
      <c r="C45" s="1"/>
      <c r="F45" s="14"/>
    </row>
    <row r="46" spans="2:8" x14ac:dyDescent="0.25">
      <c r="B46" t="s">
        <v>12</v>
      </c>
      <c r="C46" s="6">
        <f>0.07*37068.7608</f>
        <v>2594.8132559999999</v>
      </c>
      <c r="F46" s="7">
        <f>0.07*17088.7389381256</f>
        <v>1196.211725668792</v>
      </c>
    </row>
    <row r="47" spans="2:8" x14ac:dyDescent="0.25">
      <c r="F47" s="4"/>
    </row>
    <row r="48" spans="2:8" x14ac:dyDescent="0.25">
      <c r="B48" t="s">
        <v>13</v>
      </c>
      <c r="C48" s="1">
        <f>C46-C44</f>
        <v>996.93481011969948</v>
      </c>
      <c r="F48" s="11">
        <f>F46-F44</f>
        <v>459.5880288629811</v>
      </c>
    </row>
    <row r="49" spans="1:11" x14ac:dyDescent="0.25">
      <c r="C49" s="1"/>
      <c r="F49" s="1"/>
    </row>
    <row r="50" spans="1:11" ht="30.75" customHeight="1" x14ac:dyDescent="0.25">
      <c r="A50" s="18" t="s">
        <v>16</v>
      </c>
      <c r="B50" s="18"/>
      <c r="C50" s="18"/>
      <c r="D50" s="18"/>
      <c r="E50" s="18"/>
      <c r="F50" s="18"/>
      <c r="G50" s="18"/>
      <c r="H50" s="18"/>
      <c r="I50" s="18"/>
      <c r="J50" s="18"/>
      <c r="K50" s="18"/>
    </row>
    <row r="53" spans="1:11" x14ac:dyDescent="0.25">
      <c r="A53" t="s">
        <v>17</v>
      </c>
      <c r="B53" t="s">
        <v>18</v>
      </c>
    </row>
    <row r="55" spans="1:11" x14ac:dyDescent="0.25">
      <c r="B55" t="s">
        <v>3</v>
      </c>
      <c r="C55" s="6">
        <f>0.07*14708.5998</f>
        <v>1029.6019860000001</v>
      </c>
    </row>
    <row r="56" spans="1:11" x14ac:dyDescent="0.25">
      <c r="B56" t="s">
        <v>4</v>
      </c>
      <c r="C56" s="9">
        <f>0.07*8030.82793819338</f>
        <v>562.15795567353666</v>
      </c>
    </row>
    <row r="57" spans="1:11" x14ac:dyDescent="0.25">
      <c r="B57" t="s">
        <v>19</v>
      </c>
      <c r="C57" s="1">
        <f>SUM(C55:C56)</f>
        <v>1591.7599416735368</v>
      </c>
    </row>
    <row r="60" spans="1:11" x14ac:dyDescent="0.25">
      <c r="A60" t="s">
        <v>20</v>
      </c>
      <c r="B60" t="s">
        <v>21</v>
      </c>
    </row>
    <row r="62" spans="1:11" x14ac:dyDescent="0.25">
      <c r="B62" t="s">
        <v>3</v>
      </c>
      <c r="C62" s="6">
        <f>0.07*4396.81829268293</f>
        <v>307.77728048780517</v>
      </c>
    </row>
    <row r="63" spans="1:11" x14ac:dyDescent="0.25">
      <c r="B63" t="s">
        <v>4</v>
      </c>
      <c r="C63" s="8">
        <f>0.07*3023.4145280771</f>
        <v>211.63901696539702</v>
      </c>
    </row>
    <row r="64" spans="1:11" x14ac:dyDescent="0.25">
      <c r="B64" t="s">
        <v>19</v>
      </c>
      <c r="C64" s="1">
        <f>SUM(C62:C63)</f>
        <v>519.41629745320222</v>
      </c>
    </row>
    <row r="66" spans="1:3" x14ac:dyDescent="0.25">
      <c r="A66" t="s">
        <v>22</v>
      </c>
      <c r="B66" t="s">
        <v>23</v>
      </c>
    </row>
    <row r="68" spans="1:3" x14ac:dyDescent="0.25">
      <c r="B68" t="s">
        <v>3</v>
      </c>
      <c r="C68" s="6">
        <f>0.07*340385.25375298</f>
        <v>23826.967762708602</v>
      </c>
    </row>
    <row r="69" spans="1:3" x14ac:dyDescent="0.25">
      <c r="B69" t="s">
        <v>4</v>
      </c>
      <c r="C69" s="8">
        <f>0.07*153427.361336642</f>
        <v>10739.915293564942</v>
      </c>
    </row>
    <row r="70" spans="1:3" x14ac:dyDescent="0.25">
      <c r="B70" t="s">
        <v>19</v>
      </c>
      <c r="C70" s="1">
        <f>SUM(C68:C69)</f>
        <v>34566.883056273546</v>
      </c>
    </row>
    <row r="73" spans="1:3" x14ac:dyDescent="0.25">
      <c r="A73" t="s">
        <v>24</v>
      </c>
    </row>
  </sheetData>
  <mergeCells count="4">
    <mergeCell ref="A1:G1"/>
    <mergeCell ref="A2:G2"/>
    <mergeCell ref="A27:K27"/>
    <mergeCell ref="A50:K50"/>
  </mergeCells>
  <pageMargins left="0.7" right="0.7" top="0.75" bottom="0.75" header="0.3" footer="0.3"/>
  <pageSetup scale="46" orientation="landscape" r:id="rId1"/>
  <headerFooter>
    <oddHeader>&amp;R&amp;"Times New Roman,Bold"&amp;10KyPSC Case No. 2018-00261
STAFF-DR-05-003(b) Attachment
Page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73"/>
  <sheetViews>
    <sheetView view="pageBreakPreview" zoomScale="60" zoomScaleNormal="100" workbookViewId="0">
      <selection activeCell="J5" sqref="J5"/>
    </sheetView>
  </sheetViews>
  <sheetFormatPr defaultRowHeight="15" x14ac:dyDescent="0.25"/>
  <cols>
    <col min="2" max="2" width="34.5703125" customWidth="1"/>
    <col min="3" max="3" width="25.42578125" customWidth="1"/>
    <col min="5" max="5" width="3" customWidth="1"/>
    <col min="6" max="6" width="23.28515625" bestFit="1" customWidth="1"/>
    <col min="8" max="8" width="18.28515625" customWidth="1"/>
    <col min="9" max="9" width="21.5703125" customWidth="1"/>
    <col min="10" max="10" width="11.5703125" bestFit="1" customWidth="1"/>
  </cols>
  <sheetData>
    <row r="1" spans="1:11" x14ac:dyDescent="0.25">
      <c r="A1" s="17" t="s">
        <v>0</v>
      </c>
      <c r="B1" s="17"/>
      <c r="C1" s="17"/>
      <c r="D1" s="17"/>
      <c r="E1" s="17"/>
      <c r="F1" s="17"/>
      <c r="G1" s="17"/>
      <c r="H1" s="16"/>
    </row>
    <row r="2" spans="1:11" x14ac:dyDescent="0.25">
      <c r="A2" s="17" t="s">
        <v>1</v>
      </c>
      <c r="B2" s="17"/>
      <c r="C2" s="17"/>
      <c r="D2" s="17"/>
      <c r="E2" s="17"/>
      <c r="F2" s="17"/>
      <c r="G2" s="17"/>
      <c r="H2" s="16"/>
    </row>
    <row r="3" spans="1:11" x14ac:dyDescent="0.25">
      <c r="A3" s="16"/>
      <c r="B3" s="16"/>
      <c r="C3" s="16"/>
      <c r="D3" s="16"/>
      <c r="E3" s="16"/>
      <c r="F3" s="16"/>
      <c r="G3" s="16"/>
      <c r="H3" s="16"/>
    </row>
    <row r="4" spans="1:11" x14ac:dyDescent="0.25">
      <c r="A4" s="16"/>
      <c r="B4" s="16"/>
      <c r="C4" s="16"/>
      <c r="D4" s="16"/>
      <c r="E4" s="16"/>
      <c r="F4" s="16"/>
      <c r="G4" s="16"/>
      <c r="H4" s="16"/>
    </row>
    <row r="5" spans="1:11" x14ac:dyDescent="0.25">
      <c r="A5" t="s">
        <v>2</v>
      </c>
    </row>
    <row r="7" spans="1:11" x14ac:dyDescent="0.25">
      <c r="C7" s="2" t="s">
        <v>3</v>
      </c>
      <c r="F7" s="3" t="s">
        <v>4</v>
      </c>
    </row>
    <row r="8" spans="1:11" x14ac:dyDescent="0.25">
      <c r="A8" t="s">
        <v>5</v>
      </c>
      <c r="B8" t="s">
        <v>6</v>
      </c>
      <c r="F8" s="4"/>
    </row>
    <row r="9" spans="1:11" x14ac:dyDescent="0.25">
      <c r="B9" t="s">
        <v>7</v>
      </c>
      <c r="C9" s="6">
        <v>149227.30561888884</v>
      </c>
      <c r="F9" s="7">
        <v>64427.668926932922</v>
      </c>
      <c r="H9" s="1"/>
      <c r="I9" s="1"/>
      <c r="J9" s="1"/>
      <c r="K9" s="1"/>
    </row>
    <row r="10" spans="1:11" x14ac:dyDescent="0.25">
      <c r="B10" t="s">
        <v>8</v>
      </c>
      <c r="C10" s="8">
        <v>673330.5937056496</v>
      </c>
      <c r="F10" s="9">
        <v>290704.9778170872</v>
      </c>
      <c r="H10" s="1"/>
      <c r="I10" s="1"/>
      <c r="J10" s="1"/>
      <c r="K10" s="1"/>
    </row>
    <row r="11" spans="1:11" x14ac:dyDescent="0.25">
      <c r="B11" t="s">
        <v>9</v>
      </c>
      <c r="C11" s="6">
        <f>SUM(C9:C10)</f>
        <v>822557.89932453842</v>
      </c>
      <c r="F11" s="7">
        <f>SUM(F9:F10)</f>
        <v>355132.64674402011</v>
      </c>
      <c r="H11" s="1"/>
      <c r="I11" s="1"/>
      <c r="J11" s="1"/>
      <c r="K11" s="1"/>
    </row>
    <row r="12" spans="1:11" x14ac:dyDescent="0.25">
      <c r="F12" s="4"/>
      <c r="H12" s="1"/>
      <c r="I12" s="1"/>
      <c r="J12" s="1"/>
      <c r="K12" s="1"/>
    </row>
    <row r="13" spans="1:11" x14ac:dyDescent="0.25">
      <c r="B13" t="s">
        <v>10</v>
      </c>
      <c r="F13" s="4"/>
      <c r="H13" s="1"/>
      <c r="I13" s="1"/>
      <c r="J13" s="1"/>
      <c r="K13" s="1"/>
    </row>
    <row r="14" spans="1:11" x14ac:dyDescent="0.25">
      <c r="B14" t="s">
        <v>7</v>
      </c>
      <c r="C14" s="1">
        <f>C9*0.21</f>
        <v>31337.734179966657</v>
      </c>
      <c r="D14" s="10">
        <f>C14/C9</f>
        <v>0.21</v>
      </c>
      <c r="F14" s="11">
        <f>F9*0.21</f>
        <v>13529.810474655913</v>
      </c>
      <c r="G14" s="10">
        <f>F14/F9</f>
        <v>0.21</v>
      </c>
      <c r="H14" s="1"/>
      <c r="I14" s="1"/>
      <c r="J14" s="1"/>
      <c r="K14" s="1"/>
    </row>
    <row r="15" spans="1:11" x14ac:dyDescent="0.25">
      <c r="B15" t="s">
        <v>8</v>
      </c>
      <c r="C15" s="5">
        <f>C10*0.33</f>
        <v>222199.09592286439</v>
      </c>
      <c r="D15" s="10">
        <f>C15/C10</f>
        <v>0.33</v>
      </c>
      <c r="F15" s="12">
        <f>F10*0.33</f>
        <v>95932.642679638782</v>
      </c>
      <c r="G15" s="10">
        <f>F15/F10</f>
        <v>0.33</v>
      </c>
      <c r="H15" s="1"/>
      <c r="I15" s="1"/>
      <c r="J15" s="1"/>
      <c r="K15" s="1"/>
    </row>
    <row r="16" spans="1:11" x14ac:dyDescent="0.25">
      <c r="B16" t="s">
        <v>9</v>
      </c>
      <c r="C16" s="1">
        <f>SUM(C14:C15)</f>
        <v>253536.83010283104</v>
      </c>
      <c r="F16" s="11">
        <f>SUM(F14:F15)</f>
        <v>109462.45315429469</v>
      </c>
      <c r="H16" s="1"/>
      <c r="I16" s="1"/>
      <c r="J16" s="1"/>
      <c r="K16" s="1"/>
    </row>
    <row r="17" spans="1:11" x14ac:dyDescent="0.25">
      <c r="C17" s="1"/>
      <c r="F17" s="4"/>
      <c r="H17" s="1"/>
      <c r="I17" s="1"/>
      <c r="J17" s="1"/>
      <c r="K17" s="1"/>
    </row>
    <row r="18" spans="1:11" x14ac:dyDescent="0.25">
      <c r="B18" t="s">
        <v>11</v>
      </c>
      <c r="C18" s="1"/>
      <c r="F18" s="4"/>
      <c r="H18" s="1"/>
      <c r="I18" s="1"/>
      <c r="J18" s="1"/>
      <c r="K18" s="1"/>
    </row>
    <row r="19" spans="1:11" x14ac:dyDescent="0.25">
      <c r="B19" t="s">
        <v>7</v>
      </c>
      <c r="C19" s="1">
        <f>C9-C14</f>
        <v>117889.57143892218</v>
      </c>
      <c r="F19" s="11">
        <f>F9-F14</f>
        <v>50897.858452277011</v>
      </c>
      <c r="H19" s="1"/>
      <c r="I19" s="1"/>
      <c r="J19" s="1"/>
      <c r="K19" s="1"/>
    </row>
    <row r="20" spans="1:11" x14ac:dyDescent="0.25">
      <c r="B20" t="s">
        <v>8</v>
      </c>
      <c r="C20" s="5">
        <f>C10-C15</f>
        <v>451131.49778278521</v>
      </c>
      <c r="F20" s="12">
        <f>F10-F15</f>
        <v>194772.33513744842</v>
      </c>
      <c r="H20" s="1"/>
      <c r="I20" s="1"/>
      <c r="J20" s="1"/>
      <c r="K20" s="1"/>
    </row>
    <row r="21" spans="1:11" x14ac:dyDescent="0.25">
      <c r="B21" t="s">
        <v>9</v>
      </c>
      <c r="C21" s="1">
        <f>SUM(C19:C20)</f>
        <v>569021.06922170741</v>
      </c>
      <c r="F21" s="11">
        <f>SUM(F19:F20)</f>
        <v>245670.19358972542</v>
      </c>
      <c r="H21" s="1"/>
      <c r="I21" s="1"/>
      <c r="J21" s="1"/>
      <c r="K21" s="1"/>
    </row>
    <row r="22" spans="1:11" x14ac:dyDescent="0.25">
      <c r="C22" s="1"/>
      <c r="F22" s="11"/>
      <c r="H22" s="1"/>
      <c r="I22" s="1"/>
      <c r="J22" s="1"/>
      <c r="K22" s="1"/>
    </row>
    <row r="23" spans="1:11" x14ac:dyDescent="0.25">
      <c r="B23" t="s">
        <v>12</v>
      </c>
      <c r="C23" s="6">
        <v>685569.34059999988</v>
      </c>
      <c r="F23" s="7">
        <v>295988.95670901675</v>
      </c>
      <c r="H23" s="1"/>
      <c r="I23" s="1"/>
      <c r="J23" s="1"/>
      <c r="K23" s="1"/>
    </row>
    <row r="24" spans="1:11" x14ac:dyDescent="0.25">
      <c r="F24" s="4"/>
      <c r="H24" s="1"/>
      <c r="I24" s="1"/>
      <c r="J24" s="1"/>
      <c r="K24" s="1"/>
    </row>
    <row r="25" spans="1:11" x14ac:dyDescent="0.25">
      <c r="B25" t="s">
        <v>13</v>
      </c>
      <c r="C25" s="1">
        <f>C23-C21</f>
        <v>116548.27137829247</v>
      </c>
      <c r="F25" s="11">
        <f>F23-F21</f>
        <v>50318.76311929134</v>
      </c>
      <c r="H25" s="1"/>
      <c r="I25" s="1"/>
      <c r="J25" s="1"/>
      <c r="K25" s="1"/>
    </row>
    <row r="27" spans="1:11" ht="29.25" customHeight="1" x14ac:dyDescent="0.25">
      <c r="A27" s="18" t="s">
        <v>14</v>
      </c>
      <c r="B27" s="18"/>
      <c r="C27" s="18"/>
      <c r="D27" s="18"/>
      <c r="E27" s="18"/>
      <c r="F27" s="18"/>
      <c r="G27" s="18"/>
      <c r="H27" s="18"/>
      <c r="I27" s="18"/>
      <c r="J27" s="18"/>
      <c r="K27" s="18"/>
    </row>
    <row r="30" spans="1:11" x14ac:dyDescent="0.25">
      <c r="A30" t="s">
        <v>15</v>
      </c>
      <c r="C30" s="2" t="s">
        <v>3</v>
      </c>
      <c r="F30" s="3" t="s">
        <v>4</v>
      </c>
    </row>
    <row r="31" spans="1:11" x14ac:dyDescent="0.25">
      <c r="B31" t="s">
        <v>6</v>
      </c>
      <c r="F31" s="13"/>
    </row>
    <row r="32" spans="1:11" x14ac:dyDescent="0.25">
      <c r="B32" t="s">
        <v>7</v>
      </c>
      <c r="C32" s="6">
        <v>7437.3701158686572</v>
      </c>
      <c r="F32" s="7">
        <v>3428.635690899504</v>
      </c>
      <c r="H32" s="1"/>
      <c r="I32" s="1"/>
      <c r="J32" s="1"/>
      <c r="K32" s="1"/>
    </row>
    <row r="33" spans="2:11" x14ac:dyDescent="0.25">
      <c r="B33" t="s">
        <v>8</v>
      </c>
      <c r="C33" s="8">
        <v>49629.717236999219</v>
      </c>
      <c r="F33" s="9">
        <v>22879.353480736583</v>
      </c>
      <c r="H33" s="1"/>
      <c r="I33" s="1"/>
      <c r="J33" s="1"/>
      <c r="K33" s="1"/>
    </row>
    <row r="34" spans="2:11" x14ac:dyDescent="0.25">
      <c r="B34" t="s">
        <v>9</v>
      </c>
      <c r="C34" s="6">
        <f>SUM(C32:C33)</f>
        <v>57067.087352867879</v>
      </c>
      <c r="F34" s="7">
        <f>SUM(F32:F33)</f>
        <v>26307.989171636087</v>
      </c>
      <c r="H34" s="1"/>
      <c r="I34" s="1"/>
      <c r="J34" s="1"/>
      <c r="K34" s="1"/>
    </row>
    <row r="35" spans="2:11" x14ac:dyDescent="0.25">
      <c r="F35" s="13"/>
      <c r="H35" s="1"/>
      <c r="I35" s="1"/>
      <c r="J35" s="1"/>
      <c r="K35" s="1"/>
    </row>
    <row r="36" spans="2:11" x14ac:dyDescent="0.25">
      <c r="B36" t="s">
        <v>10</v>
      </c>
      <c r="F36" s="13"/>
      <c r="H36" s="1"/>
      <c r="I36" s="1"/>
      <c r="J36" s="1"/>
      <c r="K36" s="1"/>
    </row>
    <row r="37" spans="2:11" x14ac:dyDescent="0.25">
      <c r="B37" t="s">
        <v>7</v>
      </c>
      <c r="C37" s="1">
        <v>4462.4220695211943</v>
      </c>
      <c r="D37" s="10">
        <f>C37/C32</f>
        <v>0.6</v>
      </c>
      <c r="F37" s="11">
        <f>F32*0.6</f>
        <v>2057.1814145397025</v>
      </c>
      <c r="G37" s="10">
        <f>F37/F32</f>
        <v>0.6</v>
      </c>
      <c r="H37" s="1"/>
      <c r="I37" s="1"/>
      <c r="J37" s="1"/>
      <c r="K37" s="1"/>
    </row>
    <row r="38" spans="2:11" x14ac:dyDescent="0.25">
      <c r="B38" t="s">
        <v>8</v>
      </c>
      <c r="C38" s="5">
        <v>29777.83034219953</v>
      </c>
      <c r="D38" s="10">
        <f>C38/C33</f>
        <v>0.6</v>
      </c>
      <c r="F38" s="12">
        <f>F33*0.6</f>
        <v>13727.612088441949</v>
      </c>
      <c r="G38" s="10">
        <f>F38/F33</f>
        <v>0.6</v>
      </c>
      <c r="H38" s="1"/>
      <c r="I38" s="1"/>
      <c r="J38" s="1"/>
      <c r="K38" s="1"/>
    </row>
    <row r="39" spans="2:11" x14ac:dyDescent="0.25">
      <c r="B39" t="s">
        <v>9</v>
      </c>
      <c r="C39" s="1">
        <f>SUM(C37:C38)</f>
        <v>34240.252411720721</v>
      </c>
      <c r="F39" s="11">
        <f>SUM(F37:F38)</f>
        <v>15784.793502981651</v>
      </c>
      <c r="H39" s="1"/>
      <c r="I39" s="1"/>
      <c r="J39" s="1"/>
      <c r="K39" s="1"/>
    </row>
    <row r="40" spans="2:11" x14ac:dyDescent="0.25">
      <c r="C40" s="1"/>
      <c r="F40" s="13"/>
      <c r="H40" s="1"/>
      <c r="I40" s="1"/>
      <c r="J40" s="1"/>
      <c r="K40" s="1"/>
    </row>
    <row r="41" spans="2:11" x14ac:dyDescent="0.25">
      <c r="B41" t="s">
        <v>11</v>
      </c>
      <c r="C41" s="1"/>
      <c r="F41" s="13"/>
      <c r="H41" s="1"/>
      <c r="I41" s="1"/>
      <c r="J41" s="1"/>
      <c r="K41" s="1"/>
    </row>
    <row r="42" spans="2:11" x14ac:dyDescent="0.25">
      <c r="B42" t="s">
        <v>7</v>
      </c>
      <c r="C42" s="1">
        <f>C32-C37</f>
        <v>2974.9480463474629</v>
      </c>
      <c r="F42" s="11">
        <f>F32-F37</f>
        <v>1371.4542763598015</v>
      </c>
      <c r="H42" s="1"/>
      <c r="I42" s="1"/>
      <c r="J42" s="1"/>
      <c r="K42" s="1"/>
    </row>
    <row r="43" spans="2:11" x14ac:dyDescent="0.25">
      <c r="B43" t="s">
        <v>8</v>
      </c>
      <c r="C43" s="5">
        <f>C33-C38</f>
        <v>19851.886894799689</v>
      </c>
      <c r="F43" s="12">
        <f>F33-F38</f>
        <v>9151.7413922946344</v>
      </c>
      <c r="H43" s="1"/>
      <c r="I43" s="1"/>
      <c r="J43" s="1"/>
      <c r="K43" s="1"/>
    </row>
    <row r="44" spans="2:11" x14ac:dyDescent="0.25">
      <c r="B44" t="s">
        <v>9</v>
      </c>
      <c r="C44" s="1">
        <f>SUM(C42:C43)</f>
        <v>22826.83494114715</v>
      </c>
      <c r="F44" s="11">
        <f>SUM(F42:F43)</f>
        <v>10523.195668654436</v>
      </c>
      <c r="H44" s="1"/>
      <c r="I44" s="1"/>
      <c r="J44" s="1"/>
      <c r="K44" s="1"/>
    </row>
    <row r="45" spans="2:11" x14ac:dyDescent="0.25">
      <c r="C45" s="1"/>
      <c r="F45" s="14"/>
      <c r="H45" s="1"/>
      <c r="I45" s="1"/>
      <c r="J45" s="1"/>
      <c r="K45" s="1"/>
    </row>
    <row r="46" spans="2:11" x14ac:dyDescent="0.25">
      <c r="B46" t="s">
        <v>12</v>
      </c>
      <c r="C46" s="6">
        <v>37068.760800000004</v>
      </c>
      <c r="F46" s="7">
        <v>17088.738938125603</v>
      </c>
      <c r="H46" s="1"/>
      <c r="I46" s="1"/>
      <c r="J46" s="1"/>
      <c r="K46" s="1"/>
    </row>
    <row r="47" spans="2:11" x14ac:dyDescent="0.25">
      <c r="F47" s="4"/>
      <c r="H47" s="1"/>
      <c r="I47" s="1"/>
      <c r="J47" s="1"/>
      <c r="K47" s="1"/>
    </row>
    <row r="48" spans="2:11" x14ac:dyDescent="0.25">
      <c r="B48" t="s">
        <v>13</v>
      </c>
      <c r="C48" s="1">
        <f>C46-C44</f>
        <v>14241.925858852854</v>
      </c>
      <c r="F48" s="11">
        <f>F46-F44</f>
        <v>6565.5432694711672</v>
      </c>
      <c r="H48" s="1"/>
      <c r="I48" s="1"/>
      <c r="J48" s="1"/>
      <c r="K48" s="1"/>
    </row>
    <row r="49" spans="1:11" x14ac:dyDescent="0.25">
      <c r="C49" s="1"/>
      <c r="F49" s="1"/>
    </row>
    <row r="50" spans="1:11" ht="30.75" customHeight="1" x14ac:dyDescent="0.25">
      <c r="A50" s="18" t="s">
        <v>16</v>
      </c>
      <c r="B50" s="18"/>
      <c r="C50" s="18"/>
      <c r="D50" s="18"/>
      <c r="E50" s="18"/>
      <c r="F50" s="18"/>
      <c r="G50" s="18"/>
      <c r="H50" s="18"/>
      <c r="I50" s="18"/>
      <c r="J50" s="18"/>
      <c r="K50" s="18"/>
    </row>
    <row r="53" spans="1:11" x14ac:dyDescent="0.25">
      <c r="A53" t="s">
        <v>17</v>
      </c>
      <c r="B53" t="s">
        <v>18</v>
      </c>
    </row>
    <row r="55" spans="1:11" x14ac:dyDescent="0.25">
      <c r="B55" t="s">
        <v>3</v>
      </c>
      <c r="C55" s="6">
        <v>14708.5998</v>
      </c>
      <c r="H55" s="1"/>
      <c r="I55" s="1"/>
      <c r="J55" s="1"/>
      <c r="K55" s="1"/>
    </row>
    <row r="56" spans="1:11" x14ac:dyDescent="0.25">
      <c r="B56" t="s">
        <v>4</v>
      </c>
      <c r="C56" s="9">
        <v>8030.827938193378</v>
      </c>
      <c r="H56" s="1"/>
      <c r="I56" s="1"/>
      <c r="J56" s="1"/>
      <c r="K56" s="1"/>
    </row>
    <row r="57" spans="1:11" x14ac:dyDescent="0.25">
      <c r="B57" t="s">
        <v>19</v>
      </c>
      <c r="C57" s="1">
        <f>SUM(C55:C56)</f>
        <v>22739.427738193379</v>
      </c>
      <c r="H57" s="1"/>
      <c r="I57" s="1"/>
      <c r="J57" s="1"/>
      <c r="K57" s="1"/>
    </row>
    <row r="58" spans="1:11" x14ac:dyDescent="0.25">
      <c r="H58" s="1"/>
      <c r="I58" s="1"/>
      <c r="J58" s="1"/>
      <c r="K58" s="1"/>
    </row>
    <row r="59" spans="1:11" x14ac:dyDescent="0.25">
      <c r="H59" s="1"/>
      <c r="I59" s="1"/>
      <c r="J59" s="1"/>
      <c r="K59" s="1"/>
    </row>
    <row r="60" spans="1:11" x14ac:dyDescent="0.25">
      <c r="A60" t="s">
        <v>20</v>
      </c>
      <c r="B60" t="s">
        <v>21</v>
      </c>
      <c r="H60" s="1"/>
      <c r="I60" s="1"/>
      <c r="J60" s="1"/>
      <c r="K60" s="1"/>
    </row>
    <row r="61" spans="1:11" x14ac:dyDescent="0.25">
      <c r="H61" s="1"/>
      <c r="I61" s="1"/>
      <c r="J61" s="1"/>
      <c r="K61" s="1"/>
    </row>
    <row r="62" spans="1:11" x14ac:dyDescent="0.25">
      <c r="B62" t="s">
        <v>3</v>
      </c>
      <c r="C62" s="6">
        <v>4396.8182926829277</v>
      </c>
      <c r="H62" s="1"/>
      <c r="I62" s="1"/>
      <c r="J62" s="1"/>
      <c r="K62" s="1"/>
    </row>
    <row r="63" spans="1:11" x14ac:dyDescent="0.25">
      <c r="B63" t="s">
        <v>4</v>
      </c>
      <c r="C63" s="8">
        <v>3023.4145280771027</v>
      </c>
      <c r="H63" s="1"/>
      <c r="I63" s="1"/>
      <c r="J63" s="1"/>
      <c r="K63" s="1"/>
    </row>
    <row r="64" spans="1:11" x14ac:dyDescent="0.25">
      <c r="B64" t="s">
        <v>19</v>
      </c>
      <c r="C64" s="1">
        <f>SUM(C62:C63)</f>
        <v>7420.2328207600303</v>
      </c>
      <c r="H64" s="1"/>
      <c r="I64" s="1"/>
      <c r="J64" s="1"/>
      <c r="K64" s="1"/>
    </row>
    <row r="65" spans="1:11" x14ac:dyDescent="0.25">
      <c r="H65" s="1"/>
      <c r="I65" s="1"/>
      <c r="J65" s="1"/>
      <c r="K65" s="1"/>
    </row>
    <row r="66" spans="1:11" x14ac:dyDescent="0.25">
      <c r="A66" t="s">
        <v>22</v>
      </c>
      <c r="B66" t="s">
        <v>23</v>
      </c>
      <c r="H66" s="1"/>
      <c r="I66" s="1"/>
      <c r="J66" s="1"/>
      <c r="K66" s="1"/>
    </row>
    <row r="67" spans="1:11" x14ac:dyDescent="0.25">
      <c r="H67" s="1"/>
      <c r="I67" s="1"/>
      <c r="J67" s="1"/>
      <c r="K67" s="1"/>
    </row>
    <row r="68" spans="1:11" x14ac:dyDescent="0.25">
      <c r="B68" t="s">
        <v>3</v>
      </c>
      <c r="C68" s="6">
        <v>340385.25375298026</v>
      </c>
      <c r="H68" s="1"/>
      <c r="I68" s="1"/>
      <c r="J68" s="1"/>
      <c r="K68" s="1"/>
    </row>
    <row r="69" spans="1:11" x14ac:dyDescent="0.25">
      <c r="B69" t="s">
        <v>4</v>
      </c>
      <c r="C69" s="8">
        <v>153427.36133664206</v>
      </c>
      <c r="H69" s="1"/>
      <c r="I69" s="1"/>
      <c r="J69" s="1"/>
      <c r="K69" s="1"/>
    </row>
    <row r="70" spans="1:11" x14ac:dyDescent="0.25">
      <c r="B70" t="s">
        <v>19</v>
      </c>
      <c r="C70" s="1">
        <f>SUM(C68:C69)</f>
        <v>493812.61508962233</v>
      </c>
      <c r="H70" s="1"/>
      <c r="I70" s="1"/>
      <c r="J70" s="1"/>
      <c r="K70" s="1"/>
    </row>
    <row r="71" spans="1:11" x14ac:dyDescent="0.25">
      <c r="H71" s="1"/>
      <c r="I71" s="1"/>
      <c r="J71" s="1"/>
      <c r="K71" s="1"/>
    </row>
    <row r="73" spans="1:11" x14ac:dyDescent="0.25">
      <c r="A73" t="s">
        <v>24</v>
      </c>
    </row>
  </sheetData>
  <mergeCells count="4">
    <mergeCell ref="A1:G1"/>
    <mergeCell ref="A2:G2"/>
    <mergeCell ref="A27:K27"/>
    <mergeCell ref="A50:K50"/>
  </mergeCells>
  <pageMargins left="0.7" right="0.7" top="0.75" bottom="0.75" header="0.3" footer="0.3"/>
  <pageSetup scale="46" orientation="landscape" r:id="rId1"/>
  <headerFooter>
    <oddHeader>&amp;C
&amp;"-,Bold"FOR REFERENCE - STAFF-DR-02-005&amp;R&amp;"Times New Roman,Bold"&amp;10KyPSC Case No. 2018-00261
STAFF-DR-05-003(b) Attachment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46AAC2DF297EF4AAAB18C12C14394A6" ma:contentTypeVersion="3" ma:contentTypeDescription="Create a new document." ma:contentTypeScope="" ma:versionID="7fc2e36abf7e4763f7a3830366bb39e6">
  <xsd:schema xmlns:xsd="http://www.w3.org/2001/XMLSchema" xmlns:xs="http://www.w3.org/2001/XMLSchema" xmlns:p="http://schemas.microsoft.com/office/2006/metadata/properties" xmlns:ns2="b9d8ba39-ee9f-49d4-886c-5a19d7852603" xmlns:ns3="e8140ab9-1a87-4657-a6c4-99cca0129bf1" targetNamespace="http://schemas.microsoft.com/office/2006/metadata/properties" ma:root="true" ma:fieldsID="d278129e1cff69c7909c0d1b013fbb82" ns2:_="" ns3:_="">
    <xsd:import namespace="b9d8ba39-ee9f-49d4-886c-5a19d7852603"/>
    <xsd:import namespace="e8140ab9-1a87-4657-a6c4-99cca0129bf1"/>
    <xsd:element name="properties">
      <xsd:complexType>
        <xsd:sequence>
          <xsd:element name="documentManagement">
            <xsd:complexType>
              <xsd:all>
                <xsd:element ref="ns2:Witnes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d8ba39-ee9f-49d4-886c-5a19d7852603" elementFormDefault="qualified">
    <xsd:import namespace="http://schemas.microsoft.com/office/2006/documentManagement/types"/>
    <xsd:import namespace="http://schemas.microsoft.com/office/infopath/2007/PartnerControls"/>
    <xsd:element name="Witness" ma:index="9" nillable="true" ma:displayName="Witness" ma:internalName="Witnes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8140ab9-1a87-4657-a6c4-99cca0129bf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Witness xmlns="b9d8ba39-ee9f-49d4-886c-5a19d7852603" xsi:nil="true"/>
  </documentManagement>
</p:properties>
</file>

<file path=customXml/itemProps1.xml><?xml version="1.0" encoding="utf-8"?>
<ds:datastoreItem xmlns:ds="http://schemas.openxmlformats.org/officeDocument/2006/customXml" ds:itemID="{2E92B616-B579-443D-A8C0-E44C99E4AEB8}">
  <ds:schemaRefs>
    <ds:schemaRef ds:uri="http://schemas.microsoft.com/sharepoint/v3/contenttype/forms"/>
  </ds:schemaRefs>
</ds:datastoreItem>
</file>

<file path=customXml/itemProps2.xml><?xml version="1.0" encoding="utf-8"?>
<ds:datastoreItem xmlns:ds="http://schemas.openxmlformats.org/officeDocument/2006/customXml" ds:itemID="{BFD06302-1669-4836-8B63-2D5C45EFE2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d8ba39-ee9f-49d4-886c-5a19d7852603"/>
    <ds:schemaRef ds:uri="e8140ab9-1a87-4657-a6c4-99cca0129b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D91A52E-B337-4D66-91BF-2EC764FD71DC}">
  <ds:schemaRefs>
    <ds:schemaRef ds:uri="e8140ab9-1a87-4657-a6c4-99cca0129bf1"/>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b9d8ba39-ee9f-49d4-886c-5a19d785260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Union</vt:lpstr>
      <vt:lpstr>Non-Union</vt:lpstr>
      <vt:lpstr>Staff DR-02-005</vt:lpstr>
      <vt:lpstr>'Non-Union'!Print_Area</vt:lpstr>
      <vt:lpstr>'Staff DR-02-005'!Print_Area</vt:lpstr>
      <vt:lpstr>Union!Print_Area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Neizvestny, Yelena</dc:creator>
  <cp:keywords/>
  <dc:description/>
  <cp:lastModifiedBy>Rolfes-Adkins, Minna</cp:lastModifiedBy>
  <cp:revision/>
  <cp:lastPrinted>2019-01-30T19:25:10Z</cp:lastPrinted>
  <dcterms:created xsi:type="dcterms:W3CDTF">2018-10-17T18:44:23Z</dcterms:created>
  <dcterms:modified xsi:type="dcterms:W3CDTF">2019-01-30T19:25:13Z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0x010100B46AAC2DF297EF4AAAB18C12C14394A6</vt:lpwstr>
  </property>
</Properties>
</file>