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llaborate.duke-energy.com/sites/2018KYGasRateCase/2018  KY Gas Rate Case/Discovery/STAFF'S 2nd Set Data Requests/"/>
    </mc:Choice>
  </mc:AlternateContent>
  <bookViews>
    <workbookView xWindow="120" yWindow="216" windowWidth="20736" windowHeight="11700"/>
  </bookViews>
  <sheets>
    <sheet name="WNA Estimate" sheetId="4" r:id="rId1"/>
  </sheets>
  <calcPr calcId="171027" iterate="1"/>
</workbook>
</file>

<file path=xl/calcChain.xml><?xml version="1.0" encoding="utf-8"?>
<calcChain xmlns="http://schemas.openxmlformats.org/spreadsheetml/2006/main">
  <c r="I47" i="4" l="1"/>
  <c r="I46" i="4"/>
  <c r="J46" i="4" s="1"/>
  <c r="I45" i="4"/>
  <c r="I44" i="4"/>
  <c r="J44" i="4" s="1"/>
  <c r="I43" i="4"/>
  <c r="I42" i="4"/>
  <c r="J42" i="4" s="1"/>
  <c r="I35" i="4"/>
  <c r="J35" i="4" s="1"/>
  <c r="I34" i="4"/>
  <c r="J34" i="4" s="1"/>
  <c r="I33" i="4"/>
  <c r="J33" i="4" s="1"/>
  <c r="I32" i="4"/>
  <c r="J32" i="4" s="1"/>
  <c r="I31" i="4"/>
  <c r="J31" i="4" s="1"/>
  <c r="I30" i="4"/>
  <c r="J30" i="4" s="1"/>
  <c r="I23" i="4"/>
  <c r="I22" i="4"/>
  <c r="J22" i="4" s="1"/>
  <c r="I21" i="4"/>
  <c r="J21" i="4" s="1"/>
  <c r="I20" i="4"/>
  <c r="J20" i="4" s="1"/>
  <c r="I19" i="4"/>
  <c r="J19" i="4" s="1"/>
  <c r="I18" i="4"/>
  <c r="J18" i="4" s="1"/>
  <c r="I11" i="4"/>
  <c r="J11" i="4" s="1"/>
  <c r="I10" i="4"/>
  <c r="J10" i="4" s="1"/>
  <c r="I9" i="4"/>
  <c r="J9" i="4" s="1"/>
  <c r="I8" i="4"/>
  <c r="J8" i="4" s="1"/>
  <c r="J23" i="4"/>
  <c r="J43" i="4"/>
  <c r="J45" i="4"/>
  <c r="J47" i="4"/>
  <c r="J53" i="4" l="1"/>
  <c r="J52" i="4"/>
  <c r="J51" i="4"/>
  <c r="G45" i="4"/>
  <c r="G22" i="4" l="1"/>
  <c r="H22" i="4" s="1"/>
  <c r="K22" i="4" s="1"/>
  <c r="G8" i="4"/>
  <c r="G42" i="4"/>
  <c r="G18" i="4"/>
  <c r="H18" i="4" s="1"/>
  <c r="K18" i="4" s="1"/>
  <c r="G46" i="4"/>
  <c r="H46" i="4" s="1"/>
  <c r="K46" i="4" s="1"/>
  <c r="G32" i="4"/>
  <c r="H32" i="4" s="1"/>
  <c r="K32" i="4" s="1"/>
  <c r="G9" i="4"/>
  <c r="H9" i="4" s="1"/>
  <c r="K9" i="4" s="1"/>
  <c r="G19" i="4"/>
  <c r="H19" i="4" s="1"/>
  <c r="K19" i="4" s="1"/>
  <c r="G23" i="4"/>
  <c r="H23" i="4" s="1"/>
  <c r="K23" i="4" s="1"/>
  <c r="G33" i="4"/>
  <c r="H33" i="4" s="1"/>
  <c r="K33" i="4" s="1"/>
  <c r="G43" i="4"/>
  <c r="H43" i="4" s="1"/>
  <c r="K43" i="4" s="1"/>
  <c r="G47" i="4"/>
  <c r="H47" i="4" s="1"/>
  <c r="K47" i="4" s="1"/>
  <c r="G10" i="4"/>
  <c r="H10" i="4" s="1"/>
  <c r="K10" i="4" s="1"/>
  <c r="G20" i="4"/>
  <c r="H20" i="4" s="1"/>
  <c r="K20" i="4" s="1"/>
  <c r="G30" i="4"/>
  <c r="H30" i="4" s="1"/>
  <c r="K30" i="4" s="1"/>
  <c r="G34" i="4"/>
  <c r="H34" i="4" s="1"/>
  <c r="K34" i="4" s="1"/>
  <c r="G44" i="4"/>
  <c r="H44" i="4" s="1"/>
  <c r="K44" i="4" s="1"/>
  <c r="G11" i="4"/>
  <c r="H11" i="4" s="1"/>
  <c r="K11" i="4" s="1"/>
  <c r="G21" i="4"/>
  <c r="H21" i="4" s="1"/>
  <c r="K21" i="4" s="1"/>
  <c r="G31" i="4"/>
  <c r="H31" i="4" s="1"/>
  <c r="K31" i="4" s="1"/>
  <c r="G35" i="4"/>
  <c r="H35" i="4" s="1"/>
  <c r="K35" i="4" s="1"/>
  <c r="H8" i="4"/>
  <c r="K8" i="4" s="1"/>
  <c r="H42" i="4"/>
  <c r="H45" i="4"/>
  <c r="K45" i="4" s="1"/>
  <c r="K42" i="4" l="1"/>
  <c r="H53" i="4"/>
  <c r="H51" i="4"/>
  <c r="K51" i="4" s="1"/>
  <c r="H52" i="4"/>
  <c r="K53" i="4" l="1"/>
  <c r="K52" i="4"/>
</calcChain>
</file>

<file path=xl/sharedStrings.xml><?xml version="1.0" encoding="utf-8"?>
<sst xmlns="http://schemas.openxmlformats.org/spreadsheetml/2006/main" count="28" uniqueCount="23">
  <si>
    <t>Rate RS</t>
  </si>
  <si>
    <t>Total</t>
  </si>
  <si>
    <t>Rate GS CCF</t>
  </si>
  <si>
    <t>BL</t>
  </si>
  <si>
    <t>HSF</t>
  </si>
  <si>
    <t>R</t>
  </si>
  <si>
    <t>Calculated WNA</t>
  </si>
  <si>
    <t>WNA GS Factors:</t>
  </si>
  <si>
    <t>WNA Revenue Adjustment</t>
  </si>
  <si>
    <t>2015-2016</t>
  </si>
  <si>
    <t>2016-2017</t>
  </si>
  <si>
    <t>2017-2018</t>
  </si>
  <si>
    <t>Winter</t>
  </si>
  <si>
    <t>Rate GS</t>
  </si>
  <si>
    <t>Rate RS CCF</t>
  </si>
  <si>
    <t>WNA RS Factors:</t>
  </si>
  <si>
    <t>NDD</t>
  </si>
  <si>
    <t>ADD</t>
  </si>
  <si>
    <t>WNA</t>
  </si>
  <si>
    <t>Month</t>
  </si>
  <si>
    <t>Line</t>
  </si>
  <si>
    <t>Duke Energy Kentucky, Inc.</t>
  </si>
  <si>
    <t>Rider WNA Delivery Charge/Credit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</si>
</sst>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_(* #,##0_);_(* \(#,##0\);_(* &quot;-&quot;??_);_(@_)"/>
    <numFmt numFmtId="166" formatCode="_(* #,##0.0_);_(* \(#,##0.0\);_(* &quot;-&quot;??_);_(@_)"/>
    <numFmt numFmtId="167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4FA2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164" fontId="0" fillId="0" borderId="0" xfId="0" applyNumberFormat="1"/>
    <xf numFmtId="165" fontId="0" fillId="0" borderId="0" xfId="1" applyNumberFormat="1" applyFont="1"/>
    <xf numFmtId="0" fontId="2" fillId="0" borderId="0" xfId="0" applyFont="1"/>
    <xf numFmtId="166" fontId="0" fillId="0" borderId="0" xfId="1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2" borderId="4" xfId="0" applyFill="1" applyBorder="1"/>
    <xf numFmtId="0" fontId="0" fillId="2" borderId="6" xfId="0" applyFill="1" applyBorder="1"/>
    <xf numFmtId="167" fontId="0" fillId="0" borderId="0" xfId="0" applyNumberFormat="1"/>
    <xf numFmtId="44" fontId="0" fillId="0" borderId="0" xfId="0" applyNumberFormat="1"/>
    <xf numFmtId="167" fontId="0" fillId="0" borderId="4" xfId="0" applyNumberFormat="1" applyBorder="1"/>
    <xf numFmtId="167" fontId="0" fillId="0" borderId="6" xfId="0" applyNumberFormat="1" applyBorder="1"/>
    <xf numFmtId="0" fontId="0" fillId="0" borderId="0" xfId="0" applyBorder="1"/>
    <xf numFmtId="44" fontId="0" fillId="0" borderId="0" xfId="0" applyNumberFormat="1" applyBorder="1"/>
    <xf numFmtId="167" fontId="0" fillId="0" borderId="0" xfId="0" applyNumberFormat="1" applyBorder="1"/>
    <xf numFmtId="0" fontId="0" fillId="0" borderId="0" xfId="0" applyFill="1"/>
    <xf numFmtId="165" fontId="0" fillId="0" borderId="1" xfId="1" applyNumberFormat="1" applyFont="1" applyBorder="1"/>
    <xf numFmtId="165" fontId="0" fillId="0" borderId="7" xfId="1" applyNumberFormat="1" applyFont="1" applyBorder="1"/>
    <xf numFmtId="166" fontId="0" fillId="0" borderId="7" xfId="1" applyNumberFormat="1" applyFont="1" applyBorder="1"/>
    <xf numFmtId="165" fontId="0" fillId="0" borderId="3" xfId="1" applyNumberFormat="1" applyFont="1" applyBorder="1"/>
    <xf numFmtId="165" fontId="0" fillId="0" borderId="0" xfId="1" applyNumberFormat="1" applyFont="1" applyBorder="1"/>
    <xf numFmtId="166" fontId="0" fillId="0" borderId="0" xfId="1" applyNumberFormat="1" applyFont="1" applyBorder="1"/>
    <xf numFmtId="165" fontId="0" fillId="0" borderId="5" xfId="1" applyNumberFormat="1" applyFont="1" applyBorder="1"/>
    <xf numFmtId="165" fontId="0" fillId="0" borderId="8" xfId="1" applyNumberFormat="1" applyFont="1" applyBorder="1"/>
    <xf numFmtId="166" fontId="0" fillId="0" borderId="8" xfId="1" applyNumberFormat="1" applyFont="1" applyBorder="1"/>
    <xf numFmtId="0" fontId="0" fillId="0" borderId="8" xfId="0" applyBorder="1"/>
    <xf numFmtId="0" fontId="0" fillId="0" borderId="7" xfId="0" applyBorder="1"/>
    <xf numFmtId="0" fontId="0" fillId="0" borderId="4" xfId="0" applyBorder="1"/>
    <xf numFmtId="43" fontId="0" fillId="0" borderId="1" xfId="0" applyNumberFormat="1" applyBorder="1"/>
    <xf numFmtId="167" fontId="0" fillId="0" borderId="2" xfId="2" applyNumberFormat="1" applyFont="1" applyBorder="1"/>
    <xf numFmtId="43" fontId="0" fillId="0" borderId="3" xfId="0" applyNumberFormat="1" applyBorder="1"/>
    <xf numFmtId="167" fontId="0" fillId="0" borderId="4" xfId="2" applyNumberFormat="1" applyFont="1" applyBorder="1"/>
    <xf numFmtId="43" fontId="0" fillId="0" borderId="5" xfId="0" applyNumberFormat="1" applyBorder="1"/>
    <xf numFmtId="0" fontId="0" fillId="0" borderId="9" xfId="0" applyBorder="1"/>
    <xf numFmtId="0" fontId="0" fillId="0" borderId="10" xfId="0" applyBorder="1"/>
    <xf numFmtId="167" fontId="0" fillId="0" borderId="9" xfId="0" applyNumberFormat="1" applyBorder="1"/>
    <xf numFmtId="167" fontId="0" fillId="0" borderId="10" xfId="0" applyNumberFormat="1" applyBorder="1"/>
    <xf numFmtId="44" fontId="0" fillId="0" borderId="10" xfId="0" applyNumberFormat="1" applyBorder="1"/>
    <xf numFmtId="0" fontId="0" fillId="0" borderId="11" xfId="0" applyBorder="1"/>
    <xf numFmtId="0" fontId="0" fillId="0" borderId="0" xfId="0" applyAlignment="1">
      <alignment horizontal="center"/>
    </xf>
    <xf numFmtId="167" fontId="0" fillId="3" borderId="10" xfId="0" applyNumberFormat="1" applyFill="1" applyBorder="1"/>
    <xf numFmtId="167" fontId="0" fillId="3" borderId="11" xfId="0" applyNumberForma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44FA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abSelected="1" view="pageLayout" topLeftCell="E1" zoomScaleNormal="100" workbookViewId="0">
      <selection activeCell="J1" sqref="J1"/>
    </sheetView>
  </sheetViews>
  <sheetFormatPr defaultRowHeight="14.4" x14ac:dyDescent="0.3"/>
  <cols>
    <col min="1" max="1" width="4.5546875" customWidth="1"/>
    <col min="2" max="2" width="11.109375" bestFit="1" customWidth="1"/>
    <col min="3" max="3" width="13.33203125" bestFit="1" customWidth="1"/>
    <col min="4" max="4" width="13.33203125" customWidth="1"/>
    <col min="5" max="5" width="7" bestFit="1" customWidth="1"/>
    <col min="6" max="6" width="9.5546875" bestFit="1" customWidth="1"/>
    <col min="7" max="7" width="7.5546875" bestFit="1" customWidth="1"/>
    <col min="8" max="8" width="25.109375" bestFit="1" customWidth="1"/>
    <col min="9" max="9" width="15.44140625" bestFit="1" customWidth="1"/>
    <col min="10" max="10" width="25.109375" customWidth="1"/>
    <col min="11" max="11" width="27.44140625" bestFit="1" customWidth="1"/>
    <col min="16" max="16" width="12.6640625" bestFit="1" customWidth="1"/>
    <col min="17" max="17" width="12.33203125" bestFit="1" customWidth="1"/>
  </cols>
  <sheetData>
    <row r="1" spans="1:17" ht="23.4" x14ac:dyDescent="0.45">
      <c r="A1" s="3"/>
      <c r="B1" s="3"/>
    </row>
    <row r="2" spans="1:17" x14ac:dyDescent="0.3">
      <c r="K2" s="19"/>
    </row>
    <row r="3" spans="1:17" x14ac:dyDescent="0.3">
      <c r="A3" s="19"/>
      <c r="B3" s="19"/>
      <c r="K3" s="19"/>
    </row>
    <row r="4" spans="1:17" ht="23.4" x14ac:dyDescent="0.45">
      <c r="A4" s="19"/>
      <c r="B4" s="19"/>
      <c r="C4" s="3" t="s">
        <v>21</v>
      </c>
    </row>
    <row r="5" spans="1:17" ht="24" thickBot="1" x14ac:dyDescent="0.5">
      <c r="B5" s="19"/>
      <c r="C5" s="3" t="s">
        <v>22</v>
      </c>
    </row>
    <row r="6" spans="1:17" ht="15" thickBot="1" x14ac:dyDescent="0.35">
      <c r="C6" s="5"/>
      <c r="D6" s="30"/>
      <c r="E6" s="30"/>
      <c r="F6" s="30"/>
      <c r="G6" s="5" t="s">
        <v>0</v>
      </c>
      <c r="H6" s="6"/>
      <c r="I6" s="5" t="s">
        <v>13</v>
      </c>
      <c r="J6" s="6"/>
      <c r="K6" s="37" t="s">
        <v>1</v>
      </c>
    </row>
    <row r="7" spans="1:17" ht="15" thickBot="1" x14ac:dyDescent="0.35">
      <c r="A7" t="s">
        <v>20</v>
      </c>
      <c r="B7" s="43" t="s">
        <v>19</v>
      </c>
      <c r="C7" s="8" t="s">
        <v>14</v>
      </c>
      <c r="D7" s="29" t="s">
        <v>2</v>
      </c>
      <c r="E7" s="29" t="s">
        <v>16</v>
      </c>
      <c r="F7" s="29" t="s">
        <v>17</v>
      </c>
      <c r="G7" s="7" t="s">
        <v>18</v>
      </c>
      <c r="H7" s="31" t="s">
        <v>8</v>
      </c>
      <c r="I7" s="7" t="s">
        <v>6</v>
      </c>
      <c r="J7" s="31" t="s">
        <v>8</v>
      </c>
      <c r="K7" s="38" t="s">
        <v>8</v>
      </c>
      <c r="M7" s="5" t="s">
        <v>15</v>
      </c>
      <c r="N7" s="6"/>
    </row>
    <row r="8" spans="1:17" x14ac:dyDescent="0.3">
      <c r="A8">
        <v>1</v>
      </c>
      <c r="B8" s="1">
        <v>42005</v>
      </c>
      <c r="C8" s="20">
        <v>13307333</v>
      </c>
      <c r="D8" s="21">
        <v>7088725</v>
      </c>
      <c r="E8" s="22">
        <v>857.47</v>
      </c>
      <c r="F8" s="22">
        <v>859.8</v>
      </c>
      <c r="G8" s="32">
        <f>$N$10*(($N$9*(E8-F8))/($N$8+($N$9*F8)))</f>
        <v>-9.3013347179217681E-4</v>
      </c>
      <c r="H8" s="33">
        <f>ROUND(C8*G8,0)</f>
        <v>-12378</v>
      </c>
      <c r="I8" s="32">
        <f>'WNA Estimate'!$N$15*(('WNA Estimate'!$N$14*(E8-F8))/('WNA Estimate'!$N$13+('WNA Estimate'!$N$14*F8)))</f>
        <v>-4.944327922404816E-4</v>
      </c>
      <c r="J8" s="33">
        <f>ROUND('WNA Estimate'!D8*I8,0)</f>
        <v>-3505</v>
      </c>
      <c r="K8" s="39">
        <f>H8+J8</f>
        <v>-15883</v>
      </c>
      <c r="M8" s="7" t="s">
        <v>3</v>
      </c>
      <c r="N8" s="10">
        <v>1.1063326360723398</v>
      </c>
      <c r="Q8" s="12"/>
    </row>
    <row r="9" spans="1:17" x14ac:dyDescent="0.3">
      <c r="A9">
        <v>2</v>
      </c>
      <c r="B9" s="1">
        <v>42036</v>
      </c>
      <c r="C9" s="23">
        <v>13138816</v>
      </c>
      <c r="D9" s="24">
        <v>7440806</v>
      </c>
      <c r="E9" s="25">
        <v>786.42</v>
      </c>
      <c r="F9" s="25">
        <v>894.46</v>
      </c>
      <c r="G9" s="34">
        <f t="shared" ref="G9:G11" si="0">$N$10*(($N$9*(E9-F9))/($N$8+($N$9*F9)))</f>
        <v>-4.1583333164038672E-2</v>
      </c>
      <c r="H9" s="35">
        <f t="shared" ref="H9:H11" si="1">ROUND(C9*G9,0)</f>
        <v>-546356</v>
      </c>
      <c r="I9" s="34">
        <f>'WNA Estimate'!$N$15*(('WNA Estimate'!$N$14*(E9-F9))/('WNA Estimate'!$N$13+('WNA Estimate'!$N$14*F9)))</f>
        <v>-2.2133462956790015E-2</v>
      </c>
      <c r="J9" s="35">
        <f>ROUND('WNA Estimate'!D9*I9,0)</f>
        <v>-164691</v>
      </c>
      <c r="K9" s="40">
        <f t="shared" ref="K9:K11" si="2">H9+J9</f>
        <v>-711047</v>
      </c>
      <c r="M9" s="7" t="s">
        <v>4</v>
      </c>
      <c r="N9" s="10">
        <v>1.528254465241235E-2</v>
      </c>
    </row>
    <row r="10" spans="1:17" ht="15" thickBot="1" x14ac:dyDescent="0.35">
      <c r="A10">
        <v>3</v>
      </c>
      <c r="B10" s="1">
        <v>42064</v>
      </c>
      <c r="C10" s="23">
        <v>12869925</v>
      </c>
      <c r="D10" s="24">
        <v>6780534</v>
      </c>
      <c r="E10" s="25">
        <v>595.21</v>
      </c>
      <c r="F10" s="25">
        <v>822.96</v>
      </c>
      <c r="G10" s="34">
        <f t="shared" si="0"/>
        <v>-9.4658431295790754E-2</v>
      </c>
      <c r="H10" s="35">
        <f t="shared" si="1"/>
        <v>-1218247</v>
      </c>
      <c r="I10" s="34">
        <f>'WNA Estimate'!$N$15*(('WNA Estimate'!$N$14*(E10-F10))/('WNA Estimate'!$N$13+('WNA Estimate'!$N$14*F10)))</f>
        <v>-5.0242377936216581E-2</v>
      </c>
      <c r="J10" s="35">
        <f>ROUND('WNA Estimate'!D10*I10,0)</f>
        <v>-340670</v>
      </c>
      <c r="K10" s="40">
        <f t="shared" si="2"/>
        <v>-1558917</v>
      </c>
      <c r="M10" s="8" t="s">
        <v>5</v>
      </c>
      <c r="N10" s="11">
        <v>0.37213000000000002</v>
      </c>
    </row>
    <row r="11" spans="1:17" ht="15" thickBot="1" x14ac:dyDescent="0.35">
      <c r="A11">
        <v>4</v>
      </c>
      <c r="B11" s="1">
        <v>42095</v>
      </c>
      <c r="C11" s="23">
        <v>5279541</v>
      </c>
      <c r="D11" s="24">
        <v>2948852</v>
      </c>
      <c r="E11" s="25">
        <v>314.24</v>
      </c>
      <c r="F11" s="25">
        <v>276.95</v>
      </c>
      <c r="G11" s="34">
        <f t="shared" si="0"/>
        <v>3.9722481618563295E-2</v>
      </c>
      <c r="H11" s="35">
        <f t="shared" si="1"/>
        <v>209716</v>
      </c>
      <c r="I11" s="34">
        <f>'WNA Estimate'!$N$15*(('WNA Estimate'!$N$14*(E11-F11))/('WNA Estimate'!$N$13+('WNA Estimate'!$N$14*F11)))</f>
        <v>1.9904406200881113E-2</v>
      </c>
      <c r="J11" s="35">
        <f>ROUND('WNA Estimate'!D11*I11,0)</f>
        <v>58695</v>
      </c>
      <c r="K11" s="40">
        <f t="shared" si="2"/>
        <v>268411</v>
      </c>
    </row>
    <row r="12" spans="1:17" x14ac:dyDescent="0.3">
      <c r="A12">
        <v>5</v>
      </c>
      <c r="B12" s="1">
        <v>42125</v>
      </c>
      <c r="C12" s="23">
        <v>2145884</v>
      </c>
      <c r="D12" s="24">
        <v>1292626</v>
      </c>
      <c r="E12" s="25">
        <v>95.63</v>
      </c>
      <c r="F12" s="25">
        <v>71.45</v>
      </c>
      <c r="G12" s="34"/>
      <c r="H12" s="31"/>
      <c r="I12" s="34"/>
      <c r="J12" s="31"/>
      <c r="K12" s="41"/>
      <c r="M12" s="5" t="s">
        <v>7</v>
      </c>
      <c r="N12" s="6"/>
    </row>
    <row r="13" spans="1:17" x14ac:dyDescent="0.3">
      <c r="A13">
        <v>6</v>
      </c>
      <c r="B13" s="1">
        <v>42156</v>
      </c>
      <c r="C13" s="23">
        <v>1330390</v>
      </c>
      <c r="D13" s="24">
        <v>995102</v>
      </c>
      <c r="E13" s="25">
        <v>14.59</v>
      </c>
      <c r="F13" s="25">
        <v>13.73</v>
      </c>
      <c r="G13" s="34"/>
      <c r="H13" s="31"/>
      <c r="I13" s="34"/>
      <c r="J13" s="31"/>
      <c r="K13" s="41"/>
      <c r="M13" s="7" t="s">
        <v>3</v>
      </c>
      <c r="N13" s="10">
        <v>9.7457550724242914</v>
      </c>
    </row>
    <row r="14" spans="1:17" x14ac:dyDescent="0.3">
      <c r="A14">
        <v>7</v>
      </c>
      <c r="B14" s="1">
        <v>42186</v>
      </c>
      <c r="C14" s="23">
        <v>1119383</v>
      </c>
      <c r="D14" s="24">
        <v>849428</v>
      </c>
      <c r="E14" s="25">
        <v>0.23</v>
      </c>
      <c r="F14" s="25">
        <v>0</v>
      </c>
      <c r="G14" s="34"/>
      <c r="H14" s="31"/>
      <c r="I14" s="34"/>
      <c r="J14" s="31"/>
      <c r="K14" s="41"/>
      <c r="M14" s="7" t="s">
        <v>4</v>
      </c>
      <c r="N14" s="10">
        <v>9.0514865582843773E-2</v>
      </c>
      <c r="P14" s="16"/>
      <c r="Q14" s="16"/>
    </row>
    <row r="15" spans="1:17" ht="15" thickBot="1" x14ac:dyDescent="0.35">
      <c r="A15">
        <v>8</v>
      </c>
      <c r="B15" s="1">
        <v>42217</v>
      </c>
      <c r="C15" s="23">
        <v>991511</v>
      </c>
      <c r="D15" s="24">
        <v>780036</v>
      </c>
      <c r="E15" s="25">
        <v>0</v>
      </c>
      <c r="F15" s="25">
        <v>0</v>
      </c>
      <c r="G15" s="34"/>
      <c r="H15" s="31"/>
      <c r="I15" s="34"/>
      <c r="J15" s="31"/>
      <c r="K15" s="41"/>
      <c r="M15" s="8" t="s">
        <v>5</v>
      </c>
      <c r="N15" s="11">
        <v>0.20530000000000001</v>
      </c>
      <c r="P15" s="17"/>
      <c r="Q15" s="18"/>
    </row>
    <row r="16" spans="1:17" x14ac:dyDescent="0.3">
      <c r="A16">
        <v>9</v>
      </c>
      <c r="B16" s="1">
        <v>42248</v>
      </c>
      <c r="C16" s="23">
        <v>1028565</v>
      </c>
      <c r="D16" s="24">
        <v>804187</v>
      </c>
      <c r="E16" s="25">
        <v>2.64</v>
      </c>
      <c r="F16" s="25">
        <v>0.12</v>
      </c>
      <c r="G16" s="34"/>
      <c r="H16" s="31"/>
      <c r="I16" s="34"/>
      <c r="J16" s="31"/>
      <c r="K16" s="41"/>
      <c r="P16" s="17"/>
      <c r="Q16" s="16"/>
    </row>
    <row r="17" spans="1:17" x14ac:dyDescent="0.3">
      <c r="A17">
        <v>10</v>
      </c>
      <c r="B17" s="1">
        <v>42278</v>
      </c>
      <c r="C17" s="23">
        <v>1351520</v>
      </c>
      <c r="D17" s="24">
        <v>1011491</v>
      </c>
      <c r="E17" s="25">
        <v>67.430000000000007</v>
      </c>
      <c r="F17" s="25">
        <v>42.57</v>
      </c>
      <c r="G17" s="34"/>
      <c r="H17" s="31"/>
      <c r="I17" s="34"/>
      <c r="J17" s="31"/>
      <c r="K17" s="41"/>
      <c r="P17" s="17"/>
      <c r="Q17" s="16"/>
    </row>
    <row r="18" spans="1:17" x14ac:dyDescent="0.3">
      <c r="A18">
        <v>11</v>
      </c>
      <c r="B18" s="1">
        <v>42309</v>
      </c>
      <c r="C18" s="23">
        <v>2918712</v>
      </c>
      <c r="D18" s="24">
        <v>1657886</v>
      </c>
      <c r="E18" s="25">
        <v>277.32</v>
      </c>
      <c r="F18" s="25">
        <v>181.49</v>
      </c>
      <c r="G18" s="34">
        <f t="shared" ref="G18:G23" si="3">$N$10*(($N$9*(E18-F18))/($N$8+($N$9*F18)))</f>
        <v>0.14046379886351959</v>
      </c>
      <c r="H18" s="35">
        <f t="shared" ref="H18:H23" si="4">ROUND(C18*G18,0)</f>
        <v>409973</v>
      </c>
      <c r="I18" s="34">
        <f>'WNA Estimate'!$N$15*(('WNA Estimate'!$N$14*(E18-F18))/('WNA Estimate'!$N$13+('WNA Estimate'!$N$14*F18)))</f>
        <v>6.8038056252395132E-2</v>
      </c>
      <c r="J18" s="35">
        <f>ROUND('WNA Estimate'!D18*I18,0)</f>
        <v>112799</v>
      </c>
      <c r="K18" s="40">
        <f t="shared" ref="K18:K23" si="5">H18+J18</f>
        <v>522772</v>
      </c>
      <c r="P18" s="17"/>
      <c r="Q18" s="16"/>
    </row>
    <row r="19" spans="1:17" x14ac:dyDescent="0.3">
      <c r="A19">
        <v>12</v>
      </c>
      <c r="B19" s="1">
        <v>42339</v>
      </c>
      <c r="C19" s="23">
        <v>6400917</v>
      </c>
      <c r="D19" s="24">
        <v>3403156</v>
      </c>
      <c r="E19" s="25">
        <v>619.4</v>
      </c>
      <c r="F19" s="25">
        <v>424.91</v>
      </c>
      <c r="G19" s="34">
        <f t="shared" si="3"/>
        <v>0.14553646763265624</v>
      </c>
      <c r="H19" s="35">
        <f t="shared" si="4"/>
        <v>931567</v>
      </c>
      <c r="I19" s="34">
        <f>'WNA Estimate'!$N$15*(('WNA Estimate'!$N$14*(E19-F19))/('WNA Estimate'!$N$13+('WNA Estimate'!$N$14*F19)))</f>
        <v>7.4972362560422029E-2</v>
      </c>
      <c r="J19" s="35">
        <f>ROUND('WNA Estimate'!D19*I19,0)</f>
        <v>255143</v>
      </c>
      <c r="K19" s="40">
        <f t="shared" si="5"/>
        <v>1186710</v>
      </c>
      <c r="P19" s="16"/>
      <c r="Q19" s="16"/>
    </row>
    <row r="20" spans="1:17" x14ac:dyDescent="0.3">
      <c r="A20">
        <v>13</v>
      </c>
      <c r="B20" s="1">
        <v>42370</v>
      </c>
      <c r="C20" s="23">
        <v>10446693</v>
      </c>
      <c r="D20" s="24">
        <v>5484138</v>
      </c>
      <c r="E20" s="25">
        <v>860.97</v>
      </c>
      <c r="F20" s="25">
        <v>699.89</v>
      </c>
      <c r="G20" s="34">
        <f t="shared" si="3"/>
        <v>7.7617641207993138E-2</v>
      </c>
      <c r="H20" s="35">
        <f t="shared" si="4"/>
        <v>810848</v>
      </c>
      <c r="I20" s="34">
        <f>'WNA Estimate'!$N$15*(('WNA Estimate'!$N$14*(E20-F20))/('WNA Estimate'!$N$13+('WNA Estimate'!$N$14*F20)))</f>
        <v>4.095016491671323E-2</v>
      </c>
      <c r="J20" s="35">
        <f>ROUND('WNA Estimate'!D20*I20,0)</f>
        <v>224576</v>
      </c>
      <c r="K20" s="40">
        <f t="shared" si="5"/>
        <v>1035424</v>
      </c>
      <c r="P20" s="16"/>
      <c r="Q20" s="16"/>
    </row>
    <row r="21" spans="1:17" x14ac:dyDescent="0.3">
      <c r="A21">
        <v>14</v>
      </c>
      <c r="B21" s="1">
        <v>42401</v>
      </c>
      <c r="C21" s="23">
        <v>11349788</v>
      </c>
      <c r="D21" s="24">
        <v>6061511</v>
      </c>
      <c r="E21" s="25">
        <v>782.05</v>
      </c>
      <c r="F21" s="25">
        <v>753.44</v>
      </c>
      <c r="G21" s="34">
        <f t="shared" si="3"/>
        <v>1.289201729572334E-2</v>
      </c>
      <c r="H21" s="35">
        <f t="shared" si="4"/>
        <v>146322</v>
      </c>
      <c r="I21" s="34">
        <f>'WNA Estimate'!$N$15*(('WNA Estimate'!$N$14*(E21-F21))/('WNA Estimate'!$N$13+('WNA Estimate'!$N$14*F21)))</f>
        <v>6.8210002565187401E-3</v>
      </c>
      <c r="J21" s="35">
        <f>ROUND('WNA Estimate'!D21*I21,0)</f>
        <v>41346</v>
      </c>
      <c r="K21" s="40">
        <f t="shared" si="5"/>
        <v>187668</v>
      </c>
      <c r="P21" s="17"/>
      <c r="Q21" s="17"/>
    </row>
    <row r="22" spans="1:17" x14ac:dyDescent="0.3">
      <c r="A22">
        <v>15</v>
      </c>
      <c r="B22" s="1">
        <v>42430</v>
      </c>
      <c r="C22" s="23">
        <v>7533309</v>
      </c>
      <c r="D22" s="24">
        <v>4172021</v>
      </c>
      <c r="E22" s="25">
        <v>595.52</v>
      </c>
      <c r="F22" s="25">
        <v>442.91</v>
      </c>
      <c r="G22" s="34">
        <f t="shared" si="3"/>
        <v>0.11020871049863259</v>
      </c>
      <c r="H22" s="35">
        <f t="shared" si="4"/>
        <v>830236</v>
      </c>
      <c r="I22" s="34">
        <f>'WNA Estimate'!$N$15*(('WNA Estimate'!$N$14*(E22-F22))/('WNA Estimate'!$N$13+('WNA Estimate'!$N$14*F22)))</f>
        <v>5.6905119589810538E-2</v>
      </c>
      <c r="J22" s="35">
        <f>ROUND('WNA Estimate'!D22*I22,0)</f>
        <v>237409</v>
      </c>
      <c r="K22" s="40">
        <f t="shared" si="5"/>
        <v>1067645</v>
      </c>
      <c r="P22" s="16"/>
      <c r="Q22" s="16"/>
    </row>
    <row r="23" spans="1:17" x14ac:dyDescent="0.3">
      <c r="A23">
        <v>16</v>
      </c>
      <c r="B23" s="1">
        <v>42461</v>
      </c>
      <c r="C23" s="23">
        <v>4711582</v>
      </c>
      <c r="D23" s="24">
        <v>2434914</v>
      </c>
      <c r="E23" s="25">
        <v>317.97000000000003</v>
      </c>
      <c r="F23" s="25">
        <v>259.20999999999998</v>
      </c>
      <c r="G23" s="34">
        <f t="shared" si="3"/>
        <v>6.5941594340088075E-2</v>
      </c>
      <c r="H23" s="35">
        <f t="shared" si="4"/>
        <v>310689</v>
      </c>
      <c r="I23" s="34">
        <f>'WNA Estimate'!$N$15*(('WNA Estimate'!$N$14*(E23-F23))/('WNA Estimate'!$N$13+('WNA Estimate'!$N$14*F23)))</f>
        <v>3.288110804093132E-2</v>
      </c>
      <c r="J23" s="35">
        <f>ROUND('WNA Estimate'!D23*I23,0)</f>
        <v>80063</v>
      </c>
      <c r="K23" s="40">
        <f t="shared" si="5"/>
        <v>390752</v>
      </c>
      <c r="P23" s="17"/>
      <c r="Q23" s="18"/>
    </row>
    <row r="24" spans="1:17" x14ac:dyDescent="0.3">
      <c r="A24">
        <v>17</v>
      </c>
      <c r="B24" s="1">
        <v>42491</v>
      </c>
      <c r="C24" s="23">
        <v>2217072</v>
      </c>
      <c r="D24" s="24">
        <v>1339953</v>
      </c>
      <c r="E24" s="25">
        <v>97.64</v>
      </c>
      <c r="F24" s="25">
        <v>86.42</v>
      </c>
      <c r="G24" s="34"/>
      <c r="H24" s="31"/>
      <c r="I24" s="34"/>
      <c r="J24" s="31"/>
      <c r="K24" s="41"/>
      <c r="P24" s="17"/>
      <c r="Q24" s="16"/>
    </row>
    <row r="25" spans="1:17" x14ac:dyDescent="0.3">
      <c r="A25">
        <v>18</v>
      </c>
      <c r="B25" s="1">
        <v>42522</v>
      </c>
      <c r="C25" s="23">
        <v>1444960</v>
      </c>
      <c r="D25" s="24">
        <v>951544</v>
      </c>
      <c r="E25" s="25">
        <v>15.44</v>
      </c>
      <c r="F25" s="25">
        <v>21.97</v>
      </c>
      <c r="G25" s="34"/>
      <c r="H25" s="31"/>
      <c r="I25" s="34"/>
      <c r="J25" s="31"/>
      <c r="K25" s="41"/>
      <c r="P25" s="17"/>
      <c r="Q25" s="16"/>
    </row>
    <row r="26" spans="1:17" x14ac:dyDescent="0.3">
      <c r="A26">
        <v>19</v>
      </c>
      <c r="B26" s="1">
        <v>42552</v>
      </c>
      <c r="C26" s="23">
        <v>1029890</v>
      </c>
      <c r="D26" s="24">
        <v>799125</v>
      </c>
      <c r="E26" s="25">
        <v>0.25</v>
      </c>
      <c r="F26" s="25">
        <v>0</v>
      </c>
      <c r="G26" s="34"/>
      <c r="H26" s="31"/>
      <c r="I26" s="34"/>
      <c r="J26" s="31"/>
      <c r="K26" s="41"/>
      <c r="P26" s="17"/>
      <c r="Q26" s="16"/>
    </row>
    <row r="27" spans="1:17" x14ac:dyDescent="0.3">
      <c r="A27">
        <v>20</v>
      </c>
      <c r="B27" s="1">
        <v>42583</v>
      </c>
      <c r="C27" s="23">
        <v>923072</v>
      </c>
      <c r="D27" s="24">
        <v>659542</v>
      </c>
      <c r="E27" s="25">
        <v>0</v>
      </c>
      <c r="F27" s="25">
        <v>0</v>
      </c>
      <c r="G27" s="34"/>
      <c r="H27" s="31"/>
      <c r="I27" s="34"/>
      <c r="J27" s="31"/>
      <c r="K27" s="41"/>
      <c r="P27" s="16"/>
      <c r="Q27" s="16"/>
    </row>
    <row r="28" spans="1:17" x14ac:dyDescent="0.3">
      <c r="A28">
        <v>21</v>
      </c>
      <c r="B28" s="1">
        <v>42614</v>
      </c>
      <c r="C28" s="23">
        <v>964659</v>
      </c>
      <c r="D28" s="24">
        <v>741210</v>
      </c>
      <c r="E28" s="25">
        <v>2.29</v>
      </c>
      <c r="F28" s="25">
        <v>0.09</v>
      </c>
      <c r="G28" s="34"/>
      <c r="H28" s="31"/>
      <c r="I28" s="34"/>
      <c r="J28" s="31"/>
      <c r="K28" s="41"/>
      <c r="P28" s="16"/>
      <c r="Q28" s="16"/>
    </row>
    <row r="29" spans="1:17" x14ac:dyDescent="0.3">
      <c r="A29">
        <v>22</v>
      </c>
      <c r="B29" s="1">
        <v>42644</v>
      </c>
      <c r="C29" s="23">
        <v>1086213</v>
      </c>
      <c r="D29" s="24">
        <v>818296</v>
      </c>
      <c r="E29" s="25">
        <v>64.59</v>
      </c>
      <c r="F29" s="25">
        <v>14.87</v>
      </c>
      <c r="G29" s="34"/>
      <c r="H29" s="31"/>
      <c r="I29" s="34"/>
      <c r="J29" s="31"/>
      <c r="K29" s="41"/>
      <c r="P29" s="16"/>
      <c r="Q29" s="16"/>
    </row>
    <row r="30" spans="1:17" x14ac:dyDescent="0.3">
      <c r="A30">
        <v>23</v>
      </c>
      <c r="B30" s="1">
        <v>42675</v>
      </c>
      <c r="C30" s="23">
        <v>2575105</v>
      </c>
      <c r="D30" s="24">
        <v>1506231</v>
      </c>
      <c r="E30" s="25">
        <v>274.73</v>
      </c>
      <c r="F30" s="25">
        <v>156.11000000000001</v>
      </c>
      <c r="G30" s="34">
        <f t="shared" ref="G30:G35" si="6">$N$10*(($N$9*(E30-F30))/($N$8+($N$9*F30)))</f>
        <v>0.19318026753787254</v>
      </c>
      <c r="H30" s="35">
        <f t="shared" ref="H30:H35" si="7">ROUND(C30*G30,0)</f>
        <v>497459</v>
      </c>
      <c r="I30" s="34">
        <f>'WNA Estimate'!$N$15*(('WNA Estimate'!$N$14*(E30-F30))/('WNA Estimate'!$N$13+('WNA Estimate'!$N$14*F30)))</f>
        <v>9.2321882309821371E-2</v>
      </c>
      <c r="J30" s="35">
        <f>ROUND('WNA Estimate'!D30*I30,0)</f>
        <v>139058</v>
      </c>
      <c r="K30" s="40">
        <f t="shared" ref="K30:K35" si="8">H30+J30</f>
        <v>636517</v>
      </c>
    </row>
    <row r="31" spans="1:17" x14ac:dyDescent="0.3">
      <c r="A31">
        <v>24</v>
      </c>
      <c r="B31" s="1">
        <v>42705</v>
      </c>
      <c r="C31" s="23">
        <v>8602222</v>
      </c>
      <c r="D31" s="24">
        <v>4473290</v>
      </c>
      <c r="E31" s="25">
        <v>608.55999999999995</v>
      </c>
      <c r="F31" s="25">
        <v>603.15</v>
      </c>
      <c r="G31" s="34">
        <f t="shared" si="6"/>
        <v>2.9801604646411345E-3</v>
      </c>
      <c r="H31" s="35">
        <f t="shared" si="7"/>
        <v>25636</v>
      </c>
      <c r="I31" s="34">
        <f>'WNA Estimate'!$N$15*(('WNA Estimate'!$N$14*(E31-F31))/('WNA Estimate'!$N$13+('WNA Estimate'!$N$14*F31)))</f>
        <v>1.5625230908855846E-3</v>
      </c>
      <c r="J31" s="35">
        <f>ROUND('WNA Estimate'!D31*I31,0)</f>
        <v>6990</v>
      </c>
      <c r="K31" s="40">
        <f t="shared" si="8"/>
        <v>32626</v>
      </c>
    </row>
    <row r="32" spans="1:17" x14ac:dyDescent="0.3">
      <c r="A32">
        <v>25</v>
      </c>
      <c r="B32" s="1">
        <v>42736</v>
      </c>
      <c r="C32" s="23">
        <v>11832981</v>
      </c>
      <c r="D32" s="24">
        <v>6443107</v>
      </c>
      <c r="E32" s="25">
        <v>818.86</v>
      </c>
      <c r="F32" s="25">
        <v>752.19</v>
      </c>
      <c r="G32" s="34">
        <f t="shared" si="6"/>
        <v>3.0087862372788092E-2</v>
      </c>
      <c r="H32" s="35">
        <f t="shared" si="7"/>
        <v>356029</v>
      </c>
      <c r="I32" s="34">
        <f>'WNA Estimate'!$N$15*(('WNA Estimate'!$N$14*(E32-F32))/('WNA Estimate'!$N$13+('WNA Estimate'!$N$14*F32)))</f>
        <v>1.5918111752555301E-2</v>
      </c>
      <c r="J32" s="35">
        <f>ROUND('WNA Estimate'!D32*I32,0)</f>
        <v>102562</v>
      </c>
      <c r="K32" s="40">
        <f t="shared" si="8"/>
        <v>458591</v>
      </c>
    </row>
    <row r="33" spans="1:11" x14ac:dyDescent="0.3">
      <c r="A33">
        <v>26</v>
      </c>
      <c r="B33" s="1">
        <v>42767</v>
      </c>
      <c r="C33" s="23">
        <v>8738793</v>
      </c>
      <c r="D33" s="24">
        <v>4682961</v>
      </c>
      <c r="E33" s="25">
        <v>792.1</v>
      </c>
      <c r="F33" s="25">
        <v>566.02</v>
      </c>
      <c r="G33" s="34">
        <f t="shared" si="6"/>
        <v>0.13178192440597694</v>
      </c>
      <c r="H33" s="35">
        <f t="shared" si="7"/>
        <v>1151615</v>
      </c>
      <c r="I33" s="34">
        <f>'WNA Estimate'!$N$15*(('WNA Estimate'!$N$14*(E33-F33))/('WNA Estimate'!$N$13+('WNA Estimate'!$N$14*F33)))</f>
        <v>6.8895499653054332E-2</v>
      </c>
      <c r="J33" s="35">
        <f>ROUND('WNA Estimate'!D33*I33,0)</f>
        <v>322635</v>
      </c>
      <c r="K33" s="40">
        <f t="shared" si="8"/>
        <v>1474250</v>
      </c>
    </row>
    <row r="34" spans="1:11" x14ac:dyDescent="0.3">
      <c r="A34">
        <v>27</v>
      </c>
      <c r="B34" s="1">
        <v>42795</v>
      </c>
      <c r="C34" s="23">
        <v>7298320</v>
      </c>
      <c r="D34" s="24">
        <v>3882239</v>
      </c>
      <c r="E34" s="25">
        <v>610.02</v>
      </c>
      <c r="F34" s="25">
        <v>448.69</v>
      </c>
      <c r="G34" s="34">
        <f t="shared" si="6"/>
        <v>0.11521361892183597</v>
      </c>
      <c r="H34" s="35">
        <f t="shared" si="7"/>
        <v>840866</v>
      </c>
      <c r="I34" s="34">
        <f>'WNA Estimate'!$N$15*(('WNA Estimate'!$N$14*(E34-F34))/('WNA Estimate'!$N$13+('WNA Estimate'!$N$14*F34)))</f>
        <v>5.9531663272075833E-2</v>
      </c>
      <c r="J34" s="35">
        <f>ROUND('WNA Estimate'!D34*I34,0)</f>
        <v>231116</v>
      </c>
      <c r="K34" s="40">
        <f t="shared" si="8"/>
        <v>1071982</v>
      </c>
    </row>
    <row r="35" spans="1:11" x14ac:dyDescent="0.3">
      <c r="A35">
        <v>28</v>
      </c>
      <c r="B35" s="1">
        <v>42826</v>
      </c>
      <c r="C35" s="23">
        <v>4413021</v>
      </c>
      <c r="D35" s="24">
        <v>2575771</v>
      </c>
      <c r="E35" s="25">
        <v>324.76</v>
      </c>
      <c r="F35" s="25">
        <v>243.35</v>
      </c>
      <c r="G35" s="34">
        <f t="shared" si="6"/>
        <v>9.594894467761568E-2</v>
      </c>
      <c r="H35" s="35">
        <f t="shared" si="7"/>
        <v>423425</v>
      </c>
      <c r="I35" s="34">
        <f>'WNA Estimate'!$N$15*(('WNA Estimate'!$N$14*(E35-F35))/('WNA Estimate'!$N$13+('WNA Estimate'!$N$14*F35)))</f>
        <v>4.7613989929019003E-2</v>
      </c>
      <c r="J35" s="35">
        <f>ROUND('WNA Estimate'!D35*I35,0)</f>
        <v>122643</v>
      </c>
      <c r="K35" s="40">
        <f t="shared" si="8"/>
        <v>546068</v>
      </c>
    </row>
    <row r="36" spans="1:11" x14ac:dyDescent="0.3">
      <c r="A36">
        <v>29</v>
      </c>
      <c r="B36" s="1">
        <v>42856</v>
      </c>
      <c r="C36" s="23">
        <v>2235095</v>
      </c>
      <c r="D36" s="24">
        <v>1311712</v>
      </c>
      <c r="E36" s="25">
        <v>108.27</v>
      </c>
      <c r="F36" s="25">
        <v>71.819999999999993</v>
      </c>
      <c r="G36" s="34"/>
      <c r="H36" s="31"/>
      <c r="I36" s="34"/>
      <c r="J36" s="31"/>
      <c r="K36" s="41"/>
    </row>
    <row r="37" spans="1:11" x14ac:dyDescent="0.3">
      <c r="A37">
        <v>30</v>
      </c>
      <c r="B37" s="1">
        <v>42887</v>
      </c>
      <c r="C37" s="23">
        <v>1274547</v>
      </c>
      <c r="D37" s="24">
        <v>902299</v>
      </c>
      <c r="E37" s="25">
        <v>16.89</v>
      </c>
      <c r="F37" s="25">
        <v>13.33</v>
      </c>
      <c r="G37" s="34"/>
      <c r="H37" s="31"/>
      <c r="I37" s="34"/>
      <c r="J37" s="31"/>
      <c r="K37" s="41"/>
    </row>
    <row r="38" spans="1:11" x14ac:dyDescent="0.3">
      <c r="A38">
        <v>31</v>
      </c>
      <c r="B38" s="1">
        <v>42917</v>
      </c>
      <c r="C38" s="23">
        <v>1039435</v>
      </c>
      <c r="D38" s="24">
        <v>754572</v>
      </c>
      <c r="E38" s="25">
        <v>0.31</v>
      </c>
      <c r="F38" s="25">
        <v>0</v>
      </c>
      <c r="G38" s="34"/>
      <c r="H38" s="31"/>
      <c r="I38" s="34"/>
      <c r="J38" s="31"/>
      <c r="K38" s="41"/>
    </row>
    <row r="39" spans="1:11" x14ac:dyDescent="0.3">
      <c r="A39">
        <v>32</v>
      </c>
      <c r="B39" s="1">
        <v>42948</v>
      </c>
      <c r="C39" s="23">
        <v>923611</v>
      </c>
      <c r="D39" s="24">
        <v>730882</v>
      </c>
      <c r="E39" s="25">
        <v>0</v>
      </c>
      <c r="F39" s="25">
        <v>0</v>
      </c>
      <c r="G39" s="34"/>
      <c r="H39" s="31"/>
      <c r="I39" s="34"/>
      <c r="J39" s="31"/>
      <c r="K39" s="41"/>
    </row>
    <row r="40" spans="1:11" x14ac:dyDescent="0.3">
      <c r="A40">
        <v>33</v>
      </c>
      <c r="B40" s="1">
        <v>42979</v>
      </c>
      <c r="C40" s="23">
        <v>1087491</v>
      </c>
      <c r="D40" s="24">
        <v>850118</v>
      </c>
      <c r="E40" s="25">
        <v>1.92</v>
      </c>
      <c r="F40" s="25">
        <v>3.35</v>
      </c>
      <c r="G40" s="34"/>
      <c r="H40" s="31"/>
      <c r="I40" s="34"/>
      <c r="J40" s="31"/>
      <c r="K40" s="41"/>
    </row>
    <row r="41" spans="1:11" x14ac:dyDescent="0.3">
      <c r="A41">
        <v>34</v>
      </c>
      <c r="B41" s="1">
        <v>43009</v>
      </c>
      <c r="C41" s="23">
        <v>1121891</v>
      </c>
      <c r="D41" s="24">
        <v>830690</v>
      </c>
      <c r="E41" s="25">
        <v>60.03</v>
      </c>
      <c r="F41" s="25">
        <v>12.11</v>
      </c>
      <c r="G41" s="34"/>
      <c r="H41" s="31"/>
      <c r="I41" s="34"/>
      <c r="J41" s="31"/>
      <c r="K41" s="41"/>
    </row>
    <row r="42" spans="1:11" x14ac:dyDescent="0.3">
      <c r="A42">
        <v>35</v>
      </c>
      <c r="B42" s="1">
        <v>43040</v>
      </c>
      <c r="C42" s="23">
        <v>4315235</v>
      </c>
      <c r="D42" s="24">
        <v>2489239</v>
      </c>
      <c r="E42" s="25">
        <v>266.14999999999998</v>
      </c>
      <c r="F42" s="25">
        <v>276.45</v>
      </c>
      <c r="G42" s="34">
        <f t="shared" ref="G42:G47" si="9">$N$10*(($N$9*(E42-F42))/($N$8+($N$9*F42)))</f>
        <v>-1.0987610324525457E-2</v>
      </c>
      <c r="H42" s="35">
        <f t="shared" ref="H42:H47" si="10">ROUND(C42*G42,0)</f>
        <v>-47414</v>
      </c>
      <c r="I42" s="34">
        <f>'WNA Estimate'!$N$15*(('WNA Estimate'!$N$14*(E42-F42))/('WNA Estimate'!$N$13+('WNA Estimate'!$N$14*F42)))</f>
        <v>-5.5050213847933176E-3</v>
      </c>
      <c r="J42" s="35">
        <f>ROUND('WNA Estimate'!D42*I42,0)</f>
        <v>-13703</v>
      </c>
      <c r="K42" s="40">
        <f t="shared" ref="K42:K47" si="11">H42+J42</f>
        <v>-61117</v>
      </c>
    </row>
    <row r="43" spans="1:11" x14ac:dyDescent="0.3">
      <c r="A43">
        <v>36</v>
      </c>
      <c r="B43" s="1">
        <v>43070</v>
      </c>
      <c r="C43" s="23">
        <v>8866438</v>
      </c>
      <c r="D43" s="24">
        <v>4820440</v>
      </c>
      <c r="E43" s="25">
        <v>593.47</v>
      </c>
      <c r="F43" s="25">
        <v>586.03</v>
      </c>
      <c r="G43" s="34">
        <f t="shared" si="9"/>
        <v>4.2049742683420632E-3</v>
      </c>
      <c r="H43" s="35">
        <f t="shared" si="10"/>
        <v>37283</v>
      </c>
      <c r="I43" s="34">
        <f>'WNA Estimate'!$N$15*(('WNA Estimate'!$N$14*(E43-F43))/('WNA Estimate'!$N$13+('WNA Estimate'!$N$14*F43)))</f>
        <v>2.2018617929398057E-3</v>
      </c>
      <c r="J43" s="35">
        <f>ROUND('WNA Estimate'!D43*I43,0)</f>
        <v>10614</v>
      </c>
      <c r="K43" s="40">
        <f t="shared" si="11"/>
        <v>47897</v>
      </c>
    </row>
    <row r="44" spans="1:11" x14ac:dyDescent="0.3">
      <c r="A44">
        <v>37</v>
      </c>
      <c r="B44" s="1">
        <v>43101</v>
      </c>
      <c r="C44" s="23">
        <v>15370338</v>
      </c>
      <c r="D44" s="24">
        <v>8471131</v>
      </c>
      <c r="E44" s="25">
        <v>859.59</v>
      </c>
      <c r="F44" s="25">
        <v>1070.6600000000001</v>
      </c>
      <c r="G44" s="34">
        <f t="shared" si="9"/>
        <v>-6.8715583463339849E-2</v>
      </c>
      <c r="H44" s="35">
        <f t="shared" si="10"/>
        <v>-1056182</v>
      </c>
      <c r="I44" s="34">
        <f>'WNA Estimate'!$N$15*(('WNA Estimate'!$N$14*(E44-F44))/('WNA Estimate'!$N$13+('WNA Estimate'!$N$14*F44)))</f>
        <v>-3.6774641296976641E-2</v>
      </c>
      <c r="J44" s="35">
        <f>ROUND('WNA Estimate'!D44*I44,0)</f>
        <v>-311523</v>
      </c>
      <c r="K44" s="40">
        <f t="shared" si="11"/>
        <v>-1367705</v>
      </c>
    </row>
    <row r="45" spans="1:11" x14ac:dyDescent="0.3">
      <c r="A45">
        <v>38</v>
      </c>
      <c r="B45" s="1">
        <v>43132</v>
      </c>
      <c r="C45" s="23">
        <v>11758532</v>
      </c>
      <c r="D45" s="24">
        <v>6359524</v>
      </c>
      <c r="E45" s="25">
        <v>787.5</v>
      </c>
      <c r="F45" s="25">
        <v>713.63</v>
      </c>
      <c r="G45" s="34">
        <f t="shared" si="9"/>
        <v>3.4972616743848203E-2</v>
      </c>
      <c r="H45" s="35">
        <f t="shared" si="10"/>
        <v>411227</v>
      </c>
      <c r="I45" s="34">
        <f>'WNA Estimate'!$N$15*(('WNA Estimate'!$N$14*(E45-F45))/('WNA Estimate'!$N$13+('WNA Estimate'!$N$14*F45)))</f>
        <v>1.8465246588274115E-2</v>
      </c>
      <c r="J45" s="35">
        <f>ROUND('WNA Estimate'!D45*I45,0)</f>
        <v>117430</v>
      </c>
      <c r="K45" s="40">
        <f t="shared" si="11"/>
        <v>528657</v>
      </c>
    </row>
    <row r="46" spans="1:11" x14ac:dyDescent="0.3">
      <c r="A46">
        <v>39</v>
      </c>
      <c r="B46" s="1">
        <v>43160</v>
      </c>
      <c r="C46" s="23">
        <v>8139689</v>
      </c>
      <c r="D46" s="24">
        <v>4630421</v>
      </c>
      <c r="E46" s="25">
        <v>606.48</v>
      </c>
      <c r="F46" s="25">
        <v>501.42</v>
      </c>
      <c r="G46" s="34">
        <f t="shared" si="9"/>
        <v>6.8133785557048868E-2</v>
      </c>
      <c r="H46" s="35">
        <f t="shared" si="10"/>
        <v>554588</v>
      </c>
      <c r="I46" s="34">
        <f>'WNA Estimate'!$N$15*(('WNA Estimate'!$N$14*(E46-F46))/('WNA Estimate'!$N$13+('WNA Estimate'!$N$14*F46)))</f>
        <v>3.5411532569986796E-2</v>
      </c>
      <c r="J46" s="35">
        <f>ROUND('WNA Estimate'!D46*I46,0)</f>
        <v>163970</v>
      </c>
      <c r="K46" s="40">
        <f t="shared" si="11"/>
        <v>718558</v>
      </c>
    </row>
    <row r="47" spans="1:11" x14ac:dyDescent="0.3">
      <c r="A47">
        <v>40</v>
      </c>
      <c r="B47" s="1">
        <v>43191</v>
      </c>
      <c r="C47" s="23">
        <v>7782843</v>
      </c>
      <c r="D47" s="24">
        <v>4507496</v>
      </c>
      <c r="E47" s="25">
        <v>327.37</v>
      </c>
      <c r="F47" s="25">
        <v>476.56</v>
      </c>
      <c r="G47" s="34">
        <f t="shared" si="9"/>
        <v>-0.10113467761092762</v>
      </c>
      <c r="H47" s="35">
        <f t="shared" si="10"/>
        <v>-787115</v>
      </c>
      <c r="I47" s="34">
        <f>'WNA Estimate'!$N$15*(('WNA Estimate'!$N$14*(E47-F47))/('WNA Estimate'!$N$13+('WNA Estimate'!$N$14*F47)))</f>
        <v>-5.2425749633750358E-2</v>
      </c>
      <c r="J47" s="35">
        <f>ROUND('WNA Estimate'!D47*I47,0)</f>
        <v>-236309</v>
      </c>
      <c r="K47" s="40">
        <f t="shared" si="11"/>
        <v>-1023424</v>
      </c>
    </row>
    <row r="48" spans="1:11" ht="15" thickBot="1" x14ac:dyDescent="0.35">
      <c r="A48">
        <v>41</v>
      </c>
      <c r="B48" s="1">
        <v>43221</v>
      </c>
      <c r="C48" s="26">
        <v>2964733</v>
      </c>
      <c r="D48" s="27">
        <v>1809095</v>
      </c>
      <c r="E48" s="28">
        <v>99.86</v>
      </c>
      <c r="F48" s="28">
        <v>122.51</v>
      </c>
      <c r="G48" s="36"/>
      <c r="H48" s="9"/>
      <c r="I48" s="36"/>
      <c r="J48" s="9"/>
      <c r="K48" s="42"/>
    </row>
    <row r="49" spans="1:11" x14ac:dyDescent="0.3">
      <c r="A49">
        <v>42</v>
      </c>
      <c r="B49" s="1"/>
      <c r="C49" s="2"/>
      <c r="D49" s="2"/>
      <c r="E49" s="2"/>
      <c r="F49" s="4"/>
      <c r="G49" s="7"/>
      <c r="H49" s="31"/>
      <c r="I49" s="7"/>
      <c r="J49" s="31"/>
      <c r="K49" s="38"/>
    </row>
    <row r="50" spans="1:11" x14ac:dyDescent="0.3">
      <c r="A50">
        <v>43</v>
      </c>
      <c r="B50" t="s">
        <v>12</v>
      </c>
      <c r="C50" s="2"/>
      <c r="D50" s="2"/>
      <c r="E50" s="2"/>
      <c r="F50" s="4"/>
      <c r="G50" s="7"/>
      <c r="H50" s="31"/>
      <c r="I50" s="7"/>
      <c r="J50" s="31"/>
      <c r="K50" s="38"/>
    </row>
    <row r="51" spans="1:11" x14ac:dyDescent="0.3">
      <c r="A51">
        <v>44</v>
      </c>
      <c r="B51" s="13" t="s">
        <v>9</v>
      </c>
      <c r="C51" s="2"/>
      <c r="D51" s="2"/>
      <c r="E51" s="2"/>
      <c r="F51" s="4"/>
      <c r="G51" s="7"/>
      <c r="H51" s="14">
        <f>SUM(H18:H23)</f>
        <v>3439635</v>
      </c>
      <c r="I51" s="7"/>
      <c r="J51" s="14">
        <f>SUM('WNA Estimate'!J18:J23)</f>
        <v>951336</v>
      </c>
      <c r="K51" s="44">
        <f>H51+'WNA Estimate'!J51</f>
        <v>4390971</v>
      </c>
    </row>
    <row r="52" spans="1:11" x14ac:dyDescent="0.3">
      <c r="A52">
        <v>45</v>
      </c>
      <c r="B52" s="13" t="s">
        <v>10</v>
      </c>
      <c r="C52" s="2"/>
      <c r="D52" s="2"/>
      <c r="E52" s="2"/>
      <c r="F52" s="4"/>
      <c r="G52" s="7"/>
      <c r="H52" s="14">
        <f>SUM(H30:H35)</f>
        <v>3295030</v>
      </c>
      <c r="I52" s="7"/>
      <c r="J52" s="14">
        <f>SUM('WNA Estimate'!J30:J35)</f>
        <v>925004</v>
      </c>
      <c r="K52" s="44">
        <f>H52+'WNA Estimate'!J52</f>
        <v>4220034</v>
      </c>
    </row>
    <row r="53" spans="1:11" ht="15" thickBot="1" x14ac:dyDescent="0.35">
      <c r="A53">
        <v>46</v>
      </c>
      <c r="B53" s="13" t="s">
        <v>11</v>
      </c>
      <c r="G53" s="8"/>
      <c r="H53" s="15">
        <f>SUM(H42:H47)</f>
        <v>-887613</v>
      </c>
      <c r="I53" s="8"/>
      <c r="J53" s="15">
        <f>SUM('WNA Estimate'!J42:J47)</f>
        <v>-269521</v>
      </c>
      <c r="K53" s="45">
        <f>H53+'WNA Estimate'!J53</f>
        <v>-1157134</v>
      </c>
    </row>
    <row r="54" spans="1:11" x14ac:dyDescent="0.3">
      <c r="K54" s="16"/>
    </row>
    <row r="55" spans="1:11" x14ac:dyDescent="0.3">
      <c r="B55" s="1"/>
    </row>
    <row r="56" spans="1:11" x14ac:dyDescent="0.3">
      <c r="B56" s="1"/>
    </row>
  </sheetData>
  <pageMargins left="0.7" right="0.7" top="0.75" bottom="0.75" header="0.3" footer="0.3"/>
  <pageSetup scale="48" orientation="portrait" r:id="rId1"/>
  <headerFooter>
    <oddHeader>&amp;R&amp;"Times New Roman,Bold"&amp;10KyPSC Case No. 2018-00261
STAFF-DR-02-055 Attachment 3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6AAC2DF297EF4AAAB18C12C14394A6" ma:contentTypeVersion="3" ma:contentTypeDescription="Create a new document." ma:contentTypeScope="" ma:versionID="7fc2e36abf7e4763f7a3830366bb39e6">
  <xsd:schema xmlns:xsd="http://www.w3.org/2001/XMLSchema" xmlns:xs="http://www.w3.org/2001/XMLSchema" xmlns:p="http://schemas.microsoft.com/office/2006/metadata/properties" xmlns:ns2="b9d8ba39-ee9f-49d4-886c-5a19d7852603" xmlns:ns3="e8140ab9-1a87-4657-a6c4-99cca0129bf1" targetNamespace="http://schemas.microsoft.com/office/2006/metadata/properties" ma:root="true" ma:fieldsID="d278129e1cff69c7909c0d1b013fbb82" ns2:_="" ns3:_="">
    <xsd:import namespace="b9d8ba39-ee9f-49d4-886c-5a19d7852603"/>
    <xsd:import namespace="e8140ab9-1a87-4657-a6c4-99cca0129bf1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d8ba39-ee9f-49d4-886c-5a19d7852603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140ab9-1a87-4657-a6c4-99cca0129bf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b9d8ba39-ee9f-49d4-886c-5a19d7852603" xsi:nil="true"/>
  </documentManagement>
</p:properties>
</file>

<file path=customXml/itemProps1.xml><?xml version="1.0" encoding="utf-8"?>
<ds:datastoreItem xmlns:ds="http://schemas.openxmlformats.org/officeDocument/2006/customXml" ds:itemID="{DD378027-D2FE-42E0-9E48-C4F8074BBF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61901D-7B05-404D-A01B-F88EAD8A8E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d8ba39-ee9f-49d4-886c-5a19d7852603"/>
    <ds:schemaRef ds:uri="e8140ab9-1a87-4657-a6c4-99cca0129b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8908F0F-7045-4C92-8688-12FF5DFF1B2C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e8140ab9-1a87-4657-a6c4-99cca0129bf1"/>
    <ds:schemaRef ds:uri="http://purl.org/dc/dcmitype/"/>
    <ds:schemaRef ds:uri="b9d8ba39-ee9f-49d4-886c-5a19d7852603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WNA Estimate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Sailers, Bruce L</dc:creator>
  <cp:lastModifiedBy>Frisch, Adele M</cp:lastModifiedBy>
  <cp:lastPrinted>2018-10-22T17:31:22Z</cp:lastPrinted>
  <dcterms:created xsi:type="dcterms:W3CDTF">2018-07-10T15:52:07Z</dcterms:created>
  <dcterms:modified xsi:type="dcterms:W3CDTF">2018-10-22T17:31:23Z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0x010100B46AAC2DF297EF4AAAB18C12C14394A6</vt:lpwstr>
  </property>
</Properties>
</file>