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https://collaborate.duke-energy.com/sites/2018KYGasRateCase/2018  KY Gas Rate Case/Discovery/AG'S SUPPLEMENTAL/"/>
    </mc:Choice>
  </mc:AlternateContent>
  <bookViews>
    <workbookView xWindow="0" yWindow="0" windowWidth="28800" windowHeight="12216" tabRatio="716"/>
  </bookViews>
  <sheets>
    <sheet name="DR #15" sheetId="16" r:id="rId1"/>
    <sheet name="Summary" sheetId="9" r:id="rId2"/>
    <sheet name="Test Period with Allocations" sheetId="20" r:id="rId3"/>
    <sheet name="RSP" sheetId="19" r:id="rId4"/>
  </sheets>
  <definedNames>
    <definedName name="_xlnm.Print_Area" localSheetId="0">'DR #15'!$A$1:$H$14</definedName>
  </definedNames>
  <calcPr calcId="171027"/>
</workbook>
</file>

<file path=xl/calcChain.xml><?xml version="1.0" encoding="utf-8"?>
<calcChain xmlns="http://schemas.openxmlformats.org/spreadsheetml/2006/main">
  <c r="G19" i="9" l="1"/>
  <c r="D26" i="20"/>
  <c r="J30" i="20"/>
  <c r="C7" i="19" l="1"/>
  <c r="I30" i="20"/>
  <c r="D30" i="20"/>
  <c r="C41" i="20" l="1"/>
  <c r="E41" i="20"/>
  <c r="G41" i="20"/>
  <c r="C42" i="20"/>
  <c r="E42" i="20"/>
  <c r="G42" i="20"/>
  <c r="G40" i="20"/>
  <c r="E40" i="20"/>
  <c r="C40" i="20"/>
  <c r="G39" i="20"/>
  <c r="E39" i="20"/>
  <c r="C39" i="20"/>
  <c r="G38" i="20"/>
  <c r="E38" i="20"/>
  <c r="C38" i="20"/>
  <c r="G37" i="20"/>
  <c r="E37" i="20"/>
  <c r="C37" i="20"/>
  <c r="G36" i="20"/>
  <c r="E36" i="20"/>
  <c r="C36" i="20"/>
  <c r="G35" i="20"/>
  <c r="E35" i="20"/>
  <c r="C35" i="20"/>
  <c r="G34" i="20"/>
  <c r="E34" i="20"/>
  <c r="C34" i="20"/>
  <c r="G33" i="20"/>
  <c r="E33" i="20"/>
  <c r="C33" i="20"/>
  <c r="G32" i="20"/>
  <c r="E32" i="20"/>
  <c r="C32" i="20"/>
  <c r="G31" i="20"/>
  <c r="E31" i="20"/>
  <c r="C31" i="20"/>
  <c r="G30" i="20"/>
  <c r="E30" i="20"/>
  <c r="C30" i="20"/>
  <c r="D25" i="20"/>
  <c r="D24" i="20"/>
  <c r="Q19" i="20"/>
  <c r="P21" i="20"/>
  <c r="O21" i="20"/>
  <c r="N21" i="20"/>
  <c r="M21" i="20"/>
  <c r="L21" i="20"/>
  <c r="K21" i="20"/>
  <c r="J21" i="20"/>
  <c r="I21" i="20"/>
  <c r="H21" i="20"/>
  <c r="G21" i="20"/>
  <c r="F21" i="20"/>
  <c r="E21" i="20"/>
  <c r="D21" i="20"/>
  <c r="F40" i="20" l="1"/>
  <c r="H32" i="20"/>
  <c r="I37" i="20"/>
  <c r="J37" i="20" s="1"/>
  <c r="H36" i="20"/>
  <c r="F37" i="20"/>
  <c r="F35" i="20"/>
  <c r="H30" i="20"/>
  <c r="F33" i="20"/>
  <c r="F32" i="20"/>
  <c r="H40" i="20"/>
  <c r="I31" i="20"/>
  <c r="J31" i="20" s="1"/>
  <c r="F36" i="20"/>
  <c r="D31" i="20"/>
  <c r="D38" i="20"/>
  <c r="E43" i="20"/>
  <c r="F31" i="20" s="1"/>
  <c r="G43" i="20"/>
  <c r="C43" i="20"/>
  <c r="D42" i="20" s="1"/>
  <c r="D33" i="20"/>
  <c r="D36" i="20"/>
  <c r="D41" i="20" l="1"/>
  <c r="F38" i="20"/>
  <c r="D39" i="20"/>
  <c r="I42" i="20"/>
  <c r="J42" i="20" s="1"/>
  <c r="I41" i="20"/>
  <c r="J41" i="20" s="1"/>
  <c r="H37" i="20"/>
  <c r="H41" i="20"/>
  <c r="H42" i="20"/>
  <c r="F34" i="20"/>
  <c r="F30" i="20"/>
  <c r="F42" i="20"/>
  <c r="I36" i="20"/>
  <c r="J36" i="20" s="1"/>
  <c r="I40" i="20"/>
  <c r="J40" i="20" s="1"/>
  <c r="F41" i="20"/>
  <c r="D35" i="20"/>
  <c r="H35" i="20"/>
  <c r="I32" i="20"/>
  <c r="J32" i="20" s="1"/>
  <c r="H34" i="20"/>
  <c r="I39" i="20"/>
  <c r="J39" i="20" s="1"/>
  <c r="I35" i="20"/>
  <c r="J35" i="20" s="1"/>
  <c r="H31" i="20"/>
  <c r="D37" i="20"/>
  <c r="I34" i="20"/>
  <c r="J34" i="20" s="1"/>
  <c r="I38" i="20"/>
  <c r="J38" i="20" s="1"/>
  <c r="F39" i="20"/>
  <c r="D40" i="20"/>
  <c r="I33" i="20"/>
  <c r="J33" i="20" s="1"/>
  <c r="D34" i="20"/>
  <c r="D32" i="20"/>
  <c r="H33" i="20"/>
  <c r="H38" i="20"/>
  <c r="H39" i="20"/>
  <c r="F43" i="20" l="1"/>
  <c r="H43" i="20"/>
  <c r="J43" i="20"/>
  <c r="I43" i="20"/>
  <c r="D43" i="20"/>
  <c r="D7" i="19" l="1"/>
  <c r="D4" i="19"/>
  <c r="E4" i="19"/>
  <c r="C4" i="19"/>
  <c r="E7" i="19" l="1"/>
  <c r="D9" i="19" l="1"/>
  <c r="O4" i="19" l="1"/>
  <c r="O3" i="19"/>
  <c r="C11" i="16" l="1"/>
  <c r="O5" i="19"/>
  <c r="C10" i="16" l="1"/>
  <c r="C12" i="16" s="1"/>
</calcChain>
</file>

<file path=xl/sharedStrings.xml><?xml version="1.0" encoding="utf-8"?>
<sst xmlns="http://schemas.openxmlformats.org/spreadsheetml/2006/main" count="162" uniqueCount="104">
  <si>
    <t>Duke Energy Kentucky</t>
  </si>
  <si>
    <t>Variance</t>
  </si>
  <si>
    <t>1B110</t>
  </si>
  <si>
    <t>Qualified Pension</t>
  </si>
  <si>
    <t>1B112</t>
  </si>
  <si>
    <t>1B114</t>
  </si>
  <si>
    <t>1B210</t>
  </si>
  <si>
    <t>1B212</t>
  </si>
  <si>
    <t>1B214</t>
  </si>
  <si>
    <t>Misc Other Fees</t>
  </si>
  <si>
    <t>1B216</t>
  </si>
  <si>
    <t>Long Term Disability</t>
  </si>
  <si>
    <t>1B218</t>
  </si>
  <si>
    <t>1B310</t>
  </si>
  <si>
    <t>1B312</t>
  </si>
  <si>
    <t>1B410</t>
  </si>
  <si>
    <t>1B510</t>
  </si>
  <si>
    <t>Basic Life</t>
  </si>
  <si>
    <t>1B512</t>
  </si>
  <si>
    <t>Grand Total</t>
  </si>
  <si>
    <t>Account ID CB</t>
  </si>
  <si>
    <t>0926000</t>
  </si>
  <si>
    <t>Resource Type ID CB</t>
  </si>
  <si>
    <t>Base Period</t>
  </si>
  <si>
    <t>12 Month Preceeding</t>
  </si>
  <si>
    <t>Total</t>
  </si>
  <si>
    <t>Test Period</t>
  </si>
  <si>
    <t>Pension Plans</t>
  </si>
  <si>
    <t>Retirement Savings Plan</t>
  </si>
  <si>
    <t>Retiree Medical (FAS 106)</t>
  </si>
  <si>
    <t>Active Medical Plan</t>
  </si>
  <si>
    <t>Active Dental Plan</t>
  </si>
  <si>
    <t>Administrative Costs</t>
  </si>
  <si>
    <t>Long/Short-Term Disability</t>
  </si>
  <si>
    <t>Disability Benefits (FAS 112)</t>
  </si>
  <si>
    <t>Service Awards</t>
  </si>
  <si>
    <t>EAP / Commuter Benefits / Other</t>
  </si>
  <si>
    <t>12.1.2016 - 11.30.2017</t>
  </si>
  <si>
    <t>Values</t>
  </si>
  <si>
    <t>Kentucky</t>
  </si>
  <si>
    <t>The below is an analysis of the Test Period numbers:</t>
  </si>
  <si>
    <t>Direct KY</t>
  </si>
  <si>
    <t>Total KY</t>
  </si>
  <si>
    <t>Allocated to KY</t>
  </si>
  <si>
    <t>DEBS%</t>
  </si>
  <si>
    <t>OH %</t>
  </si>
  <si>
    <t>1B216 **</t>
  </si>
  <si>
    <t>1B510 &amp; 1B512</t>
  </si>
  <si>
    <t>DEBS Costs</t>
  </si>
  <si>
    <t>OH Costs</t>
  </si>
  <si>
    <t>DEP Costs</t>
  </si>
  <si>
    <t>DEP %</t>
  </si>
  <si>
    <t>Total Allocated</t>
  </si>
  <si>
    <t>Allocated from Affiliates</t>
  </si>
  <si>
    <t>E.</t>
  </si>
  <si>
    <t>KY</t>
  </si>
  <si>
    <t>DEBS</t>
  </si>
  <si>
    <t>OH</t>
  </si>
  <si>
    <t>RSP Only</t>
  </si>
  <si>
    <t>RSP and Pension</t>
  </si>
  <si>
    <t>% in DB and DC</t>
  </si>
  <si>
    <t>For the Test period, the jurisdictional cost of company match for individuals with a DC and DB plan is expected to be the following:</t>
  </si>
  <si>
    <t>Resource Type Long Descr CB</t>
  </si>
  <si>
    <t>Employee Savings Active</t>
  </si>
  <si>
    <t>OPEB Active</t>
  </si>
  <si>
    <t>Medical Active</t>
  </si>
  <si>
    <t>Dental Active</t>
  </si>
  <si>
    <t>FAS112 Offset</t>
  </si>
  <si>
    <t>Service/Safety Awards</t>
  </si>
  <si>
    <t>Other Work/Family Benefits</t>
  </si>
  <si>
    <t>Tuiton Refund</t>
  </si>
  <si>
    <t>Accidental Death &amp; Dismember.</t>
  </si>
  <si>
    <t>12.1.2017 - 11.30.2018</t>
  </si>
  <si>
    <t>4.1.2019 - 3.31.2020</t>
  </si>
  <si>
    <t>A) The schedule above represents employee benefit costs for the time period requested.  None of these benefits are limited to management employees.  This schedule does not represent benefits offered only to executives</t>
  </si>
  <si>
    <t>B) Refer to schedule above.  The main drivers of the unfavorable variance for the 24 month period in question are the favorable retiree medical expense in 2017 due to a curtailment credit recognized in 2017 tied to a plan changes, and  the 2017 favorable true up adjustment of Basic Life</t>
  </si>
  <si>
    <t>(in thousands)</t>
  </si>
  <si>
    <t>Sum of Apr-19</t>
  </si>
  <si>
    <t>Sum of May-19</t>
  </si>
  <si>
    <t>Sum of Jun-19</t>
  </si>
  <si>
    <t>Sum of Jul-19</t>
  </si>
  <si>
    <t>Sum of Aug-19</t>
  </si>
  <si>
    <t>Sum of Sep-19</t>
  </si>
  <si>
    <t>Sum of Oct-19</t>
  </si>
  <si>
    <t>Sum of Nov-19</t>
  </si>
  <si>
    <t>Sum of Dec-19</t>
  </si>
  <si>
    <t>Sum of Jan-20</t>
  </si>
  <si>
    <t>Sum of Feb-20</t>
  </si>
  <si>
    <t>Sum of Mar-20</t>
  </si>
  <si>
    <t>0926600</t>
  </si>
  <si>
    <t>Sum of Total</t>
  </si>
  <si>
    <t>18350</t>
  </si>
  <si>
    <t>Allocated Fringes &amp; Non Union</t>
  </si>
  <si>
    <t>0926000 Total</t>
  </si>
  <si>
    <t>18351</t>
  </si>
  <si>
    <t>Allocated Fringes-Union</t>
  </si>
  <si>
    <t>0926600 Total</t>
  </si>
  <si>
    <t>2018 Budget</t>
  </si>
  <si>
    <t>BU Grouping</t>
  </si>
  <si>
    <t>DEO</t>
  </si>
  <si>
    <t>DEP</t>
  </si>
  <si>
    <t>Duke Energy Kentucky - Gas</t>
  </si>
  <si>
    <t>Responding Witness: Renee H. Metzler</t>
  </si>
  <si>
    <t>AG-DR-01-015 SUPP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</si>
</sst>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Times New Roman"/>
      <family val="1"/>
    </font>
    <font>
      <sz val="9"/>
      <color theme="1"/>
      <name val="Calibri"/>
      <family val="2"/>
      <scheme val="minor"/>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top/>
      <bottom/>
      <diagonal/>
    </border>
    <border>
      <left/>
      <right/>
      <top/>
      <bottom style="thin">
        <color indexed="64"/>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1" fillId="0" borderId="0"/>
    <xf numFmtId="0" fontId="6" fillId="0" borderId="0"/>
    <xf numFmtId="43" fontId="6" fillId="0" borderId="0" applyFont="0" applyFill="0" applyBorder="0" applyAlignment="0" applyProtection="0"/>
    <xf numFmtId="0" fontId="7" fillId="0" borderId="0"/>
    <xf numFmtId="0" fontId="7" fillId="0" borderId="0"/>
    <xf numFmtId="0" fontId="7" fillId="0" borderId="0"/>
    <xf numFmtId="0" fontId="7" fillId="0" borderId="0"/>
  </cellStyleXfs>
  <cellXfs count="66">
    <xf numFmtId="0" fontId="0" fillId="0" borderId="0" xfId="0"/>
    <xf numFmtId="43" fontId="0" fillId="0" borderId="0" xfId="0" applyNumberFormat="1"/>
    <xf numFmtId="164" fontId="0" fillId="0" borderId="0" xfId="1" applyNumberFormat="1" applyFont="1"/>
    <xf numFmtId="164" fontId="0" fillId="0" borderId="0" xfId="0" applyNumberFormat="1"/>
    <xf numFmtId="164" fontId="0" fillId="0" borderId="2" xfId="1" applyNumberFormat="1" applyFont="1" applyBorder="1"/>
    <xf numFmtId="165" fontId="0" fillId="0" borderId="0" xfId="2" applyNumberFormat="1" applyFont="1"/>
    <xf numFmtId="0" fontId="5" fillId="0" borderId="0" xfId="0" applyFont="1"/>
    <xf numFmtId="10" fontId="0" fillId="0" borderId="0" xfId="0" applyNumberFormat="1"/>
    <xf numFmtId="0" fontId="2" fillId="0" borderId="0" xfId="0" applyFont="1" applyAlignment="1">
      <alignment horizontal="center"/>
    </xf>
    <xf numFmtId="0" fontId="0" fillId="0" borderId="5" xfId="0" applyBorder="1"/>
    <xf numFmtId="0" fontId="0" fillId="0" borderId="6" xfId="0" applyBorder="1"/>
    <xf numFmtId="164" fontId="0" fillId="0" borderId="4" xfId="0" applyNumberFormat="1" applyBorder="1"/>
    <xf numFmtId="164" fontId="0" fillId="0" borderId="7" xfId="0" applyNumberFormat="1" applyBorder="1"/>
    <xf numFmtId="164" fontId="0" fillId="0" borderId="9" xfId="0" applyNumberFormat="1" applyBorder="1"/>
    <xf numFmtId="164" fontId="0" fillId="0" borderId="11" xfId="0" applyNumberFormat="1" applyBorder="1"/>
    <xf numFmtId="0" fontId="0" fillId="0" borderId="0" xfId="0"/>
    <xf numFmtId="0" fontId="0" fillId="0" borderId="4" xfId="0" applyBorder="1"/>
    <xf numFmtId="0" fontId="0" fillId="0" borderId="8" xfId="0" applyBorder="1"/>
    <xf numFmtId="164" fontId="0" fillId="0" borderId="8" xfId="0" applyNumberFormat="1" applyBorder="1"/>
    <xf numFmtId="0" fontId="0" fillId="0" borderId="9" xfId="0" applyBorder="1"/>
    <xf numFmtId="0" fontId="0" fillId="0" borderId="10" xfId="0" applyBorder="1"/>
    <xf numFmtId="0" fontId="0" fillId="0" borderId="12" xfId="0" applyBorder="1"/>
    <xf numFmtId="10" fontId="0" fillId="0" borderId="0" xfId="2" applyNumberFormat="1" applyFont="1"/>
    <xf numFmtId="0" fontId="0" fillId="0" borderId="0" xfId="0"/>
    <xf numFmtId="0" fontId="0" fillId="0" borderId="0" xfId="0" applyAlignment="1">
      <alignment horizontal="center" wrapText="1"/>
    </xf>
    <xf numFmtId="0" fontId="2" fillId="0" borderId="0" xfId="0" applyFont="1" applyBorder="1" applyAlignment="1">
      <alignment horizontal="center"/>
    </xf>
    <xf numFmtId="0" fontId="0" fillId="0" borderId="0" xfId="0" applyBorder="1" applyAlignment="1">
      <alignment horizontal="center"/>
    </xf>
    <xf numFmtId="0" fontId="5" fillId="0" borderId="0" xfId="0" applyFont="1"/>
    <xf numFmtId="0" fontId="5" fillId="0" borderId="2" xfId="0" applyFont="1" applyBorder="1" applyAlignment="1">
      <alignment horizontal="center"/>
    </xf>
    <xf numFmtId="0" fontId="5" fillId="0" borderId="0" xfId="0" applyFont="1" applyBorder="1" applyAlignment="1">
      <alignment horizontal="center"/>
    </xf>
    <xf numFmtId="0" fontId="0" fillId="0" borderId="0" xfId="0" applyAlignment="1">
      <alignment horizontal="left" indent="1"/>
    </xf>
    <xf numFmtId="0" fontId="3" fillId="0" borderId="0" xfId="6" applyFill="1" applyAlignment="1">
      <alignment wrapText="1"/>
    </xf>
    <xf numFmtId="164" fontId="0" fillId="0" borderId="0" xfId="1" applyNumberFormat="1" applyFont="1"/>
    <xf numFmtId="164" fontId="0" fillId="0" borderId="0" xfId="0" applyNumberFormat="1"/>
    <xf numFmtId="0" fontId="0" fillId="0" borderId="0" xfId="0" applyFill="1"/>
    <xf numFmtId="0" fontId="3" fillId="0" borderId="0" xfId="6" applyFill="1"/>
    <xf numFmtId="164" fontId="0" fillId="0" borderId="0" xfId="1" applyNumberFormat="1" applyFont="1" applyFill="1"/>
    <xf numFmtId="0" fontId="3" fillId="0" borderId="0" xfId="0" applyFont="1" applyFill="1"/>
    <xf numFmtId="164" fontId="0" fillId="0" borderId="2" xfId="1" applyNumberFormat="1" applyFont="1" applyBorder="1"/>
    <xf numFmtId="0" fontId="0" fillId="0" borderId="0" xfId="0"/>
    <xf numFmtId="164" fontId="0" fillId="0" borderId="0" xfId="1" applyNumberFormat="1" applyFont="1"/>
    <xf numFmtId="164" fontId="0" fillId="0" borderId="0" xfId="0" applyNumberFormat="1"/>
    <xf numFmtId="0" fontId="3" fillId="0" borderId="0" xfId="0" applyFont="1" applyFill="1"/>
    <xf numFmtId="164" fontId="0" fillId="0" borderId="2" xfId="1" applyNumberFormat="1" applyFont="1" applyBorder="1"/>
    <xf numFmtId="165" fontId="0" fillId="2" borderId="0" xfId="2" applyNumberFormat="1" applyFont="1" applyFill="1"/>
    <xf numFmtId="165" fontId="0" fillId="0" borderId="0" xfId="0" applyNumberFormat="1"/>
    <xf numFmtId="0" fontId="0" fillId="0" borderId="7" xfId="0" applyBorder="1"/>
    <xf numFmtId="0" fontId="2" fillId="0" borderId="4" xfId="0" applyFont="1" applyBorder="1"/>
    <xf numFmtId="0" fontId="2" fillId="0" borderId="5" xfId="0" applyFont="1" applyBorder="1"/>
    <xf numFmtId="164" fontId="2" fillId="0" borderId="4" xfId="0" applyNumberFormat="1" applyFont="1" applyBorder="1"/>
    <xf numFmtId="164" fontId="2" fillId="0" borderId="7" xfId="0" applyNumberFormat="1" applyFont="1" applyBorder="1"/>
    <xf numFmtId="164" fontId="2" fillId="0" borderId="8" xfId="0" applyNumberFormat="1" applyFont="1" applyBorder="1"/>
    <xf numFmtId="0" fontId="0" fillId="0" borderId="13" xfId="0" applyBorder="1"/>
    <xf numFmtId="164" fontId="0" fillId="0" borderId="13" xfId="0" applyNumberFormat="1" applyBorder="1"/>
    <xf numFmtId="164" fontId="0" fillId="0" borderId="3" xfId="0" applyNumberFormat="1" applyBorder="1"/>
    <xf numFmtId="164" fontId="3" fillId="0" borderId="1" xfId="1" applyNumberFormat="1" applyFont="1" applyFill="1" applyBorder="1" applyAlignment="1">
      <alignment horizontal="left" indent="1"/>
    </xf>
    <xf numFmtId="164" fontId="3" fillId="0" borderId="1" xfId="1" applyNumberFormat="1" applyFont="1" applyBorder="1" applyAlignment="1">
      <alignment horizontal="left" indent="1"/>
    </xf>
    <xf numFmtId="164" fontId="1" fillId="0" borderId="0" xfId="1" applyNumberFormat="1" applyFont="1" applyFill="1"/>
    <xf numFmtId="0" fontId="0" fillId="0" borderId="0" xfId="0" applyAlignment="1">
      <alignment horizontal="center" wrapText="1"/>
    </xf>
    <xf numFmtId="0" fontId="2" fillId="0" borderId="0" xfId="0" applyFont="1"/>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cellXfs>
  <cellStyles count="14">
    <cellStyle name="Comma" xfId="1" builtinId="3"/>
    <cellStyle name="Comma 2" xfId="3"/>
    <cellStyle name="Comma 2 2" xfId="9"/>
    <cellStyle name="Normal" xfId="0" builtinId="0"/>
    <cellStyle name="Normal 13" xfId="7"/>
    <cellStyle name="Normal 18" xfId="10"/>
    <cellStyle name="Normal 2" xfId="4"/>
    <cellStyle name="Normal 2 2" xfId="8"/>
    <cellStyle name="Normal 2 2 2" xfId="11"/>
    <cellStyle name="Normal 3" xfId="12"/>
    <cellStyle name="Normal 7" xfId="13"/>
    <cellStyle name="Normal_Summary" xfId="6"/>
    <cellStyle name="Percent" xfId="2" builtinId="5"/>
    <cellStyle name="Percent 2"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2"/>
  <sheetViews>
    <sheetView tabSelected="1" view="pageBreakPreview" zoomScale="60" zoomScaleNormal="100" workbookViewId="0">
      <selection activeCell="C4" sqref="C4"/>
    </sheetView>
  </sheetViews>
  <sheetFormatPr defaultRowHeight="14.4" x14ac:dyDescent="0.3"/>
  <cols>
    <col min="2" max="2" width="34.5546875" customWidth="1"/>
    <col min="3" max="3" width="25.44140625" customWidth="1"/>
    <col min="5" max="5" width="3" customWidth="1"/>
    <col min="6" max="6" width="23.109375" bestFit="1" customWidth="1"/>
    <col min="8" max="8" width="18.33203125" customWidth="1"/>
  </cols>
  <sheetData>
    <row r="1" spans="1:8" s="39" customFormat="1" x14ac:dyDescent="0.3">
      <c r="A1" s="59" t="s">
        <v>101</v>
      </c>
      <c r="F1" s="60"/>
    </row>
    <row r="2" spans="1:8" s="39" customFormat="1" x14ac:dyDescent="0.3">
      <c r="A2" s="61" t="s">
        <v>103</v>
      </c>
      <c r="F2" s="60"/>
    </row>
    <row r="3" spans="1:8" s="39" customFormat="1" x14ac:dyDescent="0.3">
      <c r="A3" s="62" t="s">
        <v>102</v>
      </c>
      <c r="B3" s="62"/>
      <c r="C3" s="62"/>
      <c r="D3" s="62"/>
      <c r="E3" s="62"/>
      <c r="F3" s="62"/>
      <c r="G3" s="62"/>
      <c r="H3" s="58"/>
    </row>
    <row r="4" spans="1:8" s="39" customFormat="1" x14ac:dyDescent="0.3">
      <c r="A4" s="59"/>
      <c r="F4" s="60"/>
    </row>
    <row r="5" spans="1:8" s="39" customFormat="1" x14ac:dyDescent="0.3">
      <c r="A5" s="61"/>
      <c r="F5" s="60"/>
    </row>
    <row r="6" spans="1:8" x14ac:dyDescent="0.3">
      <c r="A6" t="s">
        <v>40</v>
      </c>
    </row>
    <row r="8" spans="1:8" x14ac:dyDescent="0.3">
      <c r="A8" t="s">
        <v>54</v>
      </c>
      <c r="B8" t="s">
        <v>61</v>
      </c>
    </row>
    <row r="10" spans="1:8" x14ac:dyDescent="0.3">
      <c r="B10" t="s">
        <v>39</v>
      </c>
      <c r="C10" s="2">
        <f>Summary!G7*RSP!C7</f>
        <v>340385.25375298026</v>
      </c>
    </row>
    <row r="11" spans="1:8" x14ac:dyDescent="0.3">
      <c r="B11" t="s">
        <v>53</v>
      </c>
      <c r="C11" s="4">
        <f>'Test Period with Allocations'!J31*RSP!D9</f>
        <v>153427.36133664206</v>
      </c>
    </row>
    <row r="12" spans="1:8" x14ac:dyDescent="0.3">
      <c r="B12" t="s">
        <v>25</v>
      </c>
      <c r="C12" s="3">
        <f>SUM(C10:C11)</f>
        <v>493812.61508962233</v>
      </c>
    </row>
  </sheetData>
  <mergeCells count="1">
    <mergeCell ref="A3:G3"/>
  </mergeCells>
  <pageMargins left="0.7" right="0.7" top="0.75" bottom="0.75" header="0.3" footer="0.3"/>
  <pageSetup scale="69" orientation="portrait" r:id="rId1"/>
  <headerFooter>
    <oddHeader>&amp;R&amp;"Times New Roman,Bold"&amp;10KyPSC Case No. 2018-00261
AG-DR-01-015 SUPP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5"/>
  <sheetViews>
    <sheetView tabSelected="1" view="pageBreakPreview" zoomScale="60" zoomScaleNormal="100" workbookViewId="0">
      <selection activeCell="C4" sqref="C4"/>
    </sheetView>
  </sheetViews>
  <sheetFormatPr defaultRowHeight="14.4" x14ac:dyDescent="0.3"/>
  <cols>
    <col min="1" max="1" width="13.33203125" customWidth="1"/>
    <col min="2" max="2" width="30.44140625" customWidth="1"/>
    <col min="3" max="3" width="20.109375" bestFit="1" customWidth="1"/>
    <col min="4" max="5" width="20" customWidth="1"/>
    <col min="7" max="7" width="18.109375" bestFit="1" customWidth="1"/>
    <col min="8" max="8" width="10.5546875" bestFit="1" customWidth="1"/>
  </cols>
  <sheetData>
    <row r="1" spans="1:8" x14ac:dyDescent="0.3">
      <c r="A1" s="65" t="s">
        <v>0</v>
      </c>
      <c r="B1" s="65"/>
      <c r="C1" s="65"/>
      <c r="D1" s="65"/>
      <c r="E1" s="65"/>
      <c r="F1" s="65"/>
      <c r="G1" s="65"/>
    </row>
    <row r="2" spans="1:8" ht="15" customHeight="1" x14ac:dyDescent="0.3">
      <c r="A2" s="24"/>
      <c r="B2" s="24"/>
      <c r="C2" s="24"/>
      <c r="D2" s="24"/>
      <c r="E2" s="24"/>
      <c r="F2" s="24"/>
      <c r="G2" s="24"/>
    </row>
    <row r="3" spans="1:8" x14ac:dyDescent="0.3">
      <c r="A3" s="23"/>
      <c r="B3" s="23"/>
      <c r="C3" s="25" t="s">
        <v>24</v>
      </c>
      <c r="D3" s="25" t="s">
        <v>23</v>
      </c>
      <c r="E3" s="25" t="s">
        <v>1</v>
      </c>
      <c r="F3" s="26"/>
      <c r="G3" s="25" t="s">
        <v>26</v>
      </c>
      <c r="H3" s="39"/>
    </row>
    <row r="4" spans="1:8" s="6" customFormat="1" x14ac:dyDescent="0.3">
      <c r="A4" s="27"/>
      <c r="B4" s="27"/>
      <c r="C4" s="28" t="s">
        <v>37</v>
      </c>
      <c r="D4" s="28" t="s">
        <v>72</v>
      </c>
      <c r="E4" s="28"/>
      <c r="F4" s="29"/>
      <c r="G4" s="28" t="s">
        <v>73</v>
      </c>
      <c r="H4" s="39"/>
    </row>
    <row r="5" spans="1:8" x14ac:dyDescent="0.3">
      <c r="A5" s="15"/>
      <c r="B5" s="15"/>
      <c r="C5" s="15"/>
      <c r="D5" s="15"/>
      <c r="E5" s="15"/>
      <c r="F5" s="15"/>
      <c r="G5" s="15"/>
      <c r="H5" s="39"/>
    </row>
    <row r="6" spans="1:8" x14ac:dyDescent="0.3">
      <c r="A6" s="30" t="s">
        <v>2</v>
      </c>
      <c r="B6" s="31" t="s">
        <v>3</v>
      </c>
      <c r="C6" s="32">
        <v>333366.39999999991</v>
      </c>
      <c r="D6" s="32">
        <v>360310.88999999996</v>
      </c>
      <c r="E6" s="32">
        <v>26944.490000000049</v>
      </c>
      <c r="F6" s="23"/>
      <c r="G6" s="32">
        <v>311771.6010337341</v>
      </c>
      <c r="H6" s="39"/>
    </row>
    <row r="7" spans="1:8" x14ac:dyDescent="0.3">
      <c r="A7" s="30" t="s">
        <v>4</v>
      </c>
      <c r="B7" s="34" t="s">
        <v>63</v>
      </c>
      <c r="C7" s="32">
        <v>267894.38</v>
      </c>
      <c r="D7" s="32">
        <v>326739.82</v>
      </c>
      <c r="E7" s="32">
        <v>58845.440000000002</v>
      </c>
      <c r="F7" s="23"/>
      <c r="G7" s="32">
        <v>372284.21467611671</v>
      </c>
      <c r="H7" s="39"/>
    </row>
    <row r="8" spans="1:8" x14ac:dyDescent="0.3">
      <c r="A8" s="30" t="s">
        <v>5</v>
      </c>
      <c r="B8" s="35" t="s">
        <v>64</v>
      </c>
      <c r="C8" s="36">
        <v>-177873.63</v>
      </c>
      <c r="D8" s="36">
        <v>46075.99</v>
      </c>
      <c r="E8" s="36">
        <v>223949.62</v>
      </c>
      <c r="F8" s="23"/>
      <c r="G8" s="32">
        <v>42066.317500000005</v>
      </c>
      <c r="H8" s="39"/>
    </row>
    <row r="9" spans="1:8" x14ac:dyDescent="0.3">
      <c r="A9" s="30" t="s">
        <v>6</v>
      </c>
      <c r="B9" s="35" t="s">
        <v>65</v>
      </c>
      <c r="C9" s="36">
        <v>544220.56999999983</v>
      </c>
      <c r="D9" s="36">
        <v>616513.66999999993</v>
      </c>
      <c r="E9" s="36">
        <v>72293.100000000093</v>
      </c>
      <c r="F9" s="23"/>
      <c r="G9" s="32">
        <v>685569.34059999988</v>
      </c>
      <c r="H9" s="39"/>
    </row>
    <row r="10" spans="1:8" x14ac:dyDescent="0.3">
      <c r="A10" s="30" t="s">
        <v>7</v>
      </c>
      <c r="B10" s="35" t="s">
        <v>66</v>
      </c>
      <c r="C10" s="36">
        <v>34304.94999999999</v>
      </c>
      <c r="D10" s="36">
        <v>32770.660000000003</v>
      </c>
      <c r="E10" s="36">
        <v>-1534.2899999999863</v>
      </c>
      <c r="F10" s="23"/>
      <c r="G10" s="32">
        <v>37068.760800000004</v>
      </c>
      <c r="H10" s="39"/>
    </row>
    <row r="11" spans="1:8" x14ac:dyDescent="0.3">
      <c r="A11" s="30" t="s">
        <v>8</v>
      </c>
      <c r="B11" s="37" t="s">
        <v>9</v>
      </c>
      <c r="C11" s="36">
        <v>-52599.149999999987</v>
      </c>
      <c r="D11" s="36">
        <v>-2826.93</v>
      </c>
      <c r="E11" s="36">
        <v>49772.219999999987</v>
      </c>
      <c r="F11" s="23"/>
      <c r="G11" s="32"/>
      <c r="H11" s="39"/>
    </row>
    <row r="12" spans="1:8" x14ac:dyDescent="0.3">
      <c r="A12" s="30" t="s">
        <v>10</v>
      </c>
      <c r="B12" s="37" t="s">
        <v>11</v>
      </c>
      <c r="C12" s="36">
        <v>0</v>
      </c>
      <c r="D12" s="36">
        <v>7087.8599999999988</v>
      </c>
      <c r="E12" s="36">
        <v>7087.8599999999988</v>
      </c>
      <c r="F12" s="23"/>
      <c r="G12" s="32">
        <v>14708.5998</v>
      </c>
      <c r="H12" s="39"/>
    </row>
    <row r="13" spans="1:8" x14ac:dyDescent="0.3">
      <c r="A13" s="30" t="s">
        <v>12</v>
      </c>
      <c r="B13" s="35" t="s">
        <v>67</v>
      </c>
      <c r="C13" s="36">
        <v>150866.43000000011</v>
      </c>
      <c r="D13" s="36">
        <v>66410.759999999995</v>
      </c>
      <c r="E13" s="36">
        <v>-84455.670000000115</v>
      </c>
      <c r="F13" s="23"/>
      <c r="G13" s="32">
        <v>57156.815699999999</v>
      </c>
      <c r="H13" s="39"/>
    </row>
    <row r="14" spans="1:8" x14ac:dyDescent="0.3">
      <c r="A14" s="30" t="s">
        <v>13</v>
      </c>
      <c r="B14" s="37" t="s">
        <v>68</v>
      </c>
      <c r="C14" s="36">
        <v>2468.8000000000002</v>
      </c>
      <c r="D14" s="36">
        <v>3721.0500000000006</v>
      </c>
      <c r="E14" s="36">
        <v>1252.2500000000005</v>
      </c>
      <c r="F14" s="23"/>
      <c r="G14" s="32">
        <v>17140.343999999997</v>
      </c>
      <c r="H14" s="39"/>
    </row>
    <row r="15" spans="1:8" x14ac:dyDescent="0.3">
      <c r="A15" s="30" t="s">
        <v>14</v>
      </c>
      <c r="B15" s="37" t="s">
        <v>69</v>
      </c>
      <c r="C15" s="32">
        <v>209.12</v>
      </c>
      <c r="D15" s="32">
        <v>742.7399999999999</v>
      </c>
      <c r="E15" s="32">
        <v>533.61999999999989</v>
      </c>
      <c r="F15" s="23"/>
      <c r="G15" s="32">
        <v>1325.4654000000003</v>
      </c>
      <c r="H15" s="39"/>
    </row>
    <row r="16" spans="1:8" x14ac:dyDescent="0.3">
      <c r="A16" s="30" t="s">
        <v>15</v>
      </c>
      <c r="B16" s="37" t="s">
        <v>70</v>
      </c>
      <c r="C16" s="32">
        <v>2770.42</v>
      </c>
      <c r="D16" s="32">
        <v>4006.17</v>
      </c>
      <c r="E16" s="32">
        <v>1235.75</v>
      </c>
      <c r="F16" s="23"/>
      <c r="G16" s="32">
        <v>1777.3122000000001</v>
      </c>
      <c r="H16" s="39"/>
    </row>
    <row r="17" spans="1:8" x14ac:dyDescent="0.3">
      <c r="A17" s="30" t="s">
        <v>16</v>
      </c>
      <c r="B17" s="34" t="s">
        <v>17</v>
      </c>
      <c r="C17" s="32">
        <v>-116194.23</v>
      </c>
      <c r="D17" s="32">
        <v>2347.86</v>
      </c>
      <c r="E17" s="32">
        <v>118542.09</v>
      </c>
      <c r="F17" s="23"/>
      <c r="G17" s="32">
        <v>4872.1500000000005</v>
      </c>
      <c r="H17" s="39"/>
    </row>
    <row r="18" spans="1:8" x14ac:dyDescent="0.3">
      <c r="A18" s="30" t="s">
        <v>18</v>
      </c>
      <c r="B18" s="34" t="s">
        <v>71</v>
      </c>
      <c r="C18" s="38">
        <v>-26388.52</v>
      </c>
      <c r="D18" s="38">
        <v>263.33999999999997</v>
      </c>
      <c r="E18" s="38">
        <v>26651.86</v>
      </c>
      <c r="F18" s="23"/>
      <c r="G18" s="38">
        <v>546.40260000000001</v>
      </c>
      <c r="H18" s="39"/>
    </row>
    <row r="19" spans="1:8" x14ac:dyDescent="0.3">
      <c r="A19" s="30" t="s">
        <v>25</v>
      </c>
      <c r="B19" s="30"/>
      <c r="C19" s="33">
        <v>963045.5399999998</v>
      </c>
      <c r="D19" s="33">
        <v>1464163.8800000001</v>
      </c>
      <c r="E19" s="33">
        <v>501118.33999999997</v>
      </c>
      <c r="F19" s="23"/>
      <c r="G19" s="32">
        <f>SUM(G6:G18)</f>
        <v>1546287.3243098506</v>
      </c>
      <c r="H19" s="39"/>
    </row>
    <row r="20" spans="1:8" x14ac:dyDescent="0.3">
      <c r="A20" s="15"/>
      <c r="B20" s="15"/>
      <c r="C20" s="15"/>
      <c r="D20" s="15"/>
      <c r="E20" s="15"/>
      <c r="F20" s="15"/>
      <c r="G20" s="15"/>
      <c r="H20" s="39"/>
    </row>
    <row r="21" spans="1:8" ht="29.25" customHeight="1" x14ac:dyDescent="0.3">
      <c r="A21" s="63" t="s">
        <v>74</v>
      </c>
      <c r="B21" s="64"/>
      <c r="C21" s="64"/>
      <c r="D21" s="64"/>
      <c r="E21" s="64"/>
      <c r="F21" s="64"/>
      <c r="G21" s="64"/>
      <c r="H21" s="39"/>
    </row>
    <row r="22" spans="1:8" x14ac:dyDescent="0.3">
      <c r="A22" s="15"/>
      <c r="B22" s="15"/>
      <c r="C22" s="15"/>
      <c r="D22" s="15"/>
      <c r="E22" s="15"/>
      <c r="F22" s="15"/>
      <c r="G22" s="15"/>
    </row>
    <row r="23" spans="1:8" ht="49.5" customHeight="1" x14ac:dyDescent="0.3">
      <c r="A23" s="64" t="s">
        <v>75</v>
      </c>
      <c r="B23" s="64"/>
      <c r="C23" s="64"/>
      <c r="D23" s="64"/>
      <c r="E23" s="64"/>
      <c r="F23" s="64"/>
      <c r="G23" s="64"/>
    </row>
    <row r="25" spans="1:8" x14ac:dyDescent="0.3">
      <c r="C25" s="40"/>
      <c r="D25" s="40"/>
      <c r="E25" s="40"/>
    </row>
  </sheetData>
  <mergeCells count="3">
    <mergeCell ref="A21:G21"/>
    <mergeCell ref="A23:G23"/>
    <mergeCell ref="A1:G1"/>
  </mergeCells>
  <pageMargins left="0.7" right="0.7" top="0.75" bottom="0.75" header="0.3" footer="0.3"/>
  <pageSetup scale="65" orientation="portrait" r:id="rId1"/>
  <headerFooter>
    <oddHeader>&amp;R&amp;"Times New Roman,Bold"&amp;10KyPSC Case No. 2018-00261
AG-DR-01-015 SUPP Attachment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3:Q64"/>
  <sheetViews>
    <sheetView tabSelected="1" view="pageBreakPreview" topLeftCell="A22" zoomScale="60" zoomScaleNormal="100" workbookViewId="0">
      <selection activeCell="C4" sqref="C4"/>
    </sheetView>
  </sheetViews>
  <sheetFormatPr defaultColWidth="9.109375" defaultRowHeight="14.4" x14ac:dyDescent="0.3"/>
  <cols>
    <col min="1" max="1" width="13.33203125" style="40" bestFit="1" customWidth="1"/>
    <col min="2" max="2" width="30" style="40" customWidth="1"/>
    <col min="3" max="3" width="13.5546875" style="40" customWidth="1"/>
    <col min="4" max="4" width="14.33203125" style="40" customWidth="1"/>
    <col min="5" max="5" width="16" style="40" customWidth="1"/>
    <col min="6" max="6" width="12.6640625" style="40" customWidth="1"/>
    <col min="7" max="7" width="13.88671875" style="40" customWidth="1"/>
    <col min="8" max="8" width="13.6640625" style="40" customWidth="1"/>
    <col min="9" max="9" width="13.44140625" style="40" customWidth="1"/>
    <col min="10" max="10" width="14" style="40" customWidth="1"/>
    <col min="11" max="11" width="15.6640625" style="40" customWidth="1"/>
    <col min="12" max="12" width="13.33203125" style="40" customWidth="1"/>
    <col min="13" max="13" width="13.6640625" style="40" customWidth="1"/>
    <col min="14" max="14" width="14.109375" style="40" bestFit="1" customWidth="1"/>
    <col min="15" max="16" width="13.33203125" style="40" bestFit="1" customWidth="1"/>
    <col min="17" max="17" width="11.33203125" style="40" bestFit="1" customWidth="1"/>
    <col min="18" max="16384" width="9.109375" style="40"/>
  </cols>
  <sheetData>
    <row r="3" spans="1:17" x14ac:dyDescent="0.3">
      <c r="D3" s="40" t="s">
        <v>38</v>
      </c>
    </row>
    <row r="4" spans="1:17" x14ac:dyDescent="0.3">
      <c r="A4" s="16" t="s">
        <v>20</v>
      </c>
      <c r="B4" s="16" t="s">
        <v>22</v>
      </c>
      <c r="C4" s="16" t="s">
        <v>62</v>
      </c>
      <c r="D4" s="16" t="s">
        <v>77</v>
      </c>
      <c r="E4" s="46" t="s">
        <v>78</v>
      </c>
      <c r="F4" s="46" t="s">
        <v>79</v>
      </c>
      <c r="G4" s="46" t="s">
        <v>80</v>
      </c>
      <c r="H4" s="46" t="s">
        <v>81</v>
      </c>
      <c r="I4" s="46" t="s">
        <v>82</v>
      </c>
      <c r="J4" s="46" t="s">
        <v>83</v>
      </c>
      <c r="K4" s="46" t="s">
        <v>84</v>
      </c>
      <c r="L4" s="46" t="s">
        <v>85</v>
      </c>
      <c r="M4" s="46" t="s">
        <v>86</v>
      </c>
      <c r="N4" s="46" t="s">
        <v>87</v>
      </c>
      <c r="O4" s="46" t="s">
        <v>88</v>
      </c>
      <c r="P4" s="17" t="s">
        <v>90</v>
      </c>
      <c r="Q4" s="39"/>
    </row>
    <row r="5" spans="1:17" x14ac:dyDescent="0.3">
      <c r="A5" s="16" t="s">
        <v>21</v>
      </c>
      <c r="B5" s="16" t="s">
        <v>2</v>
      </c>
      <c r="C5" s="16" t="s">
        <v>3</v>
      </c>
      <c r="D5" s="11">
        <v>25761.919999999998</v>
      </c>
      <c r="E5" s="12">
        <v>25761.919999999998</v>
      </c>
      <c r="F5" s="12">
        <v>25761.919999999998</v>
      </c>
      <c r="G5" s="12">
        <v>25761.919999999998</v>
      </c>
      <c r="H5" s="12">
        <v>25761.919999999998</v>
      </c>
      <c r="I5" s="12">
        <v>25761.919999999998</v>
      </c>
      <c r="J5" s="12">
        <v>25761.919999999998</v>
      </c>
      <c r="K5" s="12">
        <v>25761.919999999998</v>
      </c>
      <c r="L5" s="12">
        <v>25761.919999999998</v>
      </c>
      <c r="M5" s="12">
        <v>26638.107011244716</v>
      </c>
      <c r="N5" s="12">
        <v>26638.107011244716</v>
      </c>
      <c r="O5" s="12">
        <v>26638.107011244716</v>
      </c>
      <c r="P5" s="18">
        <v>311771.6010337341</v>
      </c>
      <c r="Q5" s="39"/>
    </row>
    <row r="6" spans="1:17" x14ac:dyDescent="0.3">
      <c r="A6" s="21"/>
      <c r="B6" s="16" t="s">
        <v>4</v>
      </c>
      <c r="C6" s="16" t="s">
        <v>63</v>
      </c>
      <c r="D6" s="11">
        <v>29361.119999999999</v>
      </c>
      <c r="E6" s="12">
        <v>29361.119999999999</v>
      </c>
      <c r="F6" s="12">
        <v>29361.119999999999</v>
      </c>
      <c r="G6" s="12">
        <v>29361.119999999999</v>
      </c>
      <c r="H6" s="12">
        <v>29361.119999999999</v>
      </c>
      <c r="I6" s="12">
        <v>29361.119999999999</v>
      </c>
      <c r="J6" s="12">
        <v>29361.119999999999</v>
      </c>
      <c r="K6" s="12">
        <v>29361.119999999999</v>
      </c>
      <c r="L6" s="12">
        <v>29361.119999999999</v>
      </c>
      <c r="M6" s="12">
        <v>36011.378225372224</v>
      </c>
      <c r="N6" s="12">
        <v>36011.378225372224</v>
      </c>
      <c r="O6" s="12">
        <v>36011.378225372224</v>
      </c>
      <c r="P6" s="18">
        <v>372284.21467611671</v>
      </c>
      <c r="Q6" s="39"/>
    </row>
    <row r="7" spans="1:17" x14ac:dyDescent="0.3">
      <c r="A7" s="21"/>
      <c r="B7" s="16" t="s">
        <v>5</v>
      </c>
      <c r="C7" s="16" t="s">
        <v>64</v>
      </c>
      <c r="D7" s="11">
        <v>3402</v>
      </c>
      <c r="E7" s="12">
        <v>3402</v>
      </c>
      <c r="F7" s="12">
        <v>3402</v>
      </c>
      <c r="G7" s="12">
        <v>3402</v>
      </c>
      <c r="H7" s="12">
        <v>3402</v>
      </c>
      <c r="I7" s="12">
        <v>3402</v>
      </c>
      <c r="J7" s="12">
        <v>3402</v>
      </c>
      <c r="K7" s="12">
        <v>3402</v>
      </c>
      <c r="L7" s="12">
        <v>3402</v>
      </c>
      <c r="M7" s="12">
        <v>3816.1058333333335</v>
      </c>
      <c r="N7" s="12">
        <v>3816.1058333333335</v>
      </c>
      <c r="O7" s="12">
        <v>3816.1058333333335</v>
      </c>
      <c r="P7" s="18">
        <v>42066.317500000005</v>
      </c>
      <c r="Q7" s="39"/>
    </row>
    <row r="8" spans="1:17" x14ac:dyDescent="0.3">
      <c r="A8" s="21"/>
      <c r="B8" s="16" t="s">
        <v>6</v>
      </c>
      <c r="C8" s="16" t="s">
        <v>65</v>
      </c>
      <c r="D8" s="11">
        <v>54433.850000000006</v>
      </c>
      <c r="E8" s="12">
        <v>52890.950000000004</v>
      </c>
      <c r="F8" s="12">
        <v>52376.450000000004</v>
      </c>
      <c r="G8" s="12">
        <v>52054.54</v>
      </c>
      <c r="H8" s="12">
        <v>51846.16</v>
      </c>
      <c r="I8" s="12">
        <v>51665.86</v>
      </c>
      <c r="J8" s="12">
        <v>51600.380000000005</v>
      </c>
      <c r="K8" s="12">
        <v>51516.68</v>
      </c>
      <c r="L8" s="12">
        <v>51487.360000000001</v>
      </c>
      <c r="M8" s="12">
        <v>72363.414666666664</v>
      </c>
      <c r="N8" s="12">
        <v>72331.205766666666</v>
      </c>
      <c r="O8" s="12">
        <v>71002.490166666656</v>
      </c>
      <c r="P8" s="18">
        <v>685569.34059999988</v>
      </c>
      <c r="Q8" s="39"/>
    </row>
    <row r="9" spans="1:17" x14ac:dyDescent="0.3">
      <c r="A9" s="21"/>
      <c r="B9" s="16" t="s">
        <v>7</v>
      </c>
      <c r="C9" s="16" t="s">
        <v>66</v>
      </c>
      <c r="D9" s="11">
        <v>3081.36</v>
      </c>
      <c r="E9" s="12">
        <v>3081.36</v>
      </c>
      <c r="F9" s="12">
        <v>3081.36</v>
      </c>
      <c r="G9" s="12">
        <v>3081.36</v>
      </c>
      <c r="H9" s="12">
        <v>3081.36</v>
      </c>
      <c r="I9" s="12">
        <v>3081.36</v>
      </c>
      <c r="J9" s="12">
        <v>3081.36</v>
      </c>
      <c r="K9" s="12">
        <v>3081.36</v>
      </c>
      <c r="L9" s="12">
        <v>3081.36</v>
      </c>
      <c r="M9" s="12">
        <v>3112.1736000000001</v>
      </c>
      <c r="N9" s="12">
        <v>3112.1736000000001</v>
      </c>
      <c r="O9" s="12">
        <v>3112.1736000000001</v>
      </c>
      <c r="P9" s="18">
        <v>37068.760800000004</v>
      </c>
      <c r="Q9" s="39"/>
    </row>
    <row r="10" spans="1:17" x14ac:dyDescent="0.3">
      <c r="A10" s="21"/>
      <c r="B10" s="16" t="s">
        <v>10</v>
      </c>
      <c r="C10" s="16" t="s">
        <v>11</v>
      </c>
      <c r="D10" s="11">
        <v>1222.6600000000001</v>
      </c>
      <c r="E10" s="12">
        <v>1222.6600000000001</v>
      </c>
      <c r="F10" s="12">
        <v>1222.6600000000001</v>
      </c>
      <c r="G10" s="12">
        <v>1222.6600000000001</v>
      </c>
      <c r="H10" s="12">
        <v>1222.6600000000001</v>
      </c>
      <c r="I10" s="12">
        <v>1222.6600000000001</v>
      </c>
      <c r="J10" s="12">
        <v>1222.6600000000001</v>
      </c>
      <c r="K10" s="12">
        <v>1222.6600000000001</v>
      </c>
      <c r="L10" s="12">
        <v>1222.6600000000001</v>
      </c>
      <c r="M10" s="12">
        <v>1234.8866</v>
      </c>
      <c r="N10" s="12">
        <v>1234.8866</v>
      </c>
      <c r="O10" s="12">
        <v>1234.8866</v>
      </c>
      <c r="P10" s="18">
        <v>14708.5998</v>
      </c>
      <c r="Q10" s="39"/>
    </row>
    <row r="11" spans="1:17" x14ac:dyDescent="0.3">
      <c r="A11" s="21"/>
      <c r="B11" s="16" t="s">
        <v>12</v>
      </c>
      <c r="C11" s="16" t="s">
        <v>67</v>
      </c>
      <c r="D11" s="11">
        <v>4751.1899999999996</v>
      </c>
      <c r="E11" s="12">
        <v>4751.1899999999996</v>
      </c>
      <c r="F11" s="12">
        <v>4751.1899999999996</v>
      </c>
      <c r="G11" s="12">
        <v>4751.1899999999996</v>
      </c>
      <c r="H11" s="12">
        <v>4751.1899999999996</v>
      </c>
      <c r="I11" s="12">
        <v>4751.1899999999996</v>
      </c>
      <c r="J11" s="12">
        <v>4751.1899999999996</v>
      </c>
      <c r="K11" s="12">
        <v>4751.1899999999996</v>
      </c>
      <c r="L11" s="12">
        <v>4751.1899999999996</v>
      </c>
      <c r="M11" s="12">
        <v>4798.7019</v>
      </c>
      <c r="N11" s="12">
        <v>4798.7019</v>
      </c>
      <c r="O11" s="12">
        <v>4798.7019</v>
      </c>
      <c r="P11" s="18">
        <v>57156.815699999999</v>
      </c>
      <c r="Q11" s="39"/>
    </row>
    <row r="12" spans="1:17" x14ac:dyDescent="0.3">
      <c r="A12" s="21"/>
      <c r="B12" s="16" t="s">
        <v>13</v>
      </c>
      <c r="C12" s="16" t="s">
        <v>68</v>
      </c>
      <c r="D12" s="11">
        <v>1424.8</v>
      </c>
      <c r="E12" s="12">
        <v>1424.8</v>
      </c>
      <c r="F12" s="12">
        <v>1424.8</v>
      </c>
      <c r="G12" s="12">
        <v>1424.8</v>
      </c>
      <c r="H12" s="12">
        <v>1424.8</v>
      </c>
      <c r="I12" s="12">
        <v>1424.8</v>
      </c>
      <c r="J12" s="12">
        <v>1424.8</v>
      </c>
      <c r="K12" s="12">
        <v>1424.8</v>
      </c>
      <c r="L12" s="12">
        <v>1424.8</v>
      </c>
      <c r="M12" s="12">
        <v>1439.048</v>
      </c>
      <c r="N12" s="12">
        <v>1439.048</v>
      </c>
      <c r="O12" s="12">
        <v>1439.048</v>
      </c>
      <c r="P12" s="18">
        <v>17140.343999999997</v>
      </c>
      <c r="Q12" s="39"/>
    </row>
    <row r="13" spans="1:17" x14ac:dyDescent="0.3">
      <c r="A13" s="21"/>
      <c r="B13" s="16" t="s">
        <v>14</v>
      </c>
      <c r="C13" s="16" t="s">
        <v>69</v>
      </c>
      <c r="D13" s="11">
        <v>110.18</v>
      </c>
      <c r="E13" s="12">
        <v>110.18</v>
      </c>
      <c r="F13" s="12">
        <v>110.18</v>
      </c>
      <c r="G13" s="12">
        <v>110.18</v>
      </c>
      <c r="H13" s="12">
        <v>110.18</v>
      </c>
      <c r="I13" s="12">
        <v>110.18</v>
      </c>
      <c r="J13" s="12">
        <v>110.18</v>
      </c>
      <c r="K13" s="12">
        <v>110.18</v>
      </c>
      <c r="L13" s="12">
        <v>110.18</v>
      </c>
      <c r="M13" s="12">
        <v>111.2818</v>
      </c>
      <c r="N13" s="12">
        <v>111.2818</v>
      </c>
      <c r="O13" s="12">
        <v>111.2818</v>
      </c>
      <c r="P13" s="18">
        <v>1325.4654000000003</v>
      </c>
      <c r="Q13" s="39"/>
    </row>
    <row r="14" spans="1:17" x14ac:dyDescent="0.3">
      <c r="A14" s="21"/>
      <c r="B14" s="16" t="s">
        <v>15</v>
      </c>
      <c r="C14" s="16" t="s">
        <v>70</v>
      </c>
      <c r="D14" s="11">
        <v>147.74</v>
      </c>
      <c r="E14" s="12">
        <v>147.74</v>
      </c>
      <c r="F14" s="12">
        <v>147.74</v>
      </c>
      <c r="G14" s="12">
        <v>147.74</v>
      </c>
      <c r="H14" s="12">
        <v>147.74</v>
      </c>
      <c r="I14" s="12">
        <v>147.74</v>
      </c>
      <c r="J14" s="12">
        <v>147.74</v>
      </c>
      <c r="K14" s="12">
        <v>147.74</v>
      </c>
      <c r="L14" s="12">
        <v>147.74</v>
      </c>
      <c r="M14" s="12">
        <v>149.2174</v>
      </c>
      <c r="N14" s="12">
        <v>149.2174</v>
      </c>
      <c r="O14" s="12">
        <v>149.2174</v>
      </c>
      <c r="P14" s="18">
        <v>1777.3122000000001</v>
      </c>
      <c r="Q14" s="39"/>
    </row>
    <row r="15" spans="1:17" x14ac:dyDescent="0.3">
      <c r="A15" s="21"/>
      <c r="B15" s="16" t="s">
        <v>16</v>
      </c>
      <c r="C15" s="16" t="s">
        <v>17</v>
      </c>
      <c r="D15" s="11">
        <v>405</v>
      </c>
      <c r="E15" s="12">
        <v>405</v>
      </c>
      <c r="F15" s="12">
        <v>405</v>
      </c>
      <c r="G15" s="12">
        <v>405</v>
      </c>
      <c r="H15" s="12">
        <v>405</v>
      </c>
      <c r="I15" s="12">
        <v>405</v>
      </c>
      <c r="J15" s="12">
        <v>405</v>
      </c>
      <c r="K15" s="12">
        <v>405</v>
      </c>
      <c r="L15" s="12">
        <v>405</v>
      </c>
      <c r="M15" s="12">
        <v>409.05</v>
      </c>
      <c r="N15" s="12">
        <v>409.05</v>
      </c>
      <c r="O15" s="12">
        <v>409.05</v>
      </c>
      <c r="P15" s="18">
        <v>4872.1500000000005</v>
      </c>
      <c r="Q15" s="39"/>
    </row>
    <row r="16" spans="1:17" x14ac:dyDescent="0.3">
      <c r="A16" s="21"/>
      <c r="B16" s="16" t="s">
        <v>18</v>
      </c>
      <c r="C16" s="16" t="s">
        <v>71</v>
      </c>
      <c r="D16" s="11">
        <v>45.42</v>
      </c>
      <c r="E16" s="12">
        <v>45.42</v>
      </c>
      <c r="F16" s="12">
        <v>45.42</v>
      </c>
      <c r="G16" s="12">
        <v>45.42</v>
      </c>
      <c r="H16" s="12">
        <v>45.42</v>
      </c>
      <c r="I16" s="12">
        <v>45.42</v>
      </c>
      <c r="J16" s="12">
        <v>45.42</v>
      </c>
      <c r="K16" s="12">
        <v>45.42</v>
      </c>
      <c r="L16" s="12">
        <v>45.42</v>
      </c>
      <c r="M16" s="12">
        <v>45.874200000000002</v>
      </c>
      <c r="N16" s="12">
        <v>45.874200000000002</v>
      </c>
      <c r="O16" s="12">
        <v>45.874200000000002</v>
      </c>
      <c r="P16" s="18">
        <v>546.40260000000001</v>
      </c>
      <c r="Q16" s="39"/>
    </row>
    <row r="17" spans="1:17" x14ac:dyDescent="0.3">
      <c r="A17" s="47" t="s">
        <v>93</v>
      </c>
      <c r="B17" s="48"/>
      <c r="C17" s="48"/>
      <c r="D17" s="49">
        <v>124147.24</v>
      </c>
      <c r="E17" s="50">
        <v>122604.34</v>
      </c>
      <c r="F17" s="50">
        <v>122089.84</v>
      </c>
      <c r="G17" s="50">
        <v>121767.93</v>
      </c>
      <c r="H17" s="50">
        <v>121559.55</v>
      </c>
      <c r="I17" s="50">
        <v>121379.25</v>
      </c>
      <c r="J17" s="50">
        <v>121313.77</v>
      </c>
      <c r="K17" s="50">
        <v>121230.07</v>
      </c>
      <c r="L17" s="50">
        <v>121200.75</v>
      </c>
      <c r="M17" s="50">
        <v>150129.23923661694</v>
      </c>
      <c r="N17" s="50">
        <v>150097.03033661691</v>
      </c>
      <c r="O17" s="50">
        <v>148768.31473661691</v>
      </c>
      <c r="P17" s="51">
        <v>1546287.3243098506</v>
      </c>
      <c r="Q17" s="39"/>
    </row>
    <row r="18" spans="1:17" x14ac:dyDescent="0.3">
      <c r="A18" s="16" t="s">
        <v>89</v>
      </c>
      <c r="B18" s="16" t="s">
        <v>91</v>
      </c>
      <c r="C18" s="16" t="s">
        <v>92</v>
      </c>
      <c r="D18" s="11">
        <v>174823.90999999995</v>
      </c>
      <c r="E18" s="12">
        <v>162067.21999999991</v>
      </c>
      <c r="F18" s="12">
        <v>161803.62999999998</v>
      </c>
      <c r="G18" s="12">
        <v>149551.53000000003</v>
      </c>
      <c r="H18" s="12">
        <v>162704.03</v>
      </c>
      <c r="I18" s="12">
        <v>168964.49999999991</v>
      </c>
      <c r="J18" s="12">
        <v>154987.86999999997</v>
      </c>
      <c r="K18" s="12">
        <v>156812.29999999996</v>
      </c>
      <c r="L18" s="12">
        <v>168657.22999999992</v>
      </c>
      <c r="M18" s="12">
        <v>167941.47690000007</v>
      </c>
      <c r="N18" s="12">
        <v>156377.44150000004</v>
      </c>
      <c r="O18" s="12">
        <v>170741.22720000002</v>
      </c>
      <c r="P18" s="18">
        <v>1955432.3656000001</v>
      </c>
      <c r="Q18" s="39"/>
    </row>
    <row r="19" spans="1:17" x14ac:dyDescent="0.3">
      <c r="A19" s="21"/>
      <c r="B19" s="16" t="s">
        <v>94</v>
      </c>
      <c r="C19" s="16" t="s">
        <v>95</v>
      </c>
      <c r="D19" s="11">
        <v>26410.099999999995</v>
      </c>
      <c r="E19" s="12">
        <v>24623.87</v>
      </c>
      <c r="F19" s="12">
        <v>22605.079999999998</v>
      </c>
      <c r="G19" s="12">
        <v>23014.339999999997</v>
      </c>
      <c r="H19" s="12">
        <v>25154.549999999996</v>
      </c>
      <c r="I19" s="12">
        <v>28110.63</v>
      </c>
      <c r="J19" s="12">
        <v>21723.879999999997</v>
      </c>
      <c r="K19" s="12">
        <v>18676.52</v>
      </c>
      <c r="L19" s="12">
        <v>23984.48</v>
      </c>
      <c r="M19" s="12">
        <v>30356.7317</v>
      </c>
      <c r="N19" s="12">
        <v>27011.409700000004</v>
      </c>
      <c r="O19" s="12">
        <v>35731.264899999995</v>
      </c>
      <c r="P19" s="18">
        <v>307402.85629999987</v>
      </c>
      <c r="Q19" s="41">
        <f>+P20-P17</f>
        <v>716547.89759014966</v>
      </c>
    </row>
    <row r="20" spans="1:17" x14ac:dyDescent="0.3">
      <c r="A20" s="47" t="s">
        <v>96</v>
      </c>
      <c r="B20" s="48"/>
      <c r="C20" s="48"/>
      <c r="D20" s="49">
        <v>201234.00999999995</v>
      </c>
      <c r="E20" s="50">
        <v>186691.08999999991</v>
      </c>
      <c r="F20" s="50">
        <v>184408.70999999996</v>
      </c>
      <c r="G20" s="50">
        <v>172565.87000000002</v>
      </c>
      <c r="H20" s="50">
        <v>187858.58</v>
      </c>
      <c r="I20" s="50">
        <v>197075.12999999992</v>
      </c>
      <c r="J20" s="50">
        <v>176711.74999999997</v>
      </c>
      <c r="K20" s="50">
        <v>175488.81999999995</v>
      </c>
      <c r="L20" s="50">
        <v>192641.70999999993</v>
      </c>
      <c r="M20" s="50">
        <v>198298.20860000007</v>
      </c>
      <c r="N20" s="50">
        <v>183388.85120000003</v>
      </c>
      <c r="O20" s="50">
        <v>206472.49210000003</v>
      </c>
      <c r="P20" s="51">
        <v>2262835.2219000002</v>
      </c>
      <c r="Q20" s="39"/>
    </row>
    <row r="21" spans="1:17" x14ac:dyDescent="0.3">
      <c r="A21" s="19" t="s">
        <v>19</v>
      </c>
      <c r="B21" s="20"/>
      <c r="C21" s="20"/>
      <c r="D21" s="13">
        <f>+D20+D17</f>
        <v>325381.24999999994</v>
      </c>
      <c r="E21" s="13">
        <f t="shared" ref="E21:P21" si="0">+E20+E17</f>
        <v>309295.42999999993</v>
      </c>
      <c r="F21" s="13">
        <f t="shared" si="0"/>
        <v>306498.54999999993</v>
      </c>
      <c r="G21" s="13">
        <f t="shared" si="0"/>
        <v>294333.80000000005</v>
      </c>
      <c r="H21" s="13">
        <f t="shared" si="0"/>
        <v>309418.13</v>
      </c>
      <c r="I21" s="13">
        <f t="shared" si="0"/>
        <v>318454.37999999989</v>
      </c>
      <c r="J21" s="13">
        <f t="shared" si="0"/>
        <v>298025.51999999996</v>
      </c>
      <c r="K21" s="13">
        <f t="shared" si="0"/>
        <v>296718.88999999996</v>
      </c>
      <c r="L21" s="13">
        <f t="shared" si="0"/>
        <v>313842.45999999996</v>
      </c>
      <c r="M21" s="13">
        <f t="shared" si="0"/>
        <v>348427.44783661701</v>
      </c>
      <c r="N21" s="13">
        <f t="shared" si="0"/>
        <v>333485.88153661694</v>
      </c>
      <c r="O21" s="13">
        <f t="shared" si="0"/>
        <v>355240.80683661695</v>
      </c>
      <c r="P21" s="13">
        <f t="shared" si="0"/>
        <v>3809122.5462098508</v>
      </c>
      <c r="Q21" s="39"/>
    </row>
    <row r="24" spans="1:17" x14ac:dyDescent="0.3">
      <c r="B24" s="39"/>
      <c r="C24" s="39" t="s">
        <v>41</v>
      </c>
      <c r="D24" s="41">
        <f>P17</f>
        <v>1546287.3243098506</v>
      </c>
      <c r="E24" s="39"/>
      <c r="F24" s="39"/>
      <c r="G24" s="39"/>
      <c r="H24" s="39"/>
      <c r="I24" s="39"/>
      <c r="J24" s="39"/>
      <c r="K24" s="39"/>
    </row>
    <row r="25" spans="1:17" x14ac:dyDescent="0.3">
      <c r="B25" s="39"/>
      <c r="C25" s="39" t="s">
        <v>42</v>
      </c>
      <c r="D25" s="41">
        <f>P20</f>
        <v>2262835.2219000002</v>
      </c>
      <c r="E25" s="39"/>
      <c r="F25" s="39"/>
      <c r="G25" s="39"/>
      <c r="H25" s="39"/>
      <c r="I25" s="39"/>
      <c r="J25" s="39"/>
      <c r="K25" s="39"/>
    </row>
    <row r="26" spans="1:17" x14ac:dyDescent="0.3">
      <c r="B26" s="39"/>
      <c r="C26" s="39" t="s">
        <v>43</v>
      </c>
      <c r="D26" s="41">
        <f>D25-D24</f>
        <v>716547.89759014966</v>
      </c>
      <c r="E26" s="39"/>
      <c r="F26" s="39"/>
      <c r="G26" s="39"/>
      <c r="H26" s="39"/>
      <c r="I26" s="39"/>
      <c r="J26" s="39"/>
      <c r="K26" s="39"/>
    </row>
    <row r="27" spans="1:17" x14ac:dyDescent="0.3">
      <c r="B27" s="39"/>
      <c r="C27" s="39"/>
      <c r="D27" s="39"/>
      <c r="E27" s="39"/>
      <c r="F27" s="39"/>
      <c r="G27" s="39"/>
      <c r="H27" s="39"/>
      <c r="I27" s="39"/>
      <c r="J27" s="39"/>
      <c r="K27" s="39"/>
    </row>
    <row r="28" spans="1:17" x14ac:dyDescent="0.3">
      <c r="B28" s="39"/>
      <c r="C28" s="39" t="s">
        <v>48</v>
      </c>
      <c r="D28" s="39" t="s">
        <v>44</v>
      </c>
      <c r="E28" s="39" t="s">
        <v>49</v>
      </c>
      <c r="F28" s="39" t="s">
        <v>45</v>
      </c>
      <c r="G28" s="39" t="s">
        <v>50</v>
      </c>
      <c r="H28" s="39" t="s">
        <v>51</v>
      </c>
      <c r="I28" s="39"/>
      <c r="J28" s="39" t="s">
        <v>52</v>
      </c>
      <c r="K28" s="39"/>
    </row>
    <row r="29" spans="1:17" x14ac:dyDescent="0.3">
      <c r="B29" s="39"/>
      <c r="C29" s="39" t="s">
        <v>97</v>
      </c>
      <c r="D29" s="39"/>
      <c r="E29" s="39" t="s">
        <v>97</v>
      </c>
      <c r="F29" s="39"/>
      <c r="G29" s="39" t="s">
        <v>97</v>
      </c>
      <c r="H29" s="39"/>
      <c r="I29" s="39"/>
      <c r="J29" s="39"/>
      <c r="K29" s="39"/>
    </row>
    <row r="30" spans="1:17" x14ac:dyDescent="0.3">
      <c r="A30" s="55" t="s">
        <v>2</v>
      </c>
      <c r="B30" s="31" t="s">
        <v>27</v>
      </c>
      <c r="C30" s="40">
        <f>+C50</f>
        <v>42956093.005199999</v>
      </c>
      <c r="D30" s="22">
        <f>C30/$C$43</f>
        <v>0.20511259490454486</v>
      </c>
      <c r="E30" s="40">
        <f>+D50</f>
        <v>2884471.3511999999</v>
      </c>
      <c r="F30" s="22">
        <f t="shared" ref="F30:F40" si="1">E30/$E$43</f>
        <v>0.21887378585769185</v>
      </c>
      <c r="G30" s="40">
        <f>+E50</f>
        <v>27491683.072799999</v>
      </c>
      <c r="H30" s="22">
        <f>G30/$G$43</f>
        <v>0.20805503536390407</v>
      </c>
      <c r="I30" s="7">
        <f>+(C30+E30+G30)/($C$43+$E$43+$G$43)</f>
        <v>0.20671984279865294</v>
      </c>
      <c r="J30" s="41">
        <f>I30*$D$26</f>
        <v>148124.668747541</v>
      </c>
      <c r="K30" s="39"/>
    </row>
    <row r="31" spans="1:17" x14ac:dyDescent="0.3">
      <c r="A31" s="56" t="s">
        <v>4</v>
      </c>
      <c r="B31" s="34" t="s">
        <v>28</v>
      </c>
      <c r="C31" s="40">
        <f t="shared" ref="C31:C42" si="2">+C51</f>
        <v>52597975.983599998</v>
      </c>
      <c r="D31" s="22">
        <f t="shared" ref="D31:D40" si="3">C31/$C$43</f>
        <v>0.25115196904469728</v>
      </c>
      <c r="E31" s="40">
        <f t="shared" ref="E31:E42" si="4">+D51</f>
        <v>3232671.5640000002</v>
      </c>
      <c r="F31" s="22">
        <f t="shared" si="1"/>
        <v>0.24529523004374149</v>
      </c>
      <c r="G31" s="40">
        <f t="shared" ref="G31:G40" si="5">+E51</f>
        <v>36232302.010799997</v>
      </c>
      <c r="H31" s="22">
        <f t="shared" ref="H31:H40" si="6">G31/$G$43</f>
        <v>0.2742033965767261</v>
      </c>
      <c r="I31" s="7">
        <f t="shared" ref="I31:I40" si="7">+(C31+E31+G31)/($C$43+$E$43+$G$43)</f>
        <v>0.25952073102173545</v>
      </c>
      <c r="J31" s="41">
        <f t="shared" ref="J31:J40" si="8">I31*$D$26</f>
        <v>185959.03419468328</v>
      </c>
      <c r="K31" s="39"/>
    </row>
    <row r="32" spans="1:17" x14ac:dyDescent="0.3">
      <c r="A32" s="55" t="s">
        <v>5</v>
      </c>
      <c r="B32" s="35" t="s">
        <v>29</v>
      </c>
      <c r="C32" s="40">
        <f t="shared" si="2"/>
        <v>1691207.0004</v>
      </c>
      <c r="D32" s="22">
        <f t="shared" si="3"/>
        <v>8.0754051894520191E-3</v>
      </c>
      <c r="E32" s="40">
        <f t="shared" si="4"/>
        <v>327477</v>
      </c>
      <c r="F32" s="22">
        <f t="shared" si="1"/>
        <v>2.4848966082294626E-2</v>
      </c>
      <c r="G32" s="40">
        <f t="shared" si="5"/>
        <v>325839.99959999998</v>
      </c>
      <c r="H32" s="22">
        <f t="shared" si="6"/>
        <v>2.4659331500451447E-3</v>
      </c>
      <c r="I32" s="7">
        <f t="shared" si="7"/>
        <v>6.609092857621646E-3</v>
      </c>
      <c r="J32" s="41">
        <f t="shared" si="8"/>
        <v>4735.7315921068648</v>
      </c>
      <c r="K32" s="39"/>
    </row>
    <row r="33" spans="1:11" x14ac:dyDescent="0.3">
      <c r="A33" s="56" t="s">
        <v>6</v>
      </c>
      <c r="B33" s="35" t="s">
        <v>30</v>
      </c>
      <c r="C33" s="40">
        <f t="shared" si="2"/>
        <v>83754032.283300012</v>
      </c>
      <c r="D33" s="22">
        <f t="shared" si="3"/>
        <v>0.39992014388429376</v>
      </c>
      <c r="E33" s="40">
        <f t="shared" si="4"/>
        <v>5739965.0552000003</v>
      </c>
      <c r="F33" s="22">
        <f t="shared" si="1"/>
        <v>0.43554874684396527</v>
      </c>
      <c r="G33" s="40">
        <f t="shared" si="5"/>
        <v>57041590.509400003</v>
      </c>
      <c r="H33" s="22">
        <f t="shared" si="6"/>
        <v>0.43168656132182853</v>
      </c>
      <c r="I33" s="7">
        <f t="shared" si="7"/>
        <v>0.413076303348972</v>
      </c>
      <c r="J33" s="41">
        <f t="shared" si="8"/>
        <v>295988.95670901675</v>
      </c>
      <c r="K33" s="39"/>
    </row>
    <row r="34" spans="1:11" x14ac:dyDescent="0.3">
      <c r="A34" s="56" t="s">
        <v>7</v>
      </c>
      <c r="B34" s="35" t="s">
        <v>31</v>
      </c>
      <c r="C34" s="40">
        <f t="shared" si="2"/>
        <v>4785331.2648</v>
      </c>
      <c r="D34" s="22">
        <f t="shared" si="3"/>
        <v>2.2849650527624978E-2</v>
      </c>
      <c r="E34" s="40">
        <f t="shared" si="4"/>
        <v>335978.95439999999</v>
      </c>
      <c r="F34" s="22">
        <f t="shared" si="1"/>
        <v>2.5494094676115919E-2</v>
      </c>
      <c r="G34" s="40">
        <f t="shared" si="5"/>
        <v>3338831.1107999999</v>
      </c>
      <c r="H34" s="22">
        <f t="shared" si="6"/>
        <v>2.526802826120484E-2</v>
      </c>
      <c r="I34" s="7">
        <f t="shared" si="7"/>
        <v>2.3848704316344255E-2</v>
      </c>
      <c r="J34" s="41">
        <f t="shared" si="8"/>
        <v>17088.738938125603</v>
      </c>
      <c r="K34" s="39"/>
    </row>
    <row r="35" spans="1:11" x14ac:dyDescent="0.3">
      <c r="A35" s="56" t="s">
        <v>8</v>
      </c>
      <c r="B35" s="42" t="s">
        <v>32</v>
      </c>
      <c r="C35" s="40">
        <f t="shared" si="2"/>
        <v>10039690</v>
      </c>
      <c r="D35" s="22">
        <f t="shared" si="3"/>
        <v>4.7938877208593619E-2</v>
      </c>
      <c r="E35" s="40">
        <f t="shared" si="4"/>
        <v>0</v>
      </c>
      <c r="F35" s="22">
        <f t="shared" si="1"/>
        <v>0</v>
      </c>
      <c r="G35" s="40">
        <f t="shared" si="5"/>
        <v>0</v>
      </c>
      <c r="H35" s="22">
        <f t="shared" si="6"/>
        <v>0</v>
      </c>
      <c r="I35" s="7">
        <f t="shared" si="7"/>
        <v>2.8301370969858044E-2</v>
      </c>
      <c r="J35" s="41">
        <f t="shared" si="8"/>
        <v>20279.287867370676</v>
      </c>
      <c r="K35" s="39"/>
    </row>
    <row r="36" spans="1:11" x14ac:dyDescent="0.3">
      <c r="A36" s="56" t="s">
        <v>46</v>
      </c>
      <c r="B36" s="42" t="s">
        <v>33</v>
      </c>
      <c r="C36" s="40">
        <f t="shared" si="2"/>
        <v>2262421.2552</v>
      </c>
      <c r="D36" s="22">
        <f t="shared" si="3"/>
        <v>1.0802916698338799E-2</v>
      </c>
      <c r="E36" s="40">
        <f t="shared" si="4"/>
        <v>132423.8628</v>
      </c>
      <c r="F36" s="22">
        <f t="shared" si="1"/>
        <v>1.0048327287729024E-2</v>
      </c>
      <c r="G36" s="40">
        <f t="shared" si="5"/>
        <v>1580985.96</v>
      </c>
      <c r="H36" s="22">
        <f t="shared" si="6"/>
        <v>1.1964785456990737E-2</v>
      </c>
      <c r="I36" s="7">
        <f t="shared" si="7"/>
        <v>1.1207663807544717E-2</v>
      </c>
      <c r="J36" s="41">
        <f t="shared" si="8"/>
        <v>8030.827938193378</v>
      </c>
      <c r="K36" s="39"/>
    </row>
    <row r="37" spans="1:11" x14ac:dyDescent="0.3">
      <c r="A37" s="55" t="s">
        <v>12</v>
      </c>
      <c r="B37" s="35" t="s">
        <v>34</v>
      </c>
      <c r="C37" s="40">
        <f t="shared" si="2"/>
        <v>3359913.9780000001</v>
      </c>
      <c r="D37" s="22">
        <f t="shared" si="3"/>
        <v>1.6043374210038291E-2</v>
      </c>
      <c r="E37" s="40">
        <f t="shared" si="4"/>
        <v>351115.23600000003</v>
      </c>
      <c r="F37" s="22">
        <f t="shared" si="1"/>
        <v>2.6642636247250568E-2</v>
      </c>
      <c r="G37" s="40">
        <f t="shared" si="5"/>
        <v>3782514.2052000002</v>
      </c>
      <c r="H37" s="22">
        <f t="shared" si="6"/>
        <v>2.8625789284832004E-2</v>
      </c>
      <c r="I37" s="7">
        <f t="shared" si="7"/>
        <v>2.1123914402289085E-2</v>
      </c>
      <c r="J37" s="41">
        <f t="shared" si="8"/>
        <v>15136.296453834526</v>
      </c>
      <c r="K37" s="39"/>
    </row>
    <row r="38" spans="1:11" x14ac:dyDescent="0.3">
      <c r="A38" s="56" t="s">
        <v>13</v>
      </c>
      <c r="B38" s="42" t="s">
        <v>35</v>
      </c>
      <c r="C38" s="40">
        <f t="shared" si="2"/>
        <v>1435929.9996</v>
      </c>
      <c r="D38" s="22">
        <f t="shared" si="3"/>
        <v>6.8564738483917614E-3</v>
      </c>
      <c r="E38" s="40">
        <f t="shared" si="4"/>
        <v>84879</v>
      </c>
      <c r="F38" s="22">
        <f t="shared" si="1"/>
        <v>6.4406214546337166E-3</v>
      </c>
      <c r="G38" s="40">
        <f t="shared" si="5"/>
        <v>768440.00040000002</v>
      </c>
      <c r="H38" s="22">
        <f t="shared" si="6"/>
        <v>5.8154974009736789E-3</v>
      </c>
      <c r="I38" s="7">
        <f t="shared" si="7"/>
        <v>6.4532754688019812E-3</v>
      </c>
      <c r="J38" s="41">
        <f t="shared" si="8"/>
        <v>4624.0809697401473</v>
      </c>
      <c r="K38" s="39"/>
    </row>
    <row r="39" spans="1:11" x14ac:dyDescent="0.3">
      <c r="A39" s="56" t="s">
        <v>14</v>
      </c>
      <c r="B39" s="42" t="s">
        <v>36</v>
      </c>
      <c r="C39" s="40">
        <f t="shared" si="2"/>
        <v>3924890.0003999998</v>
      </c>
      <c r="D39" s="22">
        <f t="shared" si="3"/>
        <v>1.8741098558462718E-2</v>
      </c>
      <c r="E39" s="40">
        <f t="shared" si="4"/>
        <v>18866.000400000001</v>
      </c>
      <c r="F39" s="22">
        <f t="shared" si="1"/>
        <v>1.4315527626311371E-3</v>
      </c>
      <c r="G39" s="40">
        <f t="shared" si="5"/>
        <v>388475.00040000002</v>
      </c>
      <c r="H39" s="22">
        <f t="shared" si="6"/>
        <v>2.9399502290269491E-3</v>
      </c>
      <c r="I39" s="7">
        <f t="shared" si="7"/>
        <v>1.2212336904035954E-2</v>
      </c>
      <c r="J39" s="41">
        <f t="shared" si="8"/>
        <v>8750.72433324956</v>
      </c>
      <c r="K39" s="39"/>
    </row>
    <row r="40" spans="1:11" x14ac:dyDescent="0.3">
      <c r="A40" s="56" t="s">
        <v>16</v>
      </c>
      <c r="B40" s="42" t="s">
        <v>70</v>
      </c>
      <c r="C40" s="40">
        <f t="shared" si="2"/>
        <v>1053344.9820000001</v>
      </c>
      <c r="D40" s="22">
        <f t="shared" si="3"/>
        <v>5.0296548748403848E-3</v>
      </c>
      <c r="E40" s="40">
        <f t="shared" si="4"/>
        <v>20152.186799999999</v>
      </c>
      <c r="F40" s="22">
        <f t="shared" si="1"/>
        <v>1.5291486311321573E-3</v>
      </c>
      <c r="G40" s="40">
        <f t="shared" si="5"/>
        <v>520249.93560000003</v>
      </c>
      <c r="H40" s="22">
        <f t="shared" si="6"/>
        <v>3.9372132460096278E-3</v>
      </c>
      <c r="I40" s="7">
        <f t="shared" si="7"/>
        <v>4.4926913115605639E-3</v>
      </c>
      <c r="J40" s="41">
        <f t="shared" si="8"/>
        <v>3219.2285138202542</v>
      </c>
      <c r="K40" s="39"/>
    </row>
    <row r="41" spans="1:11" x14ac:dyDescent="0.3">
      <c r="A41" s="56" t="s">
        <v>18</v>
      </c>
      <c r="B41" s="42" t="s">
        <v>17</v>
      </c>
      <c r="C41" s="40">
        <f t="shared" si="2"/>
        <v>942635.00040000002</v>
      </c>
      <c r="D41" s="22">
        <f t="shared" ref="D41:D42" si="9">C41/$C$43</f>
        <v>4.5010217981529509E-3</v>
      </c>
      <c r="E41" s="40">
        <f t="shared" si="4"/>
        <v>45585</v>
      </c>
      <c r="F41" s="22">
        <f t="shared" ref="F41:F42" si="10">E41/$E$43</f>
        <v>3.4589913760703825E-3</v>
      </c>
      <c r="G41" s="40">
        <f t="shared" ref="G41:G42" si="11">+E61</f>
        <v>598551.99959999998</v>
      </c>
      <c r="H41" s="22">
        <f t="shared" ref="H41:H42" si="12">G41/$G$43</f>
        <v>4.5297975069094254E-3</v>
      </c>
      <c r="I41" s="7">
        <f t="shared" ref="I41:I42" si="13">+(C41+E41+G41)/($C$43+$E$43+$G$43)</f>
        <v>4.4730288501521054E-3</v>
      </c>
      <c r="J41" s="41">
        <f t="shared" ref="J41:J42" si="14">I41*$D$26</f>
        <v>3205.1394184365759</v>
      </c>
      <c r="K41" s="39"/>
    </row>
    <row r="42" spans="1:11" x14ac:dyDescent="0.3">
      <c r="A42" s="57" t="s">
        <v>47</v>
      </c>
      <c r="B42" s="34" t="s">
        <v>71</v>
      </c>
      <c r="C42" s="40">
        <f t="shared" si="2"/>
        <v>623426.00040000002</v>
      </c>
      <c r="D42" s="22">
        <f t="shared" si="9"/>
        <v>2.9768192525685792E-3</v>
      </c>
      <c r="E42" s="40">
        <f t="shared" si="4"/>
        <v>5112</v>
      </c>
      <c r="F42" s="22">
        <f t="shared" si="10"/>
        <v>3.878987367439244E-4</v>
      </c>
      <c r="G42" s="40">
        <f t="shared" si="11"/>
        <v>67127.000400000004</v>
      </c>
      <c r="H42" s="22">
        <f t="shared" si="12"/>
        <v>5.080122015487927E-4</v>
      </c>
      <c r="I42" s="7">
        <f t="shared" si="13"/>
        <v>1.9610439424312298E-3</v>
      </c>
      <c r="J42" s="41">
        <f t="shared" si="14"/>
        <v>1405.1819140309963</v>
      </c>
      <c r="K42" s="39"/>
    </row>
    <row r="43" spans="1:11" x14ac:dyDescent="0.3">
      <c r="B43" s="39"/>
      <c r="C43" s="40">
        <f t="shared" ref="C43:J43" si="15">SUM(C30:C42)</f>
        <v>209426890.75330001</v>
      </c>
      <c r="D43" s="7">
        <f t="shared" si="15"/>
        <v>0.99999999999999989</v>
      </c>
      <c r="E43" s="40">
        <f t="shared" si="15"/>
        <v>13178697.2108</v>
      </c>
      <c r="F43" s="22">
        <f t="shared" si="15"/>
        <v>1.0000000000000002</v>
      </c>
      <c r="G43" s="40">
        <f t="shared" si="15"/>
        <v>132136590.80500001</v>
      </c>
      <c r="H43" s="22">
        <f t="shared" si="15"/>
        <v>0.99999999999999989</v>
      </c>
      <c r="I43" s="7">
        <f t="shared" si="15"/>
        <v>1</v>
      </c>
      <c r="J43" s="41">
        <f t="shared" si="15"/>
        <v>716547.89759014954</v>
      </c>
      <c r="K43" s="39"/>
    </row>
    <row r="44" spans="1:11" x14ac:dyDescent="0.3">
      <c r="B44" s="39"/>
      <c r="C44" s="39"/>
      <c r="D44" s="39"/>
      <c r="E44" s="39"/>
      <c r="F44" s="39"/>
      <c r="G44" s="39"/>
      <c r="H44" s="39"/>
      <c r="I44" s="39"/>
      <c r="J44" s="39"/>
      <c r="K44" s="39"/>
    </row>
    <row r="45" spans="1:11" x14ac:dyDescent="0.3">
      <c r="B45" s="39"/>
      <c r="C45"/>
      <c r="D45" s="39"/>
      <c r="E45" s="39"/>
      <c r="F45" s="39"/>
      <c r="G45" s="39"/>
      <c r="H45" s="39"/>
      <c r="I45" s="39"/>
      <c r="J45" s="39"/>
      <c r="K45" s="39"/>
    </row>
    <row r="46" spans="1:11" x14ac:dyDescent="0.3">
      <c r="B46" s="39"/>
      <c r="C46" s="39"/>
      <c r="D46" s="39"/>
      <c r="E46" s="1"/>
      <c r="F46" s="39"/>
      <c r="G46" s="1"/>
      <c r="H46" s="41"/>
      <c r="I46" s="39"/>
      <c r="J46" s="39"/>
      <c r="K46" s="39"/>
    </row>
    <row r="47" spans="1:11" x14ac:dyDescent="0.3">
      <c r="B47" s="39"/>
      <c r="C47" s="39"/>
      <c r="D47" s="39"/>
      <c r="E47" s="39"/>
      <c r="F47" s="39"/>
      <c r="G47" s="39"/>
      <c r="H47" s="39"/>
      <c r="I47" s="39"/>
      <c r="J47" s="39"/>
      <c r="K47" s="39"/>
    </row>
    <row r="48" spans="1:11" x14ac:dyDescent="0.3">
      <c r="B48" s="9"/>
      <c r="C48" s="16" t="s">
        <v>98</v>
      </c>
      <c r="D48" s="9"/>
      <c r="E48" s="9"/>
      <c r="F48" s="10"/>
      <c r="G48" s="39"/>
      <c r="H48" s="1"/>
      <c r="I48" s="39"/>
      <c r="J48" s="39"/>
      <c r="K48" s="39"/>
    </row>
    <row r="49" spans="2:11" x14ac:dyDescent="0.3">
      <c r="B49" s="16" t="s">
        <v>62</v>
      </c>
      <c r="C49" s="16" t="s">
        <v>56</v>
      </c>
      <c r="D49" s="46" t="s">
        <v>99</v>
      </c>
      <c r="E49" s="46" t="s">
        <v>100</v>
      </c>
      <c r="F49" s="52" t="s">
        <v>19</v>
      </c>
      <c r="G49" s="39"/>
      <c r="H49" s="39"/>
      <c r="I49" s="39"/>
      <c r="J49" s="39"/>
      <c r="K49" s="39"/>
    </row>
    <row r="50" spans="2:11" x14ac:dyDescent="0.3">
      <c r="B50" s="16" t="s">
        <v>3</v>
      </c>
      <c r="C50" s="11">
        <v>42956093.005199999</v>
      </c>
      <c r="D50" s="12">
        <v>2884471.3511999999</v>
      </c>
      <c r="E50" s="12">
        <v>27491683.072799999</v>
      </c>
      <c r="F50" s="53">
        <v>73332247.429199994</v>
      </c>
      <c r="G50" s="39"/>
      <c r="H50" s="39"/>
      <c r="I50" s="39"/>
      <c r="J50" s="39"/>
      <c r="K50" s="39"/>
    </row>
    <row r="51" spans="2:11" x14ac:dyDescent="0.3">
      <c r="B51" s="16" t="s">
        <v>63</v>
      </c>
      <c r="C51" s="11">
        <v>52597975.983599998</v>
      </c>
      <c r="D51" s="12">
        <v>3232671.5640000002</v>
      </c>
      <c r="E51" s="12">
        <v>36232302.010799997</v>
      </c>
      <c r="F51" s="53">
        <v>92062949.558400005</v>
      </c>
      <c r="G51" s="39"/>
      <c r="H51" s="39"/>
      <c r="I51" s="39"/>
      <c r="J51" s="39"/>
      <c r="K51" s="39"/>
    </row>
    <row r="52" spans="2:11" x14ac:dyDescent="0.3">
      <c r="B52" s="16" t="s">
        <v>64</v>
      </c>
      <c r="C52" s="11">
        <v>1691207.0004</v>
      </c>
      <c r="D52" s="12">
        <v>327477</v>
      </c>
      <c r="E52" s="12">
        <v>325839.99959999998</v>
      </c>
      <c r="F52" s="53">
        <v>2344524</v>
      </c>
      <c r="G52" s="39"/>
      <c r="H52" s="39"/>
      <c r="I52" s="39"/>
      <c r="J52" s="39"/>
      <c r="K52" s="39"/>
    </row>
    <row r="53" spans="2:11" x14ac:dyDescent="0.3">
      <c r="B53" s="16" t="s">
        <v>65</v>
      </c>
      <c r="C53" s="11">
        <v>83754032.283300012</v>
      </c>
      <c r="D53" s="12">
        <v>5739965.0552000003</v>
      </c>
      <c r="E53" s="12">
        <v>57041590.509400003</v>
      </c>
      <c r="F53" s="53">
        <v>146535587.8479</v>
      </c>
      <c r="G53" s="39"/>
      <c r="H53" s="39"/>
      <c r="I53" s="39"/>
      <c r="J53" s="39"/>
      <c r="K53" s="39"/>
    </row>
    <row r="54" spans="2:11" x14ac:dyDescent="0.3">
      <c r="B54" s="16" t="s">
        <v>66</v>
      </c>
      <c r="C54" s="11">
        <v>4785331.2648</v>
      </c>
      <c r="D54" s="12">
        <v>335978.95439999999</v>
      </c>
      <c r="E54" s="12">
        <v>3338831.1107999999</v>
      </c>
      <c r="F54" s="53">
        <v>8460141.3300000001</v>
      </c>
      <c r="G54" s="39"/>
      <c r="H54" s="39"/>
      <c r="I54" s="39"/>
      <c r="J54" s="39"/>
      <c r="K54" s="39"/>
    </row>
    <row r="55" spans="2:11" x14ac:dyDescent="0.3">
      <c r="B55" s="16" t="s">
        <v>9</v>
      </c>
      <c r="C55" s="11">
        <v>10039690</v>
      </c>
      <c r="D55" s="12">
        <v>0</v>
      </c>
      <c r="E55" s="12">
        <v>0</v>
      </c>
      <c r="F55" s="53">
        <v>10039690</v>
      </c>
      <c r="G55" s="39"/>
      <c r="H55" s="39"/>
      <c r="I55" s="39"/>
      <c r="J55" s="39"/>
      <c r="K55" s="39"/>
    </row>
    <row r="56" spans="2:11" x14ac:dyDescent="0.3">
      <c r="B56" s="16" t="s">
        <v>11</v>
      </c>
      <c r="C56" s="11">
        <v>2262421.2552</v>
      </c>
      <c r="D56" s="12">
        <v>132423.8628</v>
      </c>
      <c r="E56" s="12">
        <v>1580985.96</v>
      </c>
      <c r="F56" s="53">
        <v>3975831.0779999997</v>
      </c>
      <c r="G56" s="39"/>
      <c r="H56" s="39"/>
      <c r="I56" s="39"/>
      <c r="J56" s="39"/>
      <c r="K56" s="39"/>
    </row>
    <row r="57" spans="2:11" x14ac:dyDescent="0.3">
      <c r="B57" s="16" t="s">
        <v>67</v>
      </c>
      <c r="C57" s="11">
        <v>3359913.9780000001</v>
      </c>
      <c r="D57" s="12">
        <v>351115.23600000003</v>
      </c>
      <c r="E57" s="12">
        <v>3782514.2052000002</v>
      </c>
      <c r="F57" s="53">
        <v>7493543.4192000004</v>
      </c>
      <c r="G57" s="39"/>
      <c r="H57" s="39"/>
      <c r="I57" s="39"/>
      <c r="J57" s="39"/>
      <c r="K57" s="39"/>
    </row>
    <row r="58" spans="2:11" x14ac:dyDescent="0.3">
      <c r="B58" s="16" t="s">
        <v>68</v>
      </c>
      <c r="C58" s="11">
        <v>1435929.9996</v>
      </c>
      <c r="D58" s="12">
        <v>84879</v>
      </c>
      <c r="E58" s="12">
        <v>768440.00040000002</v>
      </c>
      <c r="F58" s="53">
        <v>2289249</v>
      </c>
      <c r="G58" s="39"/>
      <c r="H58" s="39"/>
      <c r="I58" s="39"/>
      <c r="J58" s="39"/>
      <c r="K58" s="39"/>
    </row>
    <row r="59" spans="2:11" x14ac:dyDescent="0.3">
      <c r="B59" s="16" t="s">
        <v>69</v>
      </c>
      <c r="C59" s="11">
        <v>3924890.0003999998</v>
      </c>
      <c r="D59" s="12">
        <v>18866.000400000001</v>
      </c>
      <c r="E59" s="12">
        <v>388475.00040000002</v>
      </c>
      <c r="F59" s="53">
        <v>4332231.0011999998</v>
      </c>
      <c r="G59" s="39"/>
      <c r="H59" s="39"/>
      <c r="I59" s="39"/>
      <c r="J59" s="39"/>
      <c r="K59" s="39"/>
    </row>
    <row r="60" spans="2:11" x14ac:dyDescent="0.3">
      <c r="B60" s="16" t="s">
        <v>70</v>
      </c>
      <c r="C60" s="11">
        <v>1053344.9820000001</v>
      </c>
      <c r="D60" s="12">
        <v>20152.186799999999</v>
      </c>
      <c r="E60" s="12">
        <v>520249.93560000003</v>
      </c>
      <c r="F60" s="53">
        <v>1593747.1044000001</v>
      </c>
      <c r="G60" s="39"/>
      <c r="H60" s="39"/>
      <c r="I60" s="39"/>
      <c r="J60" s="39"/>
      <c r="K60" s="39"/>
    </row>
    <row r="61" spans="2:11" x14ac:dyDescent="0.3">
      <c r="B61" s="16" t="s">
        <v>17</v>
      </c>
      <c r="C61" s="11">
        <v>942635.00040000002</v>
      </c>
      <c r="D61" s="12">
        <v>45585</v>
      </c>
      <c r="E61" s="12">
        <v>598551.99959999998</v>
      </c>
      <c r="F61" s="53">
        <v>1586772</v>
      </c>
      <c r="G61" s="39"/>
      <c r="H61" s="39"/>
      <c r="I61" s="39"/>
      <c r="J61" s="39"/>
      <c r="K61" s="39"/>
    </row>
    <row r="62" spans="2:11" x14ac:dyDescent="0.3">
      <c r="B62" s="16" t="s">
        <v>71</v>
      </c>
      <c r="C62" s="11">
        <v>623426.00040000002</v>
      </c>
      <c r="D62" s="12">
        <v>5112</v>
      </c>
      <c r="E62" s="12">
        <v>67127.000400000004</v>
      </c>
      <c r="F62" s="53">
        <v>695665.00080000004</v>
      </c>
      <c r="G62" s="39"/>
      <c r="H62" s="39"/>
      <c r="I62" s="39"/>
      <c r="J62" s="39"/>
      <c r="K62" s="39"/>
    </row>
    <row r="63" spans="2:11" x14ac:dyDescent="0.3">
      <c r="B63" s="20"/>
      <c r="C63" s="13">
        <v>209426890.75330001</v>
      </c>
      <c r="D63" s="14">
        <v>13178697.2108</v>
      </c>
      <c r="E63" s="14">
        <v>132136590.80500001</v>
      </c>
      <c r="F63" s="54">
        <v>354742178.76910001</v>
      </c>
      <c r="G63" s="39"/>
      <c r="H63" s="39"/>
      <c r="I63" s="39"/>
      <c r="J63" s="39"/>
      <c r="K63" s="39"/>
    </row>
    <row r="64" spans="2:11" x14ac:dyDescent="0.3">
      <c r="B64" s="39"/>
      <c r="C64" s="39"/>
      <c r="D64" s="39"/>
      <c r="E64" s="39"/>
      <c r="F64" s="39"/>
      <c r="G64" s="39"/>
      <c r="H64" s="39"/>
      <c r="I64" s="39"/>
      <c r="J64" s="39"/>
      <c r="K64" s="39"/>
    </row>
  </sheetData>
  <pageMargins left="0.7" right="0.7" top="0.75" bottom="0.75" header="0.3" footer="0.3"/>
  <pageSetup scale="35" orientation="portrait" r:id="rId1"/>
  <headerFooter>
    <oddHeader>&amp;R&amp;"Times New Roman,Bold"&amp;10KyPSC Case No. 2018-00261
AG-DR-01-015 SUPP Attachment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19"/>
  <sheetViews>
    <sheetView tabSelected="1" view="pageBreakPreview" zoomScale="60" zoomScaleNormal="100" workbookViewId="0">
      <selection activeCell="C4" sqref="C4"/>
    </sheetView>
  </sheetViews>
  <sheetFormatPr defaultRowHeight="14.4" x14ac:dyDescent="0.3"/>
  <cols>
    <col min="1" max="1" width="13.109375" bestFit="1" customWidth="1"/>
    <col min="2" max="2" width="3.44140625" customWidth="1"/>
    <col min="3" max="3" width="13.5546875" customWidth="1"/>
    <col min="4" max="4" width="14.33203125" customWidth="1"/>
    <col min="5" max="5" width="13.44140625" customWidth="1"/>
    <col min="6" max="6" width="12.6640625" customWidth="1"/>
    <col min="7" max="7" width="13.88671875" customWidth="1"/>
    <col min="8" max="8" width="13.6640625" customWidth="1"/>
    <col min="9" max="9" width="13.44140625" customWidth="1"/>
    <col min="10" max="10" width="14" customWidth="1"/>
    <col min="11" max="11" width="13.6640625" customWidth="1"/>
    <col min="12" max="12" width="13.33203125" customWidth="1"/>
    <col min="13" max="13" width="13.6640625" customWidth="1"/>
    <col min="14" max="14" width="14" bestFit="1" customWidth="1"/>
    <col min="15" max="15" width="10.5546875" hidden="1" customWidth="1"/>
  </cols>
  <sheetData>
    <row r="1" spans="1:15" x14ac:dyDescent="0.3">
      <c r="A1" t="s">
        <v>76</v>
      </c>
    </row>
    <row r="2" spans="1:15" x14ac:dyDescent="0.3">
      <c r="C2" s="8" t="s">
        <v>55</v>
      </c>
      <c r="D2" s="8" t="s">
        <v>56</v>
      </c>
      <c r="E2" s="8" t="s">
        <v>57</v>
      </c>
    </row>
    <row r="3" spans="1:15" x14ac:dyDescent="0.3">
      <c r="A3" t="s">
        <v>58</v>
      </c>
      <c r="C3" s="2">
        <v>82</v>
      </c>
      <c r="D3" s="40">
        <v>7562</v>
      </c>
      <c r="E3" s="40">
        <v>237</v>
      </c>
      <c r="O3" s="3">
        <f t="shared" ref="O3:O5" si="0">SUM(C3:N3)</f>
        <v>7881</v>
      </c>
    </row>
    <row r="4" spans="1:15" x14ac:dyDescent="0.3">
      <c r="A4" t="s">
        <v>59</v>
      </c>
      <c r="C4" s="4">
        <f>+C5-C3</f>
        <v>875</v>
      </c>
      <c r="D4" s="43">
        <f t="shared" ref="D4:E4" si="1">+D5-D3</f>
        <v>34615</v>
      </c>
      <c r="E4" s="43">
        <f t="shared" si="1"/>
        <v>2167</v>
      </c>
      <c r="O4" s="3">
        <f t="shared" si="0"/>
        <v>37657</v>
      </c>
    </row>
    <row r="5" spans="1:15" x14ac:dyDescent="0.3">
      <c r="A5" t="s">
        <v>25</v>
      </c>
      <c r="C5" s="2">
        <v>957</v>
      </c>
      <c r="D5" s="40">
        <v>42177</v>
      </c>
      <c r="E5" s="40">
        <v>2404</v>
      </c>
      <c r="O5" s="3">
        <f t="shared" si="0"/>
        <v>45538</v>
      </c>
    </row>
    <row r="7" spans="1:15" x14ac:dyDescent="0.3">
      <c r="A7" t="s">
        <v>60</v>
      </c>
      <c r="C7" s="44">
        <f>C4/C5</f>
        <v>0.91431556948798332</v>
      </c>
      <c r="D7" s="5">
        <f>D4/D5</f>
        <v>0.8207079687981601</v>
      </c>
      <c r="E7" s="5">
        <f t="shared" ref="E7" si="2">E4/E5</f>
        <v>0.90141430948419299</v>
      </c>
    </row>
    <row r="8" spans="1:15" x14ac:dyDescent="0.3">
      <c r="C8" s="45"/>
      <c r="D8" s="45"/>
      <c r="E8" s="45"/>
    </row>
    <row r="9" spans="1:15" x14ac:dyDescent="0.3">
      <c r="C9" s="45"/>
      <c r="D9" s="44">
        <f>((D7*D5)+(E7*E5))/(D5+E5)</f>
        <v>0.82506000314035122</v>
      </c>
      <c r="E9" s="45"/>
    </row>
    <row r="15" spans="1:15" x14ac:dyDescent="0.3">
      <c r="D15" s="2"/>
    </row>
    <row r="16" spans="1:15" x14ac:dyDescent="0.3">
      <c r="D16" s="2"/>
    </row>
    <row r="17" spans="4:4" x14ac:dyDescent="0.3">
      <c r="D17" s="2"/>
    </row>
    <row r="19" spans="4:4" x14ac:dyDescent="0.3">
      <c r="D19" s="5"/>
    </row>
  </sheetData>
  <pageMargins left="0.7" right="0.7" top="0.75" bottom="0.75" header="0.3" footer="0.3"/>
  <pageSetup scale="80" orientation="landscape" r:id="rId1"/>
  <headerFooter>
    <oddHeader>&amp;R&amp;"Times New Roman,Bold"&amp;10KyPSC Case No. 2018-00261
AG-DR-01-015 SUPP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b9d8ba39-ee9f-49d4-886c-5a19d7852603">Metzler</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B2830C-B6E3-4E0B-A5AD-B020E11E8AD7}">
  <ds:schemaRefs>
    <ds:schemaRef ds:uri="e8140ab9-1a87-4657-a6c4-99cca0129bf1"/>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9d8ba39-ee9f-49d4-886c-5a19d7852603"/>
    <ds:schemaRef ds:uri="http://www.w3.org/XML/1998/namespace"/>
  </ds:schemaRefs>
</ds:datastoreItem>
</file>

<file path=customXml/itemProps2.xml><?xml version="1.0" encoding="utf-8"?>
<ds:datastoreItem xmlns:ds="http://schemas.openxmlformats.org/officeDocument/2006/customXml" ds:itemID="{5BD6369D-E685-43B7-A764-E84D523A8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EE190A-1EDA-4E63-926B-196419EC72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DR #15</vt:lpstr>
      <vt:lpstr>Summary</vt:lpstr>
      <vt:lpstr>Test Period with Allocations</vt:lpstr>
      <vt:lpstr>RSP</vt:lpstr>
      <vt:lpstr>'DR #15'!Print_Area</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Steinebach, Lisa</dc:creator>
  <cp:lastModifiedBy>Frisch, Adele M</cp:lastModifiedBy>
  <cp:lastPrinted>2018-11-19T20:17:42Z</cp:lastPrinted>
  <dcterms:created xsi:type="dcterms:W3CDTF">2017-09-06T18:41:09Z</dcterms:created>
  <dcterms:modified xsi:type="dcterms:W3CDTF">2018-11-19T20:17:56Z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