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9465"/>
  </bookViews>
  <sheets>
    <sheet name="Tab 1 - ROR Feb18" sheetId="14" r:id="rId1"/>
    <sheet name="Tab 2 - ECC Feb18" sheetId="49" r:id="rId2"/>
    <sheet name="Tab 3 - Tax Rate" sheetId="50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TUAL">"'Vol_Revs'!R5C3:R5C14"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RECAST">"'IFPSReport'!R5C3:R5C14"</definedName>
    <definedName name="HTML_CodePage" hidden="1">1252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[5]PopCache!$A$1:$A$2</definedName>
    <definedName name="_xlnm.Print_Area" localSheetId="0">'Tab 1 - ROR Feb18'!$A$1:$S$37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2" hidden="1">{"review",#N/A,FALSE,"FACTSHT"}</definedName>
    <definedName name="wrn.review.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P31" i="14" l="1"/>
  <c r="P30" i="14"/>
  <c r="M62" i="49"/>
  <c r="K62" i="49"/>
  <c r="I62" i="49"/>
  <c r="G60" i="49"/>
  <c r="O60" i="49" s="1"/>
  <c r="Q59" i="49"/>
  <c r="G59" i="49"/>
  <c r="O59" i="49" s="1"/>
  <c r="Q58" i="49"/>
  <c r="E62" i="49"/>
  <c r="G58" i="49"/>
  <c r="O58" i="49" s="1"/>
  <c r="G46" i="49"/>
  <c r="E46" i="49"/>
  <c r="O45" i="49"/>
  <c r="O44" i="49"/>
  <c r="O43" i="49"/>
  <c r="Q43" i="49" s="1"/>
  <c r="O42" i="49"/>
  <c r="Q42" i="49" s="1"/>
  <c r="M46" i="49"/>
  <c r="K46" i="49"/>
  <c r="I46" i="49"/>
  <c r="M40" i="49"/>
  <c r="K40" i="49"/>
  <c r="O38" i="49"/>
  <c r="O37" i="49"/>
  <c r="G36" i="49"/>
  <c r="O35" i="49"/>
  <c r="O34" i="49"/>
  <c r="Q34" i="49" s="1"/>
  <c r="G33" i="49"/>
  <c r="O33" i="49" s="1"/>
  <c r="Q33" i="49" s="1"/>
  <c r="O32" i="49"/>
  <c r="O31" i="49"/>
  <c r="Q31" i="49" s="1"/>
  <c r="G30" i="49"/>
  <c r="O30" i="49" s="1"/>
  <c r="Q30" i="49" s="1"/>
  <c r="O29" i="49"/>
  <c r="Q29" i="49" s="1"/>
  <c r="G28" i="49"/>
  <c r="O28" i="49" s="1"/>
  <c r="Q28" i="49" s="1"/>
  <c r="O27" i="49"/>
  <c r="Q27" i="49" s="1"/>
  <c r="I40" i="49"/>
  <c r="E40" i="49"/>
  <c r="G26" i="49"/>
  <c r="O22" i="49"/>
  <c r="G21" i="49"/>
  <c r="O21" i="49" s="1"/>
  <c r="Q21" i="49" s="1"/>
  <c r="I24" i="49"/>
  <c r="G20" i="49"/>
  <c r="G19" i="49"/>
  <c r="O19" i="49" s="1"/>
  <c r="Q19" i="49" s="1"/>
  <c r="G18" i="49"/>
  <c r="O18" i="49" s="1"/>
  <c r="Q18" i="49" s="1"/>
  <c r="G17" i="49"/>
  <c r="O17" i="49" s="1"/>
  <c r="Q17" i="49" s="1"/>
  <c r="G16" i="49"/>
  <c r="G15" i="49"/>
  <c r="G14" i="49"/>
  <c r="O14" i="49" s="1"/>
  <c r="Q14" i="49" s="1"/>
  <c r="G13" i="49"/>
  <c r="O13" i="49" s="1"/>
  <c r="Q13" i="49" s="1"/>
  <c r="G12" i="49"/>
  <c r="M24" i="49"/>
  <c r="M48" i="49" l="1"/>
  <c r="M65" i="49" s="1"/>
  <c r="I48" i="49"/>
  <c r="I65" i="49" s="1"/>
  <c r="O15" i="49"/>
  <c r="Q15" i="49" s="1"/>
  <c r="K24" i="49"/>
  <c r="K48" i="49" s="1"/>
  <c r="K65" i="49" s="1"/>
  <c r="G40" i="49"/>
  <c r="O26" i="49"/>
  <c r="Q37" i="49"/>
  <c r="O46" i="49"/>
  <c r="O62" i="49"/>
  <c r="Q62" i="49" s="1"/>
  <c r="E24" i="49"/>
  <c r="E48" i="49" s="1"/>
  <c r="E65" i="49" s="1"/>
  <c r="E66" i="49" s="1"/>
  <c r="G11" i="49"/>
  <c r="O12" i="49"/>
  <c r="Q12" i="49" s="1"/>
  <c r="O16" i="49"/>
  <c r="Q16" i="49" s="1"/>
  <c r="O20" i="49"/>
  <c r="Q20" i="49" s="1"/>
  <c r="O36" i="49"/>
  <c r="Q36" i="49" s="1"/>
  <c r="G62" i="49"/>
  <c r="Q60" i="49"/>
  <c r="Q46" i="49" l="1"/>
  <c r="G24" i="49"/>
  <c r="G48" i="49" s="1"/>
  <c r="G65" i="49" s="1"/>
  <c r="O11" i="49"/>
  <c r="O40" i="49"/>
  <c r="Q40" i="49" s="1"/>
  <c r="Q26" i="49"/>
  <c r="O24" i="49" l="1"/>
  <c r="Q11" i="49"/>
  <c r="O48" i="49" l="1"/>
  <c r="Q24" i="49"/>
  <c r="O65" i="49" l="1"/>
  <c r="Q65" i="49" s="1"/>
  <c r="Q48" i="49"/>
  <c r="E45" i="50" l="1"/>
  <c r="E49" i="50" s="1"/>
  <c r="E33" i="50"/>
  <c r="E18" i="50"/>
  <c r="E15" i="50"/>
  <c r="A11" i="50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E20" i="50" l="1"/>
  <c r="E22" i="50" s="1"/>
  <c r="E24" i="50" s="1"/>
  <c r="E32" i="50" s="1"/>
  <c r="E34" i="50" l="1"/>
  <c r="E36" i="50" s="1"/>
  <c r="E27" i="50"/>
  <c r="E29" i="50" s="1"/>
  <c r="H18" i="14" l="1"/>
  <c r="C19" i="14" l="1"/>
  <c r="F17" i="14" l="1"/>
  <c r="J17" i="14" s="1"/>
  <c r="F16" i="14"/>
  <c r="J16" i="14" s="1"/>
  <c r="F18" i="14" l="1"/>
  <c r="F19" i="14" s="1"/>
  <c r="J18" i="14"/>
  <c r="L16" i="14"/>
  <c r="N16" i="14" s="1"/>
  <c r="R16" i="14" s="1"/>
  <c r="C30" i="14" s="1"/>
  <c r="L17" i="14"/>
  <c r="N17" i="14" s="1"/>
  <c r="R17" i="14" s="1"/>
  <c r="C31" i="14" s="1"/>
  <c r="L18" i="14" l="1"/>
  <c r="N18" i="14" s="1"/>
  <c r="N19" i="14" s="1"/>
  <c r="R18" i="14" l="1"/>
  <c r="R19" i="14" s="1"/>
  <c r="L19" i="14"/>
  <c r="C32" i="14" l="1"/>
  <c r="C33" i="14" l="1"/>
  <c r="F31" i="14" s="1"/>
  <c r="F30" i="14" l="1"/>
  <c r="J30" i="14" s="1"/>
  <c r="H31" i="14"/>
  <c r="J31" i="14"/>
  <c r="F32" i="14" l="1"/>
  <c r="F33" i="14" s="1"/>
  <c r="H30" i="14"/>
  <c r="L30" i="14" s="1"/>
  <c r="J32" i="14"/>
  <c r="L31" i="14"/>
  <c r="H32" i="14" l="1"/>
  <c r="L32" i="14" s="1"/>
  <c r="L33" i="14" s="1"/>
  <c r="N31" i="14" l="1"/>
  <c r="R31" i="14" s="1"/>
  <c r="N30" i="14"/>
  <c r="N32" i="14" l="1"/>
  <c r="R32" i="14" s="1"/>
  <c r="R30" i="14"/>
  <c r="N33" i="14" l="1"/>
  <c r="R33" i="14"/>
  <c r="R34" i="14" s="1"/>
</calcChain>
</file>

<file path=xl/sharedStrings.xml><?xml version="1.0" encoding="utf-8"?>
<sst xmlns="http://schemas.openxmlformats.org/spreadsheetml/2006/main" count="210" uniqueCount="157">
  <si>
    <t>Environmental</t>
  </si>
  <si>
    <t>Rate Base</t>
  </si>
  <si>
    <t>Jurisdictional</t>
  </si>
  <si>
    <t>Adjustments</t>
  </si>
  <si>
    <t>to</t>
  </si>
  <si>
    <t>*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</si>
  <si>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</si>
  <si>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</si>
  <si>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</si>
  <si>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</si>
  <si>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</si>
  <si>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</si>
  <si>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</si>
  <si>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</si>
  <si>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</si>
  <si>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</si>
  <si>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</si>
  <si>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</si>
  <si>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</si>
  <si>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</si>
  <si>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</si>
  <si>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</si>
  <si>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</si>
  <si>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</si>
  <si>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</si>
  <si>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</si>
  <si>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</si>
  <si>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</si>
  <si>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</si>
  <si>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</si>
  <si>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</si>
  <si>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</si>
  <si>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</si>
  <si>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</si>
  <si>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</si>
  <si>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</si>
  <si>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</si>
  <si>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</si>
  <si>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</si>
  <si>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</si>
  <si>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</si>
  <si>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</si>
  <si>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</si>
  <si>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</si>
  <si>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</si>
  <si>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</si>
  <si>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</si>
  <si>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</si>
  <si>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</si>
  <si>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</si>
  <si>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</si>
  <si>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</si>
  <si>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</si>
  <si>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</si>
  <si>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</si>
  <si>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</si>
  <si>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</si>
  <si>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</si>
  <si>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</si>
  <si>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</si>
  <si>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</si>
  <si>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</si>
  <si>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</si>
  <si>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</si>
  <si>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</si>
  <si>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</si>
  <si>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</si>
  <si>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</si>
  <si>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</si>
  <si>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</si>
  <si>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</si>
  <si>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Called Bonds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</si>
  <si>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</si>
  <si>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</si>
  <si>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</si>
  <si>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</si>
  <si>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</si>
  <si>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</si>
  <si>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</si>
  <si>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</si>
  <si>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</si>
  <si>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</si>
  <si>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</si>
  <si>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Letter of Credit Facility</t>
  </si>
  <si>
    <t>Notes Payable to PPL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</si>
  <si>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</si>
  <si>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</si>
  <si>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</si>
  <si>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</si>
  <si>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</si>
  <si>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</si>
  <si>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</si>
  <si>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</si>
  <si>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</si>
  <si>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</si>
  <si>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</si>
  <si>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</si>
  <si>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</si>
  <si>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</si>
  <si>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</si>
  <si>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*  Composite rate at end of current month for Embedded Cost of Capital report and daily average rate for ECR filings.</t>
  </si>
  <si>
    <t>**  Debt discount shown on separate line.</t>
  </si>
  <si>
    <t>USING ENDING BALANCES AND INTEREST RATES</t>
  </si>
  <si>
    <t>ECR - Gross-up Revenue Factor &amp;</t>
  </si>
  <si>
    <t>Composite Income Tax Calculation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</si>
  <si>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</si>
  <si>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</si>
  <si>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</si>
  <si>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</si>
  <si>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</si>
  <si>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</si>
  <si>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</si>
  <si>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</si>
  <si>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</si>
  <si>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</si>
  <si>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</si>
  <si>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</si>
  <si>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</si>
  <si>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</si>
  <si>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</si>
  <si>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</si>
  <si>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</si>
  <si>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</si>
  <si>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</si>
  <si>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</si>
  <si>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</si>
  <si>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</si>
  <si>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</si>
  <si>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</si>
  <si>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</si>
  <si>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</si>
  <si>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</si>
  <si>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</si>
  <si>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</si>
  <si>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</si>
  <si>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</si>
  <si>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</si>
  <si>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Adjusted Electric Rate of Return on Common Equity - All ECR Plans</t>
  </si>
  <si>
    <t>Rounding</t>
  </si>
  <si>
    <t>G/L Balance</t>
  </si>
  <si>
    <t xml:space="preserve">Federal  Tax Rate </t>
  </si>
  <si>
    <t>W/State Prod. Credit</t>
  </si>
  <si>
    <t>(13)*21%</t>
  </si>
  <si>
    <t>W/ 6% 2018 State</t>
  </si>
  <si>
    <t>Embedded Cost of Total Debt</t>
  </si>
  <si>
    <t>As of February 28, 2018</t>
  </si>
  <si>
    <t>02-28-2018</t>
  </si>
  <si>
    <r>
      <t>LONG-TERM DEBT</t>
    </r>
    <r>
      <rPr>
        <b/>
        <sz val="16"/>
        <rFont val="Arial"/>
        <family val="2"/>
      </rPr>
      <t xml:space="preserve"> </t>
    </r>
  </si>
  <si>
    <t>Total Pollution Control Bond Debt</t>
  </si>
  <si>
    <t>Total First Mortgage Bond Debt</t>
  </si>
  <si>
    <t>Other Debt:</t>
  </si>
  <si>
    <t>Total Other Debt</t>
  </si>
  <si>
    <t>1   Call premium and debt expense is being amortized in accordance with ASC 980, Regulated Operations.</t>
  </si>
  <si>
    <t>2   Includes setup fees for Credit Facility amended January 26, 2018 with a term ending January 26, 2023.</t>
  </si>
  <si>
    <t>3   Includes setup fees for Credit Facility amended August 1, 2017 with a term ending October 1, 2020.</t>
  </si>
  <si>
    <t>4  Remarketing fee = 10 basis points</t>
  </si>
  <si>
    <t>5  Revolving Credit Facility fee = 10 basis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</si>
</sst>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#,##0.0000_);\(#,##0.0000\)"/>
    <numFmt numFmtId="178" formatCode="mm/dd/yy_)"/>
    <numFmt numFmtId="179" formatCode="0_);\(0\)"/>
    <numFmt numFmtId="180" formatCode="0.000_)"/>
    <numFmt numFmtId="181" formatCode="mmmm\ d\,\ yyyy"/>
    <numFmt numFmtId="182" formatCode="#,##0.000_);\(#,##0.000\)"/>
    <numFmt numFmtId="183" formatCode="_(&quot;$&quot;* #,##0.0000_);_(&quot;$&quot;* \(#,##0.0000\);_(&quot;$&quot;* &quot;-&quot;??_);_(@_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2"/>
      <name val="Times New Roman"/>
      <family val="1"/>
    </font>
    <font>
      <sz val="1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3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 applyProtection="0"/>
    <xf numFmtId="0" fontId="38" fillId="0" borderId="0" applyProtection="0"/>
    <xf numFmtId="0" fontId="39" fillId="0" borderId="0" applyProtection="0"/>
    <xf numFmtId="0" fontId="12" fillId="0" borderId="0" applyProtection="0"/>
    <xf numFmtId="0" fontId="15" fillId="0" borderId="0" applyProtection="0"/>
    <xf numFmtId="0" fontId="17" fillId="0" borderId="0" applyProtection="0"/>
    <xf numFmtId="0" fontId="40" fillId="0" borderId="0" applyProtection="0"/>
    <xf numFmtId="2" fontId="15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37" fontId="41" fillId="0" borderId="0"/>
    <xf numFmtId="0" fontId="10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4" fillId="5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8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 applyProtection="0"/>
    <xf numFmtId="0" fontId="10" fillId="0" borderId="0" applyProtection="0"/>
    <xf numFmtId="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0" borderId="14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7" fontId="41" fillId="0" borderId="0"/>
    <xf numFmtId="0" fontId="4" fillId="0" borderId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2" borderId="0" applyNumberFormat="0" applyBorder="0" applyAlignment="0" applyProtection="0"/>
    <xf numFmtId="170" fontId="4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2" borderId="0" applyNumberFormat="0" applyBorder="0" applyAlignment="0" applyProtection="0"/>
    <xf numFmtId="170" fontId="4" fillId="22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3" borderId="0" applyNumberFormat="0" applyBorder="0" applyAlignment="0" applyProtection="0"/>
    <xf numFmtId="170" fontId="4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3" borderId="0" applyNumberFormat="0" applyBorder="0" applyAlignment="0" applyProtection="0"/>
    <xf numFmtId="170" fontId="4" fillId="2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4" borderId="0" applyNumberFormat="0" applyBorder="0" applyAlignment="0" applyProtection="0"/>
    <xf numFmtId="170" fontId="4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4" borderId="0" applyNumberFormat="0" applyBorder="0" applyAlignment="0" applyProtection="0"/>
    <xf numFmtId="170" fontId="4" fillId="2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4" fillId="25" borderId="0" applyNumberFormat="0" applyBorder="0" applyAlignment="0" applyProtection="0"/>
    <xf numFmtId="170" fontId="4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4" fontId="19" fillId="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4" fillId="25" borderId="0" applyNumberFormat="0" applyBorder="0" applyAlignment="0" applyProtection="0"/>
    <xf numFmtId="170" fontId="4" fillId="25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6" borderId="0" applyNumberFormat="0" applyBorder="0" applyAlignment="0" applyProtection="0"/>
    <xf numFmtId="170" fontId="4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6" borderId="0" applyNumberFormat="0" applyBorder="0" applyAlignment="0" applyProtection="0"/>
    <xf numFmtId="170" fontId="4" fillId="26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27" borderId="0" applyNumberFormat="0" applyBorder="0" applyAlignment="0" applyProtection="0"/>
    <xf numFmtId="170" fontId="4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27" borderId="0" applyNumberFormat="0" applyBorder="0" applyAlignment="0" applyProtection="0"/>
    <xf numFmtId="170" fontId="4" fillId="27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8" borderId="0" applyNumberFormat="0" applyBorder="0" applyAlignment="0" applyProtection="0"/>
    <xf numFmtId="170" fontId="4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8" borderId="0" applyNumberFormat="0" applyBorder="0" applyAlignment="0" applyProtection="0"/>
    <xf numFmtId="170" fontId="4" fillId="28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9" borderId="0" applyNumberFormat="0" applyBorder="0" applyAlignment="0" applyProtection="0"/>
    <xf numFmtId="170" fontId="4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9" borderId="0" applyNumberFormat="0" applyBorder="0" applyAlignment="0" applyProtection="0"/>
    <xf numFmtId="170" fontId="4" fillId="29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30" borderId="0" applyNumberFormat="0" applyBorder="0" applyAlignment="0" applyProtection="0"/>
    <xf numFmtId="170" fontId="4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30" borderId="0" applyNumberFormat="0" applyBorder="0" applyAlignment="0" applyProtection="0"/>
    <xf numFmtId="170" fontId="4" fillId="30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4" fillId="31" borderId="0" applyNumberFormat="0" applyBorder="0" applyAlignment="0" applyProtection="0"/>
    <xf numFmtId="170" fontId="4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4" fontId="19" fillId="6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4" fillId="31" borderId="0" applyNumberFormat="0" applyBorder="0" applyAlignment="0" applyProtection="0"/>
    <xf numFmtId="170" fontId="4" fillId="31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32" borderId="0" applyNumberFormat="0" applyBorder="0" applyAlignment="0" applyProtection="0"/>
    <xf numFmtId="170" fontId="4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32" borderId="0" applyNumberFormat="0" applyBorder="0" applyAlignment="0" applyProtection="0"/>
    <xf numFmtId="170" fontId="4" fillId="32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33" borderId="0" applyNumberFormat="0" applyBorder="0" applyAlignment="0" applyProtection="0"/>
    <xf numFmtId="170" fontId="4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33" borderId="0" applyNumberFormat="0" applyBorder="0" applyAlignment="0" applyProtection="0"/>
    <xf numFmtId="170" fontId="4" fillId="3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55" fillId="34" borderId="0" applyNumberFormat="0" applyBorder="0" applyAlignment="0" applyProtection="0"/>
    <xf numFmtId="170" fontId="55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0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0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13" fillId="7" borderId="0" applyNumberFormat="0" applyBorder="0" applyAlignment="0" applyProtection="0"/>
    <xf numFmtId="0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55" fillId="35" borderId="0" applyNumberFormat="0" applyBorder="0" applyAlignment="0" applyProtection="0"/>
    <xf numFmtId="170" fontId="55" fillId="3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0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13" fillId="3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55" fillId="36" borderId="0" applyNumberFormat="0" applyBorder="0" applyAlignment="0" applyProtection="0"/>
    <xf numFmtId="170" fontId="55" fillId="3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0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0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55" fillId="37" borderId="0" applyNumberFormat="0" applyBorder="0" applyAlignment="0" applyProtection="0"/>
    <xf numFmtId="170" fontId="55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0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0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55" fillId="39" borderId="0" applyNumberFormat="0" applyBorder="0" applyAlignment="0" applyProtection="0"/>
    <xf numFmtId="170" fontId="55" fillId="3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55" fillId="40" borderId="0" applyNumberFormat="0" applyBorder="0" applyAlignment="0" applyProtection="0"/>
    <xf numFmtId="170" fontId="55" fillId="4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0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0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55" fillId="41" borderId="0" applyNumberFormat="0" applyBorder="0" applyAlignment="0" applyProtection="0"/>
    <xf numFmtId="170" fontId="55" fillId="4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0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0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55" fillId="42" borderId="0" applyNumberFormat="0" applyBorder="0" applyAlignment="0" applyProtection="0"/>
    <xf numFmtId="170" fontId="55" fillId="4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0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0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55" fillId="43" borderId="0" applyNumberFormat="0" applyBorder="0" applyAlignment="0" applyProtection="0"/>
    <xf numFmtId="170" fontId="55" fillId="4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55" fillId="44" borderId="0" applyNumberFormat="0" applyBorder="0" applyAlignment="0" applyProtection="0"/>
    <xf numFmtId="170" fontId="55" fillId="4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55" fillId="45" borderId="0" applyNumberFormat="0" applyBorder="0" applyAlignment="0" applyProtection="0"/>
    <xf numFmtId="170" fontId="55" fillId="45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4" fontId="21" fillId="13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56" fillId="46" borderId="0" applyNumberFormat="0" applyBorder="0" applyAlignment="0" applyProtection="0"/>
    <xf numFmtId="170" fontId="56" fillId="46" borderId="0" applyNumberFormat="0" applyBorder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57" fillId="47" borderId="16" applyNumberFormat="0" applyAlignment="0" applyProtection="0"/>
    <xf numFmtId="170" fontId="57" fillId="47" borderId="16" applyNumberFormat="0" applyAlignment="0" applyProtection="0"/>
    <xf numFmtId="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4" fontId="23" fillId="14" borderId="2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0" fontId="58" fillId="48" borderId="17" applyNumberFormat="0" applyAlignment="0" applyProtection="0"/>
    <xf numFmtId="170" fontId="58" fillId="48" borderId="17" applyNumberFormat="0" applyAlignment="0" applyProtection="0"/>
    <xf numFmtId="0" fontId="23" fillId="15" borderId="0">
      <alignment horizontal="left"/>
    </xf>
    <xf numFmtId="174" fontId="23" fillId="15" borderId="0">
      <alignment horizontal="left"/>
    </xf>
    <xf numFmtId="0" fontId="35" fillId="15" borderId="0">
      <alignment horizontal="right"/>
    </xf>
    <xf numFmtId="174" fontId="35" fillId="15" borderId="0">
      <alignment horizontal="right"/>
    </xf>
    <xf numFmtId="0" fontId="36" fillId="16" borderId="0">
      <alignment horizontal="center"/>
    </xf>
    <xf numFmtId="174" fontId="36" fillId="16" borderId="0">
      <alignment horizontal="center"/>
    </xf>
    <xf numFmtId="0" fontId="35" fillId="15" borderId="0">
      <alignment horizontal="right"/>
    </xf>
    <xf numFmtId="174" fontId="35" fillId="15" borderId="0">
      <alignment horizontal="right"/>
    </xf>
    <xf numFmtId="0" fontId="37" fillId="16" borderId="0">
      <alignment horizontal="left"/>
    </xf>
    <xf numFmtId="174" fontId="37" fillId="16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17" fillId="0" borderId="0" applyProtection="0"/>
    <xf numFmtId="174" fontId="17" fillId="0" borderId="0" applyProtection="0"/>
    <xf numFmtId="0" fontId="38" fillId="0" borderId="0" applyProtection="0"/>
    <xf numFmtId="174" fontId="38" fillId="0" borderId="0" applyProtection="0"/>
    <xf numFmtId="0" fontId="39" fillId="0" borderId="0" applyProtection="0"/>
    <xf numFmtId="174" fontId="39" fillId="0" borderId="0" applyProtection="0"/>
    <xf numFmtId="0" fontId="11" fillId="0" borderId="0" applyProtection="0"/>
    <xf numFmtId="174" fontId="11" fillId="0" borderId="0" applyProtection="0"/>
    <xf numFmtId="0" fontId="11" fillId="0" borderId="0" applyProtection="0"/>
    <xf numFmtId="174" fontId="11" fillId="0" borderId="0" applyProtection="0"/>
    <xf numFmtId="0" fontId="10" fillId="0" borderId="0" applyProtection="0"/>
    <xf numFmtId="174" fontId="10" fillId="0" borderId="0" applyProtection="0"/>
    <xf numFmtId="0" fontId="10" fillId="0" borderId="0" applyProtection="0"/>
    <xf numFmtId="174" fontId="10" fillId="0" borderId="0" applyProtection="0"/>
    <xf numFmtId="0" fontId="17" fillId="0" borderId="0" applyProtection="0"/>
    <xf numFmtId="174" fontId="17" fillId="0" borderId="0" applyProtection="0"/>
    <xf numFmtId="0" fontId="40" fillId="0" borderId="0" applyProtection="0"/>
    <xf numFmtId="174" fontId="40" fillId="0" borderId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4" fontId="25" fillId="17" borderId="0" applyNumberFormat="0" applyBorder="0" applyAlignment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62" fillId="49" borderId="0" applyNumberFormat="0" applyBorder="0" applyAlignment="0" applyProtection="0"/>
    <xf numFmtId="170" fontId="62" fillId="49" borderId="0" applyNumberFormat="0" applyBorder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4" fontId="26" fillId="0" borderId="3" applyNumberFormat="0" applyFill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63" fillId="0" borderId="18" applyNumberFormat="0" applyFill="0" applyAlignment="0" applyProtection="0"/>
    <xf numFmtId="170" fontId="63" fillId="0" borderId="18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4" fontId="27" fillId="0" borderId="4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64" fillId="0" borderId="19" applyNumberFormat="0" applyFill="0" applyAlignment="0" applyProtection="0"/>
    <xf numFmtId="170" fontId="64" fillId="0" borderId="19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66" fillId="50" borderId="16" applyNumberFormat="0" applyAlignment="0" applyProtection="0"/>
    <xf numFmtId="170" fontId="66" fillId="50" borderId="16" applyNumberFormat="0" applyAlignment="0" applyProtection="0"/>
    <xf numFmtId="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0" fontId="23" fillId="15" borderId="0">
      <alignment horizontal="left"/>
    </xf>
    <xf numFmtId="174" fontId="23" fillId="15" borderId="0">
      <alignment horizontal="left"/>
    </xf>
    <xf numFmtId="0" fontId="34" fillId="16" borderId="0">
      <alignment horizontal="left"/>
    </xf>
    <xf numFmtId="174" fontId="34" fillId="16" borderId="0">
      <alignment horizontal="left"/>
    </xf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4" fontId="30" fillId="0" borderId="6" applyNumberFormat="0" applyFill="0" applyAlignment="0" applyProtection="0"/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67" fillId="0" borderId="21" applyNumberFormat="0" applyFill="0" applyAlignment="0" applyProtection="0"/>
    <xf numFmtId="170" fontId="67" fillId="0" borderId="21" applyNumberFormat="0" applyFill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68" fillId="51" borderId="0" applyNumberFormat="0" applyBorder="0" applyAlignment="0" applyProtection="0"/>
    <xf numFmtId="170" fontId="68" fillId="51" borderId="0" applyNumberFormat="0" applyBorder="0" applyAlignment="0" applyProtection="0"/>
    <xf numFmtId="0" fontId="10" fillId="0" borderId="0"/>
    <xf numFmtId="170" fontId="10" fillId="0" borderId="0"/>
    <xf numFmtId="0" fontId="10" fillId="0" borderId="0"/>
    <xf numFmtId="174" fontId="10" fillId="0" borderId="0"/>
    <xf numFmtId="174" fontId="10" fillId="0" borderId="0"/>
    <xf numFmtId="170" fontId="4" fillId="0" borderId="0"/>
    <xf numFmtId="174" fontId="10" fillId="0" borderId="0"/>
    <xf numFmtId="0" fontId="69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10" fillId="0" borderId="0"/>
    <xf numFmtId="0" fontId="4" fillId="0" borderId="0"/>
    <xf numFmtId="170" fontId="10" fillId="0" borderId="0"/>
    <xf numFmtId="0" fontId="7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0" fontId="10" fillId="0" borderId="0"/>
    <xf numFmtId="170" fontId="4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170" fontId="4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0" fontId="4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71" fillId="0" borderId="0"/>
    <xf numFmtId="170" fontId="10" fillId="0" borderId="0"/>
    <xf numFmtId="170" fontId="10" fillId="0" borderId="0"/>
    <xf numFmtId="0" fontId="10" fillId="0" borderId="0"/>
    <xf numFmtId="0" fontId="59" fillId="0" borderId="0"/>
    <xf numFmtId="0" fontId="4" fillId="0" borderId="0"/>
    <xf numFmtId="0" fontId="4" fillId="0" borderId="0"/>
    <xf numFmtId="170" fontId="10" fillId="0" borderId="0"/>
    <xf numFmtId="170" fontId="4" fillId="0" borderId="0"/>
    <xf numFmtId="0" fontId="4" fillId="0" borderId="0"/>
    <xf numFmtId="0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174" fontId="10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0" fontId="4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7" fillId="0" borderId="0"/>
    <xf numFmtId="174" fontId="7" fillId="0" borderId="0"/>
    <xf numFmtId="0" fontId="7" fillId="0" borderId="0"/>
    <xf numFmtId="174" fontId="7" fillId="0" borderId="0"/>
    <xf numFmtId="0" fontId="7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4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4" fillId="52" borderId="22" applyNumberFormat="0" applyFont="0" applyAlignment="0" applyProtection="0"/>
    <xf numFmtId="170" fontId="4" fillId="52" borderId="22" applyNumberFormat="0" applyFont="0" applyAlignment="0" applyProtection="0"/>
    <xf numFmtId="170" fontId="10" fillId="19" borderId="7" applyNumberFormat="0" applyFont="0" applyAlignment="0" applyProtection="0"/>
    <xf numFmtId="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4" fillId="52" borderId="22" applyNumberFormat="0" applyFont="0" applyAlignment="0" applyProtection="0"/>
    <xf numFmtId="170" fontId="4" fillId="52" borderId="22" applyNumberFormat="0" applyFont="0" applyAlignment="0" applyProtection="0"/>
    <xf numFmtId="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72" fillId="47" borderId="23" applyNumberFormat="0" applyAlignment="0" applyProtection="0"/>
    <xf numFmtId="170" fontId="72" fillId="47" borderId="23" applyNumberFormat="0" applyAlignment="0" applyProtection="0"/>
    <xf numFmtId="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42" fillId="20" borderId="0">
      <alignment horizontal="center" vertical="center"/>
    </xf>
    <xf numFmtId="174" fontId="42" fillId="20" borderId="0">
      <alignment horizontal="center" vertical="center"/>
    </xf>
    <xf numFmtId="170" fontId="73" fillId="20" borderId="0">
      <alignment horizontal="right"/>
    </xf>
    <xf numFmtId="170" fontId="73" fillId="20" borderId="0">
      <alignment horizontal="right"/>
    </xf>
    <xf numFmtId="170" fontId="73" fillId="20" borderId="0">
      <alignment horizontal="right"/>
    </xf>
    <xf numFmtId="174" fontId="42" fillId="20" borderId="0">
      <alignment horizontal="center" vertical="center"/>
    </xf>
    <xf numFmtId="170" fontId="73" fillId="20" borderId="0">
      <alignment horizontal="right"/>
    </xf>
    <xf numFmtId="170" fontId="73" fillId="20" borderId="0">
      <alignment horizontal="right"/>
    </xf>
    <xf numFmtId="0" fontId="42" fillId="20" borderId="0">
      <alignment horizontal="center" vertical="center"/>
    </xf>
    <xf numFmtId="0" fontId="34" fillId="20" borderId="14"/>
    <xf numFmtId="174" fontId="34" fillId="20" borderId="14"/>
    <xf numFmtId="0" fontId="34" fillId="20" borderId="14"/>
    <xf numFmtId="170" fontId="74" fillId="20" borderId="14"/>
    <xf numFmtId="170" fontId="74" fillId="20" borderId="14"/>
    <xf numFmtId="170" fontId="74" fillId="20" borderId="14"/>
    <xf numFmtId="0" fontId="34" fillId="20" borderId="14"/>
    <xf numFmtId="174" fontId="34" fillId="20" borderId="14"/>
    <xf numFmtId="174" fontId="34" fillId="20" borderId="14"/>
    <xf numFmtId="170" fontId="74" fillId="20" borderId="14"/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0" fontId="43" fillId="20" borderId="0" applyBorder="0">
      <alignment horizontal="centerContinuous"/>
    </xf>
    <xf numFmtId="174" fontId="43" fillId="20" borderId="0" applyBorder="0">
      <alignment horizontal="centerContinuous"/>
    </xf>
    <xf numFmtId="170" fontId="75" fillId="0" borderId="0" applyBorder="0">
      <alignment horizontal="centerContinuous"/>
    </xf>
    <xf numFmtId="170" fontId="75" fillId="0" borderId="0" applyBorder="0">
      <alignment horizontal="centerContinuous"/>
    </xf>
    <xf numFmtId="170" fontId="75" fillId="0" borderId="0" applyBorder="0">
      <alignment horizontal="centerContinuous"/>
    </xf>
    <xf numFmtId="174" fontId="43" fillId="20" borderId="0" applyBorder="0">
      <alignment horizontal="centerContinuous"/>
    </xf>
    <xf numFmtId="170" fontId="75" fillId="0" borderId="0" applyBorder="0">
      <alignment horizontal="centerContinuous"/>
    </xf>
    <xf numFmtId="170" fontId="75" fillId="0" borderId="0" applyBorder="0">
      <alignment horizontal="centerContinuous"/>
    </xf>
    <xf numFmtId="0" fontId="43" fillId="20" borderId="0" applyBorder="0">
      <alignment horizontal="centerContinuous"/>
    </xf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4" fillId="18" borderId="0">
      <alignment horizontal="center"/>
    </xf>
    <xf numFmtId="174" fontId="34" fillId="18" borderId="0">
      <alignment horizontal="center"/>
    </xf>
    <xf numFmtId="0" fontId="35" fillId="15" borderId="0">
      <alignment horizontal="center"/>
    </xf>
    <xf numFmtId="174" fontId="35" fillId="15" borderId="0">
      <alignment horizontal="center"/>
    </xf>
    <xf numFmtId="0" fontId="35" fillId="15" borderId="0">
      <alignment horizontal="centerContinuous"/>
    </xf>
    <xf numFmtId="174" fontId="35" fillId="15" borderId="0">
      <alignment horizontal="centerContinuous"/>
    </xf>
    <xf numFmtId="0" fontId="45" fillId="16" borderId="0">
      <alignment horizontal="left"/>
    </xf>
    <xf numFmtId="174" fontId="45" fillId="16" borderId="0">
      <alignment horizontal="left"/>
    </xf>
    <xf numFmtId="0" fontId="23" fillId="15" borderId="0">
      <alignment horizontal="left"/>
    </xf>
    <xf numFmtId="174" fontId="23" fillId="15" borderId="0">
      <alignment horizontal="left"/>
    </xf>
    <xf numFmtId="0" fontId="23" fillId="15" borderId="0">
      <alignment horizontal="centerContinuous"/>
    </xf>
    <xf numFmtId="174" fontId="23" fillId="15" borderId="0">
      <alignment horizontal="centerContinuous"/>
    </xf>
    <xf numFmtId="0" fontId="23" fillId="15" borderId="0">
      <alignment horizontal="right"/>
    </xf>
    <xf numFmtId="174" fontId="23" fillId="15" borderId="0">
      <alignment horizontal="right"/>
    </xf>
    <xf numFmtId="0" fontId="35" fillId="15" borderId="0">
      <alignment horizontal="right"/>
    </xf>
    <xf numFmtId="174" fontId="35" fillId="15" borderId="0">
      <alignment horizontal="right"/>
    </xf>
    <xf numFmtId="0" fontId="45" fillId="5" borderId="0">
      <alignment horizontal="center"/>
    </xf>
    <xf numFmtId="174" fontId="45" fillId="5" borderId="0">
      <alignment horizontal="center"/>
    </xf>
    <xf numFmtId="0" fontId="14" fillId="5" borderId="0">
      <alignment horizontal="center"/>
    </xf>
    <xf numFmtId="174" fontId="14" fillId="5" borderId="0">
      <alignment horizontal="center"/>
    </xf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0" fontId="19" fillId="0" borderId="0">
      <alignment vertical="top"/>
    </xf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6" fontId="10" fillId="21" borderId="24">
      <alignment horizontal="right"/>
    </xf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77" fillId="0" borderId="25" applyNumberFormat="0" applyFill="0" applyAlignment="0" applyProtection="0"/>
    <xf numFmtId="170" fontId="77" fillId="0" borderId="25" applyNumberFormat="0" applyFill="0" applyAlignment="0" applyProtection="0"/>
    <xf numFmtId="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0" fontId="46" fillId="16" borderId="0">
      <alignment horizontal="center"/>
    </xf>
    <xf numFmtId="174" fontId="46" fillId="16" borderId="0">
      <alignment horizont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170" fontId="10" fillId="0" borderId="0"/>
    <xf numFmtId="170" fontId="10" fillId="0" borderId="0"/>
    <xf numFmtId="0" fontId="3" fillId="0" borderId="0"/>
    <xf numFmtId="0" fontId="62" fillId="49" borderId="0" applyNumberFormat="0" applyBorder="0" applyAlignment="0" applyProtection="0"/>
    <xf numFmtId="37" fontId="4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37" fontId="48" fillId="0" borderId="0" xfId="64" applyFont="1" applyAlignment="1">
      <alignment horizontal="left"/>
    </xf>
    <xf numFmtId="37" fontId="48" fillId="0" borderId="0" xfId="64" applyFont="1"/>
    <xf numFmtId="37" fontId="49" fillId="0" borderId="0" xfId="64" applyFont="1"/>
    <xf numFmtId="37" fontId="49" fillId="0" borderId="0" xfId="64" applyFont="1" applyBorder="1"/>
    <xf numFmtId="37" fontId="50" fillId="0" borderId="0" xfId="64" applyFont="1" applyAlignment="1">
      <alignment horizontal="center"/>
    </xf>
    <xf numFmtId="37" fontId="50" fillId="0" borderId="0" xfId="64" applyFont="1" applyAlignment="1">
      <alignment horizontal="left"/>
    </xf>
    <xf numFmtId="37" fontId="50" fillId="0" borderId="0" xfId="64" applyFont="1" applyAlignment="1"/>
    <xf numFmtId="37" fontId="48" fillId="0" borderId="0" xfId="64" applyFont="1" applyAlignment="1">
      <alignment horizontal="centerContinuous"/>
    </xf>
    <xf numFmtId="37" fontId="50" fillId="0" borderId="0" xfId="64" quotePrefix="1" applyFont="1" applyAlignment="1">
      <alignment horizontal="center"/>
    </xf>
    <xf numFmtId="43" fontId="51" fillId="0" borderId="0" xfId="33" applyFont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Border="1" applyAlignment="1">
      <alignment horizontal="center"/>
    </xf>
    <xf numFmtId="37" fontId="49" fillId="0" borderId="0" xfId="64" quotePrefix="1" applyFont="1" applyAlignment="1">
      <alignment horizontal="center"/>
    </xf>
    <xf numFmtId="37" fontId="52" fillId="0" borderId="0" xfId="64" quotePrefix="1" applyFont="1" applyAlignment="1">
      <alignment horizontal="center"/>
    </xf>
    <xf numFmtId="37" fontId="49" fillId="0" borderId="11" xfId="64" applyFont="1" applyBorder="1" applyAlignment="1">
      <alignment horizontal="center"/>
    </xf>
    <xf numFmtId="37" fontId="50" fillId="0" borderId="0" xfId="64" applyFont="1"/>
    <xf numFmtId="37" fontId="49" fillId="0" borderId="0" xfId="64" quotePrefix="1" applyFont="1" applyAlignment="1">
      <alignment horizontal="left"/>
    </xf>
    <xf numFmtId="167" fontId="49" fillId="0" borderId="0" xfId="37" applyNumberFormat="1" applyFont="1"/>
    <xf numFmtId="10" fontId="49" fillId="0" borderId="0" xfId="72" applyNumberFormat="1" applyFont="1"/>
    <xf numFmtId="10" fontId="49" fillId="0" borderId="0" xfId="72" applyNumberFormat="1" applyFont="1" applyFill="1" applyAlignment="1">
      <alignment horizontal="center"/>
    </xf>
    <xf numFmtId="10" fontId="49" fillId="0" borderId="0" xfId="72" applyNumberFormat="1" applyFont="1" applyAlignment="1">
      <alignment horizontal="center"/>
    </xf>
    <xf numFmtId="10" fontId="49" fillId="0" borderId="0" xfId="64" applyNumberFormat="1" applyFont="1"/>
    <xf numFmtId="167" fontId="49" fillId="0" borderId="13" xfId="37" applyNumberFormat="1" applyFont="1" applyBorder="1"/>
    <xf numFmtId="164" fontId="49" fillId="0" borderId="13" xfId="72" applyNumberFormat="1" applyFont="1" applyBorder="1"/>
    <xf numFmtId="0" fontId="49" fillId="0" borderId="0" xfId="64" applyNumberFormat="1" applyFont="1" applyAlignment="1">
      <alignment horizontal="center"/>
    </xf>
    <xf numFmtId="43" fontId="51" fillId="0" borderId="0" xfId="33" applyFont="1" applyBorder="1" applyAlignment="1">
      <alignment horizontal="center"/>
    </xf>
    <xf numFmtId="37" fontId="49" fillId="0" borderId="0" xfId="64" quotePrefix="1" applyFont="1" applyBorder="1" applyAlignment="1">
      <alignment horizontal="center"/>
    </xf>
    <xf numFmtId="37" fontId="48" fillId="0" borderId="0" xfId="64" applyFont="1" applyBorder="1"/>
    <xf numFmtId="10" fontId="49" fillId="0" borderId="0" xfId="72" applyNumberFormat="1" applyFont="1" applyBorder="1"/>
    <xf numFmtId="10" fontId="49" fillId="0" borderId="0" xfId="64" applyNumberFormat="1" applyFont="1" applyBorder="1"/>
    <xf numFmtId="164" fontId="53" fillId="0" borderId="0" xfId="72" applyNumberFormat="1" applyFont="1" applyBorder="1"/>
    <xf numFmtId="37" fontId="41" fillId="0" borderId="0" xfId="64"/>
    <xf numFmtId="10" fontId="49" fillId="0" borderId="0" xfId="72" applyNumberFormat="1" applyFont="1" applyFill="1" applyBorder="1"/>
    <xf numFmtId="37" fontId="41" fillId="20" borderId="0" xfId="64" quotePrefix="1" applyFill="1" applyAlignment="1"/>
    <xf numFmtId="10" fontId="49" fillId="0" borderId="0" xfId="72" applyNumberFormat="1" applyFont="1" applyFill="1"/>
    <xf numFmtId="10" fontId="49" fillId="0" borderId="13" xfId="72" quotePrefix="1" applyNumberFormat="1" applyFont="1" applyFill="1" applyBorder="1" applyAlignment="1">
      <alignment horizontal="center"/>
    </xf>
    <xf numFmtId="171" fontId="49" fillId="0" borderId="0" xfId="72" applyNumberFormat="1" applyFont="1" applyBorder="1"/>
    <xf numFmtId="164" fontId="49" fillId="0" borderId="0" xfId="72" applyNumberFormat="1" applyFont="1" applyBorder="1"/>
    <xf numFmtId="172" fontId="49" fillId="0" borderId="0" xfId="72" applyNumberFormat="1" applyFont="1" applyBorder="1"/>
    <xf numFmtId="167" fontId="49" fillId="0" borderId="13" xfId="37" applyNumberFormat="1" applyFont="1" applyFill="1" applyBorder="1"/>
    <xf numFmtId="167" fontId="49" fillId="0" borderId="0" xfId="37" applyNumberFormat="1" applyFont="1" applyFill="1"/>
    <xf numFmtId="37" fontId="49" fillId="0" borderId="0" xfId="64" applyFont="1" applyFill="1"/>
    <xf numFmtId="166" fontId="49" fillId="0" borderId="0" xfId="33" applyNumberFormat="1" applyFont="1" applyFill="1"/>
    <xf numFmtId="167" fontId="49" fillId="0" borderId="0" xfId="37" applyNumberFormat="1" applyFont="1" applyFill="1" applyBorder="1"/>
    <xf numFmtId="37" fontId="49" fillId="0" borderId="0" xfId="64" applyFont="1" applyFill="1" applyBorder="1"/>
    <xf numFmtId="164" fontId="49" fillId="0" borderId="13" xfId="72" applyNumberFormat="1" applyFont="1" applyFill="1" applyBorder="1"/>
    <xf numFmtId="167" fontId="49" fillId="0" borderId="0" xfId="37" applyNumberFormat="1" applyFont="1" applyFill="1" applyBorder="1" applyAlignment="1">
      <alignment horizontal="center"/>
    </xf>
    <xf numFmtId="166" fontId="49" fillId="0" borderId="0" xfId="33" applyNumberFormat="1" applyFont="1" applyFill="1" applyBorder="1" applyAlignment="1">
      <alignment horizontal="center"/>
    </xf>
    <xf numFmtId="10" fontId="49" fillId="0" borderId="12" xfId="72" applyNumberFormat="1" applyFont="1" applyFill="1" applyBorder="1" applyAlignment="1">
      <alignment horizontal="center"/>
    </xf>
    <xf numFmtId="37" fontId="50" fillId="0" borderId="0" xfId="64" applyFont="1" applyAlignment="1">
      <alignment horizontal="center"/>
    </xf>
    <xf numFmtId="37" fontId="52" fillId="0" borderId="0" xfId="64" quotePrefix="1" applyFont="1" applyFill="1" applyAlignment="1">
      <alignment horizontal="center"/>
    </xf>
    <xf numFmtId="37" fontId="49" fillId="0" borderId="11" xfId="64" applyFont="1" applyFill="1" applyBorder="1" applyAlignment="1">
      <alignment horizontal="center"/>
    </xf>
    <xf numFmtId="37" fontId="49" fillId="0" borderId="0" xfId="64" applyFont="1" applyFill="1" applyAlignment="1">
      <alignment horizontal="center"/>
    </xf>
    <xf numFmtId="37" fontId="49" fillId="0" borderId="0" xfId="64" quotePrefix="1" applyFont="1"/>
    <xf numFmtId="43" fontId="48" fillId="0" borderId="0" xfId="33" applyFont="1" applyFill="1" applyAlignment="1">
      <alignment horizontal="center"/>
    </xf>
    <xf numFmtId="37" fontId="50" fillId="0" borderId="0" xfId="64" applyFont="1" applyAlignment="1">
      <alignment horizontal="center"/>
    </xf>
    <xf numFmtId="37" fontId="50" fillId="0" borderId="0" xfId="64" applyFont="1" applyAlignment="1">
      <alignment horizontal="centerContinuous"/>
    </xf>
    <xf numFmtId="37" fontId="50" fillId="0" borderId="0" xfId="64" quotePrefix="1" applyFont="1" applyAlignment="1">
      <alignment horizontal="centerContinuous"/>
    </xf>
    <xf numFmtId="37" fontId="49" fillId="0" borderId="0" xfId="143" applyFont="1" applyFill="1" applyBorder="1"/>
    <xf numFmtId="37" fontId="50" fillId="0" borderId="0" xfId="64" applyFont="1" applyFill="1" applyAlignment="1">
      <alignment horizontal="centerContinuous"/>
    </xf>
    <xf numFmtId="43" fontId="80" fillId="0" borderId="15" xfId="33" applyFont="1" applyFill="1" applyBorder="1"/>
    <xf numFmtId="164" fontId="80" fillId="0" borderId="14" xfId="72" applyNumberFormat="1" applyFont="1" applyFill="1" applyBorder="1"/>
    <xf numFmtId="43" fontId="80" fillId="0" borderId="0" xfId="33" applyFont="1" applyFill="1" applyBorder="1" applyAlignment="1">
      <alignment horizontal="center"/>
    </xf>
    <xf numFmtId="43" fontId="80" fillId="0" borderId="0" xfId="33" applyFont="1" applyFill="1"/>
    <xf numFmtId="164" fontId="80" fillId="0" borderId="29" xfId="72" applyNumberFormat="1" applyFont="1" applyFill="1" applyBorder="1"/>
    <xf numFmtId="164" fontId="80" fillId="0" borderId="0" xfId="72" applyNumberFormat="1" applyFont="1" applyFill="1"/>
    <xf numFmtId="37" fontId="49" fillId="0" borderId="0" xfId="57525" applyFont="1" applyFill="1" applyBorder="1" applyAlignment="1">
      <alignment horizontal="left"/>
    </xf>
    <xf numFmtId="37" fontId="49" fillId="0" borderId="0" xfId="57525" applyFont="1" applyFill="1" applyBorder="1"/>
    <xf numFmtId="37" fontId="49" fillId="0" borderId="0" xfId="57525" quotePrefix="1" applyFont="1" applyFill="1" applyAlignment="1">
      <alignment horizontal="left"/>
    </xf>
    <xf numFmtId="37" fontId="49" fillId="0" borderId="0" xfId="57525" quotePrefix="1" applyFont="1" applyFill="1" applyBorder="1" applyAlignment="1">
      <alignment horizontal="left"/>
    </xf>
    <xf numFmtId="37" fontId="38" fillId="0" borderId="0" xfId="57525" quotePrefix="1" applyFont="1" applyFill="1" applyAlignment="1">
      <alignment horizontal="center"/>
    </xf>
    <xf numFmtId="164" fontId="80" fillId="0" borderId="0" xfId="72" applyNumberFormat="1" applyFont="1" applyFill="1" applyBorder="1"/>
    <xf numFmtId="0" fontId="79" fillId="0" borderId="0" xfId="0" applyFont="1" applyFill="1" applyAlignment="1"/>
    <xf numFmtId="0" fontId="79" fillId="0" borderId="0" xfId="0" applyFont="1" applyFill="1"/>
    <xf numFmtId="0" fontId="79" fillId="0" borderId="15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/>
    <xf numFmtId="177" fontId="80" fillId="0" borderId="14" xfId="0" applyNumberFormat="1" applyFont="1" applyFill="1" applyBorder="1"/>
    <xf numFmtId="0" fontId="80" fillId="0" borderId="0" xfId="0" applyFont="1" applyFill="1"/>
    <xf numFmtId="0" fontId="80" fillId="0" borderId="0" xfId="0" applyFont="1" applyFill="1" applyBorder="1" applyAlignment="1">
      <alignment horizontal="right"/>
    </xf>
    <xf numFmtId="177" fontId="80" fillId="0" borderId="14" xfId="0" applyNumberFormat="1" applyFont="1" applyFill="1" applyBorder="1" applyAlignment="1">
      <alignment horizontal="center"/>
    </xf>
    <xf numFmtId="0" fontId="80" fillId="0" borderId="15" xfId="0" applyFont="1" applyFill="1" applyBorder="1"/>
    <xf numFmtId="0" fontId="81" fillId="0" borderId="0" xfId="0" applyFont="1" applyFill="1" applyBorder="1" applyAlignment="1">
      <alignment horizontal="center"/>
    </xf>
    <xf numFmtId="0" fontId="80" fillId="0" borderId="11" xfId="0" applyFont="1" applyFill="1" applyBorder="1" applyAlignment="1">
      <alignment horizontal="center" wrapText="1"/>
    </xf>
    <xf numFmtId="0" fontId="80" fillId="0" borderId="11" xfId="0" applyFont="1" applyFill="1" applyBorder="1" applyAlignment="1">
      <alignment horizontal="right" wrapText="1"/>
    </xf>
    <xf numFmtId="177" fontId="80" fillId="0" borderId="29" xfId="0" applyNumberFormat="1" applyFont="1" applyFill="1" applyBorder="1" applyAlignment="1">
      <alignment horizontal="center"/>
    </xf>
    <xf numFmtId="0" fontId="79" fillId="0" borderId="15" xfId="0" applyFont="1" applyFill="1" applyBorder="1"/>
    <xf numFmtId="178" fontId="80" fillId="0" borderId="0" xfId="0" applyNumberFormat="1" applyFont="1" applyFill="1" applyBorder="1" applyAlignment="1">
      <alignment horizontal="center"/>
    </xf>
    <xf numFmtId="165" fontId="80" fillId="0" borderId="0" xfId="0" applyNumberFormat="1" applyFont="1" applyFill="1" applyBorder="1"/>
    <xf numFmtId="37" fontId="80" fillId="0" borderId="0" xfId="0" applyNumberFormat="1" applyFont="1" applyFill="1" applyBorder="1"/>
    <xf numFmtId="166" fontId="80" fillId="0" borderId="0" xfId="0" applyNumberFormat="1" applyFont="1" applyFill="1" applyBorder="1"/>
    <xf numFmtId="166" fontId="80" fillId="0" borderId="0" xfId="0" applyNumberFormat="1" applyFont="1" applyFill="1" applyBorder="1" applyAlignment="1">
      <alignment horizontal="right"/>
    </xf>
    <xf numFmtId="37" fontId="80" fillId="0" borderId="0" xfId="0" applyNumberFormat="1" applyFont="1" applyFill="1" applyBorder="1" applyAlignment="1">
      <alignment horizontal="right"/>
    </xf>
    <xf numFmtId="0" fontId="80" fillId="0" borderId="0" xfId="0" applyFont="1" applyFill="1" applyBorder="1" applyAlignment="1">
      <alignment horizontal="left"/>
    </xf>
    <xf numFmtId="41" fontId="80" fillId="0" borderId="0" xfId="0" applyNumberFormat="1" applyFont="1" applyFill="1" applyBorder="1"/>
    <xf numFmtId="41" fontId="80" fillId="0" borderId="0" xfId="0" applyNumberFormat="1" applyFont="1" applyFill="1" applyBorder="1" applyAlignment="1">
      <alignment horizontal="right"/>
    </xf>
    <xf numFmtId="0" fontId="80" fillId="0" borderId="0" xfId="0" applyFont="1" applyFill="1" applyAlignment="1">
      <alignment horizontal="right"/>
    </xf>
    <xf numFmtId="164" fontId="80" fillId="0" borderId="0" xfId="0" applyNumberFormat="1" applyFont="1" applyFill="1" applyBorder="1"/>
    <xf numFmtId="172" fontId="80" fillId="0" borderId="0" xfId="0" applyNumberFormat="1" applyFont="1" applyFill="1" applyBorder="1"/>
    <xf numFmtId="0" fontId="80" fillId="0" borderId="15" xfId="0" applyFont="1" applyFill="1" applyBorder="1" applyAlignment="1">
      <alignment horizontal="left"/>
    </xf>
    <xf numFmtId="178" fontId="80" fillId="0" borderId="0" xfId="0" applyNumberFormat="1" applyFont="1" applyFill="1" applyBorder="1" applyAlignment="1" applyProtection="1">
      <alignment horizontal="center"/>
    </xf>
    <xf numFmtId="180" fontId="80" fillId="0" borderId="0" xfId="0" applyNumberFormat="1" applyFont="1" applyFill="1" applyBorder="1"/>
    <xf numFmtId="42" fontId="80" fillId="0" borderId="0" xfId="0" applyNumberFormat="1" applyFont="1" applyFill="1" applyBorder="1" applyAlignment="1">
      <alignment horizontal="right"/>
    </xf>
    <xf numFmtId="42" fontId="80" fillId="0" borderId="0" xfId="0" applyNumberFormat="1" applyFont="1" applyFill="1" applyBorder="1"/>
    <xf numFmtId="42" fontId="80" fillId="0" borderId="30" xfId="0" applyNumberFormat="1" applyFont="1" applyFill="1" applyBorder="1" applyAlignment="1">
      <alignment horizontal="right"/>
    </xf>
    <xf numFmtId="2" fontId="80" fillId="0" borderId="0" xfId="0" applyNumberFormat="1" applyFont="1" applyFill="1"/>
    <xf numFmtId="166" fontId="80" fillId="0" borderId="0" xfId="0" applyNumberFormat="1" applyFont="1" applyFill="1"/>
    <xf numFmtId="43" fontId="80" fillId="0" borderId="0" xfId="0" applyNumberFormat="1" applyFont="1" applyFill="1" applyBorder="1" applyAlignment="1">
      <alignment horizontal="right"/>
    </xf>
    <xf numFmtId="4" fontId="80" fillId="0" borderId="0" xfId="0" applyNumberFormat="1" applyFont="1" applyFill="1"/>
    <xf numFmtId="0" fontId="80" fillId="0" borderId="32" xfId="0" applyFont="1" applyFill="1" applyBorder="1"/>
    <xf numFmtId="0" fontId="80" fillId="0" borderId="11" xfId="0" applyFont="1" applyFill="1" applyBorder="1" applyAlignment="1">
      <alignment horizontal="right"/>
    </xf>
    <xf numFmtId="180" fontId="80" fillId="0" borderId="11" xfId="0" applyNumberFormat="1" applyFont="1" applyFill="1" applyBorder="1"/>
    <xf numFmtId="37" fontId="80" fillId="0" borderId="11" xfId="0" applyNumberFormat="1" applyFont="1" applyFill="1" applyBorder="1"/>
    <xf numFmtId="0" fontId="80" fillId="0" borderId="11" xfId="0" applyFont="1" applyFill="1" applyBorder="1"/>
    <xf numFmtId="37" fontId="80" fillId="0" borderId="11" xfId="0" applyNumberFormat="1" applyFont="1" applyFill="1" applyBorder="1" applyAlignment="1">
      <alignment horizontal="right"/>
    </xf>
    <xf numFmtId="177" fontId="80" fillId="0" borderId="29" xfId="0" applyNumberFormat="1" applyFont="1" applyFill="1" applyBorder="1"/>
    <xf numFmtId="180" fontId="80" fillId="0" borderId="0" xfId="0" applyNumberFormat="1" applyFont="1" applyFill="1"/>
    <xf numFmtId="37" fontId="80" fillId="0" borderId="0" xfId="0" applyNumberFormat="1" applyFont="1" applyFill="1"/>
    <xf numFmtId="177" fontId="80" fillId="0" borderId="0" xfId="0" applyNumberFormat="1" applyFont="1" applyFill="1"/>
    <xf numFmtId="0" fontId="80" fillId="0" borderId="0" xfId="0" applyFont="1" applyFill="1" applyAlignment="1"/>
    <xf numFmtId="0" fontId="81" fillId="0" borderId="0" xfId="0" applyFont="1" applyFill="1" applyBorder="1" applyAlignment="1">
      <alignment horizontal="right"/>
    </xf>
    <xf numFmtId="177" fontId="81" fillId="0" borderId="14" xfId="0" applyNumberFormat="1" applyFont="1" applyFill="1" applyBorder="1" applyAlignment="1">
      <alignment horizontal="center"/>
    </xf>
    <xf numFmtId="42" fontId="80" fillId="0" borderId="0" xfId="0" applyNumberFormat="1" applyFont="1" applyFill="1" applyBorder="1" applyAlignment="1">
      <alignment horizontal="center"/>
    </xf>
    <xf numFmtId="41" fontId="80" fillId="0" borderId="0" xfId="0" applyNumberFormat="1" applyFont="1" applyFill="1" applyBorder="1" applyAlignment="1">
      <alignment horizontal="center"/>
    </xf>
    <xf numFmtId="41" fontId="80" fillId="0" borderId="11" xfId="0" applyNumberFormat="1" applyFont="1" applyFill="1" applyBorder="1" applyAlignment="1">
      <alignment horizontal="center"/>
    </xf>
    <xf numFmtId="166" fontId="80" fillId="0" borderId="11" xfId="0" applyNumberFormat="1" applyFont="1" applyFill="1" applyBorder="1"/>
    <xf numFmtId="166" fontId="80" fillId="0" borderId="11" xfId="0" applyNumberFormat="1" applyFont="1" applyFill="1" applyBorder="1" applyAlignment="1">
      <alignment horizontal="right"/>
    </xf>
    <xf numFmtId="42" fontId="80" fillId="0" borderId="0" xfId="0" applyNumberFormat="1" applyFont="1" applyFill="1"/>
    <xf numFmtId="42" fontId="80" fillId="0" borderId="0" xfId="0" applyNumberFormat="1" applyFont="1" applyFill="1" applyAlignment="1">
      <alignment horizontal="right"/>
    </xf>
    <xf numFmtId="37" fontId="80" fillId="0" borderId="0" xfId="0" applyNumberFormat="1" applyFont="1" applyFill="1" applyAlignment="1">
      <alignment horizontal="center"/>
    </xf>
    <xf numFmtId="37" fontId="80" fillId="0" borderId="0" xfId="0" applyNumberFormat="1" applyFont="1" applyFill="1" applyAlignment="1">
      <alignment horizontal="right"/>
    </xf>
    <xf numFmtId="0" fontId="80" fillId="0" borderId="0" xfId="0" applyFont="1" applyFill="1" applyAlignment="1">
      <alignment wrapText="1"/>
    </xf>
    <xf numFmtId="0" fontId="80" fillId="0" borderId="0" xfId="0" applyFont="1" applyFill="1" applyAlignment="1">
      <alignment horizontal="left"/>
    </xf>
    <xf numFmtId="166" fontId="49" fillId="0" borderId="0" xfId="57532" applyNumberFormat="1" applyFont="1" applyFill="1" applyBorder="1"/>
    <xf numFmtId="173" fontId="49" fillId="0" borderId="11" xfId="57532" applyNumberFormat="1" applyFont="1" applyFill="1" applyBorder="1" applyProtection="1"/>
    <xf numFmtId="173" fontId="49" fillId="0" borderId="0" xfId="57532" applyNumberFormat="1" applyFont="1" applyFill="1" applyBorder="1" applyProtection="1"/>
    <xf numFmtId="167" fontId="49" fillId="0" borderId="0" xfId="57533" applyNumberFormat="1" applyFont="1" applyFill="1" applyBorder="1" applyProtection="1"/>
    <xf numFmtId="9" fontId="49" fillId="0" borderId="0" xfId="57531" applyFont="1" applyFill="1" applyBorder="1" applyProtection="1"/>
    <xf numFmtId="9" fontId="49" fillId="0" borderId="0" xfId="57532" applyNumberFormat="1" applyFont="1" applyFill="1" applyBorder="1" applyProtection="1"/>
    <xf numFmtId="9" fontId="49" fillId="0" borderId="0" xfId="57531" applyNumberFormat="1" applyFont="1" applyFill="1" applyBorder="1" applyProtection="1"/>
    <xf numFmtId="10" fontId="49" fillId="0" borderId="0" xfId="57531" applyNumberFormat="1" applyFont="1" applyFill="1" applyBorder="1" applyProtection="1"/>
    <xf numFmtId="173" fontId="49" fillId="0" borderId="0" xfId="57532" applyNumberFormat="1" applyFont="1" applyFill="1" applyProtection="1"/>
    <xf numFmtId="165" fontId="49" fillId="0" borderId="11" xfId="57531" applyNumberFormat="1" applyFont="1" applyFill="1" applyBorder="1" applyProtection="1"/>
    <xf numFmtId="179" fontId="80" fillId="0" borderId="0" xfId="0" applyNumberFormat="1" applyFont="1" applyFill="1" applyBorder="1" applyAlignment="1">
      <alignment horizontal="right"/>
    </xf>
    <xf numFmtId="42" fontId="80" fillId="0" borderId="30" xfId="0" applyNumberFormat="1" applyFont="1" applyFill="1" applyBorder="1"/>
    <xf numFmtId="42" fontId="80" fillId="0" borderId="12" xfId="0" applyNumberFormat="1" applyFont="1" applyFill="1" applyBorder="1"/>
    <xf numFmtId="5" fontId="80" fillId="0" borderId="0" xfId="0" applyNumberFormat="1" applyFont="1" applyFill="1" applyBorder="1"/>
    <xf numFmtId="167" fontId="80" fillId="0" borderId="11" xfId="0" applyNumberFormat="1" applyFont="1" applyFill="1" applyBorder="1"/>
    <xf numFmtId="41" fontId="80" fillId="0" borderId="11" xfId="0" applyNumberFormat="1" applyFont="1" applyFill="1" applyBorder="1"/>
    <xf numFmtId="5" fontId="80" fillId="0" borderId="12" xfId="0" applyNumberFormat="1" applyFont="1" applyFill="1" applyBorder="1"/>
    <xf numFmtId="42" fontId="80" fillId="0" borderId="12" xfId="0" applyNumberFormat="1" applyFont="1" applyFill="1" applyBorder="1" applyAlignment="1">
      <alignment horizontal="center"/>
    </xf>
    <xf numFmtId="42" fontId="80" fillId="0" borderId="13" xfId="0" applyNumberFormat="1" applyFont="1" applyFill="1" applyBorder="1"/>
    <xf numFmtId="166" fontId="80" fillId="0" borderId="0" xfId="33" applyNumberFormat="1" applyFont="1" applyFill="1" applyBorder="1"/>
    <xf numFmtId="37" fontId="38" fillId="0" borderId="0" xfId="57525" applyFont="1" applyFill="1" applyAlignment="1">
      <alignment horizontal="center"/>
    </xf>
    <xf numFmtId="37" fontId="50" fillId="0" borderId="0" xfId="57525" applyFont="1" applyFill="1" applyAlignment="1">
      <alignment horizontal="centerContinuous"/>
    </xf>
    <xf numFmtId="37" fontId="49" fillId="0" borderId="0" xfId="57525" applyFont="1" applyFill="1" applyAlignment="1">
      <alignment horizontal="centerContinuous"/>
    </xf>
    <xf numFmtId="182" fontId="49" fillId="0" borderId="0" xfId="57525" applyNumberFormat="1" applyFont="1" applyFill="1"/>
    <xf numFmtId="37" fontId="49" fillId="0" borderId="0" xfId="57525" applyFont="1" applyFill="1"/>
    <xf numFmtId="37" fontId="49" fillId="0" borderId="0" xfId="57525" applyFont="1" applyFill="1" applyBorder="1" applyAlignment="1">
      <alignment horizontal="center"/>
    </xf>
    <xf numFmtId="10" fontId="49" fillId="0" borderId="0" xfId="57531" applyNumberFormat="1" applyFont="1" applyFill="1"/>
    <xf numFmtId="37" fontId="49" fillId="0" borderId="0" xfId="57525" applyFont="1" applyFill="1" applyAlignment="1">
      <alignment horizontal="center"/>
    </xf>
    <xf numFmtId="37" fontId="49" fillId="0" borderId="0" xfId="57525" quotePrefix="1" applyFont="1" applyFill="1" applyAlignment="1">
      <alignment horizontal="center"/>
    </xf>
    <xf numFmtId="37" fontId="49" fillId="0" borderId="0" xfId="57525" applyFont="1" applyFill="1" applyAlignment="1">
      <alignment horizontal="left"/>
    </xf>
    <xf numFmtId="10" fontId="49" fillId="0" borderId="0" xfId="57531" applyNumberFormat="1" applyFont="1" applyFill="1" applyAlignment="1">
      <alignment horizontal="center"/>
    </xf>
    <xf numFmtId="182" fontId="49" fillId="0" borderId="0" xfId="57525" quotePrefix="1" applyNumberFormat="1" applyFont="1" applyFill="1" applyAlignment="1">
      <alignment horizontal="center"/>
    </xf>
    <xf numFmtId="182" fontId="82" fillId="0" borderId="0" xfId="57525" applyNumberFormat="1" applyFont="1" applyFill="1" applyAlignment="1">
      <alignment horizontal="center"/>
    </xf>
    <xf numFmtId="167" fontId="49" fillId="0" borderId="0" xfId="57533" applyNumberFormat="1" applyFont="1" applyFill="1" applyBorder="1"/>
    <xf numFmtId="183" fontId="49" fillId="0" borderId="0" xfId="57533" applyNumberFormat="1" applyFont="1" applyFill="1"/>
    <xf numFmtId="183" fontId="49" fillId="0" borderId="0" xfId="57525" applyNumberFormat="1" applyFont="1" applyFill="1" applyProtection="1"/>
    <xf numFmtId="183" fontId="49" fillId="0" borderId="11" xfId="57525" applyNumberFormat="1" applyFont="1" applyFill="1" applyBorder="1"/>
    <xf numFmtId="182" fontId="49" fillId="0" borderId="0" xfId="57525" applyNumberFormat="1" applyFont="1" applyFill="1" applyProtection="1"/>
    <xf numFmtId="183" fontId="49" fillId="0" borderId="12" xfId="57525" applyNumberFormat="1" applyFont="1" applyFill="1" applyBorder="1"/>
    <xf numFmtId="165" fontId="49" fillId="0" borderId="0" xfId="57531" applyNumberFormat="1" applyFont="1" applyFill="1" applyBorder="1"/>
    <xf numFmtId="165" fontId="49" fillId="0" borderId="11" xfId="57531" applyNumberFormat="1" applyFont="1" applyFill="1" applyBorder="1"/>
    <xf numFmtId="165" fontId="49" fillId="0" borderId="13" xfId="57531" applyNumberFormat="1" applyFont="1" applyFill="1" applyBorder="1"/>
    <xf numFmtId="37" fontId="82" fillId="0" borderId="0" xfId="57525" applyFont="1" applyFill="1"/>
    <xf numFmtId="0" fontId="83" fillId="0" borderId="0" xfId="57530" applyFont="1" applyFill="1"/>
    <xf numFmtId="10" fontId="83" fillId="0" borderId="0" xfId="57531" applyNumberFormat="1" applyFont="1" applyFill="1"/>
    <xf numFmtId="0" fontId="49" fillId="0" borderId="0" xfId="57530" applyFont="1" applyFill="1"/>
    <xf numFmtId="37" fontId="48" fillId="0" borderId="0" xfId="57525" applyFont="1" applyFill="1" applyAlignment="1"/>
    <xf numFmtId="179" fontId="48" fillId="0" borderId="0" xfId="57525" applyNumberFormat="1" applyFont="1" applyFill="1" applyAlignment="1">
      <alignment horizontal="center"/>
    </xf>
    <xf numFmtId="37" fontId="48" fillId="0" borderId="0" xfId="57525" applyFont="1" applyFill="1" applyAlignment="1">
      <alignment horizontal="center"/>
    </xf>
    <xf numFmtId="42" fontId="80" fillId="0" borderId="27" xfId="0" applyNumberFormat="1" applyFont="1" applyFill="1" applyBorder="1"/>
    <xf numFmtId="0" fontId="80" fillId="0" borderId="11" xfId="0" applyFont="1" applyFill="1" applyBorder="1" applyAlignment="1">
      <alignment horizontal="center"/>
    </xf>
    <xf numFmtId="0" fontId="80" fillId="0" borderId="0" xfId="0" applyFont="1" applyFill="1" applyAlignment="1">
      <alignment horizontal="left" wrapText="1"/>
    </xf>
    <xf numFmtId="0" fontId="8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86" fillId="0" borderId="0" xfId="0" applyFont="1" applyFill="1" applyBorder="1"/>
    <xf numFmtId="0" fontId="10" fillId="0" borderId="0" xfId="0" applyFont="1" applyFill="1" applyAlignment="1">
      <alignment horizontal="right"/>
    </xf>
    <xf numFmtId="0" fontId="86" fillId="0" borderId="0" xfId="0" applyFont="1" applyFill="1"/>
    <xf numFmtId="37" fontId="10" fillId="0" borderId="0" xfId="0" applyNumberFormat="1" applyFont="1" applyFill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177" fontId="79" fillId="0" borderId="0" xfId="0" applyNumberFormat="1" applyFont="1" applyFill="1" applyAlignment="1">
      <alignment horizontal="center"/>
    </xf>
    <xf numFmtId="0" fontId="87" fillId="0" borderId="0" xfId="0" applyFont="1" applyFill="1" applyAlignment="1">
      <alignment horizontal="right"/>
    </xf>
    <xf numFmtId="164" fontId="87" fillId="0" borderId="0" xfId="72" applyNumberFormat="1" applyFont="1" applyFill="1"/>
    <xf numFmtId="0" fontId="80" fillId="0" borderId="0" xfId="0" applyFont="1" applyAlignment="1">
      <alignment wrapText="1"/>
    </xf>
    <xf numFmtId="0" fontId="80" fillId="0" borderId="0" xfId="0" applyFont="1" applyAlignment="1">
      <alignment horizontal="right" wrapText="1"/>
    </xf>
    <xf numFmtId="164" fontId="80" fillId="0" borderId="0" xfId="0" applyNumberFormat="1" applyFont="1" applyFill="1"/>
    <xf numFmtId="0" fontId="10" fillId="0" borderId="0" xfId="0" applyFont="1"/>
    <xf numFmtId="0" fontId="17" fillId="0" borderId="0" xfId="0" applyFont="1" applyFill="1" applyAlignment="1">
      <alignment horizontal="right"/>
    </xf>
    <xf numFmtId="43" fontId="80" fillId="0" borderId="0" xfId="37" applyNumberFormat="1" applyFont="1" applyFill="1" applyBorder="1"/>
    <xf numFmtId="10" fontId="79" fillId="0" borderId="31" xfId="72" applyNumberFormat="1" applyFont="1" applyFill="1" applyBorder="1"/>
    <xf numFmtId="10" fontId="79" fillId="0" borderId="33" xfId="72" applyNumberFormat="1" applyFont="1" applyFill="1" applyBorder="1"/>
    <xf numFmtId="0" fontId="7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81" fontId="79" fillId="0" borderId="0" xfId="57524" applyNumberFormat="1" applyFont="1" applyFill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10" fillId="0" borderId="11" xfId="0" applyFont="1" applyBorder="1" applyAlignment="1"/>
    <xf numFmtId="0" fontId="84" fillId="0" borderId="26" xfId="0" applyFont="1" applyFill="1" applyBorder="1" applyAlignment="1">
      <alignment horizontal="center"/>
    </xf>
    <xf numFmtId="0" fontId="85" fillId="0" borderId="27" xfId="0" applyFont="1" applyFill="1" applyBorder="1" applyAlignment="1">
      <alignment horizontal="center"/>
    </xf>
    <xf numFmtId="0" fontId="85" fillId="0" borderId="28" xfId="0" applyFont="1" applyFill="1" applyBorder="1" applyAlignment="1">
      <alignment horizontal="center"/>
    </xf>
    <xf numFmtId="0" fontId="80" fillId="0" borderId="0" xfId="0" applyFont="1" applyFill="1" applyAlignment="1">
      <alignment horizontal="left" wrapText="1"/>
    </xf>
    <xf numFmtId="0" fontId="80" fillId="0" borderId="11" xfId="0" applyFont="1" applyFill="1" applyBorder="1" applyAlignment="1">
      <alignment horizontal="center"/>
    </xf>
    <xf numFmtId="0" fontId="84" fillId="0" borderId="27" xfId="0" applyFont="1" applyFill="1" applyBorder="1" applyAlignment="1">
      <alignment horizontal="center"/>
    </xf>
    <xf numFmtId="0" fontId="84" fillId="0" borderId="28" xfId="0" applyFont="1" applyFill="1" applyBorder="1" applyAlignment="1">
      <alignment horizontal="center"/>
    </xf>
    <xf numFmtId="0" fontId="80" fillId="0" borderId="0" xfId="0" applyFont="1" applyFill="1" applyAlignment="1">
      <alignment wrapText="1"/>
    </xf>
    <xf numFmtId="0" fontId="80" fillId="0" borderId="0" xfId="0" applyFont="1" applyAlignment="1">
      <alignment wrapText="1"/>
    </xf>
    <xf numFmtId="37" fontId="48" fillId="0" borderId="0" xfId="57525" applyFont="1" applyFill="1" applyAlignment="1"/>
    <xf numFmtId="179" fontId="48" fillId="0" borderId="0" xfId="57525" applyNumberFormat="1" applyFont="1" applyFill="1" applyAlignment="1">
      <alignment horizontal="left"/>
    </xf>
  </cellXfs>
  <cellStyles count="57534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8"/>
    <cellStyle name="Comma 31 2" xfId="57532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9"/>
    <cellStyle name="Currency 7 2" xfId="57533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Good 9" xfId="57524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6"/>
    <cellStyle name="Normal 30 2" xfId="57530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5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7"/>
    <cellStyle name="Percent 6 2" xfId="57531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808080"/>
      <color rgb="FF339966"/>
      <color rgb="FFFFFF99"/>
      <color rgb="FFCC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B41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60" t="s">
        <v>137</v>
      </c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"/>
      <c r="U6" s="5"/>
      <c r="V6" s="5"/>
      <c r="W6" s="5"/>
      <c r="X6" s="7"/>
      <c r="Y6" s="7"/>
      <c r="Z6" s="7"/>
      <c r="AA6" s="7"/>
    </row>
    <row r="7" spans="1:27" x14ac:dyDescent="0.25">
      <c r="A7" s="58" t="s">
        <v>145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"/>
      <c r="U7" s="5"/>
      <c r="V7" s="5"/>
      <c r="W7" s="8"/>
    </row>
    <row r="8" spans="1:27" x14ac:dyDescent="0.25">
      <c r="A8" s="9"/>
      <c r="B8" s="5"/>
      <c r="C8" s="5"/>
      <c r="D8" s="50"/>
      <c r="E8" s="5"/>
      <c r="F8" s="5"/>
      <c r="G8" s="5"/>
      <c r="H8" s="5"/>
      <c r="I8" s="5"/>
      <c r="J8" s="56"/>
      <c r="K8" s="56"/>
      <c r="L8" s="5"/>
      <c r="M8" s="5"/>
      <c r="N8" s="5"/>
      <c r="O8" s="5"/>
      <c r="P8" s="5"/>
      <c r="Q8" s="5"/>
      <c r="R8" s="55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146</v>
      </c>
      <c r="D14" s="11"/>
      <c r="E14" s="11"/>
      <c r="F14" s="12" t="s">
        <v>15</v>
      </c>
      <c r="H14" s="11" t="s">
        <v>37</v>
      </c>
      <c r="I14" s="11"/>
      <c r="J14" s="51" t="s">
        <v>16</v>
      </c>
      <c r="K14" s="11"/>
      <c r="L14" s="51" t="s">
        <v>38</v>
      </c>
      <c r="M14" s="11"/>
      <c r="N14" s="14" t="s">
        <v>39</v>
      </c>
      <c r="O14" s="12"/>
      <c r="P14" s="11" t="s">
        <v>17</v>
      </c>
      <c r="Q14" s="11"/>
      <c r="R14" s="51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52">
        <v>-4</v>
      </c>
      <c r="K15" s="11"/>
      <c r="L15" s="52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41">
        <v>52033279</v>
      </c>
      <c r="D16" s="54"/>
      <c r="E16" s="3"/>
      <c r="F16" s="35">
        <f>ROUND(C16/$C$19,4)</f>
        <v>0.01</v>
      </c>
      <c r="H16" s="41">
        <v>0</v>
      </c>
      <c r="I16" s="3"/>
      <c r="J16" s="41">
        <f>ROUND(+F16*$J$19,0)</f>
        <v>-4287</v>
      </c>
      <c r="K16" s="3"/>
      <c r="L16" s="41">
        <f>SUM(H16:K16)</f>
        <v>-4287</v>
      </c>
      <c r="M16" s="3"/>
      <c r="N16" s="44">
        <f>+C16+L16</f>
        <v>52028992</v>
      </c>
      <c r="P16" s="20">
        <v>0.8911</v>
      </c>
      <c r="Q16" s="3"/>
      <c r="R16" s="44">
        <f>ROUND(+N16*P16,0)</f>
        <v>46363035</v>
      </c>
    </row>
    <row r="17" spans="1:28" ht="30" customHeight="1" x14ac:dyDescent="0.25">
      <c r="A17" s="17" t="s">
        <v>20</v>
      </c>
      <c r="B17" s="3" t="s">
        <v>21</v>
      </c>
      <c r="C17" s="42">
        <v>2342299731</v>
      </c>
      <c r="D17" s="54"/>
      <c r="E17" s="3"/>
      <c r="F17" s="35">
        <f>ROUND(C17/$C$19,4)</f>
        <v>0.44969999999999999</v>
      </c>
      <c r="H17" s="43">
        <v>0</v>
      </c>
      <c r="I17" s="3"/>
      <c r="J17" s="42">
        <f>ROUND(+F17*$J$19,0)</f>
        <v>-192793</v>
      </c>
      <c r="K17" s="3"/>
      <c r="L17" s="42">
        <f>SUM(H17:K17)</f>
        <v>-192793</v>
      </c>
      <c r="M17" s="3"/>
      <c r="N17" s="45">
        <f>+C17+L17</f>
        <v>2342106938</v>
      </c>
      <c r="P17" s="21">
        <v>0.8911</v>
      </c>
      <c r="Q17" s="3"/>
      <c r="R17" s="45">
        <f>ROUND(+N17*P17,0)</f>
        <v>2087051492</v>
      </c>
    </row>
    <row r="18" spans="1:28" ht="30" customHeight="1" x14ac:dyDescent="0.25">
      <c r="A18" s="17" t="s">
        <v>22</v>
      </c>
      <c r="B18" s="3" t="s">
        <v>23</v>
      </c>
      <c r="C18" s="42">
        <v>2814302318</v>
      </c>
      <c r="D18" s="3"/>
      <c r="E18" s="3"/>
      <c r="F18" s="19">
        <f>ROUND(1-F16-F17,4)</f>
        <v>0.5403</v>
      </c>
      <c r="H18" s="43">
        <f>H19</f>
        <v>0</v>
      </c>
      <c r="I18" s="3"/>
      <c r="J18" s="43">
        <f>+J19-J16-J17</f>
        <v>-231634</v>
      </c>
      <c r="K18" s="3"/>
      <c r="L18" s="43">
        <f>SUM(H18:K18)</f>
        <v>-231634</v>
      </c>
      <c r="M18" s="3"/>
      <c r="N18" s="45">
        <f>+C18+L18</f>
        <v>2814070684</v>
      </c>
      <c r="P18" s="21">
        <v>0.8911</v>
      </c>
      <c r="Q18" s="3"/>
      <c r="R18" s="45">
        <f>ROUND(+N18*P18,0)</f>
        <v>2507618387</v>
      </c>
    </row>
    <row r="19" spans="1:28" ht="30" customHeight="1" thickBot="1" x14ac:dyDescent="0.3">
      <c r="A19" s="17" t="s">
        <v>24</v>
      </c>
      <c r="B19" s="3" t="s">
        <v>25</v>
      </c>
      <c r="C19" s="23">
        <f>SUM(C16:C18)</f>
        <v>5208635328</v>
      </c>
      <c r="D19" s="3"/>
      <c r="E19" s="3"/>
      <c r="F19" s="24">
        <f>SUM(F16:F18)</f>
        <v>1</v>
      </c>
      <c r="H19" s="40">
        <v>0</v>
      </c>
      <c r="I19" s="3"/>
      <c r="J19" s="40">
        <v>-428714</v>
      </c>
      <c r="K19" s="3"/>
      <c r="L19" s="40">
        <f>SUM(L16:L18)</f>
        <v>-428714</v>
      </c>
      <c r="M19" s="3"/>
      <c r="N19" s="40">
        <f>SUM(N16:N18)</f>
        <v>5208206614</v>
      </c>
      <c r="Q19" s="3"/>
      <c r="R19" s="40">
        <f>SUM(R16:R18)</f>
        <v>4641032914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18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10"/>
      <c r="D24" s="10"/>
      <c r="E24" s="10"/>
      <c r="F24" s="10"/>
      <c r="G24" s="10"/>
      <c r="H24" s="25"/>
      <c r="I24" s="10"/>
      <c r="J24" s="25"/>
      <c r="K24" s="10"/>
      <c r="L24" s="25" t="s">
        <v>26</v>
      </c>
      <c r="M24" s="10"/>
      <c r="N24" s="10"/>
      <c r="O24" s="10"/>
      <c r="R24" s="3"/>
      <c r="S24" s="3"/>
      <c r="X24" s="3"/>
      <c r="AB24" s="12"/>
    </row>
    <row r="25" spans="1:28" ht="18" x14ac:dyDescent="0.4">
      <c r="A25" s="3"/>
      <c r="B25" s="3"/>
      <c r="C25" s="10"/>
      <c r="D25" s="10"/>
      <c r="E25" s="10"/>
      <c r="F25" s="10"/>
      <c r="G25" s="10"/>
      <c r="H25" s="25"/>
      <c r="I25" s="10"/>
      <c r="J25" s="25"/>
      <c r="K25" s="10"/>
      <c r="L25" s="12" t="s">
        <v>8</v>
      </c>
      <c r="M25" s="10"/>
      <c r="P25" s="11"/>
      <c r="Q25" s="11"/>
      <c r="R25" s="11" t="s">
        <v>27</v>
      </c>
      <c r="X25" s="3"/>
      <c r="AB25" s="12"/>
    </row>
    <row r="26" spans="1:28" x14ac:dyDescent="0.25">
      <c r="A26" s="3"/>
      <c r="B26" s="3"/>
      <c r="C26" s="12" t="s">
        <v>8</v>
      </c>
      <c r="D26" s="3"/>
      <c r="E26" s="3"/>
      <c r="F26" s="3"/>
      <c r="H26" s="25" t="s">
        <v>0</v>
      </c>
      <c r="J26" s="53" t="s">
        <v>36</v>
      </c>
      <c r="L26" s="11" t="s">
        <v>2</v>
      </c>
      <c r="M26" s="3"/>
      <c r="N26" s="12" t="s">
        <v>26</v>
      </c>
      <c r="P26" s="11" t="s">
        <v>29</v>
      </c>
      <c r="Q26" s="11"/>
      <c r="R26" s="11" t="s">
        <v>30</v>
      </c>
      <c r="X26" s="3"/>
      <c r="AA26" s="12"/>
      <c r="AB26" s="12"/>
    </row>
    <row r="27" spans="1:28" ht="18" x14ac:dyDescent="0.4">
      <c r="C27" s="11" t="s">
        <v>2</v>
      </c>
      <c r="D27" s="26"/>
      <c r="E27" s="26"/>
      <c r="F27" s="12" t="s">
        <v>12</v>
      </c>
      <c r="H27" s="11" t="s">
        <v>28</v>
      </c>
      <c r="J27" s="53" t="s">
        <v>1</v>
      </c>
      <c r="L27" s="12" t="s">
        <v>14</v>
      </c>
      <c r="M27" s="26"/>
      <c r="N27" s="12" t="s">
        <v>12</v>
      </c>
      <c r="P27" s="11" t="s">
        <v>27</v>
      </c>
      <c r="Q27" s="11"/>
      <c r="R27" s="11" t="s">
        <v>31</v>
      </c>
      <c r="X27" s="26"/>
      <c r="AA27" s="12"/>
      <c r="AB27" s="27"/>
    </row>
    <row r="28" spans="1:28" x14ac:dyDescent="0.25">
      <c r="A28" s="16"/>
      <c r="B28" s="28"/>
      <c r="C28" s="12" t="s">
        <v>14</v>
      </c>
      <c r="F28" s="12" t="s">
        <v>15</v>
      </c>
      <c r="H28" s="51" t="s">
        <v>41</v>
      </c>
      <c r="J28" s="51" t="s">
        <v>42</v>
      </c>
      <c r="L28" s="51" t="s">
        <v>43</v>
      </c>
      <c r="N28" s="12" t="s">
        <v>15</v>
      </c>
      <c r="P28" s="11" t="s">
        <v>32</v>
      </c>
      <c r="Q28" s="11"/>
      <c r="R28" s="14" t="s">
        <v>44</v>
      </c>
      <c r="X28" s="12"/>
      <c r="AA28" s="12"/>
      <c r="AB28" s="27"/>
    </row>
    <row r="29" spans="1:28" x14ac:dyDescent="0.25">
      <c r="A29" s="28"/>
      <c r="B29" s="28"/>
      <c r="C29" s="15">
        <v>-8</v>
      </c>
      <c r="D29" s="12"/>
      <c r="E29" s="12"/>
      <c r="F29" s="15">
        <v>-9</v>
      </c>
      <c r="H29" s="15">
        <v>-10</v>
      </c>
      <c r="J29" s="52">
        <v>-11</v>
      </c>
      <c r="L29" s="15">
        <v>-12</v>
      </c>
      <c r="M29" s="12"/>
      <c r="N29" s="15">
        <v>-13</v>
      </c>
      <c r="P29" s="15">
        <v>-14</v>
      </c>
      <c r="Q29" s="11"/>
      <c r="R29" s="15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41">
        <f>+R16</f>
        <v>46363035</v>
      </c>
      <c r="D30" s="42"/>
      <c r="E30" s="3"/>
      <c r="F30" s="35">
        <f>ROUND(+C30/$C$33,4)</f>
        <v>0.01</v>
      </c>
      <c r="H30" s="41">
        <f>ROUND(+F30*$H$33,0)</f>
        <v>-10211922</v>
      </c>
      <c r="J30" s="41">
        <f>ROUND(+F30*$J$33,0)</f>
        <v>-50199</v>
      </c>
      <c r="L30" s="47">
        <f>+C30+H30+J30</f>
        <v>36100914</v>
      </c>
      <c r="M30" s="12"/>
      <c r="N30" s="33">
        <f>ROUND(+L30/$L$33,4)</f>
        <v>0.01</v>
      </c>
      <c r="O30" s="30"/>
      <c r="P30" s="20">
        <f>ROUND('Tab 2 - ECC Feb18'!Q62,4)</f>
        <v>1.8599999999999998E-2</v>
      </c>
      <c r="Q30" s="22"/>
      <c r="R30" s="20">
        <f>ROUND(+$N$30*$P$30,4)</f>
        <v>2.0000000000000001E-4</v>
      </c>
      <c r="X30" s="12"/>
      <c r="AA30" s="31"/>
      <c r="AB30" s="29"/>
    </row>
    <row r="31" spans="1:28" ht="30" customHeight="1" x14ac:dyDescent="0.25">
      <c r="A31" s="17" t="s">
        <v>20</v>
      </c>
      <c r="B31" s="3" t="s">
        <v>21</v>
      </c>
      <c r="C31" s="42">
        <f>+R17</f>
        <v>2087051492</v>
      </c>
      <c r="D31" s="42"/>
      <c r="E31" s="3"/>
      <c r="F31" s="35">
        <f>ROUND(+C31/$C$33,4)</f>
        <v>0.44969999999999999</v>
      </c>
      <c r="H31" s="42">
        <f>ROUND(+F31*$H$33,0)</f>
        <v>-459230134</v>
      </c>
      <c r="J31" s="42">
        <f>ROUND(+F31*$J$33,0)</f>
        <v>-2257449</v>
      </c>
      <c r="L31" s="48">
        <f>+C31+H31+J31</f>
        <v>1625563909</v>
      </c>
      <c r="M31" s="12"/>
      <c r="N31" s="33">
        <f>ROUND(+L31/$L$33,4)</f>
        <v>0.44969999999999999</v>
      </c>
      <c r="O31" s="30"/>
      <c r="P31" s="20">
        <f>ROUND('Tab 2 - ECC Feb18'!Q48,4)</f>
        <v>4.1399999999999999E-2</v>
      </c>
      <c r="Q31" s="22"/>
      <c r="R31" s="20">
        <f>ROUND(+$N$31*$P$31,4)</f>
        <v>1.8599999999999998E-2</v>
      </c>
      <c r="U31" s="32"/>
      <c r="V31" s="32"/>
      <c r="W31" s="32"/>
      <c r="X31" s="32"/>
      <c r="Z31" s="32"/>
      <c r="AA31" s="31"/>
      <c r="AB31" s="29"/>
    </row>
    <row r="32" spans="1:28" ht="30" customHeight="1" x14ac:dyDescent="0.25">
      <c r="A32" s="17" t="s">
        <v>22</v>
      </c>
      <c r="B32" s="3" t="s">
        <v>23</v>
      </c>
      <c r="C32" s="42">
        <f>+R18</f>
        <v>2507618387</v>
      </c>
      <c r="D32" s="42"/>
      <c r="E32" s="3"/>
      <c r="F32" s="35">
        <f>ROUND(1-F30-F31,4)</f>
        <v>0.5403</v>
      </c>
      <c r="H32" s="42">
        <f>+H33-H30-H31</f>
        <v>-551750148</v>
      </c>
      <c r="J32" s="42">
        <f>+J33-J30-J31</f>
        <v>-2712252</v>
      </c>
      <c r="L32" s="48">
        <f>+C32+H32+J32</f>
        <v>1953155987</v>
      </c>
      <c r="N32" s="35">
        <f>ROUND(1-N30-N31,4)</f>
        <v>0.5403</v>
      </c>
      <c r="O32" s="30"/>
      <c r="P32" s="20">
        <v>9.7000000000000003E-2</v>
      </c>
      <c r="Q32" s="22"/>
      <c r="R32" s="20">
        <f>ROUND(+$N$32*$P$32,4)</f>
        <v>5.2400000000000002E-2</v>
      </c>
      <c r="AA32" s="34"/>
      <c r="AB32" s="29"/>
    </row>
    <row r="33" spans="1:28" ht="30" customHeight="1" thickBot="1" x14ac:dyDescent="0.3">
      <c r="A33" s="17" t="s">
        <v>24</v>
      </c>
      <c r="B33" s="3" t="s">
        <v>25</v>
      </c>
      <c r="C33" s="40">
        <f>SUM(C30:C32)</f>
        <v>4641032914</v>
      </c>
      <c r="D33" s="42"/>
      <c r="E33" s="3"/>
      <c r="F33" s="46">
        <f>SUM(F30:F32)</f>
        <v>1</v>
      </c>
      <c r="H33" s="40">
        <v>-1021192204</v>
      </c>
      <c r="J33" s="40">
        <v>-5019900</v>
      </c>
      <c r="L33" s="40">
        <f>SUM(L30:L32)</f>
        <v>3614820810</v>
      </c>
      <c r="N33" s="46">
        <f>SUM(N30:N32)</f>
        <v>1</v>
      </c>
      <c r="P33" s="29"/>
      <c r="Q33" s="3"/>
      <c r="R33" s="36">
        <f>ROUND(SUM(R30:R32),4)</f>
        <v>7.1199999999999999E-2</v>
      </c>
      <c r="AB33" s="29"/>
    </row>
    <row r="34" spans="1:28" ht="35.1" customHeight="1" thickTop="1" thickBot="1" x14ac:dyDescent="0.3">
      <c r="A34" s="17" t="s">
        <v>33</v>
      </c>
      <c r="B34" s="3" t="s">
        <v>34</v>
      </c>
      <c r="R34" s="49">
        <f>ROUND(R33+(R33-R31-R30)*('Tab 3 - Tax Rate'!E34/(1-'Tab 3 - Tax Rate'!E34)),4)</f>
        <v>8.8599999999999998E-2</v>
      </c>
    </row>
    <row r="35" spans="1:28" ht="16.5" thickTop="1" x14ac:dyDescent="0.25"/>
    <row r="37" spans="1:28" x14ac:dyDescent="0.25">
      <c r="B37" s="59"/>
    </row>
    <row r="40" spans="1:28" x14ac:dyDescent="0.25">
      <c r="L40" s="38"/>
      <c r="N40" s="37"/>
      <c r="P40" s="39"/>
    </row>
    <row r="41" spans="1:28" x14ac:dyDescent="0.25">
      <c r="L41" s="38"/>
      <c r="N41" s="37"/>
    </row>
  </sheetData>
  <phoneticPr fontId="47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Roman,Bold"&amp;12Attachment to Response to Question No. 5 (a-c)
Page 1 of 3
Neal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view="pageBreakPreview" topLeftCell="A34" zoomScale="80" zoomScaleNormal="80" zoomScaleSheetLayoutView="80" workbookViewId="0">
      <selection activeCell="K69" sqref="K69"/>
    </sheetView>
  </sheetViews>
  <sheetFormatPr defaultColWidth="9.7109375" defaultRowHeight="15" x14ac:dyDescent="0.2"/>
  <cols>
    <col min="1" max="1" width="49.140625" style="79" customWidth="1"/>
    <col min="2" max="2" width="15.85546875" style="186" customWidth="1"/>
    <col min="3" max="3" width="12.7109375" style="79" bestFit="1" customWidth="1"/>
    <col min="4" max="4" width="5.5703125" style="189" customWidth="1"/>
    <col min="5" max="5" width="22.42578125" style="79" customWidth="1"/>
    <col min="6" max="6" width="5.5703125" style="190" customWidth="1"/>
    <col min="7" max="7" width="19.85546875" style="79" customWidth="1"/>
    <col min="8" max="8" width="5.5703125" style="189" customWidth="1"/>
    <col min="9" max="9" width="16.85546875" style="79" customWidth="1"/>
    <col min="10" max="10" width="5.5703125" style="189" customWidth="1"/>
    <col min="11" max="11" width="16" style="79" customWidth="1"/>
    <col min="12" max="12" width="5.5703125" style="189" customWidth="1"/>
    <col min="13" max="13" width="16.5703125" style="79" customWidth="1"/>
    <col min="14" max="14" width="5.7109375" style="79" bestFit="1" customWidth="1"/>
    <col min="15" max="15" width="17.42578125" style="79" bestFit="1" customWidth="1"/>
    <col min="16" max="16" width="1" style="79" customWidth="1"/>
    <col min="17" max="17" width="15.42578125" style="119" bestFit="1" customWidth="1"/>
    <col min="18" max="18" width="13.5703125" style="79" bestFit="1" customWidth="1"/>
    <col min="19" max="16384" width="9.7109375" style="79"/>
  </cols>
  <sheetData>
    <row r="1" spans="1:17" s="73" customFormat="1" ht="15.75" x14ac:dyDescent="0.25">
      <c r="A1" s="204" t="s">
        <v>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s="73" customFormat="1" ht="15.75" x14ac:dyDescent="0.25">
      <c r="A2" s="204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s="73" customFormat="1" ht="15.75" x14ac:dyDescent="0.25">
      <c r="A3" s="206">
        <v>43159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7" s="74" customFormat="1" ht="15.75" x14ac:dyDescent="0.25">
      <c r="A4" s="207" t="s">
        <v>102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s="73" customFormat="1" ht="20.25" x14ac:dyDescent="0.3">
      <c r="A5" s="209" t="s">
        <v>147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1"/>
    </row>
    <row r="6" spans="1:17" ht="15.75" x14ac:dyDescent="0.25">
      <c r="A6" s="75"/>
      <c r="B6" s="76"/>
      <c r="C6" s="77"/>
      <c r="D6" s="187"/>
      <c r="E6" s="77"/>
      <c r="F6" s="188"/>
      <c r="G6" s="77"/>
      <c r="H6" s="187"/>
      <c r="I6" s="77"/>
      <c r="J6" s="187"/>
      <c r="K6" s="77"/>
      <c r="L6" s="187"/>
      <c r="M6" s="77"/>
      <c r="N6" s="77"/>
      <c r="O6" s="77"/>
      <c r="P6" s="77"/>
      <c r="Q6" s="78"/>
    </row>
    <row r="7" spans="1:17" x14ac:dyDescent="0.2">
      <c r="A7" s="61"/>
      <c r="B7" s="76"/>
      <c r="C7" s="77"/>
      <c r="D7" s="80"/>
      <c r="E7" s="77"/>
      <c r="F7" s="77"/>
      <c r="G7" s="213" t="s">
        <v>46</v>
      </c>
      <c r="H7" s="213"/>
      <c r="I7" s="213"/>
      <c r="J7" s="213"/>
      <c r="K7" s="213"/>
      <c r="L7" s="213"/>
      <c r="M7" s="213"/>
      <c r="N7" s="213"/>
      <c r="O7" s="213"/>
      <c r="P7" s="76"/>
      <c r="Q7" s="81"/>
    </row>
    <row r="8" spans="1:17" x14ac:dyDescent="0.2">
      <c r="A8" s="82"/>
      <c r="B8" s="76"/>
      <c r="C8" s="77"/>
      <c r="D8" s="80"/>
      <c r="E8" s="77"/>
      <c r="F8" s="77"/>
      <c r="G8" s="77"/>
      <c r="H8" s="80"/>
      <c r="I8" s="76" t="s">
        <v>47</v>
      </c>
      <c r="J8" s="80"/>
      <c r="K8" s="76" t="s">
        <v>48</v>
      </c>
      <c r="L8" s="80"/>
      <c r="M8" s="76" t="s">
        <v>49</v>
      </c>
      <c r="N8" s="77"/>
      <c r="O8" s="76"/>
      <c r="P8" s="76"/>
      <c r="Q8" s="81" t="s">
        <v>50</v>
      </c>
    </row>
    <row r="9" spans="1:17" ht="30" x14ac:dyDescent="0.2">
      <c r="A9" s="82"/>
      <c r="B9" s="83" t="s">
        <v>51</v>
      </c>
      <c r="C9" s="83" t="s">
        <v>32</v>
      </c>
      <c r="D9" s="80"/>
      <c r="E9" s="83" t="s">
        <v>52</v>
      </c>
      <c r="F9" s="77"/>
      <c r="G9" s="184" t="s">
        <v>53</v>
      </c>
      <c r="H9" s="80"/>
      <c r="I9" s="84" t="s">
        <v>54</v>
      </c>
      <c r="J9" s="80"/>
      <c r="K9" s="84" t="s">
        <v>55</v>
      </c>
      <c r="L9" s="85"/>
      <c r="M9" s="184" t="s">
        <v>56</v>
      </c>
      <c r="N9" s="77"/>
      <c r="O9" s="184" t="s">
        <v>57</v>
      </c>
      <c r="P9" s="76"/>
      <c r="Q9" s="86" t="s">
        <v>58</v>
      </c>
    </row>
    <row r="10" spans="1:17" ht="15.75" x14ac:dyDescent="0.25">
      <c r="A10" s="87" t="s">
        <v>59</v>
      </c>
      <c r="B10" s="88"/>
      <c r="C10" s="89"/>
      <c r="D10" s="80"/>
      <c r="E10" s="90"/>
      <c r="F10" s="80"/>
      <c r="G10" s="90"/>
      <c r="H10" s="80"/>
      <c r="I10" s="91"/>
      <c r="J10" s="92"/>
      <c r="K10" s="90"/>
      <c r="L10" s="93"/>
      <c r="M10" s="90"/>
      <c r="N10" s="90"/>
      <c r="O10" s="90"/>
      <c r="P10" s="77"/>
      <c r="Q10" s="78"/>
    </row>
    <row r="11" spans="1:17" ht="17.25" customHeight="1" x14ac:dyDescent="0.2">
      <c r="A11" s="82" t="s">
        <v>60</v>
      </c>
      <c r="B11" s="88">
        <v>45047</v>
      </c>
      <c r="C11" s="72">
        <v>1.23E-2</v>
      </c>
      <c r="D11" s="94" t="s">
        <v>5</v>
      </c>
      <c r="E11" s="104">
        <v>12900000</v>
      </c>
      <c r="F11" s="144"/>
      <c r="G11" s="104">
        <f t="shared" ref="G11:G20" si="0">ROUND(C11*E11,0)</f>
        <v>158670</v>
      </c>
      <c r="H11" s="80"/>
      <c r="I11" s="95">
        <v>10682.898214285715</v>
      </c>
      <c r="K11" s="104">
        <v>35867.24642857143</v>
      </c>
      <c r="L11" s="80"/>
      <c r="M11" s="104">
        <v>97783.76715</v>
      </c>
      <c r="N11" s="76">
        <v>4</v>
      </c>
      <c r="O11" s="104">
        <f t="shared" ref="O11:O22" si="1">G11+I11+K11+M11</f>
        <v>303003.91179285716</v>
      </c>
      <c r="P11" s="77"/>
      <c r="Q11" s="62">
        <f t="shared" ref="Q11:Q21" si="2">ROUND((O11/E11),4)</f>
        <v>2.35E-2</v>
      </c>
    </row>
    <row r="12" spans="1:17" ht="17.25" customHeight="1" x14ac:dyDescent="0.2">
      <c r="A12" s="82" t="s">
        <v>61</v>
      </c>
      <c r="B12" s="88">
        <v>11720</v>
      </c>
      <c r="C12" s="98">
        <v>1.2500000000000001E-2</v>
      </c>
      <c r="D12" s="94" t="s">
        <v>5</v>
      </c>
      <c r="E12" s="95">
        <v>20930000</v>
      </c>
      <c r="F12" s="80"/>
      <c r="G12" s="95">
        <f t="shared" si="0"/>
        <v>261625</v>
      </c>
      <c r="H12" s="80"/>
      <c r="I12" s="95">
        <v>4009.0035714285714</v>
      </c>
      <c r="K12" s="95">
        <v>36277.741071428572</v>
      </c>
      <c r="L12" s="80"/>
      <c r="M12" s="95">
        <v>20930</v>
      </c>
      <c r="N12" s="76">
        <v>4</v>
      </c>
      <c r="O12" s="95">
        <f t="shared" si="1"/>
        <v>322841.74464285717</v>
      </c>
      <c r="P12" s="77"/>
      <c r="Q12" s="62">
        <f t="shared" si="2"/>
        <v>1.54E-2</v>
      </c>
    </row>
    <row r="13" spans="1:17" ht="17.25" customHeight="1" x14ac:dyDescent="0.2">
      <c r="A13" s="82" t="s">
        <v>62</v>
      </c>
      <c r="B13" s="88">
        <v>11720</v>
      </c>
      <c r="C13" s="98">
        <v>1.2500000000000001E-2</v>
      </c>
      <c r="D13" s="94" t="s">
        <v>5</v>
      </c>
      <c r="E13" s="95">
        <v>2400000</v>
      </c>
      <c r="F13" s="80"/>
      <c r="G13" s="95">
        <f t="shared" si="0"/>
        <v>30000</v>
      </c>
      <c r="H13" s="80"/>
      <c r="I13" s="95">
        <v>2891.3214285714289</v>
      </c>
      <c r="K13" s="95">
        <v>4153.0482142857136</v>
      </c>
      <c r="L13" s="80"/>
      <c r="M13" s="95">
        <v>2400</v>
      </c>
      <c r="N13" s="76">
        <v>4</v>
      </c>
      <c r="O13" s="95">
        <f t="shared" si="1"/>
        <v>39444.369642857142</v>
      </c>
      <c r="P13" s="77"/>
      <c r="Q13" s="62">
        <f t="shared" si="2"/>
        <v>1.6400000000000001E-2</v>
      </c>
    </row>
    <row r="14" spans="1:17" ht="17.25" customHeight="1" x14ac:dyDescent="0.2">
      <c r="A14" s="82" t="s">
        <v>63</v>
      </c>
      <c r="B14" s="88">
        <v>11720</v>
      </c>
      <c r="C14" s="98">
        <v>1.2500000000000001E-2</v>
      </c>
      <c r="D14" s="94" t="s">
        <v>5</v>
      </c>
      <c r="E14" s="95">
        <v>2400000</v>
      </c>
      <c r="F14" s="80"/>
      <c r="G14" s="95">
        <f t="shared" si="0"/>
        <v>30000</v>
      </c>
      <c r="H14" s="80"/>
      <c r="I14" s="95">
        <v>1162.1339285714287</v>
      </c>
      <c r="K14" s="95">
        <v>12896.492857142857</v>
      </c>
      <c r="L14" s="80"/>
      <c r="M14" s="95">
        <v>2400</v>
      </c>
      <c r="N14" s="76">
        <v>4</v>
      </c>
      <c r="O14" s="95">
        <f t="shared" si="1"/>
        <v>46458.626785714281</v>
      </c>
      <c r="P14" s="77"/>
      <c r="Q14" s="62">
        <f t="shared" si="2"/>
        <v>1.9400000000000001E-2</v>
      </c>
    </row>
    <row r="15" spans="1:17" ht="17.25" customHeight="1" x14ac:dyDescent="0.2">
      <c r="A15" s="82" t="s">
        <v>64</v>
      </c>
      <c r="B15" s="88">
        <v>11720</v>
      </c>
      <c r="C15" s="98">
        <v>1.2E-2</v>
      </c>
      <c r="D15" s="94" t="s">
        <v>5</v>
      </c>
      <c r="E15" s="95">
        <v>7400000</v>
      </c>
      <c r="F15" s="80"/>
      <c r="G15" s="95">
        <f t="shared" si="0"/>
        <v>88800</v>
      </c>
      <c r="H15" s="80"/>
      <c r="I15" s="95">
        <v>3227.3821428571428</v>
      </c>
      <c r="K15" s="95">
        <v>12745.800000000001</v>
      </c>
      <c r="L15" s="80"/>
      <c r="M15" s="95">
        <v>7400</v>
      </c>
      <c r="N15" s="76">
        <v>4</v>
      </c>
      <c r="O15" s="95">
        <f t="shared" si="1"/>
        <v>112173.18214285714</v>
      </c>
      <c r="P15" s="77"/>
      <c r="Q15" s="62">
        <f t="shared" si="2"/>
        <v>1.52E-2</v>
      </c>
    </row>
    <row r="16" spans="1:17" ht="17.25" customHeight="1" x14ac:dyDescent="0.2">
      <c r="A16" s="82" t="s">
        <v>65</v>
      </c>
      <c r="B16" s="88">
        <v>49218</v>
      </c>
      <c r="C16" s="98">
        <v>1.2E-2</v>
      </c>
      <c r="D16" s="94" t="s">
        <v>5</v>
      </c>
      <c r="E16" s="95">
        <v>50000000</v>
      </c>
      <c r="F16" s="80"/>
      <c r="G16" s="95">
        <f t="shared" si="0"/>
        <v>600000</v>
      </c>
      <c r="H16" s="80"/>
      <c r="I16" s="95">
        <v>9101.9267857142859</v>
      </c>
      <c r="K16" s="95">
        <v>94879.925000000003</v>
      </c>
      <c r="L16" s="80"/>
      <c r="M16" s="95">
        <v>380609.58905000001</v>
      </c>
      <c r="N16" s="76">
        <v>4</v>
      </c>
      <c r="O16" s="95">
        <f t="shared" si="1"/>
        <v>1084591.4408357143</v>
      </c>
      <c r="P16" s="77"/>
      <c r="Q16" s="62">
        <f t="shared" si="2"/>
        <v>2.1700000000000001E-2</v>
      </c>
    </row>
    <row r="17" spans="1:20" ht="17.25" customHeight="1" x14ac:dyDescent="0.2">
      <c r="A17" s="82" t="s">
        <v>66</v>
      </c>
      <c r="B17" s="88">
        <v>49218</v>
      </c>
      <c r="C17" s="98">
        <v>1.2200000000000001E-2</v>
      </c>
      <c r="D17" s="94" t="s">
        <v>5</v>
      </c>
      <c r="E17" s="95">
        <v>54000000</v>
      </c>
      <c r="F17" s="80"/>
      <c r="G17" s="95">
        <f t="shared" si="0"/>
        <v>658800</v>
      </c>
      <c r="H17" s="80"/>
      <c r="I17" s="95">
        <v>42428.382142857146</v>
      </c>
      <c r="K17" s="95">
        <v>13232.423214285714</v>
      </c>
      <c r="L17" s="80"/>
      <c r="M17" s="95">
        <v>411491.09590999997</v>
      </c>
      <c r="N17" s="76">
        <v>4</v>
      </c>
      <c r="O17" s="95">
        <f t="shared" si="1"/>
        <v>1125951.901267143</v>
      </c>
      <c r="P17" s="77"/>
      <c r="Q17" s="62">
        <f t="shared" si="2"/>
        <v>2.0899999999999998E-2</v>
      </c>
    </row>
    <row r="18" spans="1:20" ht="17.25" customHeight="1" x14ac:dyDescent="0.2">
      <c r="A18" s="82" t="s">
        <v>67</v>
      </c>
      <c r="B18" s="88">
        <v>46054</v>
      </c>
      <c r="C18" s="98">
        <v>5.7500000000000002E-2</v>
      </c>
      <c r="D18" s="94"/>
      <c r="E18" s="95">
        <v>17875000</v>
      </c>
      <c r="F18" s="80"/>
      <c r="G18" s="95">
        <f t="shared" si="0"/>
        <v>1027813</v>
      </c>
      <c r="H18" s="80"/>
      <c r="I18" s="95">
        <v>10929.924999999999</v>
      </c>
      <c r="K18" s="95">
        <v>22390.142857142855</v>
      </c>
      <c r="L18" s="80"/>
      <c r="M18" s="95">
        <v>0</v>
      </c>
      <c r="N18" s="76"/>
      <c r="O18" s="95">
        <f t="shared" si="1"/>
        <v>1061133.067857143</v>
      </c>
      <c r="P18" s="77"/>
      <c r="Q18" s="62">
        <f t="shared" si="2"/>
        <v>5.9400000000000001E-2</v>
      </c>
    </row>
    <row r="19" spans="1:20" ht="17.25" customHeight="1" x14ac:dyDescent="0.2">
      <c r="A19" s="82" t="s">
        <v>68</v>
      </c>
      <c r="B19" s="88">
        <v>50100</v>
      </c>
      <c r="C19" s="98">
        <v>0.06</v>
      </c>
      <c r="D19" s="94"/>
      <c r="E19" s="95">
        <v>8927000</v>
      </c>
      <c r="F19" s="80"/>
      <c r="G19" s="95">
        <f t="shared" si="0"/>
        <v>535620</v>
      </c>
      <c r="H19" s="80"/>
      <c r="I19" s="95">
        <v>5267.7321428571431</v>
      </c>
      <c r="K19" s="95">
        <v>10797.351785714285</v>
      </c>
      <c r="L19" s="80"/>
      <c r="M19" s="95">
        <v>0</v>
      </c>
      <c r="N19" s="76"/>
      <c r="O19" s="95">
        <f t="shared" si="1"/>
        <v>551685.08392857143</v>
      </c>
      <c r="P19" s="77"/>
      <c r="Q19" s="62">
        <f t="shared" si="2"/>
        <v>6.1800000000000001E-2</v>
      </c>
    </row>
    <row r="20" spans="1:20" ht="17.25" customHeight="1" x14ac:dyDescent="0.2">
      <c r="A20" s="82" t="s">
        <v>69</v>
      </c>
      <c r="B20" s="88">
        <v>11720</v>
      </c>
      <c r="C20" s="98">
        <v>1.2200000000000001E-2</v>
      </c>
      <c r="D20" s="94" t="s">
        <v>5</v>
      </c>
      <c r="E20" s="95">
        <v>77947405</v>
      </c>
      <c r="F20" s="80"/>
      <c r="G20" s="95">
        <f t="shared" si="0"/>
        <v>950958</v>
      </c>
      <c r="H20" s="80"/>
      <c r="I20" s="95">
        <v>31273.330357142859</v>
      </c>
      <c r="K20" s="95">
        <v>91156.925000000003</v>
      </c>
      <c r="L20" s="80"/>
      <c r="M20" s="95">
        <v>593975.24271499994</v>
      </c>
      <c r="N20" s="76">
        <v>4</v>
      </c>
      <c r="O20" s="95">
        <f t="shared" si="1"/>
        <v>1667363.4980721427</v>
      </c>
      <c r="P20" s="77"/>
      <c r="Q20" s="62">
        <f t="shared" si="2"/>
        <v>2.1399999999999999E-2</v>
      </c>
    </row>
    <row r="21" spans="1:20" ht="17.25" customHeight="1" x14ac:dyDescent="0.2">
      <c r="A21" s="82" t="s">
        <v>70</v>
      </c>
      <c r="B21" s="88">
        <v>15585</v>
      </c>
      <c r="C21" s="98">
        <v>1.0500000000000001E-2</v>
      </c>
      <c r="D21" s="94"/>
      <c r="E21" s="95">
        <v>96000000</v>
      </c>
      <c r="F21" s="80"/>
      <c r="G21" s="95">
        <f>ROUND(C21*E21,0)</f>
        <v>1008000</v>
      </c>
      <c r="H21" s="80"/>
      <c r="I21" s="95">
        <v>286163.12857142859</v>
      </c>
      <c r="K21" s="95">
        <v>160690.20714285714</v>
      </c>
      <c r="L21" s="80"/>
      <c r="M21" s="95">
        <v>0</v>
      </c>
      <c r="N21" s="77"/>
      <c r="O21" s="95">
        <f t="shared" si="1"/>
        <v>1454853.3357142857</v>
      </c>
      <c r="P21" s="77"/>
      <c r="Q21" s="62">
        <f t="shared" si="2"/>
        <v>1.52E-2</v>
      </c>
    </row>
    <row r="22" spans="1:20" ht="17.25" customHeight="1" x14ac:dyDescent="0.2">
      <c r="A22" s="82" t="s">
        <v>71</v>
      </c>
      <c r="B22" s="88"/>
      <c r="C22" s="89"/>
      <c r="D22" s="80"/>
      <c r="E22" s="95">
        <v>0</v>
      </c>
      <c r="F22" s="80"/>
      <c r="G22" s="95">
        <v>0</v>
      </c>
      <c r="H22" s="80"/>
      <c r="I22" s="95">
        <v>0</v>
      </c>
      <c r="K22" s="95">
        <v>5821.2285714285717</v>
      </c>
      <c r="L22" s="80"/>
      <c r="M22" s="95"/>
      <c r="N22" s="77"/>
      <c r="O22" s="95">
        <f t="shared" si="1"/>
        <v>5821.2285714285717</v>
      </c>
      <c r="P22" s="77"/>
      <c r="Q22" s="62"/>
    </row>
    <row r="23" spans="1:20" ht="17.25" customHeight="1" thickBot="1" x14ac:dyDescent="0.25">
      <c r="A23" s="82"/>
      <c r="B23" s="88"/>
      <c r="C23" s="89"/>
      <c r="D23" s="80"/>
      <c r="E23" s="95"/>
      <c r="F23" s="80"/>
      <c r="G23" s="95"/>
      <c r="H23" s="80"/>
      <c r="I23" s="95"/>
      <c r="J23" s="80"/>
      <c r="K23" s="95"/>
      <c r="L23" s="80"/>
      <c r="M23" s="95"/>
      <c r="N23" s="77"/>
      <c r="O23" s="95"/>
      <c r="P23" s="77"/>
      <c r="Q23" s="62"/>
    </row>
    <row r="24" spans="1:20" ht="16.5" thickBot="1" x14ac:dyDescent="0.3">
      <c r="A24" s="87" t="s">
        <v>148</v>
      </c>
      <c r="B24" s="63"/>
      <c r="C24" s="102"/>
      <c r="D24" s="80"/>
      <c r="E24" s="145">
        <f>SUM(E11:E23)</f>
        <v>350779405</v>
      </c>
      <c r="F24" s="103"/>
      <c r="G24" s="145">
        <f>SUM(G11:G23)</f>
        <v>5350286</v>
      </c>
      <c r="H24" s="103"/>
      <c r="I24" s="145">
        <f>SUM(I11:I23)</f>
        <v>407137.16428571433</v>
      </c>
      <c r="J24" s="103"/>
      <c r="K24" s="145">
        <f>SUM(K11:K23)</f>
        <v>500908.53214285715</v>
      </c>
      <c r="L24" s="105"/>
      <c r="M24" s="145">
        <f>SUM(M11:M23)</f>
        <v>1516989.6948249999</v>
      </c>
      <c r="N24" s="104"/>
      <c r="O24" s="145">
        <f>SUM(O11:O23)</f>
        <v>7775321.391253571</v>
      </c>
      <c r="P24" s="77"/>
      <c r="Q24" s="202">
        <f>ROUND(O24/E24,4)</f>
        <v>2.2200000000000001E-2</v>
      </c>
      <c r="T24" s="106"/>
    </row>
    <row r="25" spans="1:20" ht="30" customHeight="1" x14ac:dyDescent="0.25">
      <c r="A25" s="87" t="s">
        <v>72</v>
      </c>
      <c r="B25" s="88"/>
      <c r="C25" s="89"/>
      <c r="D25" s="80"/>
      <c r="E25" s="95"/>
      <c r="F25" s="80"/>
      <c r="G25" s="95"/>
      <c r="H25" s="80"/>
      <c r="I25" s="95"/>
      <c r="J25" s="92"/>
      <c r="K25" s="95"/>
      <c r="L25" s="96"/>
      <c r="M25" s="95"/>
      <c r="N25" s="77"/>
      <c r="O25" s="95"/>
      <c r="P25" s="77"/>
      <c r="Q25" s="62"/>
    </row>
    <row r="26" spans="1:20" ht="17.25" customHeight="1" x14ac:dyDescent="0.2">
      <c r="A26" s="82" t="s">
        <v>73</v>
      </c>
      <c r="B26" s="88">
        <v>44136</v>
      </c>
      <c r="C26" s="98">
        <v>3.2500000000000001E-2</v>
      </c>
      <c r="D26" s="80"/>
      <c r="E26" s="95">
        <v>500000000</v>
      </c>
      <c r="F26" s="97"/>
      <c r="G26" s="95">
        <f>ROUND(C26*E26,0)</f>
        <v>16250000</v>
      </c>
      <c r="H26" s="80"/>
      <c r="I26" s="95">
        <v>419930.41428571427</v>
      </c>
      <c r="J26" s="92" t="s">
        <v>74</v>
      </c>
      <c r="K26" s="95"/>
      <c r="L26" s="96"/>
      <c r="M26" s="95"/>
      <c r="N26" s="77"/>
      <c r="O26" s="95">
        <f t="shared" ref="O26:O38" si="3">G26+I26+K26+M26</f>
        <v>16669930.414285714</v>
      </c>
      <c r="P26" s="77"/>
      <c r="Q26" s="62">
        <f t="shared" ref="Q26:Q31" si="4">ROUND((O26/E26),4)</f>
        <v>3.3300000000000003E-2</v>
      </c>
    </row>
    <row r="27" spans="1:20" ht="17.25" customHeight="1" x14ac:dyDescent="0.2">
      <c r="A27" s="82" t="s">
        <v>75</v>
      </c>
      <c r="B27" s="88">
        <v>44136</v>
      </c>
      <c r="C27" s="98">
        <v>3.2500000000000001E-2</v>
      </c>
      <c r="D27" s="80"/>
      <c r="E27" s="95">
        <v>-507047.83</v>
      </c>
      <c r="F27" s="97"/>
      <c r="G27" s="95"/>
      <c r="H27" s="80"/>
      <c r="I27" s="95">
        <v>189623.36607142858</v>
      </c>
      <c r="J27" s="92" t="s">
        <v>74</v>
      </c>
      <c r="K27" s="95"/>
      <c r="L27" s="96"/>
      <c r="M27" s="95"/>
      <c r="N27" s="77"/>
      <c r="O27" s="95">
        <f t="shared" si="3"/>
        <v>189623.36607142858</v>
      </c>
      <c r="P27" s="77"/>
      <c r="Q27" s="62">
        <f t="shared" si="4"/>
        <v>-0.374</v>
      </c>
    </row>
    <row r="28" spans="1:20" ht="17.25" customHeight="1" x14ac:dyDescent="0.2">
      <c r="A28" s="82" t="s">
        <v>76</v>
      </c>
      <c r="B28" s="88">
        <v>51441</v>
      </c>
      <c r="C28" s="98">
        <v>5.1249999999999997E-2</v>
      </c>
      <c r="D28" s="80"/>
      <c r="E28" s="95">
        <v>750000000</v>
      </c>
      <c r="F28" s="97"/>
      <c r="G28" s="95">
        <f>ROUND(C28*E28,0)</f>
        <v>38437500</v>
      </c>
      <c r="H28" s="80"/>
      <c r="I28" s="95">
        <v>249786.57678571428</v>
      </c>
      <c r="J28" s="92" t="s">
        <v>74</v>
      </c>
      <c r="K28" s="95"/>
      <c r="L28" s="96"/>
      <c r="M28" s="95"/>
      <c r="N28" s="77"/>
      <c r="O28" s="95">
        <f t="shared" si="3"/>
        <v>38687286.576785713</v>
      </c>
      <c r="P28" s="77"/>
      <c r="Q28" s="62">
        <f t="shared" si="4"/>
        <v>5.16E-2</v>
      </c>
    </row>
    <row r="29" spans="1:20" ht="17.25" customHeight="1" x14ac:dyDescent="0.2">
      <c r="A29" s="82" t="s">
        <v>75</v>
      </c>
      <c r="B29" s="88">
        <v>51441</v>
      </c>
      <c r="C29" s="98">
        <v>5.1249999999999997E-2</v>
      </c>
      <c r="D29" s="80"/>
      <c r="E29" s="95">
        <v>-6157967.4199999999</v>
      </c>
      <c r="F29" s="97"/>
      <c r="G29" s="95"/>
      <c r="H29" s="80"/>
      <c r="I29" s="95">
        <v>271423.5160714286</v>
      </c>
      <c r="J29" s="92" t="s">
        <v>74</v>
      </c>
      <c r="K29" s="95"/>
      <c r="L29" s="96"/>
      <c r="M29" s="95"/>
      <c r="N29" s="77"/>
      <c r="O29" s="95">
        <f t="shared" si="3"/>
        <v>271423.5160714286</v>
      </c>
      <c r="P29" s="77"/>
      <c r="Q29" s="62">
        <f t="shared" si="4"/>
        <v>-4.41E-2</v>
      </c>
    </row>
    <row r="30" spans="1:20" ht="17.25" customHeight="1" x14ac:dyDescent="0.2">
      <c r="A30" s="82" t="s">
        <v>77</v>
      </c>
      <c r="B30" s="88">
        <v>52550</v>
      </c>
      <c r="C30" s="98">
        <v>4.65E-2</v>
      </c>
      <c r="D30" s="80"/>
      <c r="E30" s="95">
        <v>250000000</v>
      </c>
      <c r="G30" s="95">
        <f>ROUND(C30*E30,0)</f>
        <v>11625000</v>
      </c>
      <c r="H30" s="80"/>
      <c r="I30" s="95">
        <v>92245.27678571429</v>
      </c>
      <c r="J30" s="92" t="s">
        <v>74</v>
      </c>
      <c r="K30" s="95"/>
      <c r="L30" s="96"/>
      <c r="M30" s="95"/>
      <c r="N30" s="77"/>
      <c r="O30" s="95">
        <f t="shared" si="3"/>
        <v>11717245.276785715</v>
      </c>
      <c r="P30" s="77"/>
      <c r="Q30" s="62">
        <f t="shared" si="4"/>
        <v>4.6899999999999997E-2</v>
      </c>
    </row>
    <row r="31" spans="1:20" ht="17.25" customHeight="1" x14ac:dyDescent="0.2">
      <c r="A31" s="82" t="s">
        <v>75</v>
      </c>
      <c r="B31" s="88">
        <v>52550</v>
      </c>
      <c r="C31" s="98">
        <v>4.65E-2</v>
      </c>
      <c r="D31" s="80"/>
      <c r="E31" s="95">
        <v>-1542434.75</v>
      </c>
      <c r="F31" s="80"/>
      <c r="G31" s="95"/>
      <c r="H31" s="80"/>
      <c r="I31" s="95">
        <v>59956.203571428567</v>
      </c>
      <c r="J31" s="92" t="s">
        <v>74</v>
      </c>
      <c r="K31" s="95"/>
      <c r="L31" s="96"/>
      <c r="M31" s="95"/>
      <c r="N31" s="77"/>
      <c r="O31" s="95">
        <f t="shared" si="3"/>
        <v>59956.203571428567</v>
      </c>
      <c r="P31" s="77"/>
      <c r="Q31" s="62">
        <f t="shared" si="4"/>
        <v>-3.8899999999999997E-2</v>
      </c>
    </row>
    <row r="32" spans="1:20" ht="17.25" customHeight="1" x14ac:dyDescent="0.2">
      <c r="A32" s="82" t="s">
        <v>78</v>
      </c>
      <c r="B32" s="88">
        <v>52550</v>
      </c>
      <c r="C32" s="98"/>
      <c r="D32" s="80"/>
      <c r="E32" s="95"/>
      <c r="F32" s="80"/>
      <c r="G32" s="95">
        <v>-1433703.9660714287</v>
      </c>
      <c r="H32" s="80"/>
      <c r="I32" s="95"/>
      <c r="J32" s="92"/>
      <c r="K32" s="95"/>
      <c r="L32" s="96"/>
      <c r="M32" s="95"/>
      <c r="N32" s="77"/>
      <c r="O32" s="95">
        <f t="shared" si="3"/>
        <v>-1433703.9660714287</v>
      </c>
      <c r="P32" s="77"/>
      <c r="Q32" s="62"/>
    </row>
    <row r="33" spans="1:20" ht="17.25" customHeight="1" x14ac:dyDescent="0.2">
      <c r="A33" s="82" t="s">
        <v>79</v>
      </c>
      <c r="B33" s="88">
        <v>45931</v>
      </c>
      <c r="C33" s="98">
        <v>3.3000000000000002E-2</v>
      </c>
      <c r="D33" s="80"/>
      <c r="E33" s="95">
        <v>250000000</v>
      </c>
      <c r="F33" s="80"/>
      <c r="G33" s="95">
        <f>ROUND(C33*E33,0)</f>
        <v>8250000</v>
      </c>
      <c r="H33" s="80"/>
      <c r="I33" s="95">
        <v>201424.98928571431</v>
      </c>
      <c r="J33" s="92" t="s">
        <v>74</v>
      </c>
      <c r="K33" s="95"/>
      <c r="L33" s="96"/>
      <c r="M33" s="95"/>
      <c r="N33" s="77"/>
      <c r="O33" s="95">
        <f t="shared" si="3"/>
        <v>8451424.9892857149</v>
      </c>
      <c r="P33" s="77"/>
      <c r="Q33" s="62">
        <f>ROUND((O33/E33),4)</f>
        <v>3.3799999999999997E-2</v>
      </c>
    </row>
    <row r="34" spans="1:20" ht="17.25" customHeight="1" x14ac:dyDescent="0.2">
      <c r="A34" s="82" t="s">
        <v>75</v>
      </c>
      <c r="B34" s="88">
        <v>45931</v>
      </c>
      <c r="C34" s="98">
        <v>3.3000000000000002E-2</v>
      </c>
      <c r="D34" s="80"/>
      <c r="E34" s="95">
        <v>-81477.710000000006</v>
      </c>
      <c r="F34" s="80"/>
      <c r="G34" s="95"/>
      <c r="H34" s="80"/>
      <c r="I34" s="95">
        <v>10732.303571428571</v>
      </c>
      <c r="J34" s="92" t="s">
        <v>74</v>
      </c>
      <c r="K34" s="95"/>
      <c r="L34" s="96"/>
      <c r="M34" s="95"/>
      <c r="N34" s="77"/>
      <c r="O34" s="95">
        <f t="shared" si="3"/>
        <v>10732.303571428571</v>
      </c>
      <c r="P34" s="77"/>
      <c r="Q34" s="62">
        <f>ROUND((O34/E34),4)</f>
        <v>-0.13170000000000001</v>
      </c>
    </row>
    <row r="35" spans="1:20" ht="17.25" customHeight="1" x14ac:dyDescent="0.2">
      <c r="A35" s="82" t="s">
        <v>80</v>
      </c>
      <c r="B35" s="88">
        <v>45931</v>
      </c>
      <c r="C35" s="98"/>
      <c r="D35" s="80"/>
      <c r="E35" s="95"/>
      <c r="F35" s="80"/>
      <c r="G35" s="95">
        <v>1405379.575</v>
      </c>
      <c r="H35" s="80"/>
      <c r="I35" s="95"/>
      <c r="J35" s="92"/>
      <c r="K35" s="95"/>
      <c r="L35" s="96"/>
      <c r="M35" s="95"/>
      <c r="N35" s="77"/>
      <c r="O35" s="95">
        <f t="shared" si="3"/>
        <v>1405379.575</v>
      </c>
      <c r="P35" s="77"/>
      <c r="Q35" s="62"/>
    </row>
    <row r="36" spans="1:20" ht="17.25" customHeight="1" x14ac:dyDescent="0.2">
      <c r="A36" s="82" t="s">
        <v>81</v>
      </c>
      <c r="B36" s="88">
        <v>53236</v>
      </c>
      <c r="C36" s="98">
        <v>4.3749999999999997E-2</v>
      </c>
      <c r="D36" s="80"/>
      <c r="E36" s="95">
        <v>250000000</v>
      </c>
      <c r="F36" s="80"/>
      <c r="G36" s="95">
        <f>ROUND(C36*E36,0)</f>
        <v>10937500</v>
      </c>
      <c r="H36" s="80"/>
      <c r="I36" s="95">
        <v>85849.173214285707</v>
      </c>
      <c r="J36" s="92" t="s">
        <v>74</v>
      </c>
      <c r="K36" s="95"/>
      <c r="L36" s="96"/>
      <c r="M36" s="95"/>
      <c r="N36" s="77"/>
      <c r="O36" s="95">
        <f t="shared" si="3"/>
        <v>11023349.173214287</v>
      </c>
      <c r="P36" s="77"/>
      <c r="Q36" s="62">
        <f>ROUND((O36/E36),4)</f>
        <v>4.41E-2</v>
      </c>
    </row>
    <row r="37" spans="1:20" ht="17.25" customHeight="1" x14ac:dyDescent="0.2">
      <c r="A37" s="82" t="s">
        <v>75</v>
      </c>
      <c r="B37" s="88">
        <v>53236</v>
      </c>
      <c r="C37" s="98">
        <v>4.3749999999999997E-2</v>
      </c>
      <c r="D37" s="80"/>
      <c r="E37" s="95">
        <v>-190746.28</v>
      </c>
      <c r="F37" s="80"/>
      <c r="G37" s="95"/>
      <c r="H37" s="80"/>
      <c r="I37" s="95">
        <v>6909.7107142857139</v>
      </c>
      <c r="J37" s="92" t="s">
        <v>74</v>
      </c>
      <c r="K37" s="95"/>
      <c r="L37" s="96"/>
      <c r="M37" s="95"/>
      <c r="N37" s="77"/>
      <c r="O37" s="95">
        <f t="shared" si="3"/>
        <v>6909.7107142857139</v>
      </c>
      <c r="P37" s="77"/>
      <c r="Q37" s="62">
        <f>ROUND((O37/E37),4)</f>
        <v>-3.6200000000000003E-2</v>
      </c>
    </row>
    <row r="38" spans="1:20" ht="17.25" customHeight="1" x14ac:dyDescent="0.2">
      <c r="A38" s="82" t="s">
        <v>80</v>
      </c>
      <c r="B38" s="88">
        <v>53236</v>
      </c>
      <c r="C38" s="89"/>
      <c r="D38" s="80"/>
      <c r="E38" s="95"/>
      <c r="F38" s="80"/>
      <c r="G38" s="95">
        <v>986056.23392857134</v>
      </c>
      <c r="H38" s="80"/>
      <c r="I38" s="95"/>
      <c r="J38" s="92"/>
      <c r="K38" s="95"/>
      <c r="L38" s="96"/>
      <c r="M38" s="95"/>
      <c r="N38" s="77"/>
      <c r="O38" s="95">
        <f t="shared" si="3"/>
        <v>986056.23392857134</v>
      </c>
      <c r="P38" s="77"/>
      <c r="Q38" s="62"/>
    </row>
    <row r="39" spans="1:20" ht="17.25" customHeight="1" thickBot="1" x14ac:dyDescent="0.25">
      <c r="A39" s="82"/>
      <c r="B39" s="88"/>
      <c r="C39" s="98"/>
      <c r="D39" s="80"/>
      <c r="E39" s="95"/>
      <c r="F39" s="80"/>
      <c r="G39" s="95"/>
      <c r="H39" s="80"/>
      <c r="I39" s="95"/>
      <c r="J39" s="92"/>
      <c r="K39" s="95"/>
      <c r="L39" s="199"/>
      <c r="M39" s="95"/>
      <c r="N39" s="77"/>
      <c r="O39" s="95"/>
      <c r="P39" s="77"/>
      <c r="Q39" s="62"/>
    </row>
    <row r="40" spans="1:20" ht="16.5" thickBot="1" x14ac:dyDescent="0.3">
      <c r="A40" s="87" t="s">
        <v>149</v>
      </c>
      <c r="B40" s="63"/>
      <c r="C40" s="102"/>
      <c r="D40" s="80"/>
      <c r="E40" s="145">
        <f>SUM(E26:E39)</f>
        <v>1991520326.01</v>
      </c>
      <c r="F40" s="103"/>
      <c r="G40" s="145">
        <f>SUM(G26:G39)</f>
        <v>86457731.842857152</v>
      </c>
      <c r="H40" s="103"/>
      <c r="I40" s="145">
        <f>SUM(I26:I39)</f>
        <v>1587881.5303571429</v>
      </c>
      <c r="J40" s="103"/>
      <c r="K40" s="145">
        <f>SUM(K26:K39)</f>
        <v>0</v>
      </c>
      <c r="L40" s="199"/>
      <c r="M40" s="145">
        <f>SUM(M26:M39)</f>
        <v>0</v>
      </c>
      <c r="N40" s="104"/>
      <c r="O40" s="145">
        <f>SUM(O26:O39)</f>
        <v>88045613.373214275</v>
      </c>
      <c r="P40" s="77"/>
      <c r="Q40" s="202">
        <f>ROUND(O40/E40,4)</f>
        <v>4.4200000000000003E-2</v>
      </c>
      <c r="T40" s="106"/>
    </row>
    <row r="41" spans="1:20" ht="24.95" customHeight="1" x14ac:dyDescent="0.25">
      <c r="A41" s="87" t="s">
        <v>150</v>
      </c>
      <c r="B41" s="63"/>
      <c r="C41" s="102"/>
      <c r="D41" s="80"/>
      <c r="E41" s="91"/>
      <c r="F41" s="92"/>
      <c r="G41" s="91"/>
      <c r="H41" s="80"/>
      <c r="I41" s="91"/>
      <c r="J41" s="92"/>
      <c r="K41" s="90"/>
      <c r="L41" s="199"/>
      <c r="M41" s="90"/>
      <c r="N41" s="77"/>
      <c r="O41" s="90"/>
      <c r="P41" s="77"/>
      <c r="Q41" s="62"/>
      <c r="R41" s="64"/>
      <c r="S41" s="107"/>
    </row>
    <row r="42" spans="1:20" ht="17.25" customHeight="1" x14ac:dyDescent="0.2">
      <c r="A42" s="82" t="s">
        <v>82</v>
      </c>
      <c r="B42" s="88">
        <v>44588</v>
      </c>
      <c r="C42" s="99"/>
      <c r="D42" s="80"/>
      <c r="E42" s="95"/>
      <c r="F42" s="80"/>
      <c r="G42" s="95"/>
      <c r="H42" s="80"/>
      <c r="I42" s="124">
        <v>422917.54821428575</v>
      </c>
      <c r="J42" s="80">
        <v>2</v>
      </c>
      <c r="K42" s="95">
        <v>29770.833928571432</v>
      </c>
      <c r="L42" s="199"/>
      <c r="M42" s="95">
        <v>405555.55555555556</v>
      </c>
      <c r="N42" s="76">
        <v>5</v>
      </c>
      <c r="O42" s="95">
        <f>G42+I42+K42+M42</f>
        <v>858243.93769841269</v>
      </c>
      <c r="P42" s="77"/>
      <c r="Q42" s="62">
        <f>ROUND((O42/29611403),4)</f>
        <v>2.9000000000000001E-2</v>
      </c>
    </row>
    <row r="43" spans="1:20" ht="17.25" customHeight="1" x14ac:dyDescent="0.2">
      <c r="A43" s="100" t="s">
        <v>83</v>
      </c>
      <c r="B43" s="101">
        <v>44105</v>
      </c>
      <c r="C43" s="99"/>
      <c r="D43" s="80"/>
      <c r="E43" s="95"/>
      <c r="F43" s="80"/>
      <c r="G43" s="95"/>
      <c r="H43" s="80"/>
      <c r="I43" s="124">
        <v>177214.40892857144</v>
      </c>
      <c r="J43" s="80">
        <v>3</v>
      </c>
      <c r="K43" s="95"/>
      <c r="L43" s="199"/>
      <c r="M43" s="95"/>
      <c r="N43" s="77"/>
      <c r="O43" s="95">
        <f>G43+I43+K43+M43</f>
        <v>177214.40892857144</v>
      </c>
      <c r="P43" s="77"/>
      <c r="Q43" s="62">
        <f>ROUND((O43/29611403),4)</f>
        <v>6.0000000000000001E-3</v>
      </c>
    </row>
    <row r="44" spans="1:20" x14ac:dyDescent="0.2">
      <c r="A44" s="82" t="s">
        <v>84</v>
      </c>
      <c r="B44" s="88"/>
      <c r="C44" s="98"/>
      <c r="D44" s="80"/>
      <c r="E44" s="104">
        <v>0</v>
      </c>
      <c r="F44" s="103"/>
      <c r="G44" s="104">
        <v>0</v>
      </c>
      <c r="H44" s="103"/>
      <c r="I44" s="104">
        <v>0</v>
      </c>
      <c r="J44" s="103"/>
      <c r="K44" s="104">
        <v>0</v>
      </c>
      <c r="L44" s="199"/>
      <c r="M44" s="104">
        <v>0</v>
      </c>
      <c r="N44" s="104"/>
      <c r="O44" s="104">
        <f>SUM(G44,I44,M44)</f>
        <v>0</v>
      </c>
      <c r="P44" s="77"/>
      <c r="Q44" s="62"/>
    </row>
    <row r="45" spans="1:20" ht="15.75" thickBot="1" x14ac:dyDescent="0.25">
      <c r="A45" s="82"/>
      <c r="B45" s="88"/>
      <c r="C45" s="98"/>
      <c r="D45" s="80"/>
      <c r="E45" s="95"/>
      <c r="F45" s="80"/>
      <c r="G45" s="90"/>
      <c r="H45" s="80"/>
      <c r="I45" s="95">
        <v>0</v>
      </c>
      <c r="J45" s="108"/>
      <c r="K45" s="95">
        <v>0</v>
      </c>
      <c r="L45" s="199"/>
      <c r="M45" s="95">
        <v>0</v>
      </c>
      <c r="N45" s="77"/>
      <c r="O45" s="95">
        <f>SUM(G45,I45,M45)</f>
        <v>0</v>
      </c>
      <c r="P45" s="77"/>
      <c r="Q45" s="62"/>
    </row>
    <row r="46" spans="1:20" ht="16.5" thickBot="1" x14ac:dyDescent="0.3">
      <c r="A46" s="87" t="s">
        <v>151</v>
      </c>
      <c r="B46" s="88"/>
      <c r="C46" s="89"/>
      <c r="D46" s="80"/>
      <c r="E46" s="145">
        <f>SUM(E42:E45)</f>
        <v>0</v>
      </c>
      <c r="F46" s="103"/>
      <c r="G46" s="145">
        <f>SUM(G42:G45)</f>
        <v>0</v>
      </c>
      <c r="H46" s="103"/>
      <c r="I46" s="145">
        <f>SUM(I42:I45)</f>
        <v>600131.95714285714</v>
      </c>
      <c r="J46" s="103"/>
      <c r="K46" s="145">
        <f>SUM(K42:K45)</f>
        <v>29770.833928571432</v>
      </c>
      <c r="L46" s="199"/>
      <c r="M46" s="145">
        <f>SUM(M42:M45)</f>
        <v>405555.55555555556</v>
      </c>
      <c r="N46" s="104"/>
      <c r="O46" s="145">
        <f>SUM(O42:O45)</f>
        <v>1035458.3466269842</v>
      </c>
      <c r="P46" s="77"/>
      <c r="Q46" s="202">
        <f>ROUND(O46/E48,4)</f>
        <v>4.0000000000000002E-4</v>
      </c>
    </row>
    <row r="47" spans="1:20" ht="15.75" thickBot="1" x14ac:dyDescent="0.25">
      <c r="A47" s="82"/>
      <c r="B47" s="76"/>
      <c r="C47" s="102"/>
      <c r="D47" s="80"/>
      <c r="E47" s="90"/>
      <c r="F47" s="80"/>
      <c r="G47" s="90"/>
      <c r="H47" s="80"/>
      <c r="I47" s="91"/>
      <c r="J47" s="92"/>
      <c r="K47" s="90"/>
      <c r="L47" s="199"/>
      <c r="M47" s="90"/>
      <c r="N47" s="90"/>
      <c r="O47" s="90"/>
      <c r="P47" s="77"/>
      <c r="Q47" s="62"/>
    </row>
    <row r="48" spans="1:20" ht="16.5" thickBot="1" x14ac:dyDescent="0.3">
      <c r="A48" s="82"/>
      <c r="B48" s="76"/>
      <c r="C48" s="102" t="s">
        <v>57</v>
      </c>
      <c r="D48" s="80"/>
      <c r="E48" s="146">
        <f>E24+E40+E46</f>
        <v>2342299731.0100002</v>
      </c>
      <c r="F48" s="104"/>
      <c r="G48" s="146">
        <f>G24+G40+G46</f>
        <v>91808017.842857152</v>
      </c>
      <c r="H48" s="103"/>
      <c r="I48" s="146">
        <f>I24+I40+I46</f>
        <v>2595150.6517857146</v>
      </c>
      <c r="J48" s="103"/>
      <c r="K48" s="146">
        <f>K24+K40+K46</f>
        <v>530679.36607142864</v>
      </c>
      <c r="L48" s="199"/>
      <c r="M48" s="146">
        <f>M24+M40+M46</f>
        <v>1922545.2503805554</v>
      </c>
      <c r="N48" s="104"/>
      <c r="O48" s="146">
        <f>O24+O40+O46</f>
        <v>96856393.111094832</v>
      </c>
      <c r="P48" s="77"/>
      <c r="Q48" s="202">
        <f>IFERROR(ROUND(O48/E48,4),0)</f>
        <v>4.1399999999999999E-2</v>
      </c>
      <c r="S48" s="109"/>
    </row>
    <row r="49" spans="1:17" ht="15.75" thickTop="1" x14ac:dyDescent="0.2">
      <c r="A49" s="110"/>
      <c r="B49" s="184"/>
      <c r="C49" s="112"/>
      <c r="D49" s="111"/>
      <c r="E49" s="113"/>
      <c r="F49" s="114"/>
      <c r="G49" s="113"/>
      <c r="H49" s="111"/>
      <c r="I49" s="113"/>
      <c r="J49" s="115"/>
      <c r="K49" s="184"/>
      <c r="L49" s="111"/>
      <c r="M49" s="113"/>
      <c r="N49" s="113"/>
      <c r="O49" s="113"/>
      <c r="P49" s="114"/>
      <c r="Q49" s="116"/>
    </row>
    <row r="50" spans="1:17" x14ac:dyDescent="0.2">
      <c r="C50" s="117"/>
      <c r="E50" s="118"/>
      <c r="G50" s="118"/>
      <c r="H50" s="200"/>
      <c r="I50" s="118"/>
      <c r="J50" s="187"/>
      <c r="K50" s="90"/>
      <c r="L50" s="191"/>
      <c r="M50" s="118"/>
      <c r="N50" s="118"/>
      <c r="O50" s="118"/>
    </row>
    <row r="51" spans="1:17" x14ac:dyDescent="0.2">
      <c r="C51" s="117"/>
      <c r="E51" s="118"/>
      <c r="G51" s="118"/>
      <c r="I51" s="118"/>
      <c r="J51" s="192"/>
      <c r="K51" s="118"/>
      <c r="L51" s="192"/>
      <c r="M51" s="118"/>
      <c r="N51" s="118"/>
      <c r="O51" s="118"/>
    </row>
    <row r="52" spans="1:17" s="120" customFormat="1" ht="20.25" x14ac:dyDescent="0.3">
      <c r="A52" s="209" t="s">
        <v>85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5"/>
    </row>
    <row r="53" spans="1:17" x14ac:dyDescent="0.2">
      <c r="A53" s="82"/>
      <c r="B53" s="76"/>
      <c r="C53" s="77"/>
      <c r="D53" s="187"/>
      <c r="E53" s="77"/>
      <c r="F53" s="188"/>
      <c r="G53" s="77"/>
      <c r="H53" s="187"/>
      <c r="I53" s="77"/>
      <c r="J53" s="187"/>
      <c r="K53" s="77"/>
      <c r="L53" s="187"/>
      <c r="M53" s="77"/>
      <c r="N53" s="77"/>
      <c r="O53" s="77"/>
      <c r="P53" s="77"/>
      <c r="Q53" s="78"/>
    </row>
    <row r="54" spans="1:17" x14ac:dyDescent="0.2">
      <c r="A54" s="82"/>
      <c r="B54" s="76"/>
      <c r="C54" s="77"/>
      <c r="D54" s="80"/>
      <c r="E54" s="77"/>
      <c r="F54" s="77"/>
      <c r="G54" s="213" t="s">
        <v>46</v>
      </c>
      <c r="H54" s="213"/>
      <c r="I54" s="213"/>
      <c r="J54" s="213"/>
      <c r="K54" s="213"/>
      <c r="L54" s="213"/>
      <c r="M54" s="213"/>
      <c r="N54" s="213"/>
      <c r="O54" s="213"/>
      <c r="P54" s="77"/>
      <c r="Q54" s="78"/>
    </row>
    <row r="55" spans="1:17" x14ac:dyDescent="0.2">
      <c r="A55" s="82"/>
      <c r="B55" s="76"/>
      <c r="C55" s="77"/>
      <c r="D55" s="80"/>
      <c r="E55" s="77"/>
      <c r="F55" s="77"/>
      <c r="G55" s="77"/>
      <c r="H55" s="80"/>
      <c r="I55" s="77"/>
      <c r="J55" s="80"/>
      <c r="K55" s="77"/>
      <c r="L55" s="80"/>
      <c r="M55" s="77"/>
      <c r="N55" s="77"/>
      <c r="O55" s="77"/>
      <c r="P55" s="77"/>
      <c r="Q55" s="81" t="s">
        <v>50</v>
      </c>
    </row>
    <row r="56" spans="1:17" x14ac:dyDescent="0.2">
      <c r="A56" s="82"/>
      <c r="B56" s="76" t="s">
        <v>86</v>
      </c>
      <c r="C56" s="83" t="s">
        <v>87</v>
      </c>
      <c r="D56" s="80"/>
      <c r="E56" s="83" t="s">
        <v>88</v>
      </c>
      <c r="F56" s="77"/>
      <c r="G56" s="83" t="s">
        <v>89</v>
      </c>
      <c r="H56" s="80"/>
      <c r="I56" s="83" t="s">
        <v>90</v>
      </c>
      <c r="J56" s="80"/>
      <c r="K56" s="83" t="s">
        <v>91</v>
      </c>
      <c r="L56" s="121"/>
      <c r="M56" s="83" t="s">
        <v>92</v>
      </c>
      <c r="N56" s="76"/>
      <c r="O56" s="83" t="s">
        <v>93</v>
      </c>
      <c r="P56" s="77"/>
      <c r="Q56" s="122" t="s">
        <v>94</v>
      </c>
    </row>
    <row r="57" spans="1:17" x14ac:dyDescent="0.2">
      <c r="A57" s="82"/>
      <c r="B57" s="76"/>
      <c r="C57" s="77"/>
      <c r="D57" s="80"/>
      <c r="E57" s="77"/>
      <c r="F57" s="77"/>
      <c r="G57" s="77"/>
      <c r="H57" s="80"/>
      <c r="I57" s="77"/>
      <c r="J57" s="80"/>
      <c r="K57" s="77"/>
      <c r="L57" s="80"/>
      <c r="M57" s="77"/>
      <c r="N57" s="77"/>
      <c r="O57" s="77"/>
      <c r="P57" s="77"/>
      <c r="Q57" s="78"/>
    </row>
    <row r="58" spans="1:17" x14ac:dyDescent="0.2">
      <c r="A58" s="82" t="s">
        <v>95</v>
      </c>
      <c r="B58" s="76" t="s">
        <v>96</v>
      </c>
      <c r="C58" s="98">
        <v>1.7899999999999999E-2</v>
      </c>
      <c r="D58" s="94" t="s">
        <v>5</v>
      </c>
      <c r="E58" s="147">
        <v>0</v>
      </c>
      <c r="F58" s="104"/>
      <c r="G58" s="104">
        <f>ROUND(C58*E58,0)</f>
        <v>0</v>
      </c>
      <c r="H58" s="103"/>
      <c r="I58" s="123">
        <v>0</v>
      </c>
      <c r="J58" s="103"/>
      <c r="K58" s="123">
        <v>0</v>
      </c>
      <c r="L58" s="103"/>
      <c r="M58" s="123">
        <v>0</v>
      </c>
      <c r="N58" s="104"/>
      <c r="O58" s="104">
        <f>SUM(G58:M58)</f>
        <v>0</v>
      </c>
      <c r="P58" s="77"/>
      <c r="Q58" s="62">
        <f>IF(E58=0,0,(ROUND((O58/E58),4)))</f>
        <v>0</v>
      </c>
    </row>
    <row r="59" spans="1:17" x14ac:dyDescent="0.2">
      <c r="A59" s="82" t="s">
        <v>97</v>
      </c>
      <c r="B59" s="76"/>
      <c r="C59" s="98"/>
      <c r="D59" s="80"/>
      <c r="E59" s="95">
        <v>0</v>
      </c>
      <c r="F59" s="104"/>
      <c r="G59" s="95">
        <f>ROUND(C59*E59,0)</f>
        <v>0</v>
      </c>
      <c r="H59" s="103"/>
      <c r="I59" s="124">
        <v>0</v>
      </c>
      <c r="J59" s="103"/>
      <c r="K59" s="124">
        <v>0</v>
      </c>
      <c r="L59" s="96"/>
      <c r="M59" s="124">
        <v>0</v>
      </c>
      <c r="N59" s="104"/>
      <c r="O59" s="95">
        <f>SUM(G59:M59)</f>
        <v>0</v>
      </c>
      <c r="P59" s="77"/>
      <c r="Q59" s="62">
        <f>IF(E59=0,0,(ROUND((O59/E59),4)))</f>
        <v>0</v>
      </c>
    </row>
    <row r="60" spans="1:17" x14ac:dyDescent="0.2">
      <c r="A60" s="82" t="s">
        <v>98</v>
      </c>
      <c r="B60" s="76" t="s">
        <v>99</v>
      </c>
      <c r="C60" s="98">
        <v>1.857E-2</v>
      </c>
      <c r="D60" s="80"/>
      <c r="E60" s="148">
        <v>52033278.82</v>
      </c>
      <c r="F60" s="77"/>
      <c r="G60" s="149">
        <f>E60*C60</f>
        <v>966257.98768739996</v>
      </c>
      <c r="H60" s="80"/>
      <c r="I60" s="125">
        <v>0</v>
      </c>
      <c r="J60" s="80"/>
      <c r="K60" s="125">
        <v>0</v>
      </c>
      <c r="L60" s="199"/>
      <c r="M60" s="125">
        <v>0</v>
      </c>
      <c r="N60" s="77"/>
      <c r="O60" s="149">
        <f>SUM(G60:M60)</f>
        <v>966257.98768739996</v>
      </c>
      <c r="P60" s="77"/>
      <c r="Q60" s="65">
        <f>IF(E60=0,0,(ROUND((O60/E60),4)))</f>
        <v>1.8599999999999998E-2</v>
      </c>
    </row>
    <row r="61" spans="1:17" ht="15.75" thickBot="1" x14ac:dyDescent="0.25">
      <c r="A61" s="82"/>
      <c r="B61" s="76"/>
      <c r="C61" s="77"/>
      <c r="D61" s="80"/>
      <c r="E61" s="91"/>
      <c r="F61" s="77"/>
      <c r="G61" s="91"/>
      <c r="H61" s="80"/>
      <c r="I61" s="77"/>
      <c r="J61" s="80"/>
      <c r="K61" s="91"/>
      <c r="L61" s="199"/>
      <c r="M61" s="91"/>
      <c r="N61" s="77"/>
      <c r="O61" s="91"/>
      <c r="P61" s="77"/>
      <c r="Q61" s="62"/>
    </row>
    <row r="62" spans="1:17" ht="16.5" thickBot="1" x14ac:dyDescent="0.3">
      <c r="A62" s="82"/>
      <c r="B62" s="76"/>
      <c r="C62" s="77" t="s">
        <v>57</v>
      </c>
      <c r="D62" s="80"/>
      <c r="E62" s="150">
        <f>SUM(E58:E61)</f>
        <v>52033278.82</v>
      </c>
      <c r="F62" s="104"/>
      <c r="G62" s="146">
        <f>SUM(G58:G61)</f>
        <v>966257.98768739996</v>
      </c>
      <c r="H62" s="103"/>
      <c r="I62" s="151">
        <f>SUM(I58:I61)</f>
        <v>0</v>
      </c>
      <c r="J62" s="103"/>
      <c r="K62" s="151">
        <f>SUM(K58:K61)</f>
        <v>0</v>
      </c>
      <c r="L62" s="199"/>
      <c r="M62" s="151">
        <f>SUM(M58:M61)</f>
        <v>0</v>
      </c>
      <c r="N62" s="104"/>
      <c r="O62" s="146">
        <f>SUM(O58:O61)</f>
        <v>966257.98768739996</v>
      </c>
      <c r="P62" s="77"/>
      <c r="Q62" s="203">
        <f>IFERROR(ROUND(O62/E62,4),0)</f>
        <v>1.8599999999999998E-2</v>
      </c>
    </row>
    <row r="63" spans="1:17" ht="15.75" thickTop="1" x14ac:dyDescent="0.2">
      <c r="A63" s="110"/>
      <c r="B63" s="184"/>
      <c r="C63" s="114"/>
      <c r="D63" s="111"/>
      <c r="E63" s="114"/>
      <c r="F63" s="114"/>
      <c r="G63" s="126"/>
      <c r="H63" s="111"/>
      <c r="I63" s="114"/>
      <c r="J63" s="111"/>
      <c r="K63" s="126"/>
      <c r="L63" s="127"/>
      <c r="M63" s="126"/>
      <c r="N63" s="114"/>
      <c r="O63" s="114"/>
      <c r="P63" s="114"/>
      <c r="Q63" s="65"/>
    </row>
    <row r="64" spans="1:17" ht="15.75" thickBot="1" x14ac:dyDescent="0.25">
      <c r="C64" s="117"/>
      <c r="D64" s="97"/>
      <c r="E64" s="118"/>
      <c r="F64" s="79"/>
      <c r="G64" s="118"/>
      <c r="H64" s="97"/>
      <c r="J64" s="97"/>
      <c r="L64" s="97"/>
      <c r="O64" s="118"/>
      <c r="Q64" s="66"/>
    </row>
    <row r="65" spans="1:18" ht="16.5" thickBot="1" x14ac:dyDescent="0.3">
      <c r="A65" s="79" t="s">
        <v>144</v>
      </c>
      <c r="C65" s="117"/>
      <c r="D65" s="97"/>
      <c r="E65" s="183">
        <f>E48+E62</f>
        <v>2394333009.8300004</v>
      </c>
      <c r="F65" s="128"/>
      <c r="G65" s="152">
        <f>G48+G62</f>
        <v>92774275.830544546</v>
      </c>
      <c r="H65" s="129"/>
      <c r="I65" s="152">
        <f>I48+I62</f>
        <v>2595150.6517857146</v>
      </c>
      <c r="J65" s="129"/>
      <c r="K65" s="152">
        <f>K48+K62</f>
        <v>530679.36607142864</v>
      </c>
      <c r="L65" s="199"/>
      <c r="M65" s="152">
        <f>M48+M62</f>
        <v>1922545.2503805554</v>
      </c>
      <c r="N65" s="128"/>
      <c r="O65" s="152">
        <f>O48+O62</f>
        <v>97822651.098782226</v>
      </c>
      <c r="Q65" s="203">
        <f>IFERROR(ROUND(O65/E65,4),0)</f>
        <v>4.0899999999999999E-2</v>
      </c>
    </row>
    <row r="66" spans="1:18" ht="18.75" customHeight="1" thickTop="1" x14ac:dyDescent="0.25">
      <c r="A66" s="79" t="s">
        <v>138</v>
      </c>
      <c r="C66" s="117"/>
      <c r="D66" s="97"/>
      <c r="E66" s="153">
        <f>E67-E65</f>
        <v>0</v>
      </c>
      <c r="F66" s="128"/>
      <c r="G66" s="104"/>
      <c r="H66" s="129"/>
      <c r="I66" s="104"/>
      <c r="J66" s="129"/>
      <c r="K66" s="104"/>
      <c r="L66" s="103"/>
      <c r="M66" s="104"/>
      <c r="N66" s="128"/>
      <c r="Q66" s="193"/>
    </row>
    <row r="67" spans="1:18" ht="21.75" customHeight="1" thickBot="1" x14ac:dyDescent="0.25">
      <c r="A67" s="79" t="s">
        <v>139</v>
      </c>
      <c r="C67" s="117"/>
      <c r="D67" s="97"/>
      <c r="E67" s="152">
        <v>2394333009.8300004</v>
      </c>
      <c r="F67" s="128"/>
      <c r="G67" s="104"/>
      <c r="H67" s="129"/>
      <c r="I67" s="104"/>
      <c r="J67" s="129"/>
      <c r="K67" s="104"/>
      <c r="L67" s="103"/>
      <c r="M67" s="104"/>
      <c r="N67" s="128"/>
      <c r="O67" s="194"/>
      <c r="Q67" s="195"/>
    </row>
    <row r="68" spans="1:18" ht="15.75" thickTop="1" x14ac:dyDescent="0.2">
      <c r="C68" s="117"/>
      <c r="D68" s="97"/>
      <c r="E68" s="201"/>
      <c r="F68" s="128"/>
      <c r="G68" s="104"/>
      <c r="H68" s="129"/>
      <c r="I68" s="104"/>
      <c r="J68" s="129"/>
      <c r="K68" s="104"/>
      <c r="L68" s="103"/>
      <c r="M68" s="104"/>
      <c r="N68" s="128"/>
      <c r="O68" s="194"/>
      <c r="Q68" s="195"/>
    </row>
    <row r="69" spans="1:18" x14ac:dyDescent="0.2">
      <c r="A69" s="79" t="s">
        <v>100</v>
      </c>
      <c r="C69" s="117"/>
      <c r="D69" s="97"/>
      <c r="E69" s="118"/>
      <c r="F69" s="79"/>
      <c r="G69" s="118"/>
      <c r="H69" s="97"/>
      <c r="J69" s="97"/>
      <c r="L69" s="97"/>
      <c r="O69" s="130"/>
      <c r="Q69" s="79"/>
    </row>
    <row r="70" spans="1:18" x14ac:dyDescent="0.2">
      <c r="A70" s="79" t="s">
        <v>101</v>
      </c>
      <c r="D70" s="97"/>
      <c r="F70" s="79"/>
      <c r="H70" s="97"/>
      <c r="J70" s="97"/>
      <c r="L70" s="97"/>
      <c r="Q70" s="79"/>
    </row>
    <row r="71" spans="1:18" x14ac:dyDescent="0.2">
      <c r="D71" s="97"/>
      <c r="F71" s="79"/>
      <c r="H71" s="97"/>
      <c r="J71" s="97"/>
      <c r="L71" s="97"/>
    </row>
    <row r="72" spans="1:18" x14ac:dyDescent="0.2">
      <c r="A72" s="216" t="s">
        <v>152</v>
      </c>
      <c r="B72" s="217"/>
      <c r="C72" s="217"/>
      <c r="D72" s="217"/>
      <c r="E72" s="217"/>
      <c r="F72" s="79"/>
      <c r="G72" s="118"/>
      <c r="H72" s="97"/>
      <c r="I72" s="186"/>
      <c r="J72" s="97"/>
      <c r="K72" s="130"/>
      <c r="L72" s="131"/>
      <c r="M72" s="130"/>
      <c r="O72" s="186"/>
    </row>
    <row r="73" spans="1:18" ht="30" customHeight="1" x14ac:dyDescent="0.2">
      <c r="A73" s="212" t="s">
        <v>153</v>
      </c>
      <c r="B73" s="212"/>
      <c r="C73" s="212"/>
      <c r="D73" s="212"/>
      <c r="E73" s="212"/>
      <c r="F73" s="212"/>
      <c r="G73" s="212"/>
      <c r="H73" s="97"/>
      <c r="J73" s="97"/>
      <c r="K73" s="118"/>
      <c r="L73" s="131"/>
      <c r="M73" s="118"/>
      <c r="N73" s="118"/>
    </row>
    <row r="74" spans="1:18" x14ac:dyDescent="0.2">
      <c r="A74" s="132"/>
      <c r="B74" s="196"/>
      <c r="C74" s="196"/>
      <c r="D74" s="197"/>
      <c r="E74" s="196"/>
      <c r="F74" s="79"/>
      <c r="H74" s="97"/>
      <c r="J74" s="97"/>
      <c r="K74" s="118"/>
      <c r="L74" s="131"/>
      <c r="M74" s="118"/>
      <c r="N74" s="118"/>
    </row>
    <row r="75" spans="1:18" ht="21" customHeight="1" x14ac:dyDescent="0.2">
      <c r="A75" s="212" t="s">
        <v>154</v>
      </c>
      <c r="B75" s="212"/>
      <c r="C75" s="212"/>
      <c r="D75" s="212"/>
      <c r="E75" s="212"/>
      <c r="F75" s="212"/>
      <c r="G75" s="212"/>
      <c r="H75" s="97"/>
      <c r="J75" s="97"/>
      <c r="K75" s="118"/>
      <c r="L75" s="131"/>
      <c r="M75" s="118"/>
      <c r="N75" s="118"/>
    </row>
    <row r="76" spans="1:18" ht="21" customHeight="1" x14ac:dyDescent="0.2">
      <c r="A76" s="185"/>
      <c r="B76" s="185"/>
      <c r="C76" s="185"/>
      <c r="D76" s="185"/>
      <c r="E76" s="185"/>
      <c r="F76" s="185"/>
      <c r="G76" s="185"/>
      <c r="H76" s="97"/>
      <c r="J76" s="97"/>
      <c r="K76" s="118"/>
      <c r="L76" s="131"/>
      <c r="M76" s="118"/>
      <c r="N76" s="118"/>
    </row>
    <row r="77" spans="1:18" x14ac:dyDescent="0.2">
      <c r="A77" s="212" t="s">
        <v>155</v>
      </c>
      <c r="B77" s="212"/>
      <c r="C77" s="212"/>
      <c r="D77" s="212"/>
      <c r="E77" s="212"/>
      <c r="F77" s="212"/>
      <c r="G77" s="212"/>
      <c r="H77" s="97"/>
      <c r="J77" s="97"/>
      <c r="K77" s="118"/>
      <c r="L77" s="131"/>
      <c r="M77" s="118"/>
      <c r="N77" s="118"/>
    </row>
    <row r="78" spans="1:18" x14ac:dyDescent="0.2">
      <c r="B78" s="79"/>
      <c r="D78" s="97"/>
      <c r="F78" s="133"/>
      <c r="H78" s="97"/>
      <c r="I78" s="186"/>
      <c r="J78" s="97"/>
      <c r="L78" s="97"/>
      <c r="O78" s="118"/>
      <c r="R78" s="198"/>
    </row>
    <row r="79" spans="1:18" x14ac:dyDescent="0.2">
      <c r="A79" s="79" t="s">
        <v>156</v>
      </c>
      <c r="D79" s="97"/>
      <c r="F79" s="79"/>
      <c r="H79" s="97"/>
      <c r="J79" s="97"/>
      <c r="L79" s="97"/>
    </row>
    <row r="80" spans="1:18" x14ac:dyDescent="0.2">
      <c r="D80" s="97"/>
      <c r="F80" s="79"/>
      <c r="H80" s="97"/>
      <c r="J80" s="97"/>
      <c r="L80" s="97"/>
    </row>
  </sheetData>
  <mergeCells count="12">
    <mergeCell ref="A77:G77"/>
    <mergeCell ref="G7:O7"/>
    <mergeCell ref="A52:Q52"/>
    <mergeCell ref="G54:O54"/>
    <mergeCell ref="A72:E72"/>
    <mergeCell ref="A73:G73"/>
    <mergeCell ref="A75:G75"/>
    <mergeCell ref="A1:Q1"/>
    <mergeCell ref="A2:Q2"/>
    <mergeCell ref="A3:Q3"/>
    <mergeCell ref="A4:Q4"/>
    <mergeCell ref="A5:Q5"/>
  </mergeCells>
  <pageMargins left="0.5" right="0.5" top="0.75" bottom="0.75" header="0.5" footer="0.25"/>
  <pageSetup scale="41" orientation="portrait" r:id="rId1"/>
  <headerFooter scaleWithDoc="0">
    <oddHeader>&amp;R&amp;"Times New Roman,Bold"&amp;12Attachment to Response to Question No. 5 (a-c)
Page 2 of 3
Neal</oddHead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opLeftCell="A22" zoomScaleNormal="100" workbookViewId="0">
      <selection activeCell="I14" sqref="I14"/>
    </sheetView>
  </sheetViews>
  <sheetFormatPr defaultRowHeight="15.75" x14ac:dyDescent="0.25"/>
  <cols>
    <col min="1" max="1" width="9.140625" style="177"/>
    <col min="2" max="2" width="9.140625" style="179"/>
    <col min="3" max="3" width="29.5703125" style="179" customWidth="1"/>
    <col min="4" max="4" width="2.140625" style="179" customWidth="1"/>
    <col min="5" max="5" width="17.7109375" style="179" bestFit="1" customWidth="1"/>
    <col min="6" max="6" width="1.140625" style="177" customWidth="1"/>
    <col min="7" max="7" width="11.7109375" style="177" customWidth="1"/>
    <col min="8" max="16384" width="9.140625" style="177"/>
  </cols>
  <sheetData>
    <row r="1" spans="1:7" x14ac:dyDescent="0.25">
      <c r="A1" s="154"/>
      <c r="B1" s="218" t="s">
        <v>103</v>
      </c>
      <c r="C1" s="218"/>
      <c r="D1" s="180"/>
      <c r="E1" s="158"/>
      <c r="G1" s="154"/>
    </row>
    <row r="2" spans="1:7" x14ac:dyDescent="0.25">
      <c r="A2" s="154"/>
      <c r="B2" s="218" t="s">
        <v>104</v>
      </c>
      <c r="C2" s="218"/>
      <c r="D2" s="180"/>
      <c r="E2" s="158"/>
      <c r="G2" s="154"/>
    </row>
    <row r="3" spans="1:7" x14ac:dyDescent="0.25">
      <c r="A3" s="154"/>
      <c r="B3" s="219">
        <v>2018</v>
      </c>
      <c r="C3" s="219"/>
      <c r="D3" s="180"/>
      <c r="E3" s="182"/>
      <c r="G3" s="154"/>
    </row>
    <row r="4" spans="1:7" x14ac:dyDescent="0.25">
      <c r="A4" s="154"/>
      <c r="B4" s="155"/>
      <c r="C4" s="155"/>
      <c r="D4" s="156"/>
      <c r="E4" s="156"/>
      <c r="G4" s="154"/>
    </row>
    <row r="5" spans="1:7" x14ac:dyDescent="0.25">
      <c r="A5" s="154"/>
      <c r="B5" s="158"/>
      <c r="C5" s="158"/>
      <c r="D5" s="159"/>
      <c r="E5" s="181">
        <v>2018</v>
      </c>
      <c r="G5" s="154"/>
    </row>
    <row r="6" spans="1:7" x14ac:dyDescent="0.25">
      <c r="A6" s="154"/>
      <c r="B6" s="68"/>
      <c r="C6" s="68"/>
      <c r="D6" s="134"/>
      <c r="E6" s="162" t="s">
        <v>140</v>
      </c>
      <c r="G6" s="154"/>
    </row>
    <row r="7" spans="1:7" x14ac:dyDescent="0.25">
      <c r="A7" s="154"/>
      <c r="B7" s="163"/>
      <c r="C7" s="163"/>
      <c r="D7" s="158"/>
      <c r="E7" s="164" t="s">
        <v>141</v>
      </c>
      <c r="G7" s="154"/>
    </row>
    <row r="8" spans="1:7" x14ac:dyDescent="0.25">
      <c r="A8" s="154"/>
      <c r="B8" s="158"/>
      <c r="C8" s="158"/>
      <c r="D8" s="159"/>
      <c r="E8" s="165" t="s">
        <v>143</v>
      </c>
      <c r="G8" s="154"/>
    </row>
    <row r="9" spans="1:7" x14ac:dyDescent="0.25">
      <c r="A9" s="154"/>
      <c r="B9" s="68"/>
      <c r="C9" s="68"/>
      <c r="D9" s="134"/>
      <c r="E9" s="166" t="s">
        <v>106</v>
      </c>
      <c r="G9" s="154"/>
    </row>
    <row r="10" spans="1:7" x14ac:dyDescent="0.25">
      <c r="A10" s="154">
        <v>-1</v>
      </c>
      <c r="B10" s="68" t="s">
        <v>107</v>
      </c>
      <c r="C10" s="68"/>
      <c r="D10" s="167"/>
      <c r="E10" s="168">
        <v>100</v>
      </c>
      <c r="G10" s="154"/>
    </row>
    <row r="11" spans="1:7" x14ac:dyDescent="0.25">
      <c r="A11" s="154">
        <f>+A10-1</f>
        <v>-2</v>
      </c>
      <c r="B11" s="67"/>
      <c r="C11" s="68"/>
      <c r="D11" s="134"/>
      <c r="E11" s="169"/>
      <c r="G11" s="154"/>
    </row>
    <row r="12" spans="1:7" x14ac:dyDescent="0.25">
      <c r="A12" s="154">
        <f>+A11-1</f>
        <v>-3</v>
      </c>
      <c r="B12" s="67" t="s">
        <v>108</v>
      </c>
      <c r="C12" s="68"/>
      <c r="D12" s="134"/>
      <c r="E12" s="135">
        <v>5</v>
      </c>
      <c r="G12" s="154">
        <v>-40</v>
      </c>
    </row>
    <row r="13" spans="1:7" x14ac:dyDescent="0.25">
      <c r="A13" s="154">
        <f t="shared" ref="A13:A49" si="0">+A12-1</f>
        <v>-4</v>
      </c>
      <c r="B13" s="67"/>
      <c r="C13" s="68"/>
      <c r="D13" s="134"/>
      <c r="E13" s="142"/>
      <c r="G13" s="154"/>
    </row>
    <row r="14" spans="1:7" x14ac:dyDescent="0.25">
      <c r="A14" s="154">
        <f t="shared" si="0"/>
        <v>-5</v>
      </c>
      <c r="B14" s="68" t="s">
        <v>109</v>
      </c>
      <c r="C14" s="68"/>
      <c r="D14" s="134"/>
      <c r="E14" s="142"/>
      <c r="G14" s="154"/>
    </row>
    <row r="15" spans="1:7" x14ac:dyDescent="0.25">
      <c r="A15" s="154">
        <f t="shared" si="0"/>
        <v>-6</v>
      </c>
      <c r="B15" s="158" t="s">
        <v>110</v>
      </c>
      <c r="C15" s="68"/>
      <c r="D15" s="137"/>
      <c r="E15" s="136">
        <f>+E10-E12</f>
        <v>95</v>
      </c>
      <c r="G15" s="71" t="s">
        <v>111</v>
      </c>
    </row>
    <row r="16" spans="1:7" x14ac:dyDescent="0.25">
      <c r="A16" s="154">
        <f t="shared" si="0"/>
        <v>-7</v>
      </c>
      <c r="B16" s="69" t="s">
        <v>112</v>
      </c>
      <c r="C16" s="68"/>
      <c r="D16" s="137"/>
      <c r="E16" s="139">
        <v>0</v>
      </c>
      <c r="G16" s="154"/>
    </row>
    <row r="17" spans="1:14" x14ac:dyDescent="0.25">
      <c r="A17" s="154">
        <f t="shared" si="0"/>
        <v>-8</v>
      </c>
      <c r="B17" s="69" t="s">
        <v>113</v>
      </c>
      <c r="C17" s="68"/>
      <c r="D17" s="137"/>
      <c r="E17" s="140">
        <v>1</v>
      </c>
      <c r="G17" s="154"/>
    </row>
    <row r="18" spans="1:14" x14ac:dyDescent="0.25">
      <c r="A18" s="154">
        <f t="shared" si="0"/>
        <v>-9</v>
      </c>
      <c r="B18" s="70" t="s">
        <v>114</v>
      </c>
      <c r="C18" s="68"/>
      <c r="D18" s="137"/>
      <c r="E18" s="141">
        <f>ROUND(E16*E17,4)</f>
        <v>0</v>
      </c>
      <c r="G18" s="154"/>
    </row>
    <row r="19" spans="1:14" x14ac:dyDescent="0.25">
      <c r="A19" s="154">
        <f t="shared" si="0"/>
        <v>-10</v>
      </c>
      <c r="B19" s="68"/>
      <c r="C19" s="68"/>
      <c r="D19" s="137"/>
      <c r="E19" s="138"/>
      <c r="G19" s="154"/>
    </row>
    <row r="20" spans="1:14" x14ac:dyDescent="0.25">
      <c r="A20" s="154">
        <f t="shared" si="0"/>
        <v>-11</v>
      </c>
      <c r="B20" s="68" t="s">
        <v>115</v>
      </c>
      <c r="C20" s="68"/>
      <c r="D20" s="137"/>
      <c r="E20" s="135">
        <f>E15*E18</f>
        <v>0</v>
      </c>
      <c r="G20" s="71" t="s">
        <v>116</v>
      </c>
    </row>
    <row r="21" spans="1:14" x14ac:dyDescent="0.25">
      <c r="A21" s="154">
        <f t="shared" si="0"/>
        <v>-12</v>
      </c>
      <c r="B21" s="70"/>
      <c r="C21" s="68"/>
      <c r="D21" s="134"/>
      <c r="E21" s="142"/>
      <c r="G21" s="154"/>
      <c r="N21" s="178"/>
    </row>
    <row r="22" spans="1:14" x14ac:dyDescent="0.25">
      <c r="A22" s="154">
        <f t="shared" si="0"/>
        <v>-13</v>
      </c>
      <c r="B22" s="67" t="s">
        <v>117</v>
      </c>
      <c r="C22" s="68"/>
      <c r="D22" s="134"/>
      <c r="E22" s="142">
        <f>E15-E20</f>
        <v>95</v>
      </c>
      <c r="G22" s="71" t="s">
        <v>118</v>
      </c>
    </row>
    <row r="23" spans="1:14" x14ac:dyDescent="0.25">
      <c r="A23" s="154">
        <f t="shared" si="0"/>
        <v>-14</v>
      </c>
      <c r="B23" s="70"/>
      <c r="C23" s="68"/>
      <c r="D23" s="134"/>
      <c r="E23" s="142"/>
      <c r="G23" s="154"/>
    </row>
    <row r="24" spans="1:14" x14ac:dyDescent="0.25">
      <c r="A24" s="154">
        <f t="shared" si="0"/>
        <v>-15</v>
      </c>
      <c r="B24" s="67" t="s">
        <v>119</v>
      </c>
      <c r="C24" s="68"/>
      <c r="D24" s="134"/>
      <c r="E24" s="170">
        <f>+E22*0.21</f>
        <v>19.95</v>
      </c>
      <c r="G24" s="71" t="s">
        <v>142</v>
      </c>
    </row>
    <row r="25" spans="1:14" x14ac:dyDescent="0.25">
      <c r="A25" s="154">
        <f t="shared" si="0"/>
        <v>-16</v>
      </c>
      <c r="B25" s="70"/>
      <c r="C25" s="68"/>
      <c r="D25" s="134"/>
      <c r="E25" s="169"/>
      <c r="G25" s="154"/>
    </row>
    <row r="26" spans="1:14" x14ac:dyDescent="0.25">
      <c r="A26" s="154">
        <f t="shared" si="0"/>
        <v>-17</v>
      </c>
      <c r="B26" s="67"/>
      <c r="C26" s="68"/>
      <c r="D26" s="134"/>
      <c r="E26" s="169"/>
      <c r="G26" s="154"/>
    </row>
    <row r="27" spans="1:14" x14ac:dyDescent="0.25">
      <c r="A27" s="154">
        <f t="shared" si="0"/>
        <v>-18</v>
      </c>
      <c r="B27" s="67" t="s">
        <v>120</v>
      </c>
      <c r="C27" s="68"/>
      <c r="D27" s="134"/>
      <c r="E27" s="170">
        <f>+E12+E24</f>
        <v>24.95</v>
      </c>
      <c r="G27" s="71" t="s">
        <v>121</v>
      </c>
    </row>
    <row r="28" spans="1:14" x14ac:dyDescent="0.25">
      <c r="A28" s="154">
        <f t="shared" si="0"/>
        <v>-19</v>
      </c>
      <c r="B28" s="158"/>
      <c r="C28" s="68"/>
      <c r="D28" s="134"/>
      <c r="E28" s="171"/>
      <c r="G28" s="154"/>
    </row>
    <row r="29" spans="1:14" ht="16.5" thickBot="1" x14ac:dyDescent="0.3">
      <c r="A29" s="154">
        <f t="shared" si="0"/>
        <v>-20</v>
      </c>
      <c r="B29" s="68" t="s">
        <v>122</v>
      </c>
      <c r="C29" s="68"/>
      <c r="D29" s="134"/>
      <c r="E29" s="172">
        <f>100-E27</f>
        <v>75.05</v>
      </c>
      <c r="G29" s="71" t="s">
        <v>123</v>
      </c>
    </row>
    <row r="30" spans="1:14" ht="16.5" thickTop="1" x14ac:dyDescent="0.25">
      <c r="A30" s="154">
        <f t="shared" si="0"/>
        <v>-21</v>
      </c>
      <c r="B30" s="68"/>
      <c r="C30" s="68"/>
      <c r="D30" s="134"/>
      <c r="E30" s="171"/>
      <c r="G30" s="154"/>
    </row>
    <row r="31" spans="1:14" x14ac:dyDescent="0.25">
      <c r="A31" s="154">
        <f t="shared" si="0"/>
        <v>-22</v>
      </c>
      <c r="B31" s="67" t="s">
        <v>124</v>
      </c>
      <c r="C31" s="68"/>
      <c r="D31" s="134"/>
      <c r="E31" s="171"/>
      <c r="G31" s="154"/>
    </row>
    <row r="32" spans="1:14" x14ac:dyDescent="0.25">
      <c r="A32" s="154">
        <f t="shared" si="0"/>
        <v>-23</v>
      </c>
      <c r="B32" s="68" t="s">
        <v>125</v>
      </c>
      <c r="C32" s="68"/>
      <c r="D32" s="134"/>
      <c r="E32" s="173">
        <f>+E24/100</f>
        <v>0.19949999999999998</v>
      </c>
      <c r="G32" s="71" t="s">
        <v>126</v>
      </c>
    </row>
    <row r="33" spans="1:7" x14ac:dyDescent="0.25">
      <c r="A33" s="154">
        <f t="shared" si="0"/>
        <v>-24</v>
      </c>
      <c r="B33" s="68" t="s">
        <v>127</v>
      </c>
      <c r="C33" s="68"/>
      <c r="D33" s="134"/>
      <c r="E33" s="174">
        <f>+E12/100</f>
        <v>0.05</v>
      </c>
      <c r="G33" s="71" t="s">
        <v>128</v>
      </c>
    </row>
    <row r="34" spans="1:7" ht="16.5" thickBot="1" x14ac:dyDescent="0.3">
      <c r="A34" s="154">
        <f t="shared" si="0"/>
        <v>-25</v>
      </c>
      <c r="B34" s="68" t="s">
        <v>129</v>
      </c>
      <c r="C34" s="68"/>
      <c r="D34" s="134"/>
      <c r="E34" s="175">
        <f>SUM(E32:E33)</f>
        <v>0.2495</v>
      </c>
      <c r="G34" s="71" t="s">
        <v>130</v>
      </c>
    </row>
    <row r="35" spans="1:7" ht="16.5" thickTop="1" x14ac:dyDescent="0.25">
      <c r="A35" s="154">
        <f t="shared" si="0"/>
        <v>-26</v>
      </c>
      <c r="B35" s="158"/>
      <c r="C35" s="158"/>
      <c r="D35" s="158"/>
      <c r="E35" s="157"/>
      <c r="G35" s="154"/>
    </row>
    <row r="36" spans="1:7" x14ac:dyDescent="0.25">
      <c r="A36" s="154">
        <f t="shared" si="0"/>
        <v>-27</v>
      </c>
      <c r="B36" s="158"/>
      <c r="C36" s="158"/>
      <c r="D36" s="158"/>
      <c r="E36" s="160">
        <f>+E34</f>
        <v>0.2495</v>
      </c>
      <c r="F36" s="179"/>
      <c r="G36" s="161"/>
    </row>
    <row r="37" spans="1:7" x14ac:dyDescent="0.25">
      <c r="A37" s="154">
        <f t="shared" si="0"/>
        <v>-28</v>
      </c>
      <c r="B37" s="158"/>
      <c r="C37" s="158"/>
      <c r="D37" s="158"/>
      <c r="E37" s="157"/>
      <c r="G37" s="154"/>
    </row>
    <row r="38" spans="1:7" x14ac:dyDescent="0.25">
      <c r="A38" s="154">
        <f t="shared" si="0"/>
        <v>-29</v>
      </c>
      <c r="B38" s="158"/>
      <c r="C38" s="158"/>
      <c r="D38" s="158"/>
      <c r="E38" s="157"/>
      <c r="G38" s="154"/>
    </row>
    <row r="39" spans="1:7" x14ac:dyDescent="0.25">
      <c r="A39" s="154">
        <f t="shared" si="0"/>
        <v>-30</v>
      </c>
      <c r="B39" s="158"/>
      <c r="C39" s="158"/>
      <c r="D39" s="158"/>
      <c r="E39" s="157"/>
      <c r="G39" s="154"/>
    </row>
    <row r="40" spans="1:7" x14ac:dyDescent="0.25">
      <c r="A40" s="154">
        <f t="shared" si="0"/>
        <v>-31</v>
      </c>
      <c r="B40" s="176" t="s">
        <v>131</v>
      </c>
      <c r="C40" s="158"/>
      <c r="D40" s="158"/>
      <c r="E40" s="157"/>
      <c r="G40" s="154"/>
    </row>
    <row r="41" spans="1:7" x14ac:dyDescent="0.25">
      <c r="A41" s="154">
        <f t="shared" si="0"/>
        <v>-32</v>
      </c>
      <c r="B41" s="68" t="s">
        <v>107</v>
      </c>
      <c r="C41" s="158"/>
      <c r="D41" s="158"/>
      <c r="E41" s="168">
        <v>100</v>
      </c>
      <c r="G41" s="154"/>
    </row>
    <row r="42" spans="1:7" x14ac:dyDescent="0.25">
      <c r="A42" s="154">
        <f t="shared" si="0"/>
        <v>-33</v>
      </c>
      <c r="B42" s="67"/>
      <c r="C42" s="158"/>
      <c r="D42" s="158"/>
      <c r="E42" s="169"/>
      <c r="G42" s="154"/>
    </row>
    <row r="43" spans="1:7" x14ac:dyDescent="0.25">
      <c r="A43" s="154">
        <f t="shared" si="0"/>
        <v>-34</v>
      </c>
      <c r="B43" s="67" t="s">
        <v>132</v>
      </c>
      <c r="C43" s="158"/>
      <c r="D43" s="158"/>
      <c r="E43" s="135"/>
      <c r="G43" s="154"/>
    </row>
    <row r="44" spans="1:7" x14ac:dyDescent="0.25">
      <c r="A44" s="154">
        <f t="shared" si="0"/>
        <v>-35</v>
      </c>
      <c r="B44" s="67"/>
      <c r="C44" s="158"/>
      <c r="D44" s="158"/>
      <c r="E44" s="142"/>
      <c r="G44" s="154"/>
    </row>
    <row r="45" spans="1:7" x14ac:dyDescent="0.25">
      <c r="A45" s="154">
        <f t="shared" si="0"/>
        <v>-36</v>
      </c>
      <c r="B45" s="68" t="s">
        <v>133</v>
      </c>
      <c r="C45" s="158"/>
      <c r="D45" s="158"/>
      <c r="E45" s="136">
        <f>+E41-E43</f>
        <v>100</v>
      </c>
      <c r="G45" s="71" t="s">
        <v>134</v>
      </c>
    </row>
    <row r="46" spans="1:7" x14ac:dyDescent="0.25">
      <c r="A46" s="154">
        <f t="shared" si="0"/>
        <v>-37</v>
      </c>
      <c r="B46" s="68"/>
      <c r="C46" s="158"/>
      <c r="D46" s="158"/>
      <c r="E46" s="136"/>
      <c r="G46" s="154"/>
    </row>
    <row r="47" spans="1:7" x14ac:dyDescent="0.25">
      <c r="A47" s="154">
        <f t="shared" si="0"/>
        <v>-38</v>
      </c>
      <c r="B47" s="68" t="s">
        <v>105</v>
      </c>
      <c r="C47" s="158"/>
      <c r="D47" s="158"/>
      <c r="E47" s="143">
        <v>0.05</v>
      </c>
      <c r="G47" s="154"/>
    </row>
    <row r="48" spans="1:7" x14ac:dyDescent="0.25">
      <c r="A48" s="154">
        <f t="shared" si="0"/>
        <v>-39</v>
      </c>
      <c r="B48" s="70"/>
      <c r="C48" s="158"/>
      <c r="D48" s="158"/>
      <c r="E48" s="142"/>
      <c r="G48" s="154"/>
    </row>
    <row r="49" spans="1:7" ht="16.5" thickBot="1" x14ac:dyDescent="0.3">
      <c r="A49" s="154">
        <f t="shared" si="0"/>
        <v>-40</v>
      </c>
      <c r="B49" s="67" t="s">
        <v>135</v>
      </c>
      <c r="C49" s="158"/>
      <c r="D49" s="158"/>
      <c r="E49" s="172">
        <f>+E45*E47</f>
        <v>5</v>
      </c>
      <c r="G49" s="71" t="s">
        <v>136</v>
      </c>
    </row>
    <row r="50" spans="1:7" ht="16.5" thickTop="1" x14ac:dyDescent="0.25">
      <c r="A50" s="154"/>
      <c r="B50" s="158"/>
      <c r="C50" s="158"/>
      <c r="D50" s="158"/>
      <c r="E50" s="158"/>
      <c r="G50" s="154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(a-c)
Page 3 of 3
Neal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Feb18</vt:lpstr>
      <vt:lpstr>Tab 2 - ECC Feb18</vt:lpstr>
      <vt:lpstr>Tab 3 - Tax Rate</vt:lpstr>
      <vt:lpstr>'Tab 1 - ROR Feb18'!Print_Area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2018-09-04T15:22:10Z</dcterms:created>
  <dcterms:modified xsi:type="dcterms:W3CDTF">2018-09-04T15:22:19Z</dcterms:modified>
  <cp:category/>
  <cp:contentStatus/>
</cp:coreProperties>
</file>