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60" windowWidth="15195" windowHeight="8700" tabRatio="770"/>
  </bookViews>
  <sheets>
    <sheet name="Project 28" sheetId="32" r:id="rId1"/>
    <sheet name="Project 29" sheetId="31" r:id="rId2"/>
    <sheet name="Project 29_2011 Plan" sheetId="38" r:id="rId3"/>
    <sheet name="Project 30" sheetId="35" r:id="rId4"/>
    <sheet name="Project 31" sheetId="28" r:id="rId5"/>
    <sheet name="Project 32" sheetId="36" r:id="rId6"/>
    <sheet name="Project 33" sheetId="33" r:id="rId7"/>
    <sheet name="Project 34" sheetId="37" r:id="rId8"/>
    <sheet name="Project 35" sheetId="29" r:id="rId9"/>
    <sheet name="Project 37" sheetId="40" r:id="rId10"/>
    <sheet name="Project 38" sheetId="41" r:id="rId11"/>
    <sheet name="Project 41" sheetId="39" r:id="rId12"/>
  </sheets>
  <calcPr calcId="152511"/>
</workbook>
</file>

<file path=xl/calcChain.xml><?xml version="1.0" encoding="utf-8"?>
<calcChain xmlns="http://schemas.openxmlformats.org/spreadsheetml/2006/main">
  <c r="K18" i="38" l="1"/>
  <c r="L18" i="38" l="1"/>
  <c r="H46" i="31" l="1"/>
  <c r="H37" i="31"/>
  <c r="K20" i="31"/>
  <c r="K19" i="31"/>
  <c r="L19" i="31"/>
  <c r="K18" i="35"/>
  <c r="L18" i="35"/>
  <c r="K18" i="40"/>
  <c r="L18" i="40"/>
  <c r="E29" i="41" l="1"/>
  <c r="E19" i="41"/>
  <c r="E18" i="41"/>
  <c r="K19" i="32" l="1"/>
  <c r="H41" i="32"/>
  <c r="H42" i="32"/>
  <c r="H60" i="32"/>
  <c r="M19" i="32"/>
  <c r="H20" i="32"/>
  <c r="L20" i="32" s="1"/>
  <c r="K20" i="32" s="1"/>
  <c r="G20" i="32"/>
  <c r="L19" i="32"/>
  <c r="H19" i="32"/>
  <c r="G19" i="32"/>
  <c r="M19" i="31"/>
  <c r="H20" i="31"/>
  <c r="L20" i="31" s="1"/>
  <c r="G20" i="31"/>
  <c r="H19" i="31"/>
  <c r="G19" i="31"/>
  <c r="F19" i="38"/>
  <c r="H19" i="38" s="1"/>
  <c r="L19" i="38" s="1"/>
  <c r="G19" i="38"/>
  <c r="G18" i="38"/>
  <c r="F18" i="38"/>
  <c r="H18" i="38" s="1"/>
  <c r="H59" i="35"/>
  <c r="H89" i="35"/>
  <c r="H19" i="35"/>
  <c r="L19" i="35" s="1"/>
  <c r="K19" i="35" s="1"/>
  <c r="G19" i="35"/>
  <c r="F19" i="35"/>
  <c r="G18" i="35"/>
  <c r="F18" i="35"/>
  <c r="H18" i="35" s="1"/>
  <c r="M18" i="28"/>
  <c r="H19" i="28"/>
  <c r="L19" i="28" s="1"/>
  <c r="K19" i="28" s="1"/>
  <c r="G19" i="28"/>
  <c r="F19" i="28"/>
  <c r="G18" i="28"/>
  <c r="F18" i="28"/>
  <c r="H18" i="28" s="1"/>
  <c r="L18" i="28" s="1"/>
  <c r="H31" i="36"/>
  <c r="H34" i="36"/>
  <c r="M18" i="36"/>
  <c r="G19" i="36"/>
  <c r="F19" i="36"/>
  <c r="H19" i="36" s="1"/>
  <c r="L19" i="36" s="1"/>
  <c r="K19" i="36" s="1"/>
  <c r="H18" i="36"/>
  <c r="L18" i="36" s="1"/>
  <c r="G18" i="36"/>
  <c r="K18" i="36" s="1"/>
  <c r="M19" i="36" s="1"/>
  <c r="F18" i="36"/>
  <c r="K19" i="38" l="1"/>
  <c r="M20" i="32"/>
  <c r="M20" i="31"/>
  <c r="M18" i="38"/>
  <c r="K18" i="28"/>
  <c r="M19" i="28" s="1"/>
  <c r="H33" i="33"/>
  <c r="H38" i="33"/>
  <c r="H19" i="33"/>
  <c r="L19" i="33" s="1"/>
  <c r="G19" i="33"/>
  <c r="F19" i="33"/>
  <c r="G18" i="33"/>
  <c r="F18" i="33"/>
  <c r="H18" i="33" s="1"/>
  <c r="L18" i="33" s="1"/>
  <c r="K18" i="33" s="1"/>
  <c r="M18" i="33" s="1"/>
  <c r="H42" i="37"/>
  <c r="M18" i="37"/>
  <c r="F19" i="37"/>
  <c r="H19" i="37" s="1"/>
  <c r="L19" i="37" s="1"/>
  <c r="G19" i="37"/>
  <c r="H18" i="37"/>
  <c r="L18" i="37" s="1"/>
  <c r="G18" i="37"/>
  <c r="F18" i="37"/>
  <c r="H51" i="29"/>
  <c r="H73" i="29"/>
  <c r="M18" i="29"/>
  <c r="H19" i="29"/>
  <c r="L19" i="29" s="1"/>
  <c r="K19" i="29" s="1"/>
  <c r="G19" i="29"/>
  <c r="F19" i="29"/>
  <c r="L18" i="29"/>
  <c r="H18" i="29"/>
  <c r="E18" i="29"/>
  <c r="G18" i="29" s="1"/>
  <c r="H43" i="41"/>
  <c r="H42" i="41"/>
  <c r="H32" i="39"/>
  <c r="H35" i="39"/>
  <c r="G19" i="40"/>
  <c r="F19" i="40"/>
  <c r="H19" i="40" s="1"/>
  <c r="L19" i="40" s="1"/>
  <c r="H38" i="40" s="1"/>
  <c r="H18" i="40"/>
  <c r="M18" i="40" s="1"/>
  <c r="G18" i="40"/>
  <c r="F18" i="40"/>
  <c r="M18" i="39"/>
  <c r="H19" i="39"/>
  <c r="L19" i="39" s="1"/>
  <c r="G19" i="39"/>
  <c r="K19" i="39" s="1"/>
  <c r="F19" i="39"/>
  <c r="G18" i="39"/>
  <c r="F18" i="39"/>
  <c r="H18" i="39" s="1"/>
  <c r="L18" i="39" s="1"/>
  <c r="K18" i="39" s="1"/>
  <c r="F42" i="41"/>
  <c r="E42" i="41"/>
  <c r="H41" i="41"/>
  <c r="H39" i="41"/>
  <c r="F40" i="41"/>
  <c r="H40" i="41" s="1"/>
  <c r="H32" i="41"/>
  <c r="H31" i="41"/>
  <c r="H30" i="41"/>
  <c r="F30" i="41"/>
  <c r="F31" i="41"/>
  <c r="F32" i="41"/>
  <c r="E34" i="41"/>
  <c r="F41" i="41"/>
  <c r="D39" i="41"/>
  <c r="F39" i="41" s="1"/>
  <c r="F33" i="41"/>
  <c r="H33" i="41" s="1"/>
  <c r="H19" i="41"/>
  <c r="L19" i="41" s="1"/>
  <c r="G19" i="41"/>
  <c r="H18" i="41"/>
  <c r="L18" i="41" s="1"/>
  <c r="G18" i="41"/>
  <c r="M18" i="35" l="1"/>
  <c r="M19" i="35" s="1"/>
  <c r="K19" i="33"/>
  <c r="M19" i="33" s="1"/>
  <c r="K18" i="37"/>
  <c r="K19" i="37"/>
  <c r="K18" i="29"/>
  <c r="M19" i="29" s="1"/>
  <c r="K19" i="40"/>
  <c r="M19" i="39"/>
  <c r="K19" i="41"/>
  <c r="F29" i="41"/>
  <c r="K18" i="41"/>
  <c r="M18" i="41" s="1"/>
  <c r="E15" i="38"/>
  <c r="M19" i="41" l="1"/>
  <c r="M19" i="37"/>
  <c r="M19" i="40"/>
  <c r="F34" i="41"/>
  <c r="H29" i="41"/>
  <c r="H34" i="41" s="1"/>
  <c r="H35" i="41"/>
  <c r="E13" i="38"/>
  <c r="H36" i="41" l="1"/>
  <c r="H37" i="41" s="1"/>
  <c r="E37" i="40"/>
  <c r="F36" i="40"/>
  <c r="H36" i="40" s="1"/>
  <c r="D35" i="40"/>
  <c r="F35" i="40" s="1"/>
  <c r="E30" i="40"/>
  <c r="F29" i="40"/>
  <c r="F28" i="40"/>
  <c r="H28" i="40" s="1"/>
  <c r="E41" i="37"/>
  <c r="F40" i="37"/>
  <c r="H40" i="37" s="1"/>
  <c r="F39" i="37"/>
  <c r="H39" i="37" s="1"/>
  <c r="E32" i="37"/>
  <c r="F31" i="37"/>
  <c r="H31" i="37" s="1"/>
  <c r="F30" i="37"/>
  <c r="H30" i="37" s="1"/>
  <c r="F55" i="35"/>
  <c r="H55" i="35" s="1"/>
  <c r="F54" i="35"/>
  <c r="H54" i="35" s="1"/>
  <c r="F53" i="35"/>
  <c r="H53" i="35" s="1"/>
  <c r="F52" i="35"/>
  <c r="H52" i="35" s="1"/>
  <c r="E88" i="35"/>
  <c r="F87" i="35"/>
  <c r="H87" i="35" s="1"/>
  <c r="F86" i="35"/>
  <c r="H86" i="35" s="1"/>
  <c r="F85" i="35"/>
  <c r="H85" i="35" s="1"/>
  <c r="F84" i="35"/>
  <c r="H84" i="35" s="1"/>
  <c r="F37" i="38"/>
  <c r="H37" i="38" s="1"/>
  <c r="F36" i="38"/>
  <c r="H36" i="38" s="1"/>
  <c r="F35" i="38"/>
  <c r="H35" i="38" s="1"/>
  <c r="F34" i="38"/>
  <c r="H34" i="38" s="1"/>
  <c r="F33" i="38"/>
  <c r="H33" i="38" s="1"/>
  <c r="E38" i="38"/>
  <c r="E53" i="38"/>
  <c r="F52" i="38"/>
  <c r="H52" i="38" s="1"/>
  <c r="F51" i="38"/>
  <c r="H51" i="38" s="1"/>
  <c r="F50" i="38"/>
  <c r="H50" i="38" s="1"/>
  <c r="F49" i="38"/>
  <c r="H49" i="38" s="1"/>
  <c r="F48" i="38"/>
  <c r="H48" i="38" s="1"/>
  <c r="E59" i="32"/>
  <c r="F58" i="32"/>
  <c r="F57" i="32"/>
  <c r="H57" i="32" s="1"/>
  <c r="E41" i="32"/>
  <c r="F40" i="32"/>
  <c r="H40" i="32" s="1"/>
  <c r="F39" i="32"/>
  <c r="H39" i="32" s="1"/>
  <c r="F38" i="32"/>
  <c r="H38" i="32" s="1"/>
  <c r="F37" i="40" l="1"/>
  <c r="F30" i="40"/>
  <c r="H35" i="40"/>
  <c r="H37" i="40" s="1"/>
  <c r="H29" i="40"/>
  <c r="H30" i="40" s="1"/>
  <c r="H58" i="32"/>
  <c r="H31" i="40" l="1"/>
  <c r="H32" i="40" s="1"/>
  <c r="H33" i="40" s="1"/>
  <c r="E11" i="38" l="1"/>
  <c r="E14" i="29" l="1"/>
  <c r="E15" i="37"/>
  <c r="E10" i="28"/>
  <c r="E12" i="35"/>
  <c r="E11" i="35"/>
  <c r="F15" i="39" l="1"/>
  <c r="E15" i="41"/>
  <c r="F15" i="40"/>
  <c r="F15" i="29"/>
  <c r="F15" i="37"/>
  <c r="F15" i="33"/>
  <c r="F15" i="36"/>
  <c r="F15" i="28"/>
  <c r="F15" i="35"/>
  <c r="F15" i="38"/>
  <c r="F14" i="39" l="1"/>
  <c r="E14" i="41"/>
  <c r="G14" i="41" s="1"/>
  <c r="F14" i="41"/>
  <c r="H14" i="41" s="1"/>
  <c r="L14" i="41" s="1"/>
  <c r="H15" i="41"/>
  <c r="L15" i="41" s="1"/>
  <c r="G15" i="41"/>
  <c r="H13" i="41"/>
  <c r="L13" i="41" s="1"/>
  <c r="G13" i="41"/>
  <c r="H12" i="41"/>
  <c r="L12" i="41" s="1"/>
  <c r="G12" i="41"/>
  <c r="H11" i="41"/>
  <c r="L11" i="41" s="1"/>
  <c r="G11" i="41"/>
  <c r="H10" i="41"/>
  <c r="L10" i="41" s="1"/>
  <c r="G10" i="41"/>
  <c r="F14" i="40"/>
  <c r="F14" i="37"/>
  <c r="F14" i="33"/>
  <c r="F14" i="36"/>
  <c r="F14" i="28"/>
  <c r="F14" i="35"/>
  <c r="F14" i="38"/>
  <c r="K11" i="41" l="1"/>
  <c r="K13" i="41"/>
  <c r="K14" i="41"/>
  <c r="K10" i="41"/>
  <c r="M10" i="41" s="1"/>
  <c r="K12" i="41"/>
  <c r="K15" i="41"/>
  <c r="M11" i="41" l="1"/>
  <c r="M12" i="41" s="1"/>
  <c r="M13" i="41" s="1"/>
  <c r="M14" i="41" s="1"/>
  <c r="M15" i="41" l="1"/>
  <c r="H13" i="39" l="1"/>
  <c r="L13" i="39" s="1"/>
  <c r="G13" i="39"/>
  <c r="H12" i="39"/>
  <c r="L12" i="39" s="1"/>
  <c r="G12" i="39"/>
  <c r="H11" i="39"/>
  <c r="L11" i="39" s="1"/>
  <c r="G11" i="39"/>
  <c r="H10" i="39"/>
  <c r="L10" i="39" s="1"/>
  <c r="G10" i="39"/>
  <c r="K12" i="39" l="1"/>
  <c r="K10" i="39"/>
  <c r="K11" i="39"/>
  <c r="K13" i="39"/>
  <c r="H15" i="40" l="1"/>
  <c r="L15" i="40" s="1"/>
  <c r="G15" i="40"/>
  <c r="H14" i="40"/>
  <c r="L14" i="40" s="1"/>
  <c r="G14" i="40"/>
  <c r="H13" i="40"/>
  <c r="L13" i="40" s="1"/>
  <c r="G13" i="40"/>
  <c r="H12" i="40"/>
  <c r="L12" i="40" s="1"/>
  <c r="G12" i="40"/>
  <c r="H11" i="40"/>
  <c r="L11" i="40" s="1"/>
  <c r="G11" i="40"/>
  <c r="H10" i="40"/>
  <c r="L10" i="40" s="1"/>
  <c r="G10" i="40"/>
  <c r="K13" i="40" l="1"/>
  <c r="K15" i="40"/>
  <c r="K14" i="40"/>
  <c r="K12" i="40"/>
  <c r="K10" i="40"/>
  <c r="M10" i="40" s="1"/>
  <c r="K11" i="40"/>
  <c r="F28" i="39"/>
  <c r="D34" i="39"/>
  <c r="M10" i="39"/>
  <c r="E48" i="29"/>
  <c r="E72" i="29"/>
  <c r="F54" i="29"/>
  <c r="H54" i="29" s="1"/>
  <c r="F55" i="29"/>
  <c r="H55" i="29" s="1"/>
  <c r="F56" i="29"/>
  <c r="H56" i="29" s="1"/>
  <c r="F57" i="29"/>
  <c r="H57" i="29" s="1"/>
  <c r="F58" i="29"/>
  <c r="H58" i="29" s="1"/>
  <c r="F59" i="29"/>
  <c r="H59" i="29" s="1"/>
  <c r="F60" i="29"/>
  <c r="H60" i="29" s="1"/>
  <c r="F61" i="29"/>
  <c r="H61" i="29" s="1"/>
  <c r="F62" i="29"/>
  <c r="H62" i="29" s="1"/>
  <c r="F63" i="29"/>
  <c r="H63" i="29" s="1"/>
  <c r="F64" i="29"/>
  <c r="H64" i="29" s="1"/>
  <c r="F65" i="29"/>
  <c r="H65" i="29" s="1"/>
  <c r="F66" i="29"/>
  <c r="H66" i="29" s="1"/>
  <c r="F67" i="29"/>
  <c r="H67" i="29" s="1"/>
  <c r="F68" i="29"/>
  <c r="H68" i="29" s="1"/>
  <c r="F69" i="29"/>
  <c r="H69" i="29" s="1"/>
  <c r="F70" i="29"/>
  <c r="H70" i="29" s="1"/>
  <c r="F71" i="29"/>
  <c r="H71" i="29" s="1"/>
  <c r="D53" i="29"/>
  <c r="F53" i="29" s="1"/>
  <c r="H53" i="29" s="1"/>
  <c r="F30" i="29"/>
  <c r="H30" i="29" s="1"/>
  <c r="F31" i="29"/>
  <c r="H31" i="29" s="1"/>
  <c r="F32" i="29"/>
  <c r="H32" i="29" s="1"/>
  <c r="F33" i="29"/>
  <c r="H33" i="29" s="1"/>
  <c r="F34" i="29"/>
  <c r="H34" i="29" s="1"/>
  <c r="F35" i="29"/>
  <c r="H35" i="29" s="1"/>
  <c r="F36" i="29"/>
  <c r="H36" i="29" s="1"/>
  <c r="F37" i="29"/>
  <c r="H37" i="29" s="1"/>
  <c r="F38" i="29"/>
  <c r="H38" i="29" s="1"/>
  <c r="F39" i="29"/>
  <c r="H39" i="29" s="1"/>
  <c r="F40" i="29"/>
  <c r="H40" i="29" s="1"/>
  <c r="F41" i="29"/>
  <c r="H41" i="29" s="1"/>
  <c r="F42" i="29"/>
  <c r="H42" i="29" s="1"/>
  <c r="F43" i="29"/>
  <c r="H43" i="29" s="1"/>
  <c r="F44" i="29"/>
  <c r="H44" i="29" s="1"/>
  <c r="F45" i="29"/>
  <c r="H45" i="29" s="1"/>
  <c r="F46" i="29"/>
  <c r="H46" i="29" s="1"/>
  <c r="F47" i="29"/>
  <c r="H47" i="29" s="1"/>
  <c r="F29" i="29"/>
  <c r="H29" i="29" s="1"/>
  <c r="F28" i="29"/>
  <c r="F38" i="37"/>
  <c r="H38" i="37" s="1"/>
  <c r="D37" i="37"/>
  <c r="F37" i="37" s="1"/>
  <c r="F29" i="37"/>
  <c r="F28" i="37"/>
  <c r="H28" i="37" s="1"/>
  <c r="E37" i="33"/>
  <c r="F36" i="33"/>
  <c r="H36" i="33" s="1"/>
  <c r="D35" i="33"/>
  <c r="F35" i="33" s="1"/>
  <c r="E30" i="33"/>
  <c r="F29" i="33"/>
  <c r="H29" i="33" s="1"/>
  <c r="F28" i="33"/>
  <c r="H28" i="33" s="1"/>
  <c r="D33" i="36"/>
  <c r="F33" i="36" s="1"/>
  <c r="H33" i="36" s="1"/>
  <c r="H29" i="36" s="1"/>
  <c r="F28" i="36"/>
  <c r="H28" i="36" s="1"/>
  <c r="F63" i="35"/>
  <c r="H63" i="35" s="1"/>
  <c r="F64" i="35"/>
  <c r="H64" i="35" s="1"/>
  <c r="F65" i="35"/>
  <c r="H65" i="35" s="1"/>
  <c r="F66" i="35"/>
  <c r="H66" i="35" s="1"/>
  <c r="F67" i="35"/>
  <c r="H67" i="35" s="1"/>
  <c r="F68" i="35"/>
  <c r="H68" i="35" s="1"/>
  <c r="F69" i="35"/>
  <c r="H69" i="35" s="1"/>
  <c r="F70" i="35"/>
  <c r="H70" i="35" s="1"/>
  <c r="F71" i="35"/>
  <c r="H71" i="35" s="1"/>
  <c r="F72" i="35"/>
  <c r="H72" i="35" s="1"/>
  <c r="F73" i="35"/>
  <c r="H73" i="35" s="1"/>
  <c r="F74" i="35"/>
  <c r="H74" i="35" s="1"/>
  <c r="F75" i="35"/>
  <c r="H75" i="35" s="1"/>
  <c r="F76" i="35"/>
  <c r="H76" i="35" s="1"/>
  <c r="F77" i="35"/>
  <c r="H77" i="35" s="1"/>
  <c r="F78" i="35"/>
  <c r="H78" i="35" s="1"/>
  <c r="F79" i="35"/>
  <c r="H79" i="35" s="1"/>
  <c r="F80" i="35"/>
  <c r="H80" i="35" s="1"/>
  <c r="F81" i="35"/>
  <c r="H81" i="35" s="1"/>
  <c r="F82" i="35"/>
  <c r="H82" i="35" s="1"/>
  <c r="F83" i="35"/>
  <c r="H83" i="35" s="1"/>
  <c r="F62" i="35"/>
  <c r="D61" i="35"/>
  <c r="F61" i="35" s="1"/>
  <c r="F49" i="35"/>
  <c r="H49" i="35" s="1"/>
  <c r="F50" i="35"/>
  <c r="H50" i="35" s="1"/>
  <c r="F51" i="35"/>
  <c r="H51" i="35" s="1"/>
  <c r="E48" i="35"/>
  <c r="F30" i="35"/>
  <c r="H30" i="35" s="1"/>
  <c r="F31" i="35"/>
  <c r="H31" i="35" s="1"/>
  <c r="F32" i="35"/>
  <c r="H32" i="35" s="1"/>
  <c r="F33" i="35"/>
  <c r="H33" i="35" s="1"/>
  <c r="F34" i="35"/>
  <c r="H34" i="35" s="1"/>
  <c r="F35" i="35"/>
  <c r="H35" i="35" s="1"/>
  <c r="F36" i="35"/>
  <c r="H36" i="35" s="1"/>
  <c r="F37" i="35"/>
  <c r="H37" i="35" s="1"/>
  <c r="F38" i="35"/>
  <c r="H38" i="35" s="1"/>
  <c r="F39" i="35"/>
  <c r="H39" i="35" s="1"/>
  <c r="F40" i="35"/>
  <c r="H40" i="35" s="1"/>
  <c r="F41" i="35"/>
  <c r="H41" i="35" s="1"/>
  <c r="F42" i="35"/>
  <c r="H42" i="35" s="1"/>
  <c r="F43" i="35"/>
  <c r="H43" i="35" s="1"/>
  <c r="F44" i="35"/>
  <c r="H44" i="35" s="1"/>
  <c r="F45" i="35"/>
  <c r="H45" i="35" s="1"/>
  <c r="F46" i="35"/>
  <c r="H46" i="35" s="1"/>
  <c r="F47" i="35"/>
  <c r="H47" i="35" s="1"/>
  <c r="F29" i="35"/>
  <c r="F28" i="35"/>
  <c r="F47" i="38"/>
  <c r="H47" i="38" s="1"/>
  <c r="C45" i="38"/>
  <c r="C30" i="38"/>
  <c r="F46" i="38"/>
  <c r="H46" i="38" s="1"/>
  <c r="F45" i="38"/>
  <c r="H45" i="38" s="1"/>
  <c r="F44" i="38"/>
  <c r="H44" i="38" s="1"/>
  <c r="H37" i="37" l="1"/>
  <c r="H41" i="37" s="1"/>
  <c r="H33" i="37" s="1"/>
  <c r="F41" i="37"/>
  <c r="F48" i="35"/>
  <c r="H48" i="35" s="1"/>
  <c r="E56" i="35"/>
  <c r="H61" i="35"/>
  <c r="F88" i="35"/>
  <c r="H29" i="37"/>
  <c r="H32" i="37" s="1"/>
  <c r="F32" i="37"/>
  <c r="H28" i="35"/>
  <c r="F56" i="35"/>
  <c r="H30" i="33"/>
  <c r="M11" i="39"/>
  <c r="M12" i="39" s="1"/>
  <c r="M13" i="39" s="1"/>
  <c r="M11" i="40"/>
  <c r="F34" i="39"/>
  <c r="H34" i="39" s="1"/>
  <c r="H30" i="39" s="1"/>
  <c r="F48" i="29"/>
  <c r="H28" i="39"/>
  <c r="H29" i="39" s="1"/>
  <c r="H72" i="29"/>
  <c r="H49" i="29" s="1"/>
  <c r="F72" i="29"/>
  <c r="H28" i="29"/>
  <c r="H48" i="29" s="1"/>
  <c r="H35" i="33"/>
  <c r="H37" i="33" s="1"/>
  <c r="H31" i="33" s="1"/>
  <c r="F37" i="33"/>
  <c r="F30" i="33"/>
  <c r="H29" i="35"/>
  <c r="H30" i="36"/>
  <c r="H62" i="35"/>
  <c r="H88" i="35" l="1"/>
  <c r="H57" i="35" s="1"/>
  <c r="H56" i="35"/>
  <c r="H34" i="37"/>
  <c r="H35" i="37" s="1"/>
  <c r="M12" i="40"/>
  <c r="M13" i="40" s="1"/>
  <c r="M14" i="40" s="1"/>
  <c r="H31" i="39"/>
  <c r="H50" i="29"/>
  <c r="H32" i="33"/>
  <c r="D43" i="38"/>
  <c r="F43" i="38" s="1"/>
  <c r="F53" i="38" s="1"/>
  <c r="F30" i="38"/>
  <c r="F31" i="38"/>
  <c r="H31" i="38" s="1"/>
  <c r="F32" i="38"/>
  <c r="H32" i="38" s="1"/>
  <c r="F29" i="38"/>
  <c r="H29" i="38" s="1"/>
  <c r="E45" i="31"/>
  <c r="F41" i="31"/>
  <c r="H41" i="31" s="1"/>
  <c r="F42" i="31"/>
  <c r="H42" i="31" s="1"/>
  <c r="F43" i="31"/>
  <c r="H43" i="31" s="1"/>
  <c r="F44" i="31"/>
  <c r="H44" i="31" s="1"/>
  <c r="F40" i="31"/>
  <c r="H40" i="31" s="1"/>
  <c r="D39" i="31"/>
  <c r="F39" i="31" s="1"/>
  <c r="C44" i="31"/>
  <c r="C43" i="31"/>
  <c r="F30" i="31"/>
  <c r="H30" i="31" s="1"/>
  <c r="F31" i="31"/>
  <c r="F32" i="31"/>
  <c r="H32" i="31" s="1"/>
  <c r="F33" i="31"/>
  <c r="H33" i="31" s="1"/>
  <c r="F29" i="31"/>
  <c r="H29" i="31" s="1"/>
  <c r="F28" i="31"/>
  <c r="H28" i="31" s="1"/>
  <c r="E34" i="31"/>
  <c r="C31" i="31"/>
  <c r="C30" i="31"/>
  <c r="H58" i="35" l="1"/>
  <c r="H30" i="38"/>
  <c r="M15" i="40"/>
  <c r="F45" i="31"/>
  <c r="H39" i="31"/>
  <c r="H45" i="31" s="1"/>
  <c r="H35" i="31" s="1"/>
  <c r="H43" i="38"/>
  <c r="F28" i="38"/>
  <c r="H28" i="38" s="1"/>
  <c r="H38" i="38" s="1"/>
  <c r="F34" i="31"/>
  <c r="H31" i="31"/>
  <c r="H34" i="31" s="1"/>
  <c r="F48" i="32"/>
  <c r="H48" i="32" s="1"/>
  <c r="F49" i="32"/>
  <c r="H49" i="32" s="1"/>
  <c r="F50" i="32"/>
  <c r="H50" i="32" s="1"/>
  <c r="F51" i="32"/>
  <c r="H51" i="32" s="1"/>
  <c r="F53" i="32"/>
  <c r="H53" i="32" s="1"/>
  <c r="F54" i="32"/>
  <c r="H54" i="32" s="1"/>
  <c r="F55" i="32"/>
  <c r="H55" i="32" s="1"/>
  <c r="F56" i="32"/>
  <c r="H56" i="32" s="1"/>
  <c r="F47" i="32"/>
  <c r="H47" i="32" s="1"/>
  <c r="F52" i="32"/>
  <c r="H52" i="32" s="1"/>
  <c r="D46" i="32"/>
  <c r="F46" i="32" s="1"/>
  <c r="F29" i="32"/>
  <c r="H29" i="32" s="1"/>
  <c r="F30" i="32"/>
  <c r="H30" i="32" s="1"/>
  <c r="F31" i="32"/>
  <c r="H31" i="32" s="1"/>
  <c r="F32" i="32"/>
  <c r="H32" i="32" s="1"/>
  <c r="F33" i="32"/>
  <c r="H33" i="32" s="1"/>
  <c r="F34" i="32"/>
  <c r="H34" i="32" s="1"/>
  <c r="F35" i="32"/>
  <c r="H35" i="32" s="1"/>
  <c r="F36" i="32"/>
  <c r="H36" i="32" s="1"/>
  <c r="F37" i="32"/>
  <c r="H37" i="32" s="1"/>
  <c r="F28" i="32"/>
  <c r="E42" i="32"/>
  <c r="C30" i="32"/>
  <c r="C29" i="32"/>
  <c r="C28" i="32"/>
  <c r="F59" i="32" l="1"/>
  <c r="H28" i="32"/>
  <c r="F41" i="32"/>
  <c r="H53" i="38"/>
  <c r="F38" i="38"/>
  <c r="H36" i="31"/>
  <c r="H46" i="32"/>
  <c r="H59" i="32" s="1"/>
  <c r="E60" i="32"/>
  <c r="H39" i="38" l="1"/>
  <c r="H40" i="38" s="1"/>
  <c r="H41" i="38" s="1"/>
  <c r="H54" i="38"/>
  <c r="H43" i="32"/>
  <c r="H44" i="32" s="1"/>
  <c r="G15" i="39"/>
  <c r="H15" i="39"/>
  <c r="L15" i="39" s="1"/>
  <c r="H14" i="39"/>
  <c r="L14" i="39" s="1"/>
  <c r="G14" i="39"/>
  <c r="G15" i="29"/>
  <c r="G13" i="29"/>
  <c r="H12" i="29"/>
  <c r="L12" i="29" s="1"/>
  <c r="H10" i="29"/>
  <c r="L10" i="29" s="1"/>
  <c r="G10" i="29"/>
  <c r="G11" i="29"/>
  <c r="H11" i="29"/>
  <c r="L11" i="29" s="1"/>
  <c r="G12" i="29"/>
  <c r="H13" i="29"/>
  <c r="L13" i="29" s="1"/>
  <c r="G14" i="29"/>
  <c r="H14" i="29"/>
  <c r="L14" i="29" s="1"/>
  <c r="H15" i="29"/>
  <c r="L15" i="29" s="1"/>
  <c r="K14" i="29" l="1"/>
  <c r="K12" i="29"/>
  <c r="K15" i="39"/>
  <c r="K14" i="39"/>
  <c r="K15" i="29"/>
  <c r="K13" i="29"/>
  <c r="K11" i="29"/>
  <c r="K10" i="29"/>
  <c r="M10" i="29" s="1"/>
  <c r="M14" i="39" l="1"/>
  <c r="M11" i="29"/>
  <c r="M12" i="29" s="1"/>
  <c r="M13" i="29" s="1"/>
  <c r="M14" i="29" s="1"/>
  <c r="G12" i="37"/>
  <c r="H13" i="37"/>
  <c r="L13" i="37" s="1"/>
  <c r="H15" i="37"/>
  <c r="L15" i="37" s="1"/>
  <c r="G11" i="37"/>
  <c r="H11" i="37"/>
  <c r="L11" i="37" s="1"/>
  <c r="H12" i="37"/>
  <c r="L12" i="37" s="1"/>
  <c r="G13" i="37"/>
  <c r="G14" i="37"/>
  <c r="H14" i="37"/>
  <c r="L14" i="37" s="1"/>
  <c r="G15" i="37"/>
  <c r="H10" i="37"/>
  <c r="L10" i="37" s="1"/>
  <c r="G10" i="37"/>
  <c r="G14" i="33"/>
  <c r="G13" i="33"/>
  <c r="G15" i="33"/>
  <c r="G11" i="33"/>
  <c r="H11" i="33"/>
  <c r="L11" i="33" s="1"/>
  <c r="G12" i="33"/>
  <c r="H12" i="33"/>
  <c r="L12" i="33" s="1"/>
  <c r="H13" i="33"/>
  <c r="L13" i="33" s="1"/>
  <c r="H14" i="33"/>
  <c r="L14" i="33" s="1"/>
  <c r="H15" i="33"/>
  <c r="L15" i="33" s="1"/>
  <c r="H10" i="33"/>
  <c r="L10" i="33" s="1"/>
  <c r="G10" i="33"/>
  <c r="G11" i="36"/>
  <c r="H11" i="36"/>
  <c r="L11" i="36" s="1"/>
  <c r="G12" i="36"/>
  <c r="H12" i="36"/>
  <c r="L12" i="36" s="1"/>
  <c r="G13" i="36"/>
  <c r="H13" i="36"/>
  <c r="L13" i="36" s="1"/>
  <c r="G14" i="36"/>
  <c r="H14" i="36"/>
  <c r="L14" i="36" s="1"/>
  <c r="G15" i="36"/>
  <c r="H15" i="36"/>
  <c r="L15" i="36" s="1"/>
  <c r="H10" i="36"/>
  <c r="L10" i="36" s="1"/>
  <c r="G10" i="36"/>
  <c r="G13" i="28"/>
  <c r="G12" i="28"/>
  <c r="G14" i="28"/>
  <c r="G15" i="28"/>
  <c r="G10" i="28"/>
  <c r="G11" i="28"/>
  <c r="H11" i="28"/>
  <c r="L11" i="28" s="1"/>
  <c r="H12" i="28"/>
  <c r="L12" i="28" s="1"/>
  <c r="H13" i="28"/>
  <c r="L13" i="28" s="1"/>
  <c r="H14" i="28"/>
  <c r="L14" i="28" s="1"/>
  <c r="H15" i="28"/>
  <c r="L15" i="28" s="1"/>
  <c r="H10" i="28"/>
  <c r="L10" i="28" s="1"/>
  <c r="H15" i="35"/>
  <c r="L15" i="35" s="1"/>
  <c r="G14" i="35"/>
  <c r="H10" i="35"/>
  <c r="L10" i="35" s="1"/>
  <c r="H13" i="35"/>
  <c r="L13" i="35" s="1"/>
  <c r="H12" i="35"/>
  <c r="L12" i="35" s="1"/>
  <c r="G11" i="35"/>
  <c r="H11" i="35"/>
  <c r="L11" i="35" s="1"/>
  <c r="G12" i="35"/>
  <c r="G13" i="35"/>
  <c r="H14" i="35"/>
  <c r="L14" i="35" s="1"/>
  <c r="G15" i="35"/>
  <c r="G10" i="35"/>
  <c r="M15" i="39" l="1"/>
  <c r="M15" i="29"/>
  <c r="K14" i="37"/>
  <c r="K11" i="37"/>
  <c r="K11" i="28"/>
  <c r="K10" i="37"/>
  <c r="M10" i="37" s="1"/>
  <c r="K15" i="37"/>
  <c r="K13" i="37"/>
  <c r="K10" i="33"/>
  <c r="M10" i="33" s="1"/>
  <c r="K13" i="33"/>
  <c r="K12" i="33"/>
  <c r="K11" i="33"/>
  <c r="K14" i="36"/>
  <c r="K12" i="36"/>
  <c r="K10" i="36"/>
  <c r="M10" i="36" s="1"/>
  <c r="K15" i="36"/>
  <c r="K10" i="28"/>
  <c r="K12" i="37"/>
  <c r="K13" i="36"/>
  <c r="K11" i="36"/>
  <c r="K13" i="35"/>
  <c r="K12" i="35"/>
  <c r="K15" i="33"/>
  <c r="K14" i="33"/>
  <c r="K15" i="28"/>
  <c r="K14" i="28"/>
  <c r="K13" i="28"/>
  <c r="K12" i="28"/>
  <c r="K15" i="35"/>
  <c r="K14" i="35"/>
  <c r="K11" i="35"/>
  <c r="K10" i="35"/>
  <c r="G11" i="38"/>
  <c r="H11" i="38"/>
  <c r="L11" i="38" s="1"/>
  <c r="G12" i="38"/>
  <c r="H12" i="38"/>
  <c r="L12" i="38" s="1"/>
  <c r="G13" i="38"/>
  <c r="H13" i="38"/>
  <c r="L13" i="38" s="1"/>
  <c r="G14" i="38"/>
  <c r="H14" i="38"/>
  <c r="L14" i="38" s="1"/>
  <c r="G15" i="38"/>
  <c r="H15" i="38"/>
  <c r="L15" i="38" s="1"/>
  <c r="H10" i="38"/>
  <c r="L10" i="38" s="1"/>
  <c r="G10" i="38"/>
  <c r="G14" i="31"/>
  <c r="H11" i="31"/>
  <c r="L11" i="31" s="1"/>
  <c r="H13" i="31"/>
  <c r="L13" i="31" s="1"/>
  <c r="H15" i="31"/>
  <c r="G11" i="31"/>
  <c r="G12" i="31"/>
  <c r="H12" i="31"/>
  <c r="L12" i="31" s="1"/>
  <c r="G13" i="31"/>
  <c r="H14" i="31"/>
  <c r="L14" i="31" s="1"/>
  <c r="G15" i="31"/>
  <c r="H10" i="31"/>
  <c r="L10" i="31" s="1"/>
  <c r="G10" i="31"/>
  <c r="K14" i="31" l="1"/>
  <c r="K14" i="38"/>
  <c r="M11" i="37"/>
  <c r="M12" i="37" s="1"/>
  <c r="M13" i="37" s="1"/>
  <c r="M14" i="37" s="1"/>
  <c r="M11" i="33"/>
  <c r="M12" i="33" s="1"/>
  <c r="M13" i="33" s="1"/>
  <c r="M14" i="33" s="1"/>
  <c r="L15" i="31"/>
  <c r="M11" i="36"/>
  <c r="M12" i="36" s="1"/>
  <c r="M13" i="36" s="1"/>
  <c r="M10" i="28"/>
  <c r="M10" i="35"/>
  <c r="K13" i="38"/>
  <c r="K11" i="31"/>
  <c r="K10" i="31"/>
  <c r="K12" i="31"/>
  <c r="K13" i="31"/>
  <c r="K15" i="38"/>
  <c r="K12" i="38"/>
  <c r="K11" i="38"/>
  <c r="K10" i="38"/>
  <c r="M10" i="38" s="1"/>
  <c r="K15" i="31" l="1"/>
  <c r="M15" i="37"/>
  <c r="M15" i="33"/>
  <c r="M14" i="36"/>
  <c r="M11" i="28"/>
  <c r="M12" i="28" s="1"/>
  <c r="M13" i="28" s="1"/>
  <c r="M14" i="28" s="1"/>
  <c r="M11" i="35"/>
  <c r="M11" i="38"/>
  <c r="Q10" i="38"/>
  <c r="Q11" i="38" s="1"/>
  <c r="Q12" i="38" s="1"/>
  <c r="Q13" i="38" s="1"/>
  <c r="Q14" i="38" s="1"/>
  <c r="Q15" i="38" s="1"/>
  <c r="M10" i="31"/>
  <c r="M15" i="36" l="1"/>
  <c r="M15" i="28"/>
  <c r="M12" i="35"/>
  <c r="M12" i="38"/>
  <c r="M13" i="38" s="1"/>
  <c r="M19" i="38" s="1"/>
  <c r="M11" i="31"/>
  <c r="G11" i="32"/>
  <c r="H11" i="32"/>
  <c r="L11" i="32" s="1"/>
  <c r="G12" i="32"/>
  <c r="H12" i="32"/>
  <c r="L12" i="32" s="1"/>
  <c r="G13" i="32"/>
  <c r="H13" i="32"/>
  <c r="L13" i="32" s="1"/>
  <c r="G14" i="32"/>
  <c r="G15" i="32"/>
  <c r="H14" i="32"/>
  <c r="L14" i="32" s="1"/>
  <c r="H15" i="32"/>
  <c r="K14" i="32" l="1"/>
  <c r="F42" i="32"/>
  <c r="M14" i="38"/>
  <c r="M13" i="35"/>
  <c r="M14" i="35" s="1"/>
  <c r="M12" i="31"/>
  <c r="L15" i="32"/>
  <c r="F60" i="32"/>
  <c r="K13" i="32"/>
  <c r="K12" i="32"/>
  <c r="K11" i="32"/>
  <c r="K15" i="32" l="1"/>
  <c r="M15" i="35"/>
  <c r="M15" i="38"/>
  <c r="M13" i="31"/>
  <c r="H10" i="32"/>
  <c r="L10" i="32" s="1"/>
  <c r="G10" i="32"/>
  <c r="M14" i="31" l="1"/>
  <c r="K10" i="32"/>
  <c r="M15" i="31" l="1"/>
  <c r="Q10" i="32"/>
  <c r="Q11" i="32" s="1"/>
  <c r="Q12" i="32" s="1"/>
  <c r="Q13" i="32" s="1"/>
  <c r="Q14" i="32" s="1"/>
  <c r="Q15" i="32" s="1"/>
  <c r="M10" i="32"/>
  <c r="M11" i="32" l="1"/>
  <c r="O11" i="39"/>
  <c r="O12" i="39" s="1"/>
  <c r="M12" i="32" l="1"/>
  <c r="O13" i="39"/>
  <c r="O14" i="39" s="1"/>
  <c r="M13" i="32" l="1"/>
  <c r="M14" i="32" s="1"/>
  <c r="O15" i="39"/>
  <c r="O16" i="39" s="1"/>
  <c r="M15" i="32" l="1"/>
  <c r="O11" i="29"/>
  <c r="O12" i="29" s="1"/>
  <c r="O11" i="37"/>
  <c r="O12" i="37" s="1"/>
  <c r="Q16" i="38" l="1"/>
  <c r="O13" i="29"/>
  <c r="O14" i="29" s="1"/>
  <c r="O15" i="29"/>
  <c r="O16" i="29" s="1"/>
  <c r="O13" i="37"/>
  <c r="O14" i="37" s="1"/>
  <c r="O15" i="37"/>
  <c r="O16" i="37" s="1"/>
</calcChain>
</file>

<file path=xl/sharedStrings.xml><?xml version="1.0" encoding="utf-8"?>
<sst xmlns="http://schemas.openxmlformats.org/spreadsheetml/2006/main" count="444" uniqueCount="64">
  <si>
    <t>Month</t>
  </si>
  <si>
    <t>Plant Balance</t>
  </si>
  <si>
    <t>Book Depreciation</t>
  </si>
  <si>
    <t>Accumulated Deferred Taxes</t>
  </si>
  <si>
    <t>Deferred Taxes on Retirements</t>
  </si>
  <si>
    <t>Kentucky Utilities Company</t>
  </si>
  <si>
    <t>Deferred Tax Calculations</t>
  </si>
  <si>
    <t>Environmental Compliance Plans, by Approved Project</t>
  </si>
  <si>
    <t>Beg Balance</t>
  </si>
  <si>
    <t>Project 31 - Trimble County Ash Treatment Basin (BAP/GSP)</t>
  </si>
  <si>
    <t>2009 - Plan</t>
  </si>
  <si>
    <t xml:space="preserve"> </t>
  </si>
  <si>
    <t>2011 - Plan</t>
  </si>
  <si>
    <t>Project 35 - Ghent Station Air Compliance</t>
  </si>
  <si>
    <t>Project 29 - ATB Expansion at E.W. Brown Station (Phase II)</t>
  </si>
  <si>
    <t>Project 28 - Brown 3 SCR</t>
  </si>
  <si>
    <t>Project 33 - Beneficial Reuse</t>
  </si>
  <si>
    <t>Project 30 - Ghent CCP Storage (Landfill-Phase I)</t>
  </si>
  <si>
    <t>Project 32 - Trimble County CCP Storage (Landfill - Phase I)</t>
  </si>
  <si>
    <t>Project 34 - E.W. Brown Station Air Compliance</t>
  </si>
  <si>
    <t>Project 29 - Brown Landfill (Phase I)</t>
  </si>
  <si>
    <t>2016 - Plan</t>
  </si>
  <si>
    <t>Project 41 - Trimble County New Process Water Systems</t>
  </si>
  <si>
    <t>Fed Tax Depreciation</t>
  </si>
  <si>
    <t>State Tax Depreciation</t>
  </si>
  <si>
    <t>Fed Temporary Difference</t>
  </si>
  <si>
    <t>State Temporary Difference</t>
  </si>
  <si>
    <t>Fed Tax Rate</t>
  </si>
  <si>
    <t>State Tax Rate</t>
  </si>
  <si>
    <t>Fed Deferred Tax</t>
  </si>
  <si>
    <t>State Deferred Tax</t>
  </si>
  <si>
    <t>is computed separately for Federal and State purposes.  Specifically, for Federal taxes, certain assets received 50% bonus</t>
  </si>
  <si>
    <t>is shown below:</t>
  </si>
  <si>
    <t xml:space="preserve">Due to Bonus Depreciation for tax purposes taken on certain components of Project 28, the deferred tax calculation for this project </t>
  </si>
  <si>
    <t>Federal Basis</t>
  </si>
  <si>
    <t>Book Depr.</t>
  </si>
  <si>
    <t>Federal Tax Depr</t>
  </si>
  <si>
    <t>Fed. Difference</t>
  </si>
  <si>
    <t>Fed Def Tax</t>
  </si>
  <si>
    <t>State Basis</t>
  </si>
  <si>
    <t>State Tax Depr</t>
  </si>
  <si>
    <t>St. Difference</t>
  </si>
  <si>
    <t>St Def Tax</t>
  </si>
  <si>
    <t>Subtotal</t>
  </si>
  <si>
    <t>State Offset</t>
  </si>
  <si>
    <t xml:space="preserve">Due to Bonus Depreciation for tax purposes taken on certain components of Project 29 of the 2009 Plan, the deferred tax calculation for this project </t>
  </si>
  <si>
    <t xml:space="preserve">Due to Bonus Depreciation for tax purposes taken on certain components of Project 29 of the 2011 Plan, the deferred tax calculation for this project </t>
  </si>
  <si>
    <t xml:space="preserve">Due to Bonus Depreciation for tax purposes taken on certain components of Project 30, the deferred tax calculation for this project </t>
  </si>
  <si>
    <t xml:space="preserve">Due to Bonus Depreciation for tax purposes taken on certain components of Project 32, the deferred tax calculation for this project </t>
  </si>
  <si>
    <t xml:space="preserve">Due to Bonus Depreciation for tax purposes taken on certain components of Project 34, the deferred tax calculation for this project </t>
  </si>
  <si>
    <t xml:space="preserve">Due to Bonus Depreciation for tax purposes taken on certain components of Project 33, the deferred tax calculation for this project </t>
  </si>
  <si>
    <t xml:space="preserve">Due to Bonus Depreciation for tax purposes taken on certain components of Project 35, the deferred tax calculation for this project </t>
  </si>
  <si>
    <t xml:space="preserve">Due to Bonus Depreciation for tax purposes taken on certain components of Project 41, the deferred tax calculation for this project </t>
  </si>
  <si>
    <t>Project 37 - Ghent 2 WFGD Improvments</t>
  </si>
  <si>
    <t>Project 38 - Supplemental Mercury Control</t>
  </si>
  <si>
    <t>depreciation, which reduces the Federal tax basis to 50% of the plant balance.  A sample calculation of deferred taxes for Feb 2018</t>
  </si>
  <si>
    <t>January and February federal deferred tax includes excess deferred tax amount.</t>
  </si>
  <si>
    <t xml:space="preserve">Due to Bonus Depreciation for tax purposes taken on certain components of Project 37, the deferred tax calculation for this project </t>
  </si>
  <si>
    <t xml:space="preserve">Due to Bonus Depreciation for tax purposes taken on certain components of Project 38, the deferred tax calculation for this project </t>
  </si>
  <si>
    <t>is computed separately for Federal and State purposes.  Specifically, for Federal taxes, certain assets received 40% or 50% bonus</t>
  </si>
  <si>
    <t>depreciation, which reduces the Federal tax basis to 40% or 50% of the plant balance.  A sample calculation of deferred taxes for Feb 2018</t>
  </si>
  <si>
    <t>Revised due to IRS Guidance on bonus depreciation issued in August 2018 and change of state tax rate from 6% to 5%</t>
  </si>
  <si>
    <t>Excess deferred tax amortization</t>
  </si>
  <si>
    <t>Revised due to IRS Guidance on bonus depreciation issued in August 2018, a change of state tax rate from 6% to 5% and a January 2018 book depreciation adjustment.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</si>
</sst>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0.0000%"/>
    <numFmt numFmtId="167" formatCode="_(* #,##0.00_);_(* \(#,##0.00\);_(* &quot;-&quot;_);_(@_)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 val="singleAccounting"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" fillId="0" borderId="0"/>
  </cellStyleXfs>
  <cellXfs count="60">
    <xf numFmtId="0" fontId="0" fillId="0" borderId="0" xfId="0"/>
    <xf numFmtId="165" fontId="2" fillId="0" borderId="0" xfId="0" applyNumberFormat="1" applyFont="1" applyFill="1" applyAlignment="1"/>
    <xf numFmtId="0" fontId="2" fillId="0" borderId="0" xfId="0" applyFont="1" applyFill="1" applyAlignment="1"/>
    <xf numFmtId="165" fontId="0" fillId="0" borderId="0" xfId="0" applyNumberFormat="1"/>
    <xf numFmtId="165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1" fontId="0" fillId="0" borderId="0" xfId="0" applyNumberFormat="1"/>
    <xf numFmtId="166" fontId="0" fillId="0" borderId="0" xfId="0" applyNumberFormat="1"/>
    <xf numFmtId="165" fontId="3" fillId="0" borderId="0" xfId="0" quotePrefix="1" applyNumberFormat="1" applyFont="1" applyFill="1" applyBorder="1" applyAlignment="1">
      <alignment horizontal="left"/>
    </xf>
    <xf numFmtId="164" fontId="1" fillId="0" borderId="0" xfId="1" applyNumberFormat="1"/>
    <xf numFmtId="165" fontId="2" fillId="0" borderId="0" xfId="0" quotePrefix="1" applyNumberFormat="1" applyFont="1" applyFill="1" applyAlignment="1">
      <alignment horizontal="left"/>
    </xf>
    <xf numFmtId="0" fontId="2" fillId="0" borderId="0" xfId="0" quotePrefix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Alignment="1"/>
    <xf numFmtId="164" fontId="4" fillId="0" borderId="0" xfId="1" applyNumberFormat="1" applyFont="1"/>
    <xf numFmtId="165" fontId="4" fillId="0" borderId="0" xfId="0" applyNumberFormat="1" applyFont="1" applyAlignment="1">
      <alignment horizontal="left"/>
    </xf>
    <xf numFmtId="43" fontId="0" fillId="0" borderId="0" xfId="1" applyFont="1"/>
    <xf numFmtId="43" fontId="0" fillId="0" borderId="0" xfId="0" applyNumberFormat="1"/>
    <xf numFmtId="164" fontId="0" fillId="0" borderId="0" xfId="0" applyNumberFormat="1"/>
    <xf numFmtId="0" fontId="4" fillId="0" borderId="0" xfId="0" applyFont="1"/>
    <xf numFmtId="43" fontId="4" fillId="0" borderId="0" xfId="1" applyFont="1"/>
    <xf numFmtId="41" fontId="4" fillId="0" borderId="0" xfId="0" applyNumberFormat="1" applyFont="1"/>
    <xf numFmtId="164" fontId="0" fillId="0" borderId="0" xfId="1" applyNumberFormat="1" applyFont="1"/>
    <xf numFmtId="41" fontId="0" fillId="0" borderId="0" xfId="0" applyNumberFormat="1" applyFill="1"/>
    <xf numFmtId="164" fontId="1" fillId="0" borderId="0" xfId="1" applyNumberFormat="1" applyFont="1"/>
    <xf numFmtId="41" fontId="1" fillId="0" borderId="0" xfId="0" quotePrefix="1" applyNumberFormat="1" applyFont="1" applyFill="1" applyAlignment="1">
      <alignment horizontal="left"/>
    </xf>
    <xf numFmtId="164" fontId="1" fillId="0" borderId="0" xfId="3" applyNumberFormat="1" applyFont="1" applyFill="1"/>
    <xf numFmtId="43" fontId="1" fillId="0" borderId="0" xfId="3" applyFont="1" applyFill="1"/>
    <xf numFmtId="164" fontId="1" fillId="0" borderId="0" xfId="3" quotePrefix="1" applyNumberFormat="1" applyFont="1" applyFill="1" applyAlignment="1">
      <alignment horizontal="left"/>
    </xf>
    <xf numFmtId="166" fontId="0" fillId="0" borderId="0" xfId="0" applyNumberFormat="1" applyFill="1"/>
    <xf numFmtId="41" fontId="8" fillId="0" borderId="0" xfId="0" applyNumberFormat="1" applyFont="1" applyFill="1"/>
    <xf numFmtId="41" fontId="8" fillId="0" borderId="0" xfId="0" applyNumberFormat="1" applyFont="1"/>
    <xf numFmtId="164" fontId="8" fillId="0" borderId="0" xfId="0" applyNumberFormat="1" applyFont="1"/>
    <xf numFmtId="0" fontId="1" fillId="0" borderId="0" xfId="0" applyFont="1"/>
    <xf numFmtId="164" fontId="0" fillId="0" borderId="0" xfId="1" applyNumberFormat="1" applyFont="1" applyBorder="1" applyAlignment="1">
      <alignment horizontal="center"/>
    </xf>
    <xf numFmtId="37" fontId="0" fillId="0" borderId="0" xfId="0" applyNumberFormat="1" applyBorder="1"/>
    <xf numFmtId="37" fontId="0" fillId="0" borderId="0" xfId="0" applyNumberFormat="1" applyFill="1" applyBorder="1"/>
    <xf numFmtId="164" fontId="8" fillId="0" borderId="0" xfId="1" applyNumberFormat="1" applyFont="1" applyBorder="1" applyAlignment="1">
      <alignment horizontal="center"/>
    </xf>
    <xf numFmtId="37" fontId="0" fillId="0" borderId="0" xfId="0" applyNumberFormat="1" applyFill="1"/>
    <xf numFmtId="164" fontId="8" fillId="0" borderId="0" xfId="1" applyNumberFormat="1" applyFont="1"/>
    <xf numFmtId="41" fontId="1" fillId="0" borderId="0" xfId="0" applyNumberFormat="1" applyFont="1"/>
    <xf numFmtId="165" fontId="1" fillId="0" borderId="0" xfId="8" applyNumberFormat="1" applyFont="1" applyFill="1" applyAlignment="1">
      <alignment horizontal="left"/>
    </xf>
    <xf numFmtId="165" fontId="1" fillId="0" borderId="0" xfId="8" applyNumberFormat="1" applyFont="1" applyAlignment="1">
      <alignment horizontal="left"/>
    </xf>
    <xf numFmtId="167" fontId="4" fillId="0" borderId="0" xfId="0" applyNumberFormat="1" applyFont="1"/>
    <xf numFmtId="167" fontId="0" fillId="0" borderId="0" xfId="0" applyNumberFormat="1"/>
    <xf numFmtId="41" fontId="1" fillId="0" borderId="0" xfId="0" applyNumberFormat="1" applyFont="1" applyFill="1"/>
    <xf numFmtId="166" fontId="1" fillId="0" borderId="0" xfId="0" applyNumberFormat="1" applyFont="1"/>
    <xf numFmtId="164" fontId="1" fillId="0" borderId="0" xfId="0" applyNumberFormat="1" applyFont="1"/>
    <xf numFmtId="0" fontId="0" fillId="0" borderId="0" xfId="0" applyFill="1"/>
    <xf numFmtId="164" fontId="0" fillId="0" borderId="0" xfId="0" applyNumberFormat="1" applyFill="1"/>
    <xf numFmtId="0" fontId="1" fillId="0" borderId="0" xfId="0" applyFont="1" applyFill="1"/>
    <xf numFmtId="0" fontId="1" fillId="0" borderId="0" xfId="0" applyFont="1" applyAlignment="1"/>
    <xf numFmtId="0" fontId="0" fillId="0" borderId="0" xfId="0" applyAlignment="1"/>
    <xf numFmtId="164" fontId="4" fillId="0" borderId="0" xfId="1" applyNumberFormat="1" applyFont="1" applyFill="1"/>
    <xf numFmtId="165" fontId="1" fillId="0" borderId="0" xfId="0" applyNumberFormat="1" applyFont="1" applyAlignment="1">
      <alignment horizontal="left"/>
    </xf>
    <xf numFmtId="164" fontId="1" fillId="0" borderId="0" xfId="1" applyNumberFormat="1" applyFont="1" applyFill="1"/>
    <xf numFmtId="164" fontId="0" fillId="0" borderId="0" xfId="1" applyNumberFormat="1" applyFont="1" applyFill="1" applyBorder="1" applyAlignment="1">
      <alignment horizontal="center"/>
    </xf>
    <xf numFmtId="0" fontId="1" fillId="0" borderId="0" xfId="0" applyFont="1" applyAlignment="1"/>
    <xf numFmtId="0" fontId="0" fillId="0" borderId="0" xfId="0" applyAlignment="1"/>
  </cellXfs>
  <cellStyles count="9">
    <cellStyle name="Comma" xfId="1" builtinId="3"/>
    <cellStyle name="Comma 2" xfId="2"/>
    <cellStyle name="Comma 2 2" xfId="3"/>
    <cellStyle name="Comma 3" xfId="4"/>
    <cellStyle name="Comma 3 2" xfId="5"/>
    <cellStyle name="Comma 4" xfId="6"/>
    <cellStyle name="Comma 5" xfId="7"/>
    <cellStyle name="Normal" xfId="0" builtinId="0"/>
    <cellStyle name="Normal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Q62"/>
  <sheetViews>
    <sheetView tabSelected="1" zoomScaleNormal="100" workbookViewId="0">
      <selection activeCell="N19" sqref="N19:N20"/>
    </sheetView>
  </sheetViews>
  <sheetFormatPr defaultRowHeight="12.75" x14ac:dyDescent="0.2"/>
  <cols>
    <col min="1" max="1" width="13.140625" style="3" customWidth="1"/>
    <col min="2" max="2" width="1.7109375" customWidth="1"/>
    <col min="3" max="3" width="12.7109375" customWidth="1"/>
    <col min="4" max="4" width="14.28515625" bestFit="1" customWidth="1"/>
    <col min="5" max="5" width="15.28515625" customWidth="1"/>
    <col min="6" max="6" width="14.28515625" customWidth="1"/>
    <col min="7" max="7" width="14.28515625" bestFit="1" customWidth="1"/>
    <col min="8" max="9" width="14.28515625" customWidth="1"/>
    <col min="10" max="14" width="12.7109375" customWidth="1"/>
    <col min="15" max="15" width="16.5703125" bestFit="1" customWidth="1"/>
    <col min="16" max="16" width="14.7109375" bestFit="1" customWidth="1"/>
    <col min="17" max="17" width="14" hidden="1" customWidth="1"/>
    <col min="18" max="18" width="14.5703125" bestFit="1" customWidth="1"/>
    <col min="19" max="19" width="15.140625" bestFit="1" customWidth="1"/>
  </cols>
  <sheetData>
    <row r="1" spans="1:17" x14ac:dyDescent="0.2">
      <c r="A1" s="12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7" x14ac:dyDescent="0.2">
      <c r="A2" s="12" t="s">
        <v>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7" x14ac:dyDescent="0.2">
      <c r="A3" s="13" t="s">
        <v>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7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4"/>
    </row>
    <row r="5" spans="1:17" x14ac:dyDescent="0.2">
      <c r="A5" s="9" t="s">
        <v>10</v>
      </c>
    </row>
    <row r="6" spans="1:17" x14ac:dyDescent="0.2">
      <c r="A6" s="11" t="s">
        <v>15</v>
      </c>
    </row>
    <row r="8" spans="1:17" s="6" customFormat="1" ht="38.25" x14ac:dyDescent="0.2">
      <c r="A8" s="4" t="s">
        <v>0</v>
      </c>
      <c r="B8" s="5"/>
      <c r="C8" s="5" t="s">
        <v>1</v>
      </c>
      <c r="D8" s="5" t="s">
        <v>2</v>
      </c>
      <c r="E8" s="5" t="s">
        <v>23</v>
      </c>
      <c r="F8" s="5" t="s">
        <v>24</v>
      </c>
      <c r="G8" s="5" t="s">
        <v>25</v>
      </c>
      <c r="H8" s="5" t="s">
        <v>26</v>
      </c>
      <c r="I8" s="5" t="s">
        <v>27</v>
      </c>
      <c r="J8" s="5" t="s">
        <v>28</v>
      </c>
      <c r="K8" s="5" t="s">
        <v>29</v>
      </c>
      <c r="L8" s="5" t="s">
        <v>30</v>
      </c>
      <c r="M8" s="5" t="s">
        <v>3</v>
      </c>
      <c r="N8" s="5" t="s">
        <v>4</v>
      </c>
    </row>
    <row r="9" spans="1:17" x14ac:dyDescent="0.2">
      <c r="A9" s="3" t="s">
        <v>8</v>
      </c>
      <c r="M9" s="10">
        <v>27280410</v>
      </c>
      <c r="P9" s="17"/>
    </row>
    <row r="10" spans="1:17" x14ac:dyDescent="0.2">
      <c r="A10" s="42">
        <v>42987</v>
      </c>
      <c r="C10" s="7">
        <v>100046293</v>
      </c>
      <c r="D10" s="15">
        <v>220936</v>
      </c>
      <c r="E10" s="15">
        <v>636359</v>
      </c>
      <c r="F10" s="15">
        <v>1061052</v>
      </c>
      <c r="G10" s="15">
        <f t="shared" ref="G10:G15" si="0">E10-D10</f>
        <v>415423</v>
      </c>
      <c r="H10" s="15">
        <f t="shared" ref="H10:H15" si="1">F10-D10</f>
        <v>840116</v>
      </c>
      <c r="I10" s="8">
        <v>0.35</v>
      </c>
      <c r="J10" s="8">
        <v>0.06</v>
      </c>
      <c r="K10" s="15">
        <f t="shared" ref="K10:K13" si="2">G10*I10-L10*I10</f>
        <v>127755.61399999999</v>
      </c>
      <c r="L10" s="15">
        <f t="shared" ref="L10:L15" si="3">H10*J10</f>
        <v>50406.96</v>
      </c>
      <c r="M10" s="7">
        <f t="shared" ref="M10:M15" si="4">M9+K10+L10</f>
        <v>27458572.574000001</v>
      </c>
      <c r="N10" s="7">
        <v>235606.26</v>
      </c>
      <c r="O10" s="21"/>
      <c r="P10" s="17"/>
      <c r="Q10" s="19">
        <f>M9+K10+L10</f>
        <v>27458572.574000001</v>
      </c>
    </row>
    <row r="11" spans="1:17" x14ac:dyDescent="0.2">
      <c r="A11" s="43">
        <v>43009</v>
      </c>
      <c r="C11" s="7">
        <v>100049070</v>
      </c>
      <c r="D11" s="15">
        <v>220939</v>
      </c>
      <c r="E11" s="15">
        <v>636839</v>
      </c>
      <c r="F11" s="15">
        <v>1061087</v>
      </c>
      <c r="G11" s="15">
        <f t="shared" si="0"/>
        <v>415900</v>
      </c>
      <c r="H11" s="15">
        <f t="shared" si="1"/>
        <v>840148</v>
      </c>
      <c r="I11" s="8">
        <v>0.35</v>
      </c>
      <c r="J11" s="8">
        <v>0.06</v>
      </c>
      <c r="K11" s="15">
        <f t="shared" si="2"/>
        <v>127921.89200000001</v>
      </c>
      <c r="L11" s="15">
        <f t="shared" si="3"/>
        <v>50408.88</v>
      </c>
      <c r="M11" s="7">
        <f t="shared" si="4"/>
        <v>27636903.346000001</v>
      </c>
      <c r="N11" s="7">
        <v>234586.22</v>
      </c>
      <c r="O11" s="21"/>
      <c r="P11" s="17"/>
      <c r="Q11" s="19">
        <f>Q10+K11+L11</f>
        <v>27636903.346000001</v>
      </c>
    </row>
    <row r="12" spans="1:17" x14ac:dyDescent="0.2">
      <c r="A12" s="43">
        <v>43040</v>
      </c>
      <c r="C12" s="7">
        <v>100049070</v>
      </c>
      <c r="D12" s="15">
        <v>220942</v>
      </c>
      <c r="E12" s="25">
        <v>636839</v>
      </c>
      <c r="F12" s="15">
        <v>1061087</v>
      </c>
      <c r="G12" s="15">
        <f t="shared" si="0"/>
        <v>415897</v>
      </c>
      <c r="H12" s="15">
        <f t="shared" si="1"/>
        <v>840145</v>
      </c>
      <c r="I12" s="8">
        <v>0.35</v>
      </c>
      <c r="J12" s="8">
        <v>0.06</v>
      </c>
      <c r="K12" s="15">
        <f t="shared" si="2"/>
        <v>127920.90499999998</v>
      </c>
      <c r="L12" s="15">
        <f t="shared" si="3"/>
        <v>50408.7</v>
      </c>
      <c r="M12" s="7">
        <f t="shared" si="4"/>
        <v>27815232.951000001</v>
      </c>
      <c r="N12" s="7">
        <v>233566.19</v>
      </c>
      <c r="O12" s="17"/>
      <c r="P12" s="17" t="s">
        <v>11</v>
      </c>
      <c r="Q12" s="19">
        <f>Q11+K12+L12</f>
        <v>27815232.951000001</v>
      </c>
    </row>
    <row r="13" spans="1:17" x14ac:dyDescent="0.2">
      <c r="A13" s="43">
        <v>43070</v>
      </c>
      <c r="C13" s="7">
        <v>100049070</v>
      </c>
      <c r="D13" s="15">
        <v>220942</v>
      </c>
      <c r="E13" s="25">
        <v>636839</v>
      </c>
      <c r="F13" s="15">
        <v>1061087</v>
      </c>
      <c r="G13" s="15">
        <f t="shared" si="0"/>
        <v>415897</v>
      </c>
      <c r="H13" s="15">
        <f t="shared" si="1"/>
        <v>840145</v>
      </c>
      <c r="I13" s="8">
        <v>0.35</v>
      </c>
      <c r="J13" s="8">
        <v>0.06</v>
      </c>
      <c r="K13" s="15">
        <f t="shared" si="2"/>
        <v>127920.90499999998</v>
      </c>
      <c r="L13" s="15">
        <f t="shared" si="3"/>
        <v>50408.7</v>
      </c>
      <c r="M13" s="7">
        <f t="shared" si="4"/>
        <v>27993562.556000002</v>
      </c>
      <c r="N13" s="7">
        <v>232546.15</v>
      </c>
      <c r="O13" s="18" t="s">
        <v>11</v>
      </c>
      <c r="P13" s="17" t="s">
        <v>11</v>
      </c>
      <c r="Q13" s="19">
        <f>Q12+K13+L13</f>
        <v>27993562.556000002</v>
      </c>
    </row>
    <row r="14" spans="1:17" x14ac:dyDescent="0.2">
      <c r="A14" s="43">
        <v>43101</v>
      </c>
      <c r="C14" s="7">
        <v>100049070</v>
      </c>
      <c r="D14" s="15">
        <v>220942</v>
      </c>
      <c r="E14" s="15">
        <v>105751</v>
      </c>
      <c r="F14" s="15">
        <v>211504.93</v>
      </c>
      <c r="G14" s="15">
        <f t="shared" si="0"/>
        <v>-115191</v>
      </c>
      <c r="H14" s="15">
        <f t="shared" si="1"/>
        <v>-9437.070000000007</v>
      </c>
      <c r="I14" s="8">
        <v>0.21</v>
      </c>
      <c r="J14" s="8">
        <v>0.06</v>
      </c>
      <c r="K14" s="15">
        <f>G14*I14-L14*I14-12954</f>
        <v>-37025.202917999995</v>
      </c>
      <c r="L14" s="15">
        <f t="shared" si="3"/>
        <v>-566.22420000000045</v>
      </c>
      <c r="M14" s="7">
        <f t="shared" si="4"/>
        <v>27955971.128882002</v>
      </c>
      <c r="N14" s="7">
        <v>247222.27</v>
      </c>
      <c r="O14" s="7" t="s">
        <v>11</v>
      </c>
      <c r="P14" s="21"/>
      <c r="Q14" s="19">
        <f>Q13+K14+L14</f>
        <v>27955971.128882002</v>
      </c>
    </row>
    <row r="15" spans="1:17" x14ac:dyDescent="0.2">
      <c r="A15" s="43">
        <v>43132</v>
      </c>
      <c r="C15" s="7">
        <v>100049070</v>
      </c>
      <c r="D15" s="15">
        <v>220942</v>
      </c>
      <c r="E15" s="15">
        <v>105751</v>
      </c>
      <c r="F15" s="15">
        <v>211504.93</v>
      </c>
      <c r="G15" s="15">
        <f t="shared" si="0"/>
        <v>-115191</v>
      </c>
      <c r="H15" s="15">
        <f t="shared" si="1"/>
        <v>-9437.070000000007</v>
      </c>
      <c r="I15" s="8">
        <v>0.21</v>
      </c>
      <c r="J15" s="8">
        <v>0.06</v>
      </c>
      <c r="K15" s="15">
        <f>G15*I15-L15*I15-12954</f>
        <v>-37025.202917999995</v>
      </c>
      <c r="L15" s="15">
        <f t="shared" si="3"/>
        <v>-566.22420000000045</v>
      </c>
      <c r="M15" s="7">
        <f t="shared" si="4"/>
        <v>27918379.701764002</v>
      </c>
      <c r="N15" s="7">
        <v>246202.23999999999</v>
      </c>
      <c r="P15" s="17"/>
      <c r="Q15" s="19">
        <f>Q14+K15+L15</f>
        <v>27918379.701764002</v>
      </c>
    </row>
    <row r="16" spans="1:17" x14ac:dyDescent="0.2">
      <c r="A16" s="1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x14ac:dyDescent="0.2">
      <c r="A17" s="16"/>
      <c r="C17" s="58" t="s">
        <v>56</v>
      </c>
      <c r="D17" s="59"/>
      <c r="E17" s="59"/>
      <c r="F17" s="59"/>
      <c r="G17" s="59"/>
      <c r="H17" s="7"/>
      <c r="I17" s="7"/>
      <c r="J17" s="7"/>
      <c r="K17" s="7"/>
      <c r="L17" s="7"/>
      <c r="M17" s="7"/>
      <c r="N17" s="7"/>
      <c r="O17" s="7"/>
      <c r="P17" s="7"/>
    </row>
    <row r="18" spans="1:16" x14ac:dyDescent="0.2">
      <c r="A18" s="55" t="s">
        <v>61</v>
      </c>
      <c r="C18" s="52"/>
      <c r="D18" s="53"/>
      <c r="E18" s="53"/>
      <c r="F18" s="53"/>
      <c r="G18" s="53"/>
      <c r="H18" s="7"/>
      <c r="I18" s="7"/>
      <c r="J18" s="7"/>
      <c r="K18" s="7"/>
      <c r="L18" s="7"/>
      <c r="M18" s="7"/>
      <c r="N18" s="7"/>
      <c r="O18" s="7"/>
      <c r="P18" s="7"/>
    </row>
    <row r="19" spans="1:16" x14ac:dyDescent="0.2">
      <c r="A19" s="43">
        <v>43101</v>
      </c>
      <c r="C19" s="7">
        <v>100049070</v>
      </c>
      <c r="D19" s="15">
        <v>220942</v>
      </c>
      <c r="E19" s="15">
        <v>105751</v>
      </c>
      <c r="F19" s="15">
        <v>211504.93</v>
      </c>
      <c r="G19" s="15">
        <f t="shared" ref="G19:G20" si="5">E19-D19</f>
        <v>-115191</v>
      </c>
      <c r="H19" s="15">
        <f t="shared" ref="H19:H20" si="6">F19-D19</f>
        <v>-9437.070000000007</v>
      </c>
      <c r="I19" s="8">
        <v>0.21</v>
      </c>
      <c r="J19" s="8">
        <v>0.05</v>
      </c>
      <c r="K19" s="15">
        <f>G19*I19-L19*I19-12954</f>
        <v>-37045.020765000001</v>
      </c>
      <c r="L19" s="15">
        <f t="shared" ref="L19:L20" si="7">H19*J19</f>
        <v>-471.85350000000039</v>
      </c>
      <c r="M19" s="7">
        <f>M13+K19+L19</f>
        <v>27956045.681735002</v>
      </c>
      <c r="N19" s="7">
        <v>247222.27</v>
      </c>
      <c r="O19" s="7"/>
      <c r="P19" s="7"/>
    </row>
    <row r="20" spans="1:16" x14ac:dyDescent="0.2">
      <c r="A20" s="43">
        <v>43132</v>
      </c>
      <c r="C20" s="7">
        <v>100049070</v>
      </c>
      <c r="D20" s="15">
        <v>220942</v>
      </c>
      <c r="E20" s="15">
        <v>105751</v>
      </c>
      <c r="F20" s="15">
        <v>211504.93</v>
      </c>
      <c r="G20" s="15">
        <f t="shared" si="5"/>
        <v>-115191</v>
      </c>
      <c r="H20" s="15">
        <f t="shared" si="6"/>
        <v>-9437.070000000007</v>
      </c>
      <c r="I20" s="8">
        <v>0.21</v>
      </c>
      <c r="J20" s="8">
        <v>0.05</v>
      </c>
      <c r="K20" s="15">
        <f>G20*I20-L20*I20-12954</f>
        <v>-37045.020765000001</v>
      </c>
      <c r="L20" s="15">
        <f t="shared" si="7"/>
        <v>-471.85350000000039</v>
      </c>
      <c r="M20" s="7">
        <f t="shared" ref="M20" si="8">M19+K20+L20</f>
        <v>27918528.807470001</v>
      </c>
      <c r="N20" s="7">
        <v>246202.23999999999</v>
      </c>
      <c r="O20" s="7"/>
      <c r="P20" s="7"/>
    </row>
    <row r="21" spans="1:16" x14ac:dyDescent="0.2">
      <c r="A21" s="16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x14ac:dyDescent="0.2">
      <c r="B22" s="27"/>
      <c r="C22" s="26" t="s">
        <v>33</v>
      </c>
      <c r="D22" s="27"/>
      <c r="E22" s="28"/>
      <c r="F22" s="28"/>
      <c r="G22" s="28"/>
    </row>
    <row r="23" spans="1:16" x14ac:dyDescent="0.2">
      <c r="B23" s="27"/>
      <c r="C23" s="26" t="s">
        <v>31</v>
      </c>
      <c r="D23" s="27"/>
      <c r="E23" s="28"/>
      <c r="F23" s="28"/>
      <c r="G23" s="28"/>
    </row>
    <row r="24" spans="1:16" x14ac:dyDescent="0.2">
      <c r="B24" s="27"/>
      <c r="C24" s="26" t="s">
        <v>55</v>
      </c>
      <c r="D24" s="27"/>
      <c r="E24" s="28"/>
      <c r="F24" s="28"/>
      <c r="G24" s="28"/>
    </row>
    <row r="25" spans="1:16" x14ac:dyDescent="0.2">
      <c r="B25" s="27"/>
      <c r="C25" s="24" t="s">
        <v>32</v>
      </c>
      <c r="D25" s="27"/>
      <c r="E25" s="28"/>
      <c r="F25" s="28"/>
      <c r="G25" s="28"/>
    </row>
    <row r="27" spans="1:16" x14ac:dyDescent="0.2">
      <c r="C27" s="24" t="s">
        <v>34</v>
      </c>
      <c r="D27" s="29" t="s">
        <v>35</v>
      </c>
      <c r="E27" s="28" t="s">
        <v>36</v>
      </c>
      <c r="F27" s="24" t="s">
        <v>37</v>
      </c>
      <c r="G27" s="30" t="s">
        <v>27</v>
      </c>
      <c r="H27" s="24" t="s">
        <v>38</v>
      </c>
    </row>
    <row r="28" spans="1:16" x14ac:dyDescent="0.2">
      <c r="C28" s="24">
        <f>18534899</f>
        <v>18534899</v>
      </c>
      <c r="D28" s="24">
        <v>220942</v>
      </c>
      <c r="E28" s="24">
        <v>75499</v>
      </c>
      <c r="F28" s="7">
        <f>E28-D28</f>
        <v>-145443</v>
      </c>
      <c r="G28" s="8">
        <v>0.21</v>
      </c>
      <c r="H28" s="19">
        <f>F28*G28</f>
        <v>-30543.03</v>
      </c>
    </row>
    <row r="29" spans="1:16" x14ac:dyDescent="0.2">
      <c r="C29" s="24">
        <f>+-176214</f>
        <v>-176214</v>
      </c>
      <c r="E29" s="24">
        <v>-776</v>
      </c>
      <c r="F29" s="7">
        <f t="shared" ref="F29:F40" si="9">E29</f>
        <v>-776</v>
      </c>
      <c r="G29" s="8">
        <v>0.21</v>
      </c>
      <c r="H29" s="19">
        <f t="shared" ref="H29:H40" si="10">F29*G29</f>
        <v>-162.96</v>
      </c>
    </row>
    <row r="30" spans="1:16" x14ac:dyDescent="0.2">
      <c r="C30" s="24">
        <f>526898</f>
        <v>526898</v>
      </c>
      <c r="E30" s="24">
        <v>2508</v>
      </c>
      <c r="F30" s="7">
        <f t="shared" si="9"/>
        <v>2508</v>
      </c>
      <c r="G30" s="8">
        <v>0.21</v>
      </c>
      <c r="H30" s="19">
        <f t="shared" si="10"/>
        <v>526.67999999999995</v>
      </c>
    </row>
    <row r="31" spans="1:16" x14ac:dyDescent="0.2">
      <c r="C31" s="24">
        <v>790348</v>
      </c>
      <c r="E31" s="24">
        <v>13172</v>
      </c>
      <c r="F31" s="7">
        <f t="shared" si="9"/>
        <v>13172</v>
      </c>
      <c r="G31" s="8">
        <v>0.21</v>
      </c>
      <c r="H31" s="19">
        <f t="shared" si="10"/>
        <v>2766.12</v>
      </c>
    </row>
    <row r="32" spans="1:16" x14ac:dyDescent="0.2">
      <c r="C32" s="24">
        <v>398743</v>
      </c>
      <c r="E32" s="24">
        <v>2052</v>
      </c>
      <c r="F32" s="7">
        <f t="shared" si="9"/>
        <v>2052</v>
      </c>
      <c r="G32" s="8">
        <v>0.21</v>
      </c>
      <c r="H32" s="19">
        <f t="shared" si="10"/>
        <v>430.91999999999996</v>
      </c>
    </row>
    <row r="33" spans="3:8" x14ac:dyDescent="0.2">
      <c r="C33" s="24">
        <v>1064181</v>
      </c>
      <c r="E33" s="24">
        <v>5478</v>
      </c>
      <c r="F33" s="7">
        <f t="shared" si="9"/>
        <v>5478</v>
      </c>
      <c r="G33" s="8">
        <v>0.21</v>
      </c>
      <c r="H33" s="19">
        <f t="shared" si="10"/>
        <v>1150.3799999999999</v>
      </c>
    </row>
    <row r="34" spans="3:8" x14ac:dyDescent="0.2">
      <c r="C34" s="24">
        <v>81522</v>
      </c>
      <c r="E34" s="24">
        <v>420</v>
      </c>
      <c r="F34" s="7">
        <f t="shared" si="9"/>
        <v>420</v>
      </c>
      <c r="G34" s="8">
        <v>0.21</v>
      </c>
      <c r="H34" s="19">
        <f t="shared" si="10"/>
        <v>88.2</v>
      </c>
    </row>
    <row r="35" spans="3:8" x14ac:dyDescent="0.2">
      <c r="C35" s="24">
        <v>43567</v>
      </c>
      <c r="E35" s="24">
        <v>224</v>
      </c>
      <c r="F35" s="7">
        <f t="shared" si="9"/>
        <v>224</v>
      </c>
      <c r="G35" s="8">
        <v>0.21</v>
      </c>
      <c r="H35" s="19">
        <f t="shared" si="10"/>
        <v>47.04</v>
      </c>
    </row>
    <row r="36" spans="3:8" x14ac:dyDescent="0.2">
      <c r="C36" s="24">
        <v>80051</v>
      </c>
      <c r="E36" s="24">
        <v>412</v>
      </c>
      <c r="F36" s="7">
        <f t="shared" si="9"/>
        <v>412</v>
      </c>
      <c r="G36" s="8">
        <v>0.21</v>
      </c>
      <c r="H36" s="19">
        <f t="shared" si="10"/>
        <v>86.52</v>
      </c>
    </row>
    <row r="37" spans="3:8" x14ac:dyDescent="0.2">
      <c r="C37" s="24">
        <v>415872</v>
      </c>
      <c r="E37" s="46">
        <v>2264</v>
      </c>
      <c r="F37" s="41">
        <f t="shared" si="9"/>
        <v>2264</v>
      </c>
      <c r="G37" s="8">
        <v>0.21</v>
      </c>
      <c r="H37" s="48">
        <f t="shared" si="10"/>
        <v>475.44</v>
      </c>
    </row>
    <row r="38" spans="3:8" x14ac:dyDescent="0.2">
      <c r="C38" s="24">
        <v>9056</v>
      </c>
      <c r="E38" s="46">
        <v>50</v>
      </c>
      <c r="F38" s="41">
        <f t="shared" si="9"/>
        <v>50</v>
      </c>
      <c r="G38" s="8">
        <v>0.21</v>
      </c>
      <c r="H38" s="48">
        <f t="shared" si="10"/>
        <v>10.5</v>
      </c>
    </row>
    <row r="39" spans="3:8" x14ac:dyDescent="0.2">
      <c r="C39" s="24">
        <v>738067</v>
      </c>
      <c r="E39" s="46">
        <v>4440</v>
      </c>
      <c r="F39" s="41">
        <f t="shared" si="9"/>
        <v>4440</v>
      </c>
      <c r="G39" s="8">
        <v>0.21</v>
      </c>
      <c r="H39" s="48">
        <f t="shared" si="10"/>
        <v>932.4</v>
      </c>
    </row>
    <row r="40" spans="3:8" ht="15" x14ac:dyDescent="0.35">
      <c r="C40" s="24">
        <v>1388</v>
      </c>
      <c r="E40" s="31">
        <v>8</v>
      </c>
      <c r="F40" s="32">
        <f t="shared" si="9"/>
        <v>8</v>
      </c>
      <c r="G40" s="8">
        <v>0.21</v>
      </c>
      <c r="H40" s="33">
        <f t="shared" si="10"/>
        <v>1.68</v>
      </c>
    </row>
    <row r="41" spans="3:8" x14ac:dyDescent="0.2">
      <c r="E41" s="24">
        <f>SUM(E28:E40)</f>
        <v>105751</v>
      </c>
      <c r="F41" s="24">
        <f>SUM(F28:F40)</f>
        <v>-115191</v>
      </c>
      <c r="G41" s="34" t="s">
        <v>43</v>
      </c>
      <c r="H41" s="19">
        <f>SUM(H28:H40)</f>
        <v>-24190.109999999997</v>
      </c>
    </row>
    <row r="42" spans="3:8" ht="15" x14ac:dyDescent="0.35">
      <c r="E42" s="7">
        <f>E41-E15</f>
        <v>0</v>
      </c>
      <c r="F42" s="7">
        <f>F41-G15</f>
        <v>0</v>
      </c>
      <c r="G42" s="34" t="s">
        <v>44</v>
      </c>
      <c r="H42" s="33">
        <f>-H59*0.21</f>
        <v>99.089234999999988</v>
      </c>
    </row>
    <row r="43" spans="3:8" x14ac:dyDescent="0.2">
      <c r="H43" s="19">
        <f>H41+H42</f>
        <v>-24091.020764999997</v>
      </c>
    </row>
    <row r="44" spans="3:8" x14ac:dyDescent="0.2">
      <c r="H44" s="19">
        <f>H43-K20</f>
        <v>12954.000000000004</v>
      </c>
    </row>
    <row r="45" spans="3:8" x14ac:dyDescent="0.2">
      <c r="C45" s="24" t="s">
        <v>39</v>
      </c>
      <c r="D45" s="27" t="s">
        <v>35</v>
      </c>
      <c r="E45" s="28" t="s">
        <v>40</v>
      </c>
      <c r="F45" s="24" t="s">
        <v>41</v>
      </c>
      <c r="G45" s="30" t="s">
        <v>28</v>
      </c>
      <c r="H45" s="24" t="s">
        <v>42</v>
      </c>
    </row>
    <row r="46" spans="3:8" x14ac:dyDescent="0.2">
      <c r="C46" s="24">
        <v>37069798</v>
      </c>
      <c r="D46" s="7">
        <f>D28</f>
        <v>220942</v>
      </c>
      <c r="E46" s="7">
        <v>150998</v>
      </c>
      <c r="F46" s="7">
        <f>E46-D46</f>
        <v>-69944</v>
      </c>
      <c r="G46" s="8">
        <v>0.05</v>
      </c>
      <c r="H46" s="19">
        <f>F46*G46</f>
        <v>-3497.2000000000003</v>
      </c>
    </row>
    <row r="47" spans="3:8" x14ac:dyDescent="0.2">
      <c r="C47" s="24">
        <v>55076054</v>
      </c>
      <c r="E47" s="7">
        <v>0</v>
      </c>
      <c r="F47" s="7">
        <f>E47</f>
        <v>0</v>
      </c>
      <c r="G47" s="8">
        <v>0.05</v>
      </c>
      <c r="H47" s="19">
        <f t="shared" ref="H47:H56" si="11">F47*G47</f>
        <v>0</v>
      </c>
    </row>
    <row r="48" spans="3:8" x14ac:dyDescent="0.2">
      <c r="C48" s="24">
        <v>-352428</v>
      </c>
      <c r="E48" s="7">
        <v>-1552</v>
      </c>
      <c r="F48" s="7">
        <f t="shared" ref="F48:F58" si="12">E48</f>
        <v>-1552</v>
      </c>
      <c r="G48" s="8">
        <v>0.05</v>
      </c>
      <c r="H48" s="19">
        <f t="shared" si="11"/>
        <v>-77.600000000000009</v>
      </c>
    </row>
    <row r="49" spans="3:8" x14ac:dyDescent="0.2">
      <c r="C49" s="24">
        <v>1053797</v>
      </c>
      <c r="E49" s="7">
        <v>5017</v>
      </c>
      <c r="F49" s="7">
        <f t="shared" si="12"/>
        <v>5017</v>
      </c>
      <c r="G49" s="8">
        <v>0.05</v>
      </c>
      <c r="H49" s="19">
        <f t="shared" si="11"/>
        <v>250.85000000000002</v>
      </c>
    </row>
    <row r="50" spans="3:8" x14ac:dyDescent="0.2">
      <c r="C50" s="24">
        <v>1580696</v>
      </c>
      <c r="E50" s="7">
        <v>26344.93</v>
      </c>
      <c r="F50" s="7">
        <f t="shared" si="12"/>
        <v>26344.93</v>
      </c>
      <c r="G50" s="8">
        <v>0.05</v>
      </c>
      <c r="H50" s="19">
        <f t="shared" si="11"/>
        <v>1317.2465000000002</v>
      </c>
    </row>
    <row r="51" spans="3:8" x14ac:dyDescent="0.2">
      <c r="C51" s="24">
        <v>797485</v>
      </c>
      <c r="E51" s="7">
        <v>4105</v>
      </c>
      <c r="F51" s="7">
        <f t="shared" si="12"/>
        <v>4105</v>
      </c>
      <c r="G51" s="8">
        <v>0.05</v>
      </c>
      <c r="H51" s="19">
        <f t="shared" si="11"/>
        <v>205.25</v>
      </c>
    </row>
    <row r="52" spans="3:8" x14ac:dyDescent="0.2">
      <c r="C52" s="24">
        <v>2291406</v>
      </c>
      <c r="E52" s="7">
        <v>11795</v>
      </c>
      <c r="F52" s="7">
        <f t="shared" si="12"/>
        <v>11795</v>
      </c>
      <c r="G52" s="8">
        <v>0.05</v>
      </c>
      <c r="H52" s="19">
        <f t="shared" si="11"/>
        <v>589.75</v>
      </c>
    </row>
    <row r="53" spans="3:8" x14ac:dyDescent="0.2">
      <c r="C53" s="24">
        <v>87134</v>
      </c>
      <c r="E53" s="7">
        <v>448</v>
      </c>
      <c r="F53" s="7">
        <f t="shared" si="12"/>
        <v>448</v>
      </c>
      <c r="G53" s="8">
        <v>0.05</v>
      </c>
      <c r="H53" s="19">
        <f t="shared" si="11"/>
        <v>22.400000000000002</v>
      </c>
    </row>
    <row r="54" spans="3:8" x14ac:dyDescent="0.2">
      <c r="C54" s="24">
        <v>160101</v>
      </c>
      <c r="E54" s="7">
        <v>824</v>
      </c>
      <c r="F54" s="7">
        <f t="shared" si="12"/>
        <v>824</v>
      </c>
      <c r="G54" s="8">
        <v>0.05</v>
      </c>
      <c r="H54" s="19">
        <f t="shared" si="11"/>
        <v>41.2</v>
      </c>
    </row>
    <row r="55" spans="3:8" x14ac:dyDescent="0.2">
      <c r="C55" s="24">
        <v>813634</v>
      </c>
      <c r="E55" s="7">
        <v>4527</v>
      </c>
      <c r="F55" s="7">
        <f t="shared" si="12"/>
        <v>4527</v>
      </c>
      <c r="G55" s="8">
        <v>0.05</v>
      </c>
      <c r="H55" s="19">
        <f t="shared" si="11"/>
        <v>226.35000000000002</v>
      </c>
    </row>
    <row r="56" spans="3:8" x14ac:dyDescent="0.2">
      <c r="C56" s="24">
        <v>18111</v>
      </c>
      <c r="E56" s="41">
        <v>101</v>
      </c>
      <c r="F56" s="41">
        <f t="shared" si="12"/>
        <v>101</v>
      </c>
      <c r="G56" s="8">
        <v>0.05</v>
      </c>
      <c r="H56" s="48">
        <f t="shared" si="11"/>
        <v>5.0500000000000007</v>
      </c>
    </row>
    <row r="57" spans="3:8" x14ac:dyDescent="0.2">
      <c r="C57" s="24">
        <v>1476135</v>
      </c>
      <c r="E57" s="41">
        <v>8880</v>
      </c>
      <c r="F57" s="41">
        <f t="shared" si="12"/>
        <v>8880</v>
      </c>
      <c r="G57" s="8">
        <v>0.05</v>
      </c>
      <c r="H57" s="48">
        <f t="shared" ref="H57:H58" si="13">F57*G57</f>
        <v>444</v>
      </c>
    </row>
    <row r="58" spans="3:8" ht="15" x14ac:dyDescent="0.35">
      <c r="C58" s="24">
        <v>2777</v>
      </c>
      <c r="E58" s="32">
        <v>17</v>
      </c>
      <c r="F58" s="32">
        <f t="shared" si="12"/>
        <v>17</v>
      </c>
      <c r="G58" s="8">
        <v>0.05</v>
      </c>
      <c r="H58" s="33">
        <f t="shared" si="13"/>
        <v>0.85000000000000009</v>
      </c>
    </row>
    <row r="59" spans="3:8" x14ac:dyDescent="0.2">
      <c r="E59" s="7">
        <f>SUM(E46:E58)</f>
        <v>211504.93</v>
      </c>
      <c r="F59" s="7">
        <f>SUM(F46:F58)</f>
        <v>-9437.07</v>
      </c>
      <c r="H59" s="7">
        <f>SUM(H46:H58)</f>
        <v>-471.85349999999994</v>
      </c>
    </row>
    <row r="60" spans="3:8" x14ac:dyDescent="0.2">
      <c r="E60" s="7">
        <f>E59-F15</f>
        <v>0</v>
      </c>
      <c r="F60" s="7">
        <f>F59-H15</f>
        <v>0</v>
      </c>
      <c r="H60" s="7">
        <f>H59-L20</f>
        <v>4.5474735088646412E-13</v>
      </c>
    </row>
    <row r="62" spans="3:8" x14ac:dyDescent="0.2">
      <c r="C62" s="34"/>
    </row>
  </sheetData>
  <mergeCells count="1">
    <mergeCell ref="C17:G17"/>
  </mergeCells>
  <pageMargins left="0.7" right="0.7" top="1.15625" bottom="0.75" header="0.3" footer="0.3"/>
  <pageSetup scale="55" orientation="portrait" r:id="rId1"/>
  <headerFooter>
    <oddHeader>&amp;R&amp;"Times New Roman,Bold"&amp;12Attachment to Response to Question 3
Page 8 of 9
Williams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opLeftCell="A4" zoomScaleNormal="100" workbookViewId="0">
      <selection activeCell="K19" sqref="K19"/>
    </sheetView>
  </sheetViews>
  <sheetFormatPr defaultRowHeight="12.75" x14ac:dyDescent="0.2"/>
  <cols>
    <col min="1" max="1" width="11.28515625" style="3" customWidth="1"/>
    <col min="2" max="2" width="1.7109375" customWidth="1"/>
    <col min="3" max="3" width="12.7109375" customWidth="1"/>
    <col min="4" max="4" width="14.28515625" bestFit="1" customWidth="1"/>
    <col min="5" max="8" width="14.28515625" customWidth="1"/>
    <col min="9" max="12" width="12.7109375" customWidth="1"/>
    <col min="13" max="13" width="16.5703125" bestFit="1" customWidth="1"/>
    <col min="14" max="14" width="12.7109375" customWidth="1"/>
    <col min="15" max="15" width="9.85546875" bestFit="1" customWidth="1"/>
  </cols>
  <sheetData>
    <row r="1" spans="1:16" x14ac:dyDescent="0.2">
      <c r="A1" s="12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6" x14ac:dyDescent="0.2">
      <c r="A2" s="12" t="s">
        <v>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6" x14ac:dyDescent="0.2">
      <c r="A3" s="13" t="s">
        <v>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6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4"/>
    </row>
    <row r="5" spans="1:16" x14ac:dyDescent="0.2">
      <c r="A5" s="9" t="s">
        <v>21</v>
      </c>
    </row>
    <row r="6" spans="1:16" x14ac:dyDescent="0.2">
      <c r="A6" s="11" t="s">
        <v>53</v>
      </c>
    </row>
    <row r="8" spans="1:16" s="6" customFormat="1" ht="38.25" x14ac:dyDescent="0.2">
      <c r="A8" s="4" t="s">
        <v>0</v>
      </c>
      <c r="B8" s="5"/>
      <c r="C8" s="5" t="s">
        <v>1</v>
      </c>
      <c r="D8" s="5" t="s">
        <v>2</v>
      </c>
      <c r="E8" s="5" t="s">
        <v>23</v>
      </c>
      <c r="F8" s="5" t="s">
        <v>24</v>
      </c>
      <c r="G8" s="5" t="s">
        <v>25</v>
      </c>
      <c r="H8" s="5" t="s">
        <v>26</v>
      </c>
      <c r="I8" s="5" t="s">
        <v>27</v>
      </c>
      <c r="J8" s="5" t="s">
        <v>28</v>
      </c>
      <c r="K8" s="5" t="s">
        <v>29</v>
      </c>
      <c r="L8" s="5" t="s">
        <v>30</v>
      </c>
      <c r="M8" s="5" t="s">
        <v>3</v>
      </c>
      <c r="N8" s="5" t="s">
        <v>4</v>
      </c>
    </row>
    <row r="9" spans="1:16" x14ac:dyDescent="0.2">
      <c r="A9" s="3" t="s">
        <v>8</v>
      </c>
      <c r="M9" s="10">
        <v>293119</v>
      </c>
    </row>
    <row r="10" spans="1:16" x14ac:dyDescent="0.2">
      <c r="A10" s="42">
        <v>42987</v>
      </c>
      <c r="C10" s="7">
        <v>3077193</v>
      </c>
      <c r="D10" s="15">
        <v>5800</v>
      </c>
      <c r="E10" s="15">
        <v>183981</v>
      </c>
      <c r="F10" s="15">
        <v>13256</v>
      </c>
      <c r="G10" s="7">
        <f t="shared" ref="G10:G15" si="0">E10-D10</f>
        <v>178181</v>
      </c>
      <c r="H10" s="7">
        <f t="shared" ref="H10:H15" si="1">F10-D10</f>
        <v>7456</v>
      </c>
      <c r="I10" s="8">
        <v>0.35</v>
      </c>
      <c r="J10" s="8">
        <v>0.06</v>
      </c>
      <c r="K10" s="7">
        <f t="shared" ref="K10:K15" si="2">G10*I10-L10*I10</f>
        <v>62206.773999999998</v>
      </c>
      <c r="L10" s="7">
        <f t="shared" ref="L10:L15" si="3">H10*J10</f>
        <v>447.35999999999996</v>
      </c>
      <c r="M10" s="7">
        <f t="shared" ref="M10:M15" si="4">M9+K10+L10</f>
        <v>355773.13399999996</v>
      </c>
      <c r="N10" s="7">
        <v>0</v>
      </c>
      <c r="O10" s="17"/>
      <c r="P10" s="19"/>
    </row>
    <row r="11" spans="1:16" x14ac:dyDescent="0.2">
      <c r="A11" s="43">
        <v>43009</v>
      </c>
      <c r="C11" s="7">
        <v>3077193</v>
      </c>
      <c r="D11" s="15">
        <v>6103</v>
      </c>
      <c r="E11" s="15">
        <v>184318</v>
      </c>
      <c r="F11" s="15">
        <v>13256</v>
      </c>
      <c r="G11" s="7">
        <f t="shared" si="0"/>
        <v>178215</v>
      </c>
      <c r="H11" s="7">
        <f t="shared" si="1"/>
        <v>7153</v>
      </c>
      <c r="I11" s="8">
        <v>0.35</v>
      </c>
      <c r="J11" s="8">
        <v>0.06</v>
      </c>
      <c r="K11" s="7">
        <f t="shared" si="2"/>
        <v>62225.036999999989</v>
      </c>
      <c r="L11" s="7">
        <f t="shared" si="3"/>
        <v>429.18</v>
      </c>
      <c r="M11" s="24">
        <f t="shared" si="4"/>
        <v>418427.35099999997</v>
      </c>
      <c r="N11" s="7">
        <v>0</v>
      </c>
      <c r="O11" s="17"/>
      <c r="P11" s="19"/>
    </row>
    <row r="12" spans="1:16" x14ac:dyDescent="0.2">
      <c r="A12" s="43">
        <v>43040</v>
      </c>
      <c r="C12" s="7">
        <v>3077193</v>
      </c>
      <c r="D12" s="15">
        <v>6103</v>
      </c>
      <c r="E12" s="15">
        <v>184315</v>
      </c>
      <c r="F12" s="15">
        <v>13256</v>
      </c>
      <c r="G12" s="7">
        <f t="shared" si="0"/>
        <v>178212</v>
      </c>
      <c r="H12" s="7">
        <f t="shared" si="1"/>
        <v>7153</v>
      </c>
      <c r="I12" s="8">
        <v>0.35</v>
      </c>
      <c r="J12" s="8">
        <v>0.06</v>
      </c>
      <c r="K12" s="7">
        <f t="shared" si="2"/>
        <v>62223.986999999994</v>
      </c>
      <c r="L12" s="7">
        <f t="shared" si="3"/>
        <v>429.18</v>
      </c>
      <c r="M12" s="7">
        <f t="shared" si="4"/>
        <v>481080.51799999998</v>
      </c>
      <c r="N12" s="7">
        <v>0</v>
      </c>
      <c r="O12" s="23"/>
      <c r="P12" s="19"/>
    </row>
    <row r="13" spans="1:16" x14ac:dyDescent="0.2">
      <c r="A13" s="43">
        <v>43070</v>
      </c>
      <c r="C13" s="7">
        <v>3077193</v>
      </c>
      <c r="D13" s="15">
        <v>6103</v>
      </c>
      <c r="E13" s="15">
        <v>184315</v>
      </c>
      <c r="F13" s="15">
        <v>13256</v>
      </c>
      <c r="G13" s="7">
        <f t="shared" si="0"/>
        <v>178212</v>
      </c>
      <c r="H13" s="7">
        <f t="shared" si="1"/>
        <v>7153</v>
      </c>
      <c r="I13" s="8">
        <v>0.35</v>
      </c>
      <c r="J13" s="8">
        <v>0.06</v>
      </c>
      <c r="K13" s="7">
        <f t="shared" si="2"/>
        <v>62223.986999999994</v>
      </c>
      <c r="L13" s="7">
        <f t="shared" si="3"/>
        <v>429.18</v>
      </c>
      <c r="M13" s="7">
        <f t="shared" si="4"/>
        <v>543733.68500000006</v>
      </c>
      <c r="N13" s="7">
        <v>0</v>
      </c>
      <c r="O13" s="23"/>
      <c r="P13" s="19"/>
    </row>
    <row r="14" spans="1:16" x14ac:dyDescent="0.2">
      <c r="A14" s="43">
        <v>43101</v>
      </c>
      <c r="C14" s="7">
        <v>3077193</v>
      </c>
      <c r="D14" s="15">
        <v>6103</v>
      </c>
      <c r="E14" s="15">
        <v>10448</v>
      </c>
      <c r="F14" s="15">
        <f>18511.88</f>
        <v>18511.88</v>
      </c>
      <c r="G14" s="7">
        <f t="shared" si="0"/>
        <v>4345</v>
      </c>
      <c r="H14" s="7">
        <f t="shared" si="1"/>
        <v>12408.880000000001</v>
      </c>
      <c r="I14" s="8">
        <v>0.21</v>
      </c>
      <c r="J14" s="8">
        <v>0.06</v>
      </c>
      <c r="K14" s="7">
        <f t="shared" si="2"/>
        <v>756.0981119999999</v>
      </c>
      <c r="L14" s="7">
        <f t="shared" si="3"/>
        <v>744.53280000000007</v>
      </c>
      <c r="M14" s="7">
        <f t="shared" si="4"/>
        <v>545234.31591200014</v>
      </c>
      <c r="N14" s="7">
        <v>0</v>
      </c>
      <c r="O14" s="7"/>
      <c r="P14" s="19"/>
    </row>
    <row r="15" spans="1:16" x14ac:dyDescent="0.2">
      <c r="A15" s="43">
        <v>43132</v>
      </c>
      <c r="C15" s="7">
        <v>3077193</v>
      </c>
      <c r="D15" s="15">
        <v>6103</v>
      </c>
      <c r="E15" s="15">
        <v>10448</v>
      </c>
      <c r="F15" s="15">
        <f>18511.88</f>
        <v>18511.88</v>
      </c>
      <c r="G15" s="7">
        <f t="shared" si="0"/>
        <v>4345</v>
      </c>
      <c r="H15" s="7">
        <f t="shared" si="1"/>
        <v>12408.880000000001</v>
      </c>
      <c r="I15" s="8">
        <v>0.21</v>
      </c>
      <c r="J15" s="8">
        <v>0.06</v>
      </c>
      <c r="K15" s="7">
        <f t="shared" si="2"/>
        <v>756.0981119999999</v>
      </c>
      <c r="L15" s="7">
        <f t="shared" si="3"/>
        <v>744.53280000000007</v>
      </c>
      <c r="M15" s="7">
        <f t="shared" si="4"/>
        <v>546734.94682400022</v>
      </c>
      <c r="N15" s="7">
        <v>0</v>
      </c>
      <c r="P15" s="19"/>
    </row>
    <row r="16" spans="1:16" x14ac:dyDescent="0.2">
      <c r="A16" s="1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">
      <c r="A17" s="55" t="s">
        <v>61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x14ac:dyDescent="0.2">
      <c r="A18" s="43">
        <v>43101</v>
      </c>
      <c r="C18" s="7">
        <v>3077193</v>
      </c>
      <c r="D18" s="15">
        <v>6103</v>
      </c>
      <c r="E18" s="15">
        <v>9256</v>
      </c>
      <c r="F18" s="15">
        <f>18511.88</f>
        <v>18511.88</v>
      </c>
      <c r="G18" s="7">
        <f t="shared" ref="G18:G19" si="5">E18-D18</f>
        <v>3153</v>
      </c>
      <c r="H18" s="7">
        <f t="shared" ref="H18:H19" si="6">F18-D18</f>
        <v>12408.880000000001</v>
      </c>
      <c r="I18" s="8">
        <v>0.21</v>
      </c>
      <c r="J18" s="8">
        <v>0.05</v>
      </c>
      <c r="K18" s="7">
        <f>G18*I18-L18*I18-697-26</f>
        <v>-164.49324000000001</v>
      </c>
      <c r="L18" s="7">
        <f>H18*J18-127</f>
        <v>493.44400000000007</v>
      </c>
      <c r="M18" s="7">
        <f>M13+K18+L18</f>
        <v>544062.63576000009</v>
      </c>
      <c r="N18" s="7">
        <v>0</v>
      </c>
    </row>
    <row r="19" spans="1:14" x14ac:dyDescent="0.2">
      <c r="A19" s="43">
        <v>43132</v>
      </c>
      <c r="C19" s="7">
        <v>3077193</v>
      </c>
      <c r="D19" s="15">
        <v>6103</v>
      </c>
      <c r="E19" s="15">
        <v>9256</v>
      </c>
      <c r="F19" s="15">
        <f>18511.88</f>
        <v>18511.88</v>
      </c>
      <c r="G19" s="7">
        <f t="shared" si="5"/>
        <v>3153</v>
      </c>
      <c r="H19" s="7">
        <f t="shared" si="6"/>
        <v>12408.880000000001</v>
      </c>
      <c r="I19" s="8">
        <v>0.21</v>
      </c>
      <c r="J19" s="8">
        <v>0.05</v>
      </c>
      <c r="K19" s="7">
        <f t="shared" ref="K19" si="7">G19*I19-L19*I19</f>
        <v>531.83676000000003</v>
      </c>
      <c r="L19" s="7">
        <f t="shared" ref="L19" si="8">H19*J19</f>
        <v>620.44400000000007</v>
      </c>
      <c r="M19" s="7">
        <f t="shared" ref="M19" si="9">M18+K19+L19</f>
        <v>545214.91652000009</v>
      </c>
      <c r="N19" s="7">
        <v>0</v>
      </c>
    </row>
    <row r="20" spans="1:14" x14ac:dyDescent="0.2">
      <c r="A20" s="1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x14ac:dyDescent="0.2">
      <c r="A21" s="1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x14ac:dyDescent="0.2">
      <c r="C22" s="26" t="s">
        <v>57</v>
      </c>
    </row>
    <row r="23" spans="1:14" x14ac:dyDescent="0.2">
      <c r="C23" s="26" t="s">
        <v>31</v>
      </c>
    </row>
    <row r="24" spans="1:14" x14ac:dyDescent="0.2">
      <c r="C24" s="26" t="s">
        <v>55</v>
      </c>
    </row>
    <row r="25" spans="1:14" x14ac:dyDescent="0.2">
      <c r="C25" s="24" t="s">
        <v>32</v>
      </c>
    </row>
    <row r="27" spans="1:14" x14ac:dyDescent="0.2">
      <c r="C27" s="24" t="s">
        <v>34</v>
      </c>
      <c r="D27" s="29" t="s">
        <v>35</v>
      </c>
      <c r="E27" s="28" t="s">
        <v>36</v>
      </c>
      <c r="F27" s="24" t="s">
        <v>37</v>
      </c>
      <c r="G27" s="30" t="s">
        <v>27</v>
      </c>
      <c r="H27" s="24" t="s">
        <v>38</v>
      </c>
    </row>
    <row r="28" spans="1:14" x14ac:dyDescent="0.2">
      <c r="C28" s="7">
        <v>1386019</v>
      </c>
      <c r="D28" s="7">
        <v>6103</v>
      </c>
      <c r="E28" s="24">
        <v>8338</v>
      </c>
      <c r="F28" s="7">
        <f>E28-D28</f>
        <v>2235</v>
      </c>
      <c r="G28" s="8">
        <v>0.21</v>
      </c>
      <c r="H28" s="7">
        <f>F28*G28</f>
        <v>469.34999999999997</v>
      </c>
    </row>
    <row r="29" spans="1:14" ht="15" x14ac:dyDescent="0.35">
      <c r="C29" s="7">
        <v>152578</v>
      </c>
      <c r="D29" s="7"/>
      <c r="E29" s="32">
        <v>918</v>
      </c>
      <c r="F29" s="32">
        <f>E29</f>
        <v>918</v>
      </c>
      <c r="G29" s="8">
        <v>0.21</v>
      </c>
      <c r="H29" s="32">
        <f>F29*G29</f>
        <v>192.78</v>
      </c>
    </row>
    <row r="30" spans="1:14" x14ac:dyDescent="0.2">
      <c r="E30" s="19">
        <f>SUM(E28:E29)</f>
        <v>9256</v>
      </c>
      <c r="F30" s="19">
        <f>SUM(F28:F29)</f>
        <v>3153</v>
      </c>
      <c r="G30" s="34" t="s">
        <v>43</v>
      </c>
      <c r="H30" s="19">
        <f>SUM(H28:H29)</f>
        <v>662.13</v>
      </c>
    </row>
    <row r="31" spans="1:14" ht="15" x14ac:dyDescent="0.35">
      <c r="G31" s="34" t="s">
        <v>44</v>
      </c>
      <c r="H31" s="32">
        <f>-H37*0.21</f>
        <v>-130.2945</v>
      </c>
    </row>
    <row r="32" spans="1:14" x14ac:dyDescent="0.2">
      <c r="H32" s="7">
        <f>H30+H31</f>
        <v>531.83550000000002</v>
      </c>
    </row>
    <row r="33" spans="3:8" x14ac:dyDescent="0.2">
      <c r="H33" s="24">
        <f>H32-K19</f>
        <v>-1.2600000000020373E-3</v>
      </c>
    </row>
    <row r="34" spans="3:8" x14ac:dyDescent="0.2">
      <c r="C34" s="24" t="s">
        <v>39</v>
      </c>
      <c r="D34" s="27" t="s">
        <v>35</v>
      </c>
      <c r="E34" s="28" t="s">
        <v>40</v>
      </c>
      <c r="F34" s="24" t="s">
        <v>41</v>
      </c>
      <c r="G34" s="30" t="s">
        <v>28</v>
      </c>
      <c r="H34" s="24" t="s">
        <v>42</v>
      </c>
    </row>
    <row r="35" spans="3:8" x14ac:dyDescent="0.2">
      <c r="C35" s="7">
        <v>2772037</v>
      </c>
      <c r="D35" s="7">
        <f>D28</f>
        <v>6103</v>
      </c>
      <c r="E35" s="7">
        <v>16676</v>
      </c>
      <c r="F35" s="7">
        <f>E35-D35</f>
        <v>10573</v>
      </c>
      <c r="G35" s="8">
        <v>0.05</v>
      </c>
      <c r="H35" s="7">
        <f>F35*G35</f>
        <v>528.65</v>
      </c>
    </row>
    <row r="36" spans="3:8" ht="15" x14ac:dyDescent="0.35">
      <c r="C36" s="7">
        <v>305156</v>
      </c>
      <c r="D36" s="7"/>
      <c r="E36" s="32">
        <v>1836</v>
      </c>
      <c r="F36" s="32">
        <f t="shared" ref="F36" si="10">E36</f>
        <v>1836</v>
      </c>
      <c r="G36" s="8">
        <v>0.05</v>
      </c>
      <c r="H36" s="32">
        <f t="shared" ref="H36" si="11">F36*G36</f>
        <v>91.800000000000011</v>
      </c>
    </row>
    <row r="37" spans="3:8" x14ac:dyDescent="0.2">
      <c r="E37" s="7">
        <f>E35+E36</f>
        <v>18512</v>
      </c>
      <c r="F37" s="7">
        <f>F35+F36</f>
        <v>12409</v>
      </c>
      <c r="H37" s="7">
        <f>H35+H36</f>
        <v>620.45000000000005</v>
      </c>
    </row>
    <row r="38" spans="3:8" x14ac:dyDescent="0.2">
      <c r="H38" s="7">
        <f>H37-L19</f>
        <v>5.9999999999718057E-3</v>
      </c>
    </row>
  </sheetData>
  <pageMargins left="0.7" right="0.7" top="1.15625" bottom="0.75" header="0.3" footer="0.3"/>
  <pageSetup scale="75" orientation="portrait" r:id="rId1"/>
  <headerFooter>
    <oddHeader>&amp;R&amp;"Times New Roman,Bold"&amp;12Attachment to Response to Question 3
Page 8 of 9
Williams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zoomScaleNormal="100" workbookViewId="0">
      <selection activeCell="E30" sqref="E30"/>
    </sheetView>
  </sheetViews>
  <sheetFormatPr defaultRowHeight="12.75" x14ac:dyDescent="0.2"/>
  <cols>
    <col min="1" max="1" width="11.28515625" style="3" customWidth="1"/>
    <col min="2" max="2" width="1.7109375" customWidth="1"/>
    <col min="3" max="3" width="12.7109375" customWidth="1"/>
    <col min="4" max="4" width="14.28515625" bestFit="1" customWidth="1"/>
    <col min="5" max="8" width="14.28515625" customWidth="1"/>
    <col min="9" max="12" width="12.7109375" customWidth="1"/>
    <col min="13" max="13" width="16.5703125" bestFit="1" customWidth="1"/>
    <col min="14" max="14" width="12.7109375" customWidth="1"/>
    <col min="15" max="15" width="12.85546875" bestFit="1" customWidth="1"/>
  </cols>
  <sheetData>
    <row r="1" spans="1:16" x14ac:dyDescent="0.2">
      <c r="A1" s="12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6" x14ac:dyDescent="0.2">
      <c r="A2" s="12" t="s">
        <v>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6" x14ac:dyDescent="0.2">
      <c r="A3" s="13" t="s">
        <v>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6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4"/>
    </row>
    <row r="5" spans="1:16" x14ac:dyDescent="0.2">
      <c r="A5" s="9" t="s">
        <v>21</v>
      </c>
    </row>
    <row r="6" spans="1:16" x14ac:dyDescent="0.2">
      <c r="A6" s="11" t="s">
        <v>54</v>
      </c>
    </row>
    <row r="8" spans="1:16" s="6" customFormat="1" ht="38.25" x14ac:dyDescent="0.2">
      <c r="A8" s="4" t="s">
        <v>0</v>
      </c>
      <c r="B8" s="5"/>
      <c r="C8" s="5" t="s">
        <v>1</v>
      </c>
      <c r="D8" s="5" t="s">
        <v>2</v>
      </c>
      <c r="E8" s="5" t="s">
        <v>23</v>
      </c>
      <c r="F8" s="5" t="s">
        <v>24</v>
      </c>
      <c r="G8" s="5" t="s">
        <v>25</v>
      </c>
      <c r="H8" s="5" t="s">
        <v>26</v>
      </c>
      <c r="I8" s="5" t="s">
        <v>27</v>
      </c>
      <c r="J8" s="5" t="s">
        <v>28</v>
      </c>
      <c r="K8" s="5" t="s">
        <v>29</v>
      </c>
      <c r="L8" s="5" t="s">
        <v>30</v>
      </c>
      <c r="M8" s="5" t="s">
        <v>3</v>
      </c>
      <c r="N8" s="5" t="s">
        <v>4</v>
      </c>
    </row>
    <row r="9" spans="1:16" x14ac:dyDescent="0.2">
      <c r="A9" s="3" t="s">
        <v>8</v>
      </c>
      <c r="M9" s="10"/>
    </row>
    <row r="10" spans="1:16" x14ac:dyDescent="0.2">
      <c r="A10" s="42">
        <v>42987</v>
      </c>
      <c r="C10" s="7"/>
      <c r="D10" s="15"/>
      <c r="E10" s="15"/>
      <c r="F10" s="15"/>
      <c r="G10" s="7">
        <f t="shared" ref="G10:G15" si="0">E10-D10</f>
        <v>0</v>
      </c>
      <c r="H10" s="7">
        <f t="shared" ref="H10:H15" si="1">F10-D10</f>
        <v>0</v>
      </c>
      <c r="I10" s="8">
        <v>0.35</v>
      </c>
      <c r="J10" s="8">
        <v>0.06</v>
      </c>
      <c r="K10" s="7">
        <f t="shared" ref="K10:K15" si="2">G10*I10-L10*I10</f>
        <v>0</v>
      </c>
      <c r="L10" s="7">
        <f t="shared" ref="L10:L13" si="3">H10*J10</f>
        <v>0</v>
      </c>
      <c r="M10" s="7">
        <f t="shared" ref="M10:M15" si="4">M9+K10+L10</f>
        <v>0</v>
      </c>
      <c r="N10" s="7">
        <v>0</v>
      </c>
      <c r="O10" s="17"/>
      <c r="P10" s="19"/>
    </row>
    <row r="11" spans="1:16" x14ac:dyDescent="0.2">
      <c r="A11" s="43">
        <v>43009</v>
      </c>
      <c r="C11" s="7"/>
      <c r="D11" s="15"/>
      <c r="E11" s="15"/>
      <c r="F11" s="15"/>
      <c r="G11" s="7">
        <f t="shared" si="0"/>
        <v>0</v>
      </c>
      <c r="H11" s="7">
        <f t="shared" si="1"/>
        <v>0</v>
      </c>
      <c r="I11" s="8">
        <v>0.35</v>
      </c>
      <c r="J11" s="8">
        <v>0.06</v>
      </c>
      <c r="K11" s="7">
        <f t="shared" si="2"/>
        <v>0</v>
      </c>
      <c r="L11" s="7">
        <f t="shared" si="3"/>
        <v>0</v>
      </c>
      <c r="M11" s="24">
        <f t="shared" si="4"/>
        <v>0</v>
      </c>
      <c r="N11" s="7">
        <v>0</v>
      </c>
      <c r="O11" s="17"/>
      <c r="P11" s="19"/>
    </row>
    <row r="12" spans="1:16" x14ac:dyDescent="0.2">
      <c r="A12" s="43">
        <v>43040</v>
      </c>
      <c r="C12" s="7"/>
      <c r="D12" s="15"/>
      <c r="E12" s="15"/>
      <c r="F12" s="15"/>
      <c r="G12" s="7">
        <f t="shared" si="0"/>
        <v>0</v>
      </c>
      <c r="H12" s="7">
        <f t="shared" si="1"/>
        <v>0</v>
      </c>
      <c r="I12" s="8">
        <v>0.35</v>
      </c>
      <c r="J12" s="8">
        <v>0.06</v>
      </c>
      <c r="K12" s="7">
        <f t="shared" si="2"/>
        <v>0</v>
      </c>
      <c r="L12" s="7">
        <f t="shared" si="3"/>
        <v>0</v>
      </c>
      <c r="M12" s="7">
        <f t="shared" si="4"/>
        <v>0</v>
      </c>
      <c r="N12" s="7">
        <v>0</v>
      </c>
      <c r="O12" s="23"/>
      <c r="P12" s="19"/>
    </row>
    <row r="13" spans="1:16" x14ac:dyDescent="0.2">
      <c r="A13" s="43">
        <v>43070</v>
      </c>
      <c r="C13" s="7"/>
      <c r="D13" s="15"/>
      <c r="E13" s="15"/>
      <c r="F13" s="15"/>
      <c r="G13" s="7">
        <f t="shared" si="0"/>
        <v>0</v>
      </c>
      <c r="H13" s="7">
        <f t="shared" si="1"/>
        <v>0</v>
      </c>
      <c r="I13" s="8">
        <v>0.35</v>
      </c>
      <c r="J13" s="8">
        <v>0.06</v>
      </c>
      <c r="K13" s="7">
        <f t="shared" si="2"/>
        <v>0</v>
      </c>
      <c r="L13" s="7">
        <f t="shared" si="3"/>
        <v>0</v>
      </c>
      <c r="M13" s="7">
        <f t="shared" si="4"/>
        <v>0</v>
      </c>
      <c r="N13" s="7">
        <v>0</v>
      </c>
      <c r="O13" s="23"/>
      <c r="P13" s="19"/>
    </row>
    <row r="14" spans="1:16" x14ac:dyDescent="0.2">
      <c r="A14" s="43">
        <v>43101</v>
      </c>
      <c r="C14" s="7">
        <v>3191413</v>
      </c>
      <c r="D14" s="15">
        <v>3153</v>
      </c>
      <c r="E14" s="54">
        <f>27628.05+1748.2</f>
        <v>29376.25</v>
      </c>
      <c r="F14" s="15">
        <f>27628.05</f>
        <v>27628.05</v>
      </c>
      <c r="G14" s="7">
        <f t="shared" si="0"/>
        <v>26223.25</v>
      </c>
      <c r="H14" s="7">
        <f t="shared" si="1"/>
        <v>24475.05</v>
      </c>
      <c r="I14" s="8">
        <v>0.21</v>
      </c>
      <c r="J14" s="8">
        <v>0.06</v>
      </c>
      <c r="K14" s="7">
        <f t="shared" si="2"/>
        <v>5198.4968699999999</v>
      </c>
      <c r="L14" s="7">
        <f>H14*J14</f>
        <v>1468.5029999999999</v>
      </c>
      <c r="M14" s="7">
        <f t="shared" si="4"/>
        <v>6666.9998699999996</v>
      </c>
      <c r="N14" s="7">
        <v>0</v>
      </c>
      <c r="O14" s="7"/>
      <c r="P14" s="19"/>
    </row>
    <row r="15" spans="1:16" x14ac:dyDescent="0.2">
      <c r="A15" s="43">
        <v>43132</v>
      </c>
      <c r="C15" s="7">
        <v>3191413</v>
      </c>
      <c r="D15" s="15">
        <v>6305</v>
      </c>
      <c r="E15" s="54">
        <f>27628.05+5616.41</f>
        <v>33244.46</v>
      </c>
      <c r="F15" s="15">
        <v>27628.05</v>
      </c>
      <c r="G15" s="7">
        <f t="shared" si="0"/>
        <v>26939.46</v>
      </c>
      <c r="H15" s="7">
        <f t="shared" si="1"/>
        <v>21323.05</v>
      </c>
      <c r="I15" s="8">
        <v>0.21</v>
      </c>
      <c r="J15" s="8">
        <v>0.06</v>
      </c>
      <c r="K15" s="7">
        <f t="shared" si="2"/>
        <v>5388.6161699999993</v>
      </c>
      <c r="L15" s="7">
        <f>H15*J15</f>
        <v>1279.3829999999998</v>
      </c>
      <c r="M15" s="7">
        <f t="shared" si="4"/>
        <v>13334.999039999999</v>
      </c>
      <c r="N15" s="7">
        <v>0</v>
      </c>
      <c r="P15" s="19"/>
    </row>
    <row r="16" spans="1:16" x14ac:dyDescent="0.2">
      <c r="A16" s="1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">
      <c r="A17" s="55" t="s">
        <v>61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x14ac:dyDescent="0.2">
      <c r="A18" s="43">
        <v>43101</v>
      </c>
      <c r="C18" s="7">
        <v>3191413</v>
      </c>
      <c r="D18" s="15">
        <v>3153</v>
      </c>
      <c r="E18" s="54">
        <f>130594-3433</f>
        <v>127161</v>
      </c>
      <c r="F18" s="15">
        <v>27628</v>
      </c>
      <c r="G18" s="7">
        <f t="shared" ref="G18:G19" si="5">E18-D18</f>
        <v>124008</v>
      </c>
      <c r="H18" s="7">
        <f t="shared" ref="H18:H19" si="6">F18-D18</f>
        <v>24475</v>
      </c>
      <c r="I18" s="8">
        <v>0.21</v>
      </c>
      <c r="J18" s="8">
        <v>0.05</v>
      </c>
      <c r="K18" s="7">
        <f t="shared" ref="K18:K19" si="7">G18*I18-L18*I18</f>
        <v>25784.692500000001</v>
      </c>
      <c r="L18" s="7">
        <f>H18*J18</f>
        <v>1223.75</v>
      </c>
      <c r="M18" s="7">
        <f t="shared" ref="M18" si="8">M17+K18+L18</f>
        <v>27008.442500000001</v>
      </c>
      <c r="N18" s="7">
        <v>0</v>
      </c>
    </row>
    <row r="19" spans="1:14" x14ac:dyDescent="0.2">
      <c r="A19" s="43">
        <v>43132</v>
      </c>
      <c r="C19" s="7">
        <v>3191413</v>
      </c>
      <c r="D19" s="15">
        <v>6305</v>
      </c>
      <c r="E19" s="54">
        <f>130594+309</f>
        <v>130903</v>
      </c>
      <c r="F19" s="15">
        <v>27628</v>
      </c>
      <c r="G19" s="7">
        <f t="shared" si="5"/>
        <v>124598</v>
      </c>
      <c r="H19" s="7">
        <f t="shared" si="6"/>
        <v>21323</v>
      </c>
      <c r="I19" s="8">
        <v>0.21</v>
      </c>
      <c r="J19" s="8">
        <v>0.05</v>
      </c>
      <c r="K19" s="7">
        <f t="shared" si="7"/>
        <v>25941.688499999997</v>
      </c>
      <c r="L19" s="7">
        <f>H19*J19</f>
        <v>1066.1500000000001</v>
      </c>
      <c r="M19" s="7">
        <f>M18+K19+L19</f>
        <v>54016.280999999995</v>
      </c>
      <c r="N19" s="7">
        <v>0</v>
      </c>
    </row>
    <row r="20" spans="1:14" x14ac:dyDescent="0.2">
      <c r="C20" s="26"/>
      <c r="D20" s="49"/>
      <c r="E20" s="49"/>
      <c r="F20" s="49"/>
      <c r="G20" s="49"/>
      <c r="H20" s="49"/>
      <c r="I20" s="49"/>
      <c r="J20" s="49"/>
    </row>
    <row r="21" spans="1:14" x14ac:dyDescent="0.2">
      <c r="C21" s="26"/>
      <c r="D21" s="49"/>
      <c r="E21" s="49"/>
      <c r="F21" s="49"/>
      <c r="G21" s="49"/>
      <c r="H21" s="49"/>
      <c r="I21" s="49"/>
      <c r="J21" s="49"/>
    </row>
    <row r="22" spans="1:14" x14ac:dyDescent="0.2">
      <c r="C22" s="24"/>
      <c r="D22" s="49"/>
      <c r="E22" s="49"/>
      <c r="F22" s="49"/>
      <c r="G22" s="49"/>
      <c r="H22" s="49"/>
      <c r="I22" s="49"/>
      <c r="J22" s="49"/>
    </row>
    <row r="23" spans="1:14" x14ac:dyDescent="0.2">
      <c r="C23" s="26" t="s">
        <v>58</v>
      </c>
    </row>
    <row r="24" spans="1:14" x14ac:dyDescent="0.2">
      <c r="C24" s="26" t="s">
        <v>59</v>
      </c>
    </row>
    <row r="25" spans="1:14" x14ac:dyDescent="0.2">
      <c r="C25" s="26" t="s">
        <v>60</v>
      </c>
    </row>
    <row r="26" spans="1:14" x14ac:dyDescent="0.2">
      <c r="C26" s="24" t="s">
        <v>32</v>
      </c>
    </row>
    <row r="28" spans="1:14" x14ac:dyDescent="0.2">
      <c r="C28" s="24" t="s">
        <v>34</v>
      </c>
      <c r="D28" s="29" t="s">
        <v>35</v>
      </c>
      <c r="E28" s="28" t="s">
        <v>36</v>
      </c>
      <c r="F28" s="24" t="s">
        <v>37</v>
      </c>
      <c r="G28" s="30" t="s">
        <v>27</v>
      </c>
      <c r="H28" s="24" t="s">
        <v>38</v>
      </c>
    </row>
    <row r="29" spans="1:14" x14ac:dyDescent="0.2">
      <c r="C29" s="7">
        <v>724052</v>
      </c>
      <c r="D29" s="7">
        <v>6305</v>
      </c>
      <c r="E29" s="24">
        <f>2263+309</f>
        <v>2572</v>
      </c>
      <c r="F29" s="24">
        <f>E29-D29</f>
        <v>-3733</v>
      </c>
      <c r="G29" s="30">
        <v>0.21</v>
      </c>
      <c r="H29" s="24">
        <f>F29*G29</f>
        <v>-783.93</v>
      </c>
    </row>
    <row r="30" spans="1:14" x14ac:dyDescent="0.2">
      <c r="C30" s="7">
        <v>314156</v>
      </c>
      <c r="D30" s="7"/>
      <c r="E30" s="24">
        <v>4800</v>
      </c>
      <c r="F30" s="24">
        <f>E30</f>
        <v>4800</v>
      </c>
      <c r="G30" s="30">
        <v>0.21</v>
      </c>
      <c r="H30" s="24">
        <f t="shared" ref="H30:H32" si="9">F30*G30</f>
        <v>1008</v>
      </c>
    </row>
    <row r="31" spans="1:14" x14ac:dyDescent="0.2">
      <c r="C31" s="7">
        <v>771922</v>
      </c>
      <c r="D31" s="7"/>
      <c r="E31" s="24">
        <v>8424</v>
      </c>
      <c r="F31" s="24">
        <f>E31</f>
        <v>8424</v>
      </c>
      <c r="G31" s="30">
        <v>0.21</v>
      </c>
      <c r="H31" s="24">
        <f t="shared" si="9"/>
        <v>1769.04</v>
      </c>
    </row>
    <row r="32" spans="1:14" x14ac:dyDescent="0.2">
      <c r="C32" s="7">
        <v>857691</v>
      </c>
      <c r="D32" s="7"/>
      <c r="E32" s="24">
        <v>71474</v>
      </c>
      <c r="F32" s="24">
        <f>E32</f>
        <v>71474</v>
      </c>
      <c r="G32" s="30">
        <v>0.21</v>
      </c>
      <c r="H32" s="24">
        <f t="shared" si="9"/>
        <v>15009.539999999999</v>
      </c>
    </row>
    <row r="33" spans="3:8" ht="15" x14ac:dyDescent="0.35">
      <c r="C33" s="7">
        <v>523593</v>
      </c>
      <c r="D33" s="7"/>
      <c r="E33" s="31">
        <v>43633</v>
      </c>
      <c r="F33" s="31">
        <f>E33</f>
        <v>43633</v>
      </c>
      <c r="G33" s="30">
        <v>0.21</v>
      </c>
      <c r="H33" s="31">
        <f>F33*G33</f>
        <v>9162.93</v>
      </c>
    </row>
    <row r="34" spans="3:8" x14ac:dyDescent="0.2">
      <c r="E34" s="50">
        <f>SUM(E29:E33)</f>
        <v>130903</v>
      </c>
      <c r="F34" s="50">
        <f>SUM(F29:F33)</f>
        <v>124598</v>
      </c>
      <c r="G34" s="51" t="s">
        <v>43</v>
      </c>
      <c r="H34" s="50">
        <f>SUM(H29:H33)</f>
        <v>26165.579999999998</v>
      </c>
    </row>
    <row r="35" spans="3:8" ht="15" x14ac:dyDescent="0.35">
      <c r="E35" s="49"/>
      <c r="F35" s="49"/>
      <c r="G35" s="51" t="s">
        <v>44</v>
      </c>
      <c r="H35" s="31">
        <f>-H42*0.21</f>
        <v>-223.89150000000001</v>
      </c>
    </row>
    <row r="36" spans="3:8" x14ac:dyDescent="0.2">
      <c r="E36" s="49"/>
      <c r="F36" s="49"/>
      <c r="G36" s="49"/>
      <c r="H36" s="24">
        <f>H34+H35</f>
        <v>25941.688499999997</v>
      </c>
    </row>
    <row r="37" spans="3:8" x14ac:dyDescent="0.2">
      <c r="E37" s="49"/>
      <c r="F37" s="49"/>
      <c r="G37" s="49"/>
      <c r="H37" s="24">
        <f>H36-K19</f>
        <v>0</v>
      </c>
    </row>
    <row r="38" spans="3:8" x14ac:dyDescent="0.2">
      <c r="C38" s="24" t="s">
        <v>39</v>
      </c>
      <c r="D38" s="27" t="s">
        <v>35</v>
      </c>
      <c r="E38" s="28" t="s">
        <v>40</v>
      </c>
      <c r="F38" s="24" t="s">
        <v>41</v>
      </c>
      <c r="G38" s="30" t="s">
        <v>28</v>
      </c>
      <c r="H38" s="24" t="s">
        <v>42</v>
      </c>
    </row>
    <row r="39" spans="3:8" x14ac:dyDescent="0.2">
      <c r="C39" s="7">
        <v>1276565</v>
      </c>
      <c r="D39" s="7">
        <f>D29</f>
        <v>6305</v>
      </c>
      <c r="E39" s="7">
        <v>3989</v>
      </c>
      <c r="F39" s="7">
        <f>E39-D39</f>
        <v>-2316</v>
      </c>
      <c r="G39" s="8">
        <v>0.05</v>
      </c>
      <c r="H39" s="7">
        <f>F39*G39</f>
        <v>-115.80000000000001</v>
      </c>
    </row>
    <row r="40" spans="3:8" x14ac:dyDescent="0.2">
      <c r="C40" s="7">
        <v>628311</v>
      </c>
      <c r="D40" s="7"/>
      <c r="E40" s="7">
        <v>9599</v>
      </c>
      <c r="F40" s="7">
        <f>E40</f>
        <v>9599</v>
      </c>
      <c r="G40" s="8">
        <v>0.05</v>
      </c>
      <c r="H40" s="7">
        <f>F40*G40</f>
        <v>479.95000000000005</v>
      </c>
    </row>
    <row r="41" spans="3:8" ht="15" x14ac:dyDescent="0.35">
      <c r="C41" s="7">
        <v>1286537</v>
      </c>
      <c r="D41" s="7"/>
      <c r="E41" s="32">
        <v>14040</v>
      </c>
      <c r="F41" s="32">
        <f t="shared" ref="F41" si="10">E41</f>
        <v>14040</v>
      </c>
      <c r="G41" s="8">
        <v>0.05</v>
      </c>
      <c r="H41" s="32">
        <f>F41*G41</f>
        <v>702</v>
      </c>
    </row>
    <row r="42" spans="3:8" x14ac:dyDescent="0.2">
      <c r="E42" s="7">
        <f>E39+E41+E40</f>
        <v>27628</v>
      </c>
      <c r="F42" s="7">
        <f>F39+F41+F40</f>
        <v>21323</v>
      </c>
      <c r="H42" s="7">
        <f>H39+H41+H40</f>
        <v>1066.1500000000001</v>
      </c>
    </row>
    <row r="43" spans="3:8" x14ac:dyDescent="0.2">
      <c r="H43" s="7">
        <f>H42-L19</f>
        <v>0</v>
      </c>
    </row>
  </sheetData>
  <pageMargins left="0.7" right="0.7" top="1.15625" bottom="0.75" header="0.3" footer="0.3"/>
  <pageSetup scale="75" orientation="portrait" r:id="rId1"/>
  <headerFooter>
    <oddHeader>&amp;R&amp;"Times New Roman,Bold"&amp;12Attachment to Response to Question 3
Page 8 of 9
Williams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zoomScaleNormal="100" workbookViewId="0">
      <selection activeCell="P12" sqref="P12"/>
    </sheetView>
  </sheetViews>
  <sheetFormatPr defaultRowHeight="12.75" x14ac:dyDescent="0.2"/>
  <cols>
    <col min="1" max="1" width="11.28515625" style="3" customWidth="1"/>
    <col min="2" max="2" width="1.7109375" customWidth="1"/>
    <col min="3" max="3" width="14.28515625" customWidth="1"/>
    <col min="4" max="4" width="14.28515625" bestFit="1" customWidth="1"/>
    <col min="5" max="5" width="16.42578125" customWidth="1"/>
    <col min="6" max="6" width="15.5703125" customWidth="1"/>
    <col min="7" max="8" width="14.28515625" customWidth="1"/>
    <col min="9" max="12" width="12.7109375" customWidth="1"/>
    <col min="13" max="13" width="16.5703125" bestFit="1" customWidth="1"/>
    <col min="14" max="14" width="12.7109375" customWidth="1"/>
    <col min="15" max="15" width="11.28515625" hidden="1" customWidth="1"/>
    <col min="16" max="16" width="14.5703125" bestFit="1" customWidth="1"/>
  </cols>
  <sheetData>
    <row r="1" spans="1:17" x14ac:dyDescent="0.2">
      <c r="A1" s="12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7" x14ac:dyDescent="0.2">
      <c r="A2" s="12" t="s">
        <v>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7" x14ac:dyDescent="0.2">
      <c r="A3" s="13" t="s">
        <v>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7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4"/>
    </row>
    <row r="5" spans="1:17" x14ac:dyDescent="0.2">
      <c r="A5" s="9" t="s">
        <v>21</v>
      </c>
    </row>
    <row r="6" spans="1:17" x14ac:dyDescent="0.2">
      <c r="A6" s="11" t="s">
        <v>22</v>
      </c>
    </row>
    <row r="8" spans="1:17" s="6" customFormat="1" ht="38.25" x14ac:dyDescent="0.2">
      <c r="A8" s="4" t="s">
        <v>0</v>
      </c>
      <c r="B8" s="5"/>
      <c r="C8" s="5" t="s">
        <v>1</v>
      </c>
      <c r="D8" s="5" t="s">
        <v>2</v>
      </c>
      <c r="E8" s="5" t="s">
        <v>23</v>
      </c>
      <c r="F8" s="5" t="s">
        <v>24</v>
      </c>
      <c r="G8" s="5" t="s">
        <v>25</v>
      </c>
      <c r="H8" s="5" t="s">
        <v>26</v>
      </c>
      <c r="I8" s="5" t="s">
        <v>27</v>
      </c>
      <c r="J8" s="5" t="s">
        <v>28</v>
      </c>
      <c r="K8" s="5" t="s">
        <v>29</v>
      </c>
      <c r="L8" s="5" t="s">
        <v>30</v>
      </c>
      <c r="M8" s="5" t="s">
        <v>3</v>
      </c>
      <c r="N8" s="5" t="s">
        <v>4</v>
      </c>
    </row>
    <row r="9" spans="1:17" x14ac:dyDescent="0.2">
      <c r="A9" s="3" t="s">
        <v>8</v>
      </c>
      <c r="M9" s="10">
        <v>40827</v>
      </c>
    </row>
    <row r="10" spans="1:17" x14ac:dyDescent="0.2">
      <c r="A10" s="42">
        <v>42987</v>
      </c>
      <c r="C10" s="7">
        <v>350074</v>
      </c>
      <c r="D10" s="15">
        <v>691</v>
      </c>
      <c r="E10" s="25">
        <v>15159</v>
      </c>
      <c r="F10" s="15">
        <v>1120</v>
      </c>
      <c r="G10" s="7">
        <f>E10-D10</f>
        <v>14468</v>
      </c>
      <c r="H10" s="7">
        <f>F10-D10</f>
        <v>429</v>
      </c>
      <c r="I10" s="8">
        <v>0.35</v>
      </c>
      <c r="J10" s="8">
        <v>0.06</v>
      </c>
      <c r="K10" s="7">
        <f>G10*I10-L10*I10</f>
        <v>5054.7909999999993</v>
      </c>
      <c r="L10" s="7">
        <f>H10*J10</f>
        <v>25.74</v>
      </c>
      <c r="M10" s="7">
        <f t="shared" ref="M10:M15" si="0">M9+K10+L10</f>
        <v>45907.530999999995</v>
      </c>
      <c r="N10" s="7">
        <v>0</v>
      </c>
      <c r="P10" s="17"/>
    </row>
    <row r="11" spans="1:17" x14ac:dyDescent="0.2">
      <c r="A11" s="43">
        <v>43009</v>
      </c>
      <c r="C11" s="7">
        <v>350074</v>
      </c>
      <c r="D11" s="15">
        <v>691</v>
      </c>
      <c r="E11" s="25">
        <v>15159</v>
      </c>
      <c r="F11" s="15">
        <v>1120</v>
      </c>
      <c r="G11" s="7">
        <f t="shared" ref="G11:G13" si="1">E11-D11</f>
        <v>14468</v>
      </c>
      <c r="H11" s="7">
        <f t="shared" ref="H11:H13" si="2">F11-D11</f>
        <v>429</v>
      </c>
      <c r="I11" s="8">
        <v>0.35</v>
      </c>
      <c r="J11" s="8">
        <v>0.06</v>
      </c>
      <c r="K11" s="7">
        <f t="shared" ref="K11:K13" si="3">G11*I11-L11*I11</f>
        <v>5054.7909999999993</v>
      </c>
      <c r="L11" s="7">
        <f t="shared" ref="L11:L13" si="4">H11*J11</f>
        <v>25.74</v>
      </c>
      <c r="M11" s="7">
        <f t="shared" si="0"/>
        <v>50988.061999999991</v>
      </c>
      <c r="N11" s="7">
        <v>0</v>
      </c>
      <c r="O11" s="7">
        <f>1598189-M12</f>
        <v>1542120.4070000001</v>
      </c>
      <c r="P11" s="17"/>
    </row>
    <row r="12" spans="1:17" x14ac:dyDescent="0.2">
      <c r="A12" s="43">
        <v>43040</v>
      </c>
      <c r="C12" s="7">
        <v>350074</v>
      </c>
      <c r="D12" s="15">
        <v>691</v>
      </c>
      <c r="E12" s="25">
        <v>15159</v>
      </c>
      <c r="F12" s="15">
        <v>1120</v>
      </c>
      <c r="G12" s="7">
        <f t="shared" si="1"/>
        <v>14468</v>
      </c>
      <c r="H12" s="7">
        <f t="shared" si="2"/>
        <v>429</v>
      </c>
      <c r="I12" s="8">
        <v>0.35</v>
      </c>
      <c r="J12" s="8">
        <v>0.06</v>
      </c>
      <c r="K12" s="7">
        <f t="shared" si="3"/>
        <v>5054.7909999999993</v>
      </c>
      <c r="L12" s="7">
        <f t="shared" si="4"/>
        <v>25.74</v>
      </c>
      <c r="M12" s="7">
        <f t="shared" si="0"/>
        <v>56068.592999999986</v>
      </c>
      <c r="N12" s="7">
        <v>0</v>
      </c>
      <c r="O12" s="17">
        <f>+O11/0.389</f>
        <v>3964319.812339332</v>
      </c>
    </row>
    <row r="13" spans="1:17" x14ac:dyDescent="0.2">
      <c r="A13" s="43">
        <v>43070</v>
      </c>
      <c r="C13" s="7">
        <v>350074</v>
      </c>
      <c r="D13" s="15">
        <v>691</v>
      </c>
      <c r="E13" s="25">
        <v>15159</v>
      </c>
      <c r="F13" s="15">
        <v>1120</v>
      </c>
      <c r="G13" s="7">
        <f t="shared" si="1"/>
        <v>14468</v>
      </c>
      <c r="H13" s="7">
        <f t="shared" si="2"/>
        <v>429</v>
      </c>
      <c r="I13" s="8">
        <v>0.35</v>
      </c>
      <c r="J13" s="8">
        <v>0.06</v>
      </c>
      <c r="K13" s="7">
        <f t="shared" si="3"/>
        <v>5054.7909999999993</v>
      </c>
      <c r="L13" s="7">
        <f t="shared" si="4"/>
        <v>25.74</v>
      </c>
      <c r="M13" s="7">
        <f t="shared" si="0"/>
        <v>61149.123999999982</v>
      </c>
      <c r="N13" s="7">
        <v>0</v>
      </c>
      <c r="O13" s="7">
        <f>1923738-M14</f>
        <v>1862445.785474</v>
      </c>
    </row>
    <row r="14" spans="1:17" x14ac:dyDescent="0.2">
      <c r="A14" s="43">
        <v>43101</v>
      </c>
      <c r="C14" s="7">
        <v>350074</v>
      </c>
      <c r="D14" s="15">
        <v>691</v>
      </c>
      <c r="E14" s="15">
        <v>1053</v>
      </c>
      <c r="F14" s="15">
        <f>2105.99</f>
        <v>2105.9899999999998</v>
      </c>
      <c r="G14" s="7">
        <f>E14-D14</f>
        <v>362</v>
      </c>
      <c r="H14" s="7">
        <f>F14-D14</f>
        <v>1414.9899999999998</v>
      </c>
      <c r="I14" s="8">
        <v>0.21</v>
      </c>
      <c r="J14" s="8">
        <v>0.06</v>
      </c>
      <c r="K14" s="7">
        <f>G14*I14-L14*I14</f>
        <v>58.191125999999997</v>
      </c>
      <c r="L14" s="7">
        <f>H14*J14</f>
        <v>84.899399999999986</v>
      </c>
      <c r="M14" s="7">
        <f t="shared" si="0"/>
        <v>61292.214525999982</v>
      </c>
      <c r="N14" s="7">
        <v>0</v>
      </c>
      <c r="O14" s="17">
        <f>+O13/0.389</f>
        <v>4787778.368827763</v>
      </c>
      <c r="Q14" s="7"/>
    </row>
    <row r="15" spans="1:17" x14ac:dyDescent="0.2">
      <c r="A15" s="43">
        <v>43132</v>
      </c>
      <c r="C15" s="7">
        <v>350074</v>
      </c>
      <c r="D15" s="15">
        <v>691</v>
      </c>
      <c r="E15" s="15">
        <v>1053</v>
      </c>
      <c r="F15" s="15">
        <f>2105.99</f>
        <v>2105.9899999999998</v>
      </c>
      <c r="G15" s="7">
        <f>E15-D15</f>
        <v>362</v>
      </c>
      <c r="H15" s="7">
        <f>F15-D15</f>
        <v>1414.9899999999998</v>
      </c>
      <c r="I15" s="8">
        <v>0.21</v>
      </c>
      <c r="J15" s="8">
        <v>0.06</v>
      </c>
      <c r="K15" s="7">
        <f>G15*I15-L15*I15</f>
        <v>58.191125999999997</v>
      </c>
      <c r="L15" s="7">
        <f>H15*J15</f>
        <v>84.899399999999986</v>
      </c>
      <c r="M15" s="7">
        <f t="shared" si="0"/>
        <v>61435.305051999982</v>
      </c>
      <c r="N15" s="7">
        <v>0</v>
      </c>
      <c r="O15" s="7">
        <f>+M15-2105354</f>
        <v>-2043918.6949479999</v>
      </c>
      <c r="Q15" s="7"/>
    </row>
    <row r="16" spans="1:17" x14ac:dyDescent="0.2">
      <c r="A16" s="1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19">
        <f>+O15/0.389</f>
        <v>-5254289.7042365037</v>
      </c>
    </row>
    <row r="17" spans="1:15" x14ac:dyDescent="0.2">
      <c r="A17" s="55" t="s">
        <v>61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19"/>
    </row>
    <row r="18" spans="1:15" x14ac:dyDescent="0.2">
      <c r="A18" s="43">
        <v>43101</v>
      </c>
      <c r="C18" s="7">
        <v>350074</v>
      </c>
      <c r="D18" s="15">
        <v>691</v>
      </c>
      <c r="E18" s="15">
        <v>1053</v>
      </c>
      <c r="F18" s="15">
        <f>2105.99</f>
        <v>2105.9899999999998</v>
      </c>
      <c r="G18" s="7">
        <f>E18-D18</f>
        <v>362</v>
      </c>
      <c r="H18" s="7">
        <f>F18-D18</f>
        <v>1414.9899999999998</v>
      </c>
      <c r="I18" s="8">
        <v>0.21</v>
      </c>
      <c r="J18" s="8">
        <v>0.05</v>
      </c>
      <c r="K18" s="7">
        <f>G18*I18-L18*I18</f>
        <v>61.162604999999999</v>
      </c>
      <c r="L18" s="7">
        <f>H18*J18</f>
        <v>70.749499999999998</v>
      </c>
      <c r="M18" s="7">
        <f>M13+K18+L18</f>
        <v>61281.036104999977</v>
      </c>
      <c r="N18" s="7">
        <v>0</v>
      </c>
      <c r="O18" s="19"/>
    </row>
    <row r="19" spans="1:15" x14ac:dyDescent="0.2">
      <c r="A19" s="43">
        <v>43132</v>
      </c>
      <c r="C19" s="7">
        <v>350074</v>
      </c>
      <c r="D19" s="15">
        <v>691</v>
      </c>
      <c r="E19" s="15">
        <v>1053</v>
      </c>
      <c r="F19" s="15">
        <f>2105.99</f>
        <v>2105.9899999999998</v>
      </c>
      <c r="G19" s="7">
        <f>E19-D19</f>
        <v>362</v>
      </c>
      <c r="H19" s="7">
        <f>F19-D19</f>
        <v>1414.9899999999998</v>
      </c>
      <c r="I19" s="8">
        <v>0.21</v>
      </c>
      <c r="J19" s="8">
        <v>0.05</v>
      </c>
      <c r="K19" s="7">
        <f>G19*I19-L19*I19</f>
        <v>61.162604999999999</v>
      </c>
      <c r="L19" s="7">
        <f>H19*J19</f>
        <v>70.749499999999998</v>
      </c>
      <c r="M19" s="7">
        <f t="shared" ref="M19" si="5">M18+K19+L19</f>
        <v>61412.948209999973</v>
      </c>
      <c r="N19" s="7">
        <v>0</v>
      </c>
      <c r="O19" s="19"/>
    </row>
    <row r="20" spans="1:15" x14ac:dyDescent="0.2">
      <c r="A20" s="1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5" x14ac:dyDescent="0.2">
      <c r="A21" s="1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5" x14ac:dyDescent="0.2">
      <c r="C22" s="26" t="s">
        <v>52</v>
      </c>
    </row>
    <row r="23" spans="1:15" x14ac:dyDescent="0.2">
      <c r="C23" s="26" t="s">
        <v>31</v>
      </c>
    </row>
    <row r="24" spans="1:15" x14ac:dyDescent="0.2">
      <c r="C24" s="26" t="s">
        <v>55</v>
      </c>
    </row>
    <row r="25" spans="1:15" x14ac:dyDescent="0.2">
      <c r="C25" s="24" t="s">
        <v>32</v>
      </c>
    </row>
    <row r="27" spans="1:15" x14ac:dyDescent="0.2">
      <c r="C27" s="24" t="s">
        <v>34</v>
      </c>
      <c r="D27" s="29" t="s">
        <v>35</v>
      </c>
      <c r="E27" s="28" t="s">
        <v>36</v>
      </c>
      <c r="F27" s="24" t="s">
        <v>37</v>
      </c>
      <c r="G27" s="30" t="s">
        <v>27</v>
      </c>
      <c r="H27" s="24" t="s">
        <v>38</v>
      </c>
    </row>
    <row r="28" spans="1:15" x14ac:dyDescent="0.2">
      <c r="C28" s="7">
        <v>175037.2</v>
      </c>
      <c r="D28" s="7">
        <v>691</v>
      </c>
      <c r="E28" s="7">
        <v>1053</v>
      </c>
      <c r="F28" s="7">
        <f>E28-D28</f>
        <v>362</v>
      </c>
      <c r="G28" s="8">
        <v>0.21</v>
      </c>
      <c r="H28" s="7">
        <f>F28*G28</f>
        <v>76.02</v>
      </c>
    </row>
    <row r="29" spans="1:15" x14ac:dyDescent="0.2">
      <c r="E29" s="7"/>
      <c r="F29" s="7"/>
      <c r="G29" s="34" t="s">
        <v>43</v>
      </c>
      <c r="H29" s="7">
        <f>H28</f>
        <v>76.02</v>
      </c>
    </row>
    <row r="30" spans="1:15" ht="15" x14ac:dyDescent="0.35">
      <c r="G30" s="34" t="s">
        <v>44</v>
      </c>
      <c r="H30" s="32">
        <f>-H34*0.21</f>
        <v>-14.8575</v>
      </c>
    </row>
    <row r="31" spans="1:15" x14ac:dyDescent="0.2">
      <c r="H31" s="7">
        <f>H29+H30</f>
        <v>61.162499999999994</v>
      </c>
    </row>
    <row r="32" spans="1:15" x14ac:dyDescent="0.2">
      <c r="H32" s="7">
        <f>H31-K19</f>
        <v>-1.0500000000490672E-4</v>
      </c>
    </row>
    <row r="33" spans="3:8" x14ac:dyDescent="0.2">
      <c r="C33" s="24" t="s">
        <v>39</v>
      </c>
      <c r="D33" s="27" t="s">
        <v>35</v>
      </c>
      <c r="E33" s="28" t="s">
        <v>40</v>
      </c>
      <c r="F33" s="24" t="s">
        <v>41</v>
      </c>
      <c r="G33" s="30" t="s">
        <v>28</v>
      </c>
      <c r="H33" s="24" t="s">
        <v>42</v>
      </c>
    </row>
    <row r="34" spans="3:8" x14ac:dyDescent="0.2">
      <c r="C34" s="7">
        <v>350074.4</v>
      </c>
      <c r="D34" s="7">
        <f>D28</f>
        <v>691</v>
      </c>
      <c r="E34" s="7">
        <v>2106</v>
      </c>
      <c r="F34" s="7">
        <f>E34-D34</f>
        <v>1415</v>
      </c>
      <c r="G34" s="8">
        <v>0.05</v>
      </c>
      <c r="H34" s="7">
        <f>F34*G34</f>
        <v>70.75</v>
      </c>
    </row>
    <row r="35" spans="3:8" x14ac:dyDescent="0.2">
      <c r="H35" s="7">
        <f>H34-L19</f>
        <v>5.0000000000238742E-4</v>
      </c>
    </row>
  </sheetData>
  <pageMargins left="0.7" right="0.7" top="1.15625" bottom="0.75" header="0.3" footer="0.3"/>
  <pageSetup scale="75" orientation="portrait" r:id="rId1"/>
  <headerFooter>
    <oddHeader>&amp;R&amp;"Times New Roman,Bold"&amp;12Attachment to Response to Question 3
Page 9 of 9
Williams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46"/>
  <sheetViews>
    <sheetView topLeftCell="A4" zoomScaleNormal="100" workbookViewId="0">
      <selection activeCell="A18" sqref="A18"/>
    </sheetView>
  </sheetViews>
  <sheetFormatPr defaultRowHeight="12.75" x14ac:dyDescent="0.2"/>
  <cols>
    <col min="1" max="1" width="11.28515625" style="3" customWidth="1"/>
    <col min="2" max="2" width="1.7109375" customWidth="1"/>
    <col min="3" max="3" width="14.42578125" customWidth="1"/>
    <col min="4" max="4" width="14.28515625" bestFit="1" customWidth="1"/>
    <col min="5" max="5" width="16.28515625" customWidth="1"/>
    <col min="6" max="6" width="15.28515625" customWidth="1"/>
    <col min="7" max="7" width="14.28515625" bestFit="1" customWidth="1"/>
    <col min="8" max="9" width="14.28515625" customWidth="1"/>
    <col min="10" max="14" width="12.7109375" customWidth="1"/>
    <col min="15" max="15" width="16.5703125" bestFit="1" customWidth="1"/>
    <col min="16" max="16" width="12.7109375" customWidth="1"/>
    <col min="17" max="17" width="10.85546875" bestFit="1" customWidth="1"/>
    <col min="18" max="18" width="10.42578125" bestFit="1" customWidth="1"/>
  </cols>
  <sheetData>
    <row r="1" spans="1:17" x14ac:dyDescent="0.2">
      <c r="A1" s="12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7" x14ac:dyDescent="0.2">
      <c r="A2" s="12" t="s">
        <v>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7" x14ac:dyDescent="0.2">
      <c r="A3" s="13" t="s">
        <v>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7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4"/>
    </row>
    <row r="5" spans="1:17" x14ac:dyDescent="0.2">
      <c r="A5" s="9" t="s">
        <v>10</v>
      </c>
    </row>
    <row r="6" spans="1:17" x14ac:dyDescent="0.2">
      <c r="A6" s="11" t="s">
        <v>14</v>
      </c>
    </row>
    <row r="8" spans="1:17" s="6" customFormat="1" ht="38.25" x14ac:dyDescent="0.2">
      <c r="A8" s="4" t="s">
        <v>0</v>
      </c>
      <c r="B8" s="5"/>
      <c r="C8" s="5" t="s">
        <v>1</v>
      </c>
      <c r="D8" s="5" t="s">
        <v>2</v>
      </c>
      <c r="E8" s="5" t="s">
        <v>23</v>
      </c>
      <c r="F8" s="5" t="s">
        <v>24</v>
      </c>
      <c r="G8" s="5" t="s">
        <v>25</v>
      </c>
      <c r="H8" s="5" t="s">
        <v>26</v>
      </c>
      <c r="I8" s="5" t="s">
        <v>27</v>
      </c>
      <c r="J8" s="5" t="s">
        <v>28</v>
      </c>
      <c r="K8" s="5" t="s">
        <v>29</v>
      </c>
      <c r="L8" s="5" t="s">
        <v>30</v>
      </c>
      <c r="M8" s="5" t="s">
        <v>3</v>
      </c>
      <c r="N8" s="5" t="s">
        <v>4</v>
      </c>
    </row>
    <row r="9" spans="1:17" x14ac:dyDescent="0.2">
      <c r="A9" s="3" t="s">
        <v>8</v>
      </c>
      <c r="M9" s="10">
        <v>5441327</v>
      </c>
    </row>
    <row r="10" spans="1:17" x14ac:dyDescent="0.2">
      <c r="A10" s="42">
        <v>42987</v>
      </c>
      <c r="C10" s="7">
        <v>19347703</v>
      </c>
      <c r="D10" s="15">
        <v>42693</v>
      </c>
      <c r="E10" s="15">
        <v>114457</v>
      </c>
      <c r="F10" s="15">
        <v>228914.61</v>
      </c>
      <c r="G10" s="15">
        <f t="shared" ref="G10:G15" si="0">E10-D10</f>
        <v>71764</v>
      </c>
      <c r="H10" s="15">
        <f t="shared" ref="H10:H15" si="1">F10-D10</f>
        <v>186221.61</v>
      </c>
      <c r="I10" s="8">
        <v>0.35</v>
      </c>
      <c r="J10" s="8">
        <v>0.06</v>
      </c>
      <c r="K10" s="7">
        <f t="shared" ref="K10:K13" si="2">G10*I10-L10*I10</f>
        <v>21206.746189999998</v>
      </c>
      <c r="L10" s="7">
        <f t="shared" ref="L10:L15" si="3">H10*J10</f>
        <v>11173.296599999998</v>
      </c>
      <c r="M10" s="7">
        <f t="shared" ref="M10:M15" si="4">M9+K10+L10</f>
        <v>5473707.0427900003</v>
      </c>
      <c r="N10" s="7">
        <v>0</v>
      </c>
      <c r="O10" s="22"/>
      <c r="P10" s="19"/>
    </row>
    <row r="11" spans="1:17" x14ac:dyDescent="0.2">
      <c r="A11" s="43">
        <v>43009</v>
      </c>
      <c r="C11" s="7">
        <v>19347703</v>
      </c>
      <c r="D11" s="15">
        <v>42693</v>
      </c>
      <c r="E11" s="15">
        <v>114457</v>
      </c>
      <c r="F11" s="15">
        <v>228914.61</v>
      </c>
      <c r="G11" s="15">
        <f t="shared" si="0"/>
        <v>71764</v>
      </c>
      <c r="H11" s="15">
        <f t="shared" si="1"/>
        <v>186221.61</v>
      </c>
      <c r="I11" s="8">
        <v>0.35</v>
      </c>
      <c r="J11" s="8">
        <v>0.06</v>
      </c>
      <c r="K11" s="7">
        <f t="shared" si="2"/>
        <v>21206.746189999998</v>
      </c>
      <c r="L11" s="7">
        <f t="shared" si="3"/>
        <v>11173.296599999998</v>
      </c>
      <c r="M11" s="24">
        <f t="shared" si="4"/>
        <v>5506087.0855800007</v>
      </c>
      <c r="N11" s="7">
        <v>0</v>
      </c>
      <c r="O11" s="44"/>
      <c r="P11" s="19"/>
    </row>
    <row r="12" spans="1:17" x14ac:dyDescent="0.2">
      <c r="A12" s="43">
        <v>43040</v>
      </c>
      <c r="C12" s="7">
        <v>19347703</v>
      </c>
      <c r="D12" s="15">
        <v>42693</v>
      </c>
      <c r="E12" s="15">
        <v>114457</v>
      </c>
      <c r="F12" s="15">
        <v>228914.61</v>
      </c>
      <c r="G12" s="15">
        <f t="shared" si="0"/>
        <v>71764</v>
      </c>
      <c r="H12" s="15">
        <f t="shared" si="1"/>
        <v>186221.61</v>
      </c>
      <c r="I12" s="8">
        <v>0.35</v>
      </c>
      <c r="J12" s="8">
        <v>0.06</v>
      </c>
      <c r="K12" s="7">
        <f t="shared" si="2"/>
        <v>21206.746189999998</v>
      </c>
      <c r="L12" s="7">
        <f t="shared" si="3"/>
        <v>11173.296599999998</v>
      </c>
      <c r="M12" s="7">
        <f t="shared" si="4"/>
        <v>5538467.128370001</v>
      </c>
      <c r="N12" s="7">
        <v>0</v>
      </c>
      <c r="P12" s="19"/>
    </row>
    <row r="13" spans="1:17" x14ac:dyDescent="0.2">
      <c r="A13" s="43">
        <v>43070</v>
      </c>
      <c r="C13" s="7">
        <v>19347703</v>
      </c>
      <c r="D13" s="15">
        <v>42693</v>
      </c>
      <c r="E13" s="15">
        <v>114457</v>
      </c>
      <c r="F13" s="15">
        <v>228914.61</v>
      </c>
      <c r="G13" s="15">
        <f t="shared" si="0"/>
        <v>71764</v>
      </c>
      <c r="H13" s="15">
        <f t="shared" si="1"/>
        <v>186221.61</v>
      </c>
      <c r="I13" s="8">
        <v>0.35</v>
      </c>
      <c r="J13" s="8">
        <v>0.06</v>
      </c>
      <c r="K13" s="7">
        <f t="shared" si="2"/>
        <v>21206.746189999998</v>
      </c>
      <c r="L13" s="7">
        <f t="shared" si="3"/>
        <v>11173.296599999998</v>
      </c>
      <c r="M13" s="7">
        <f t="shared" si="4"/>
        <v>5570847.1711600013</v>
      </c>
      <c r="N13" s="7">
        <v>0</v>
      </c>
      <c r="O13" s="7"/>
      <c r="P13" s="19"/>
    </row>
    <row r="14" spans="1:17" x14ac:dyDescent="0.2">
      <c r="A14" s="43">
        <v>43101</v>
      </c>
      <c r="C14" s="7">
        <v>19347703</v>
      </c>
      <c r="D14" s="15">
        <v>42693</v>
      </c>
      <c r="E14" s="15">
        <v>30014</v>
      </c>
      <c r="F14" s="15">
        <v>60028.41</v>
      </c>
      <c r="G14" s="15">
        <f t="shared" si="0"/>
        <v>-12679</v>
      </c>
      <c r="H14" s="15">
        <f t="shared" si="1"/>
        <v>17335.410000000003</v>
      </c>
      <c r="I14" s="8">
        <v>0.21</v>
      </c>
      <c r="J14" s="8">
        <v>0.06</v>
      </c>
      <c r="K14" s="7">
        <f>G14*I14-L14*I14-7976</f>
        <v>-10857.016165999999</v>
      </c>
      <c r="L14" s="7">
        <f t="shared" si="3"/>
        <v>1040.1246000000001</v>
      </c>
      <c r="M14" s="7">
        <f t="shared" si="4"/>
        <v>5561030.2795940014</v>
      </c>
      <c r="N14" s="7">
        <v>0</v>
      </c>
      <c r="O14" s="22"/>
      <c r="P14" s="19"/>
    </row>
    <row r="15" spans="1:17" x14ac:dyDescent="0.2">
      <c r="A15" s="43">
        <v>43132</v>
      </c>
      <c r="C15" s="7">
        <v>19347703</v>
      </c>
      <c r="D15" s="15">
        <v>42693</v>
      </c>
      <c r="E15" s="15">
        <v>30014</v>
      </c>
      <c r="F15" s="15">
        <v>60028.41</v>
      </c>
      <c r="G15" s="15">
        <f t="shared" si="0"/>
        <v>-12679</v>
      </c>
      <c r="H15" s="15">
        <f t="shared" si="1"/>
        <v>17335.410000000003</v>
      </c>
      <c r="I15" s="8">
        <v>0.21</v>
      </c>
      <c r="J15" s="8">
        <v>0.06</v>
      </c>
      <c r="K15" s="7">
        <f>G15*I15-L15*I15-7976</f>
        <v>-10857.016165999999</v>
      </c>
      <c r="L15" s="7">
        <f t="shared" si="3"/>
        <v>1040.1246000000001</v>
      </c>
      <c r="M15" s="7">
        <f t="shared" si="4"/>
        <v>5551213.3880280014</v>
      </c>
      <c r="N15" s="7">
        <v>0</v>
      </c>
      <c r="O15" s="20"/>
      <c r="P15" s="19"/>
    </row>
    <row r="16" spans="1:17" x14ac:dyDescent="0.2">
      <c r="A16" s="1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x14ac:dyDescent="0.2">
      <c r="A17" s="16"/>
      <c r="C17" s="34" t="s">
        <v>56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x14ac:dyDescent="0.2">
      <c r="A18" s="55" t="s">
        <v>63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x14ac:dyDescent="0.2">
      <c r="A19" s="43">
        <v>43101</v>
      </c>
      <c r="C19" s="7">
        <v>19347703</v>
      </c>
      <c r="D19" s="15">
        <v>42693</v>
      </c>
      <c r="E19" s="15">
        <v>30014</v>
      </c>
      <c r="F19" s="15">
        <v>60028.41</v>
      </c>
      <c r="G19" s="15">
        <f t="shared" ref="G19:G20" si="5">E19-D19</f>
        <v>-12679</v>
      </c>
      <c r="H19" s="15">
        <f t="shared" ref="H19:H20" si="6">F19-D19</f>
        <v>17335.410000000003</v>
      </c>
      <c r="I19" s="8">
        <v>0.21</v>
      </c>
      <c r="J19" s="8">
        <v>0.05</v>
      </c>
      <c r="K19" s="7">
        <f>G19*I19-L19*I19-22954-880</f>
        <v>-25831.891804999999</v>
      </c>
      <c r="L19" s="7">
        <f>H19*J19-4032</f>
        <v>-3165.2294999999999</v>
      </c>
      <c r="M19" s="7">
        <f>M13+K19+L19</f>
        <v>5541850.0498550013</v>
      </c>
      <c r="N19" s="7">
        <v>0</v>
      </c>
      <c r="O19" s="7"/>
      <c r="P19" s="7"/>
    </row>
    <row r="20" spans="1:16" x14ac:dyDescent="0.2">
      <c r="A20" s="43">
        <v>43132</v>
      </c>
      <c r="C20" s="7">
        <v>19347703</v>
      </c>
      <c r="D20" s="15">
        <v>42693</v>
      </c>
      <c r="E20" s="15">
        <v>30014</v>
      </c>
      <c r="F20" s="15">
        <v>60028.41</v>
      </c>
      <c r="G20" s="15">
        <f t="shared" si="5"/>
        <v>-12679</v>
      </c>
      <c r="H20" s="15">
        <f t="shared" si="6"/>
        <v>17335.410000000003</v>
      </c>
      <c r="I20" s="8">
        <v>0.21</v>
      </c>
      <c r="J20" s="8">
        <v>0.05</v>
      </c>
      <c r="K20" s="7">
        <f>G20*I20-L20*I20-880</f>
        <v>-3724.6118049999995</v>
      </c>
      <c r="L20" s="7">
        <f t="shared" ref="L20" si="7">H20*J20</f>
        <v>866.7705000000002</v>
      </c>
      <c r="M20" s="7">
        <f t="shared" ref="M20" si="8">M19+K20+L20</f>
        <v>5538992.2085500006</v>
      </c>
      <c r="N20" s="7">
        <v>0</v>
      </c>
      <c r="O20" s="7"/>
      <c r="P20" s="7"/>
    </row>
    <row r="21" spans="1:16" x14ac:dyDescent="0.2">
      <c r="A21" s="1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x14ac:dyDescent="0.2">
      <c r="C22" s="26" t="s">
        <v>45</v>
      </c>
    </row>
    <row r="23" spans="1:16" x14ac:dyDescent="0.2">
      <c r="C23" s="26" t="s">
        <v>31</v>
      </c>
    </row>
    <row r="24" spans="1:16" x14ac:dyDescent="0.2">
      <c r="C24" s="26" t="s">
        <v>55</v>
      </c>
    </row>
    <row r="25" spans="1:16" x14ac:dyDescent="0.2">
      <c r="C25" s="24" t="s">
        <v>32</v>
      </c>
    </row>
    <row r="27" spans="1:16" x14ac:dyDescent="0.2">
      <c r="C27" s="24" t="s">
        <v>34</v>
      </c>
      <c r="D27" s="29" t="s">
        <v>35</v>
      </c>
      <c r="E27" s="28" t="s">
        <v>36</v>
      </c>
      <c r="F27" s="24" t="s">
        <v>37</v>
      </c>
      <c r="G27" s="30" t="s">
        <v>27</v>
      </c>
      <c r="H27" s="24" t="s">
        <v>38</v>
      </c>
    </row>
    <row r="28" spans="1:16" x14ac:dyDescent="0.2">
      <c r="C28" s="35">
        <v>3199833</v>
      </c>
      <c r="D28" s="57">
        <v>42693</v>
      </c>
      <c r="E28" s="35">
        <v>13034</v>
      </c>
      <c r="F28" s="19">
        <f>E28-D28</f>
        <v>-29659</v>
      </c>
      <c r="G28" s="8">
        <v>0.21</v>
      </c>
      <c r="H28" s="19">
        <f>F28*G28</f>
        <v>-6228.3899999999994</v>
      </c>
    </row>
    <row r="29" spans="1:16" x14ac:dyDescent="0.2">
      <c r="C29" s="35">
        <v>4799749</v>
      </c>
      <c r="E29" s="35">
        <v>0</v>
      </c>
      <c r="F29" s="19">
        <f>E29</f>
        <v>0</v>
      </c>
      <c r="G29" s="8">
        <v>0.21</v>
      </c>
      <c r="H29" s="19">
        <f t="shared" ref="H29:H33" si="9">F29*G29</f>
        <v>0</v>
      </c>
    </row>
    <row r="30" spans="1:16" x14ac:dyDescent="0.2">
      <c r="C30" s="36">
        <f>623422/2*0.4</f>
        <v>124684.40000000001</v>
      </c>
      <c r="E30" s="35">
        <v>549</v>
      </c>
      <c r="F30" s="19">
        <f t="shared" ref="F30:F33" si="10">E30</f>
        <v>549</v>
      </c>
      <c r="G30" s="8">
        <v>0.21</v>
      </c>
      <c r="H30" s="19">
        <f t="shared" si="9"/>
        <v>115.28999999999999</v>
      </c>
    </row>
    <row r="31" spans="1:16" x14ac:dyDescent="0.2">
      <c r="C31" s="36">
        <f>623422/2*0.6</f>
        <v>187026.6</v>
      </c>
      <c r="E31" s="35">
        <v>0</v>
      </c>
      <c r="F31" s="19">
        <f t="shared" si="10"/>
        <v>0</v>
      </c>
      <c r="G31" s="8">
        <v>0.21</v>
      </c>
      <c r="H31" s="19">
        <f t="shared" si="9"/>
        <v>0</v>
      </c>
    </row>
    <row r="32" spans="1:16" x14ac:dyDescent="0.2">
      <c r="C32" s="37">
        <v>545023.20400000003</v>
      </c>
      <c r="E32" s="35">
        <v>2805</v>
      </c>
      <c r="F32" s="19">
        <f t="shared" si="10"/>
        <v>2805</v>
      </c>
      <c r="G32" s="8">
        <v>0.21</v>
      </c>
      <c r="H32" s="19">
        <f t="shared" si="9"/>
        <v>589.04999999999995</v>
      </c>
    </row>
    <row r="33" spans="3:11" ht="15" x14ac:dyDescent="0.35">
      <c r="C33" s="37">
        <v>817534.80599999998</v>
      </c>
      <c r="E33" s="38">
        <v>13625</v>
      </c>
      <c r="F33" s="33">
        <f t="shared" si="10"/>
        <v>13625</v>
      </c>
      <c r="G33" s="8">
        <v>0.21</v>
      </c>
      <c r="H33" s="33">
        <f t="shared" si="9"/>
        <v>2861.25</v>
      </c>
    </row>
    <row r="34" spans="3:11" x14ac:dyDescent="0.2">
      <c r="E34" s="35">
        <f>SUM(E28:E33)</f>
        <v>30013</v>
      </c>
      <c r="F34" s="35">
        <f>SUM(F28:F33)</f>
        <v>-12680</v>
      </c>
      <c r="G34" s="34" t="s">
        <v>43</v>
      </c>
      <c r="H34" s="19">
        <f>SUM(H28:H33)</f>
        <v>-2662.7999999999993</v>
      </c>
    </row>
    <row r="35" spans="3:11" ht="15" x14ac:dyDescent="0.35">
      <c r="E35" s="19"/>
      <c r="F35" s="19"/>
      <c r="G35" s="34" t="s">
        <v>44</v>
      </c>
      <c r="H35" s="33">
        <f>-H45*0.21</f>
        <v>-182.01918000000001</v>
      </c>
    </row>
    <row r="36" spans="3:11" x14ac:dyDescent="0.2">
      <c r="H36" s="19">
        <f>H34+H35</f>
        <v>-2844.8191799999995</v>
      </c>
    </row>
    <row r="37" spans="3:11" x14ac:dyDescent="0.2">
      <c r="H37" s="50">
        <f>H36-K20</f>
        <v>879.79262500000004</v>
      </c>
      <c r="I37" s="49" t="s">
        <v>62</v>
      </c>
      <c r="J37" s="49"/>
      <c r="K37" s="49"/>
    </row>
    <row r="38" spans="3:11" x14ac:dyDescent="0.2">
      <c r="C38" s="24" t="s">
        <v>39</v>
      </c>
      <c r="D38" s="27" t="s">
        <v>35</v>
      </c>
      <c r="E38" s="28" t="s">
        <v>40</v>
      </c>
      <c r="F38" s="24" t="s">
        <v>41</v>
      </c>
      <c r="G38" s="30" t="s">
        <v>28</v>
      </c>
      <c r="H38" s="24" t="s">
        <v>42</v>
      </c>
    </row>
    <row r="39" spans="3:11" x14ac:dyDescent="0.2">
      <c r="C39" s="39">
        <v>6399666</v>
      </c>
      <c r="D39" s="19">
        <f>D28</f>
        <v>42693</v>
      </c>
      <c r="E39" s="19">
        <v>26068</v>
      </c>
      <c r="F39" s="19">
        <f>E39-D39</f>
        <v>-16625</v>
      </c>
      <c r="G39" s="8">
        <v>0.05</v>
      </c>
      <c r="H39" s="19">
        <f>F39*G39</f>
        <v>-831.25</v>
      </c>
    </row>
    <row r="40" spans="3:11" x14ac:dyDescent="0.2">
      <c r="C40" s="37">
        <v>9599498</v>
      </c>
      <c r="E40" s="19">
        <v>0</v>
      </c>
      <c r="F40" s="19">
        <f>E40</f>
        <v>0</v>
      </c>
      <c r="G40" s="8">
        <v>0.05</v>
      </c>
      <c r="H40" s="19">
        <f t="shared" ref="H40:H44" si="11">F40*G40</f>
        <v>0</v>
      </c>
    </row>
    <row r="41" spans="3:11" x14ac:dyDescent="0.2">
      <c r="C41" s="37">
        <v>249369</v>
      </c>
      <c r="E41" s="19">
        <v>1098</v>
      </c>
      <c r="F41" s="19">
        <f t="shared" ref="F41:F44" si="12">E41</f>
        <v>1098</v>
      </c>
      <c r="G41" s="8">
        <v>0.05</v>
      </c>
      <c r="H41" s="19">
        <f t="shared" si="11"/>
        <v>54.900000000000006</v>
      </c>
    </row>
    <row r="42" spans="3:11" x14ac:dyDescent="0.2">
      <c r="C42" s="37">
        <v>374053</v>
      </c>
      <c r="E42" s="19">
        <v>0</v>
      </c>
      <c r="F42" s="19">
        <f t="shared" si="12"/>
        <v>0</v>
      </c>
      <c r="G42" s="8">
        <v>0.05</v>
      </c>
      <c r="H42" s="19">
        <f t="shared" si="11"/>
        <v>0</v>
      </c>
    </row>
    <row r="43" spans="3:11" x14ac:dyDescent="0.2">
      <c r="C43" s="37">
        <f>(2725460.82-344.8)*0.4</f>
        <v>1090046.4080000001</v>
      </c>
      <c r="E43" s="19">
        <v>5611</v>
      </c>
      <c r="F43" s="19">
        <f t="shared" si="12"/>
        <v>5611</v>
      </c>
      <c r="G43" s="8">
        <v>0.05</v>
      </c>
      <c r="H43" s="19">
        <f t="shared" si="11"/>
        <v>280.55</v>
      </c>
    </row>
    <row r="44" spans="3:11" ht="15" x14ac:dyDescent="0.35">
      <c r="C44" s="37">
        <f>(2725460.82-344.8)*0.6</f>
        <v>1635069.612</v>
      </c>
      <c r="E44" s="33">
        <v>27251.16</v>
      </c>
      <c r="F44" s="33">
        <f t="shared" si="12"/>
        <v>27251.16</v>
      </c>
      <c r="G44" s="8">
        <v>0.05</v>
      </c>
      <c r="H44" s="33">
        <f t="shared" si="11"/>
        <v>1362.558</v>
      </c>
    </row>
    <row r="45" spans="3:11" x14ac:dyDescent="0.2">
      <c r="E45" s="19">
        <f>SUM(E39:E44)</f>
        <v>60028.160000000003</v>
      </c>
      <c r="F45" s="19">
        <f>SUM(F39:F44)</f>
        <v>17335.16</v>
      </c>
      <c r="H45" s="19">
        <f>SUM(H39:H44)</f>
        <v>866.75800000000004</v>
      </c>
    </row>
    <row r="46" spans="3:11" x14ac:dyDescent="0.2">
      <c r="E46" s="19"/>
      <c r="F46" s="19"/>
      <c r="H46" s="19">
        <f>H45-L20</f>
        <v>-1.2500000000159162E-2</v>
      </c>
    </row>
  </sheetData>
  <pageMargins left="0.7" right="0.7" top="1.15625" bottom="0.75" header="0.3" footer="0.3"/>
  <pageSetup scale="75" orientation="portrait" r:id="rId1"/>
  <headerFooter>
    <oddHeader>&amp;R&amp;"Times New Roman,Bold"&amp;12Attachment to Response to Question 3
Page 8 of 9
Williams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zoomScaleNormal="100" workbookViewId="0">
      <selection activeCell="M19" sqref="M19"/>
    </sheetView>
  </sheetViews>
  <sheetFormatPr defaultRowHeight="12.75" x14ac:dyDescent="0.2"/>
  <cols>
    <col min="1" max="1" width="11.28515625" style="3" customWidth="1"/>
    <col min="2" max="2" width="1.7109375" customWidth="1"/>
    <col min="3" max="3" width="13.85546875" customWidth="1"/>
    <col min="4" max="4" width="14.28515625" bestFit="1" customWidth="1"/>
    <col min="5" max="5" width="16.5703125" customWidth="1"/>
    <col min="6" max="6" width="15.42578125" customWidth="1"/>
    <col min="7" max="7" width="14.28515625" bestFit="1" customWidth="1"/>
    <col min="8" max="9" width="14.28515625" customWidth="1"/>
    <col min="10" max="14" width="12.7109375" customWidth="1"/>
    <col min="15" max="15" width="16.5703125" bestFit="1" customWidth="1"/>
    <col min="16" max="16" width="12.7109375" customWidth="1"/>
    <col min="17" max="17" width="11.28515625" hidden="1" customWidth="1"/>
    <col min="18" max="18" width="14.5703125" bestFit="1" customWidth="1"/>
    <col min="19" max="19" width="11.42578125" bestFit="1" customWidth="1"/>
  </cols>
  <sheetData>
    <row r="1" spans="1:17" x14ac:dyDescent="0.2">
      <c r="A1" s="12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7" x14ac:dyDescent="0.2">
      <c r="A2" s="12" t="s">
        <v>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7" x14ac:dyDescent="0.2">
      <c r="A3" s="13" t="s">
        <v>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7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4"/>
    </row>
    <row r="5" spans="1:17" x14ac:dyDescent="0.2">
      <c r="A5" s="9" t="s">
        <v>12</v>
      </c>
    </row>
    <row r="6" spans="1:17" x14ac:dyDescent="0.2">
      <c r="A6" s="11" t="s">
        <v>20</v>
      </c>
    </row>
    <row r="8" spans="1:17" s="6" customFormat="1" ht="38.25" x14ac:dyDescent="0.2">
      <c r="A8" s="4" t="s">
        <v>0</v>
      </c>
      <c r="B8" s="5"/>
      <c r="C8" s="5" t="s">
        <v>1</v>
      </c>
      <c r="D8" s="5" t="s">
        <v>2</v>
      </c>
      <c r="E8" s="5" t="s">
        <v>23</v>
      </c>
      <c r="F8" s="5" t="s">
        <v>24</v>
      </c>
      <c r="G8" s="5" t="s">
        <v>25</v>
      </c>
      <c r="H8" s="5" t="s">
        <v>26</v>
      </c>
      <c r="I8" s="5" t="s">
        <v>27</v>
      </c>
      <c r="J8" s="5" t="s">
        <v>28</v>
      </c>
      <c r="K8" s="5" t="s">
        <v>29</v>
      </c>
      <c r="L8" s="5" t="s">
        <v>30</v>
      </c>
      <c r="M8" s="5" t="s">
        <v>3</v>
      </c>
      <c r="N8" s="5" t="s">
        <v>4</v>
      </c>
    </row>
    <row r="9" spans="1:17" x14ac:dyDescent="0.2">
      <c r="A9" s="3" t="s">
        <v>8</v>
      </c>
      <c r="M9" s="10">
        <v>20707784</v>
      </c>
    </row>
    <row r="10" spans="1:17" x14ac:dyDescent="0.2">
      <c r="A10" s="42">
        <v>42987</v>
      </c>
      <c r="C10" s="7">
        <v>107003604</v>
      </c>
      <c r="D10" s="15">
        <v>224217</v>
      </c>
      <c r="E10" s="15">
        <v>274420</v>
      </c>
      <c r="F10" s="15">
        <v>1308320</v>
      </c>
      <c r="G10" s="15">
        <f t="shared" ref="G10:G15" si="0">E10-D10</f>
        <v>50203</v>
      </c>
      <c r="H10" s="15">
        <f t="shared" ref="H10:H15" si="1">F10-D10</f>
        <v>1084103</v>
      </c>
      <c r="I10" s="8">
        <v>0.35</v>
      </c>
      <c r="J10" s="8">
        <v>0.06</v>
      </c>
      <c r="K10" s="7">
        <f t="shared" ref="K10:K15" si="2">G10*I10-L10*I10</f>
        <v>-5195.1130000000012</v>
      </c>
      <c r="L10" s="7">
        <f t="shared" ref="L10:L15" si="3">H10*J10</f>
        <v>65046.18</v>
      </c>
      <c r="M10" s="7">
        <f t="shared" ref="M10:M15" si="4">M9+K10+L10</f>
        <v>20767635.066999998</v>
      </c>
      <c r="N10" s="7">
        <v>0</v>
      </c>
      <c r="O10" s="45"/>
      <c r="P10" s="7"/>
      <c r="Q10" s="7">
        <f>K10+L10</f>
        <v>59851.066999999995</v>
      </c>
    </row>
    <row r="11" spans="1:17" x14ac:dyDescent="0.2">
      <c r="A11" s="43">
        <v>43009</v>
      </c>
      <c r="C11" s="7">
        <v>119889960</v>
      </c>
      <c r="D11" s="15">
        <v>237569</v>
      </c>
      <c r="E11" s="15">
        <f>2286476.9+3784.57-201043</f>
        <v>2089218.4699999997</v>
      </c>
      <c r="F11" s="15">
        <v>1458715.38</v>
      </c>
      <c r="G11" s="15">
        <f t="shared" si="0"/>
        <v>1851649.4699999997</v>
      </c>
      <c r="H11" s="15">
        <f t="shared" si="1"/>
        <v>1221146.3799999999</v>
      </c>
      <c r="I11" s="8">
        <v>0.35</v>
      </c>
      <c r="J11" s="8">
        <v>0.06</v>
      </c>
      <c r="K11" s="7">
        <f t="shared" si="2"/>
        <v>622433.24051999988</v>
      </c>
      <c r="L11" s="7">
        <f t="shared" si="3"/>
        <v>73268.782799999986</v>
      </c>
      <c r="M11" s="7">
        <f t="shared" si="4"/>
        <v>21463337.090319999</v>
      </c>
      <c r="N11" s="7">
        <v>0</v>
      </c>
      <c r="O11" s="45"/>
      <c r="P11" s="17"/>
      <c r="Q11" s="7">
        <f>Q10+K11+L11</f>
        <v>755553.09031999996</v>
      </c>
    </row>
    <row r="12" spans="1:17" x14ac:dyDescent="0.2">
      <c r="A12" s="43">
        <v>43040</v>
      </c>
      <c r="C12" s="7">
        <v>119889960</v>
      </c>
      <c r="D12" s="15">
        <v>237569</v>
      </c>
      <c r="E12" s="15">
        <v>2089218</v>
      </c>
      <c r="F12" s="15">
        <v>1458715.38</v>
      </c>
      <c r="G12" s="15">
        <f t="shared" si="0"/>
        <v>1851649</v>
      </c>
      <c r="H12" s="15">
        <f t="shared" si="1"/>
        <v>1221146.3799999999</v>
      </c>
      <c r="I12" s="8">
        <v>0.35</v>
      </c>
      <c r="J12" s="8">
        <v>0.06</v>
      </c>
      <c r="K12" s="7">
        <f t="shared" si="2"/>
        <v>622433.07601999992</v>
      </c>
      <c r="L12" s="7">
        <f t="shared" si="3"/>
        <v>73268.782799999986</v>
      </c>
      <c r="M12" s="7">
        <f t="shared" si="4"/>
        <v>22159038.949139997</v>
      </c>
      <c r="N12" s="7">
        <v>0</v>
      </c>
      <c r="O12" s="17"/>
      <c r="Q12" s="7">
        <f>Q11+K12+L12</f>
        <v>1451254.9491399999</v>
      </c>
    </row>
    <row r="13" spans="1:17" x14ac:dyDescent="0.2">
      <c r="A13" s="43">
        <v>43070</v>
      </c>
      <c r="C13" s="7">
        <v>120283541</v>
      </c>
      <c r="D13" s="15">
        <v>251355</v>
      </c>
      <c r="E13" s="15">
        <f>2490647.21+3303.93-200563+14840</f>
        <v>2308228.14</v>
      </c>
      <c r="F13" s="15">
        <v>1473474.68</v>
      </c>
      <c r="G13" s="15">
        <f t="shared" si="0"/>
        <v>2056873.1400000001</v>
      </c>
      <c r="H13" s="15">
        <f t="shared" si="1"/>
        <v>1222119.68</v>
      </c>
      <c r="I13" s="8">
        <v>0.35</v>
      </c>
      <c r="J13" s="8">
        <v>0.06</v>
      </c>
      <c r="K13" s="7">
        <f t="shared" si="2"/>
        <v>694241.08572000009</v>
      </c>
      <c r="L13" s="7">
        <f t="shared" si="3"/>
        <v>73327.180799999987</v>
      </c>
      <c r="M13" s="7">
        <f t="shared" si="4"/>
        <v>22926607.215659995</v>
      </c>
      <c r="N13" s="7">
        <v>0</v>
      </c>
      <c r="O13" s="7"/>
      <c r="Q13" s="7">
        <f>Q12+K13+L13</f>
        <v>2218823.2156600002</v>
      </c>
    </row>
    <row r="14" spans="1:17" x14ac:dyDescent="0.2">
      <c r="A14" s="43">
        <v>43101</v>
      </c>
      <c r="C14" s="7">
        <v>120283541</v>
      </c>
      <c r="D14" s="15">
        <v>251790</v>
      </c>
      <c r="E14" s="15">
        <v>758559</v>
      </c>
      <c r="F14" s="15">
        <f>1452078.2</f>
        <v>1452078.2</v>
      </c>
      <c r="G14" s="15">
        <f t="shared" si="0"/>
        <v>506769</v>
      </c>
      <c r="H14" s="15">
        <f t="shared" si="1"/>
        <v>1200288.2</v>
      </c>
      <c r="I14" s="8">
        <v>0.21</v>
      </c>
      <c r="J14" s="8">
        <v>0.06</v>
      </c>
      <c r="K14" s="7">
        <f t="shared" si="2"/>
        <v>91297.85867999999</v>
      </c>
      <c r="L14" s="7">
        <f t="shared" si="3"/>
        <v>72017.292000000001</v>
      </c>
      <c r="M14" s="7">
        <f t="shared" si="4"/>
        <v>23089922.366339993</v>
      </c>
      <c r="N14" s="7">
        <v>0</v>
      </c>
      <c r="O14" s="17"/>
      <c r="Q14" s="7">
        <f>Q13+K14+L14</f>
        <v>2382138.3663400002</v>
      </c>
    </row>
    <row r="15" spans="1:17" x14ac:dyDescent="0.2">
      <c r="A15" s="43">
        <v>43132</v>
      </c>
      <c r="C15" s="7">
        <v>120283541</v>
      </c>
      <c r="D15" s="15">
        <v>251790</v>
      </c>
      <c r="E15" s="15">
        <f>758559.7+-290712.33+2215367+16362</f>
        <v>2699576.37</v>
      </c>
      <c r="F15" s="15">
        <f>1452078.2</f>
        <v>1452078.2</v>
      </c>
      <c r="G15" s="15">
        <f t="shared" si="0"/>
        <v>2447786.37</v>
      </c>
      <c r="H15" s="15">
        <f t="shared" si="1"/>
        <v>1200288.2</v>
      </c>
      <c r="I15" s="8">
        <v>0.21</v>
      </c>
      <c r="J15" s="8">
        <v>0.06</v>
      </c>
      <c r="K15" s="7">
        <f t="shared" si="2"/>
        <v>498911.50638000004</v>
      </c>
      <c r="L15" s="7">
        <f t="shared" si="3"/>
        <v>72017.292000000001</v>
      </c>
      <c r="M15" s="7">
        <f t="shared" si="4"/>
        <v>23660851.164719991</v>
      </c>
      <c r="N15" s="7">
        <v>0</v>
      </c>
      <c r="O15" s="7"/>
      <c r="Q15" s="7">
        <f>Q14+K15+L15</f>
        <v>2953067.1647200002</v>
      </c>
    </row>
    <row r="16" spans="1:17" x14ac:dyDescent="0.2">
      <c r="A16" s="1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19">
        <f>+O15/0.389</f>
        <v>0</v>
      </c>
    </row>
    <row r="17" spans="1:17" x14ac:dyDescent="0.2">
      <c r="A17" s="55" t="s">
        <v>63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19"/>
    </row>
    <row r="18" spans="1:17" x14ac:dyDescent="0.2">
      <c r="A18" s="43">
        <v>43101</v>
      </c>
      <c r="C18" s="7">
        <v>120283541</v>
      </c>
      <c r="D18" s="15">
        <v>251790</v>
      </c>
      <c r="E18" s="15">
        <v>758559</v>
      </c>
      <c r="F18" s="15">
        <f>1452078.2</f>
        <v>1452078.2</v>
      </c>
      <c r="G18" s="15">
        <f t="shared" ref="G18:G19" si="5">E18-D18</f>
        <v>506769</v>
      </c>
      <c r="H18" s="15">
        <f t="shared" ref="H18:H19" si="6">F18-D18</f>
        <v>1200288.2</v>
      </c>
      <c r="I18" s="8">
        <v>0.21</v>
      </c>
      <c r="J18" s="8">
        <v>0.05</v>
      </c>
      <c r="K18" s="7">
        <f>G18*I18-L18*I18+368285</f>
        <v>448519.19389999995</v>
      </c>
      <c r="L18" s="7">
        <f>H18*J18+64687</f>
        <v>124701.41</v>
      </c>
      <c r="M18" s="7">
        <f>M13+K18+L18</f>
        <v>23499827.819559995</v>
      </c>
      <c r="N18" s="7">
        <v>0</v>
      </c>
      <c r="O18" s="7"/>
      <c r="P18" s="7"/>
      <c r="Q18" s="19"/>
    </row>
    <row r="19" spans="1:17" x14ac:dyDescent="0.2">
      <c r="A19" s="43">
        <v>43132</v>
      </c>
      <c r="C19" s="7">
        <v>120283541</v>
      </c>
      <c r="D19" s="15">
        <v>251790</v>
      </c>
      <c r="E19" s="15">
        <v>758559</v>
      </c>
      <c r="F19" s="15">
        <f>1452078.2</f>
        <v>1452078.2</v>
      </c>
      <c r="G19" s="15">
        <f t="shared" si="5"/>
        <v>506769</v>
      </c>
      <c r="H19" s="15">
        <f t="shared" si="6"/>
        <v>1200288.2</v>
      </c>
      <c r="I19" s="8">
        <v>0.21</v>
      </c>
      <c r="J19" s="8">
        <v>0.05</v>
      </c>
      <c r="K19" s="7">
        <f t="shared" ref="K19" si="7">G19*I19-L19*I19</f>
        <v>93818.463899999988</v>
      </c>
      <c r="L19" s="7">
        <f t="shared" ref="L19" si="8">H19*J19</f>
        <v>60014.41</v>
      </c>
      <c r="M19" s="7">
        <f t="shared" ref="M19" si="9">M18+K19+L19</f>
        <v>23653660.693459995</v>
      </c>
      <c r="N19" s="7">
        <v>0</v>
      </c>
      <c r="O19" s="7"/>
      <c r="P19" s="7"/>
      <c r="Q19" s="19"/>
    </row>
    <row r="20" spans="1:17" x14ac:dyDescent="0.2">
      <c r="A20" s="1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7" x14ac:dyDescent="0.2">
      <c r="A21" s="1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7" x14ac:dyDescent="0.2">
      <c r="C22" s="26" t="s">
        <v>46</v>
      </c>
    </row>
    <row r="23" spans="1:17" x14ac:dyDescent="0.2">
      <c r="C23" s="26" t="s">
        <v>31</v>
      </c>
    </row>
    <row r="24" spans="1:17" x14ac:dyDescent="0.2">
      <c r="C24" s="26" t="s">
        <v>55</v>
      </c>
    </row>
    <row r="25" spans="1:17" x14ac:dyDescent="0.2">
      <c r="C25" s="24" t="s">
        <v>32</v>
      </c>
    </row>
    <row r="27" spans="1:17" x14ac:dyDescent="0.2">
      <c r="C27" s="24" t="s">
        <v>34</v>
      </c>
      <c r="D27" s="29" t="s">
        <v>35</v>
      </c>
      <c r="E27" s="28" t="s">
        <v>36</v>
      </c>
      <c r="F27" s="24" t="s">
        <v>37</v>
      </c>
      <c r="G27" s="30" t="s">
        <v>27</v>
      </c>
      <c r="H27" s="24" t="s">
        <v>38</v>
      </c>
    </row>
    <row r="28" spans="1:17" x14ac:dyDescent="0.2">
      <c r="C28" s="23">
        <v>846667</v>
      </c>
      <c r="D28" s="23">
        <v>251790</v>
      </c>
      <c r="E28" s="23">
        <v>0</v>
      </c>
      <c r="F28" s="19">
        <f>E28-D28</f>
        <v>-251790</v>
      </c>
      <c r="G28" s="8">
        <v>0.21</v>
      </c>
      <c r="H28" s="19">
        <f>F28*G28</f>
        <v>-52875.9</v>
      </c>
    </row>
    <row r="29" spans="1:17" x14ac:dyDescent="0.2">
      <c r="C29" s="36">
        <v>826019.67</v>
      </c>
      <c r="E29" s="23">
        <v>0</v>
      </c>
      <c r="F29" s="19">
        <f>E29</f>
        <v>0</v>
      </c>
      <c r="G29" s="8">
        <v>0.21</v>
      </c>
      <c r="H29" s="19">
        <f t="shared" ref="H29:H32" si="10">F29*G29</f>
        <v>0</v>
      </c>
    </row>
    <row r="30" spans="1:17" x14ac:dyDescent="0.2">
      <c r="C30" s="36">
        <f>21052017.182-(265688.84/2)</f>
        <v>20919172.761999998</v>
      </c>
      <c r="E30" s="23">
        <v>117137</v>
      </c>
      <c r="F30" s="19">
        <f t="shared" ref="F30:F32" si="11">E30</f>
        <v>117137</v>
      </c>
      <c r="G30" s="8">
        <v>0.21</v>
      </c>
      <c r="H30" s="19">
        <f t="shared" si="10"/>
        <v>24598.77</v>
      </c>
    </row>
    <row r="31" spans="1:17" x14ac:dyDescent="0.2">
      <c r="C31" s="36">
        <v>31578025.772999998</v>
      </c>
      <c r="E31" s="23">
        <v>526300.43000000005</v>
      </c>
      <c r="F31" s="19">
        <f t="shared" si="11"/>
        <v>526300.43000000005</v>
      </c>
      <c r="G31" s="8">
        <v>0.21</v>
      </c>
      <c r="H31" s="19">
        <f t="shared" si="10"/>
        <v>110523.09030000001</v>
      </c>
    </row>
    <row r="32" spans="1:17" x14ac:dyDescent="0.2">
      <c r="C32" s="36">
        <v>94801.065000000002</v>
      </c>
      <c r="E32" s="25">
        <v>570</v>
      </c>
      <c r="F32" s="48">
        <f t="shared" si="11"/>
        <v>570</v>
      </c>
      <c r="G32" s="47">
        <v>0.21</v>
      </c>
      <c r="H32" s="48">
        <f t="shared" si="10"/>
        <v>119.69999999999999</v>
      </c>
    </row>
    <row r="33" spans="3:8" x14ac:dyDescent="0.2">
      <c r="C33" s="36">
        <v>582728</v>
      </c>
      <c r="E33" s="25">
        <v>3506</v>
      </c>
      <c r="F33" s="48">
        <f t="shared" ref="F33:F37" si="12">E33</f>
        <v>3506</v>
      </c>
      <c r="G33" s="47">
        <v>0.21</v>
      </c>
      <c r="H33" s="48">
        <f t="shared" ref="H33:H37" si="13">F33*G33</f>
        <v>736.26</v>
      </c>
    </row>
    <row r="34" spans="3:8" x14ac:dyDescent="0.2">
      <c r="C34" s="36">
        <v>874094</v>
      </c>
      <c r="E34" s="25">
        <v>14568</v>
      </c>
      <c r="F34" s="48">
        <f t="shared" si="12"/>
        <v>14568</v>
      </c>
      <c r="G34" s="47">
        <v>0.21</v>
      </c>
      <c r="H34" s="48">
        <f t="shared" si="13"/>
        <v>3059.2799999999997</v>
      </c>
    </row>
    <row r="35" spans="3:8" x14ac:dyDescent="0.2">
      <c r="C35" s="36">
        <v>3072442</v>
      </c>
      <c r="E35" s="25">
        <v>18483</v>
      </c>
      <c r="F35" s="48">
        <f t="shared" si="12"/>
        <v>18483</v>
      </c>
      <c r="G35" s="47">
        <v>0.21</v>
      </c>
      <c r="H35" s="48">
        <f t="shared" si="13"/>
        <v>3881.43</v>
      </c>
    </row>
    <row r="36" spans="3:8" x14ac:dyDescent="0.2">
      <c r="C36" s="36">
        <v>4608663</v>
      </c>
      <c r="E36" s="56">
        <v>76811</v>
      </c>
      <c r="F36" s="48">
        <f t="shared" si="12"/>
        <v>76811</v>
      </c>
      <c r="G36" s="47">
        <v>0.21</v>
      </c>
      <c r="H36" s="48">
        <f t="shared" si="13"/>
        <v>16130.31</v>
      </c>
    </row>
    <row r="37" spans="3:8" ht="15" x14ac:dyDescent="0.35">
      <c r="C37" s="36">
        <v>196791</v>
      </c>
      <c r="E37" s="40">
        <v>1184</v>
      </c>
      <c r="F37" s="33">
        <f t="shared" si="12"/>
        <v>1184</v>
      </c>
      <c r="G37" s="47">
        <v>0.21</v>
      </c>
      <c r="H37" s="33">
        <f t="shared" si="13"/>
        <v>248.64</v>
      </c>
    </row>
    <row r="38" spans="3:8" x14ac:dyDescent="0.2">
      <c r="E38" s="19">
        <f>SUM(E28:E37)</f>
        <v>758559.43</v>
      </c>
      <c r="F38" s="19">
        <f>SUM(F28:F33)</f>
        <v>395723.43000000005</v>
      </c>
      <c r="G38" s="34" t="s">
        <v>43</v>
      </c>
      <c r="H38" s="19">
        <f>SUM(H28:H37)</f>
        <v>106421.58029999999</v>
      </c>
    </row>
    <row r="39" spans="3:8" ht="15" x14ac:dyDescent="0.35">
      <c r="G39" s="34" t="s">
        <v>44</v>
      </c>
      <c r="H39" s="33">
        <f>-H53*0.21</f>
        <v>-12603.033019499997</v>
      </c>
    </row>
    <row r="40" spans="3:8" x14ac:dyDescent="0.2">
      <c r="H40" s="19">
        <f>H38+H39</f>
        <v>93818.547280499988</v>
      </c>
    </row>
    <row r="41" spans="3:8" x14ac:dyDescent="0.2">
      <c r="H41" s="50">
        <f>H40-K19</f>
        <v>8.3380500000203028E-2</v>
      </c>
    </row>
    <row r="42" spans="3:8" x14ac:dyDescent="0.2">
      <c r="C42" s="24" t="s">
        <v>39</v>
      </c>
      <c r="D42" s="27" t="s">
        <v>35</v>
      </c>
      <c r="E42" s="28" t="s">
        <v>40</v>
      </c>
      <c r="F42" s="24" t="s">
        <v>41</v>
      </c>
      <c r="G42" s="30" t="s">
        <v>28</v>
      </c>
      <c r="H42" s="24" t="s">
        <v>42</v>
      </c>
    </row>
    <row r="43" spans="3:8" x14ac:dyDescent="0.2">
      <c r="C43" s="23">
        <v>846667</v>
      </c>
      <c r="D43" s="19">
        <f>D28</f>
        <v>251790</v>
      </c>
      <c r="E43" s="28">
        <v>0</v>
      </c>
      <c r="F43" s="24">
        <f>E43-D43</f>
        <v>-251790</v>
      </c>
      <c r="G43" s="8">
        <v>0.05</v>
      </c>
      <c r="H43" s="24">
        <f>F43*G43</f>
        <v>-12589.5</v>
      </c>
    </row>
    <row r="44" spans="3:8" x14ac:dyDescent="0.2">
      <c r="C44" s="36">
        <v>826019.67</v>
      </c>
      <c r="D44" s="27"/>
      <c r="E44" s="28">
        <v>0</v>
      </c>
      <c r="F44" s="24">
        <f>E44</f>
        <v>0</v>
      </c>
      <c r="G44" s="8">
        <v>0.05</v>
      </c>
      <c r="H44" s="24">
        <f>F44*G44</f>
        <v>0</v>
      </c>
    </row>
    <row r="45" spans="3:8" x14ac:dyDescent="0.2">
      <c r="C45" s="36">
        <f>42104034.364-265688.84</f>
        <v>41838345.523999996</v>
      </c>
      <c r="E45" s="19">
        <v>234274</v>
      </c>
      <c r="F45" s="19">
        <f>E45</f>
        <v>234274</v>
      </c>
      <c r="G45" s="8">
        <v>0.05</v>
      </c>
      <c r="H45" s="24">
        <f t="shared" ref="H45:H47" si="14">F45*G45</f>
        <v>11713.7</v>
      </c>
    </row>
    <row r="46" spans="3:8" x14ac:dyDescent="0.2">
      <c r="C46" s="36">
        <v>63156051.545999996</v>
      </c>
      <c r="E46" s="19">
        <v>1052600.8589999999</v>
      </c>
      <c r="F46" s="19">
        <f>E46</f>
        <v>1052600.8589999999</v>
      </c>
      <c r="G46" s="8">
        <v>0.05</v>
      </c>
      <c r="H46" s="24">
        <f t="shared" si="14"/>
        <v>52630.042950000003</v>
      </c>
    </row>
    <row r="47" spans="3:8" x14ac:dyDescent="0.2">
      <c r="C47" s="36">
        <v>189602.13</v>
      </c>
      <c r="E47" s="48">
        <v>1140</v>
      </c>
      <c r="F47" s="48">
        <f>E47</f>
        <v>1140</v>
      </c>
      <c r="G47" s="8">
        <v>0.05</v>
      </c>
      <c r="H47" s="46">
        <f t="shared" si="14"/>
        <v>57</v>
      </c>
    </row>
    <row r="48" spans="3:8" x14ac:dyDescent="0.2">
      <c r="C48" s="36">
        <v>58767</v>
      </c>
      <c r="E48" s="48">
        <v>354</v>
      </c>
      <c r="F48" s="48">
        <f t="shared" ref="F48:F52" si="15">E48</f>
        <v>354</v>
      </c>
      <c r="G48" s="8">
        <v>0.05</v>
      </c>
      <c r="H48" s="46">
        <f t="shared" ref="H48:H52" si="16">F48*G48</f>
        <v>17.7</v>
      </c>
    </row>
    <row r="49" spans="3:8" x14ac:dyDescent="0.2">
      <c r="C49" s="36">
        <v>88151</v>
      </c>
      <c r="E49" s="48">
        <v>1469</v>
      </c>
      <c r="F49" s="48">
        <f t="shared" si="15"/>
        <v>1469</v>
      </c>
      <c r="G49" s="8">
        <v>0.05</v>
      </c>
      <c r="H49" s="46">
        <f t="shared" si="16"/>
        <v>73.45</v>
      </c>
    </row>
    <row r="50" spans="3:8" x14ac:dyDescent="0.2">
      <c r="C50" s="36">
        <v>5154542</v>
      </c>
      <c r="E50" s="48">
        <v>31009</v>
      </c>
      <c r="F50" s="48">
        <f t="shared" si="15"/>
        <v>31009</v>
      </c>
      <c r="G50" s="8">
        <v>0.05</v>
      </c>
      <c r="H50" s="46">
        <f t="shared" si="16"/>
        <v>1550.45</v>
      </c>
    </row>
    <row r="51" spans="3:8" x14ac:dyDescent="0.2">
      <c r="C51" s="36">
        <v>7731813</v>
      </c>
      <c r="E51" s="48">
        <v>128864</v>
      </c>
      <c r="F51" s="48">
        <f t="shared" si="15"/>
        <v>128864</v>
      </c>
      <c r="G51" s="8">
        <v>0.05</v>
      </c>
      <c r="H51" s="46">
        <f t="shared" si="16"/>
        <v>6443.2000000000007</v>
      </c>
    </row>
    <row r="52" spans="3:8" ht="15" x14ac:dyDescent="0.35">
      <c r="C52" s="36">
        <v>393581</v>
      </c>
      <c r="E52" s="33">
        <v>2368</v>
      </c>
      <c r="F52" s="33">
        <f t="shared" si="15"/>
        <v>2368</v>
      </c>
      <c r="G52" s="8">
        <v>0.05</v>
      </c>
      <c r="H52" s="31">
        <f t="shared" si="16"/>
        <v>118.4</v>
      </c>
    </row>
    <row r="53" spans="3:8" x14ac:dyDescent="0.2">
      <c r="E53" s="19">
        <f>SUM(E43:E52)</f>
        <v>1452078.8589999999</v>
      </c>
      <c r="F53" s="19">
        <f>SUM(F43:F52)</f>
        <v>1200288.8589999999</v>
      </c>
      <c r="H53" s="7">
        <f>SUM(H43:H52)</f>
        <v>60014.44294999999</v>
      </c>
    </row>
    <row r="54" spans="3:8" x14ac:dyDescent="0.2">
      <c r="H54" s="7">
        <f>H53-L19</f>
        <v>3.2949999986158218E-2</v>
      </c>
    </row>
  </sheetData>
  <pageMargins left="0.7" right="0.7" top="1.15625" bottom="0.75" header="0.3" footer="0.3"/>
  <pageSetup scale="75" orientation="portrait" r:id="rId1"/>
  <headerFooter>
    <oddHeader>&amp;R&amp;"Times New Roman,Bold"&amp;12Attachment to Response to Question 3
Page 9 of 9
Williams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P89"/>
  <sheetViews>
    <sheetView topLeftCell="A16" zoomScaleNormal="100" workbookViewId="0">
      <selection activeCell="N21" sqref="N21"/>
    </sheetView>
  </sheetViews>
  <sheetFormatPr defaultRowHeight="12.75" x14ac:dyDescent="0.2"/>
  <cols>
    <col min="1" max="1" width="11.28515625" style="3" customWidth="1"/>
    <col min="2" max="2" width="1.7109375" customWidth="1"/>
    <col min="3" max="3" width="14.140625" customWidth="1"/>
    <col min="4" max="4" width="14.28515625" bestFit="1" customWidth="1"/>
    <col min="5" max="5" width="16.42578125" customWidth="1"/>
    <col min="6" max="6" width="15.28515625" customWidth="1"/>
    <col min="7" max="8" width="14.28515625" customWidth="1"/>
    <col min="9" max="12" width="12.7109375" customWidth="1"/>
    <col min="13" max="13" width="16.5703125" bestFit="1" customWidth="1"/>
    <col min="14" max="14" width="12.7109375" customWidth="1"/>
    <col min="15" max="15" width="11.85546875" bestFit="1" customWidth="1"/>
    <col min="16" max="16" width="11.28515625" bestFit="1" customWidth="1"/>
  </cols>
  <sheetData>
    <row r="1" spans="1:16" x14ac:dyDescent="0.2">
      <c r="A1" s="12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6" x14ac:dyDescent="0.2">
      <c r="A2" s="12" t="s">
        <v>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6" x14ac:dyDescent="0.2">
      <c r="A3" s="13" t="s">
        <v>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6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4"/>
    </row>
    <row r="5" spans="1:16" x14ac:dyDescent="0.2">
      <c r="A5" s="9" t="s">
        <v>10</v>
      </c>
    </row>
    <row r="6" spans="1:16" x14ac:dyDescent="0.2">
      <c r="A6" s="11" t="s">
        <v>17</v>
      </c>
    </row>
    <row r="8" spans="1:16" s="6" customFormat="1" ht="38.25" x14ac:dyDescent="0.2">
      <c r="A8" s="4" t="s">
        <v>0</v>
      </c>
      <c r="B8" s="5"/>
      <c r="C8" s="5" t="s">
        <v>1</v>
      </c>
      <c r="D8" s="5" t="s">
        <v>2</v>
      </c>
      <c r="E8" s="5" t="s">
        <v>23</v>
      </c>
      <c r="F8" s="5" t="s">
        <v>24</v>
      </c>
      <c r="G8" s="5" t="s">
        <v>25</v>
      </c>
      <c r="H8" s="5" t="s">
        <v>26</v>
      </c>
      <c r="I8" s="5" t="s">
        <v>27</v>
      </c>
      <c r="J8" s="5" t="s">
        <v>28</v>
      </c>
      <c r="K8" s="5" t="s">
        <v>29</v>
      </c>
      <c r="L8" s="5" t="s">
        <v>30</v>
      </c>
      <c r="M8" s="5" t="s">
        <v>3</v>
      </c>
      <c r="N8" s="5" t="s">
        <v>4</v>
      </c>
    </row>
    <row r="9" spans="1:16" x14ac:dyDescent="0.2">
      <c r="A9" s="3" t="s">
        <v>8</v>
      </c>
      <c r="M9" s="10">
        <v>65241905</v>
      </c>
      <c r="O9" s="7"/>
    </row>
    <row r="10" spans="1:16" x14ac:dyDescent="0.2">
      <c r="A10" s="42">
        <v>42987</v>
      </c>
      <c r="C10" s="7">
        <v>328374527</v>
      </c>
      <c r="D10" s="15">
        <v>688621</v>
      </c>
      <c r="E10" s="15">
        <v>1103575</v>
      </c>
      <c r="F10" s="15">
        <v>2191377</v>
      </c>
      <c r="G10" s="7">
        <f>E10-D10</f>
        <v>414954</v>
      </c>
      <c r="H10" s="7">
        <f>F10-D10</f>
        <v>1502756</v>
      </c>
      <c r="I10" s="8">
        <v>0.35</v>
      </c>
      <c r="J10" s="8">
        <v>0.06</v>
      </c>
      <c r="K10" s="7">
        <f t="shared" ref="K10:K15" si="0">G10*I10-L10*I10</f>
        <v>113676.024</v>
      </c>
      <c r="L10" s="7">
        <f t="shared" ref="L10:L15" si="1">H10*J10</f>
        <v>90165.36</v>
      </c>
      <c r="M10" s="7">
        <f t="shared" ref="M10:M15" si="2">M9+K10+L10</f>
        <v>65445746.383999996</v>
      </c>
      <c r="N10" s="7">
        <v>0</v>
      </c>
      <c r="O10" s="44"/>
      <c r="P10" s="19"/>
    </row>
    <row r="11" spans="1:16" x14ac:dyDescent="0.2">
      <c r="A11" s="43">
        <v>43009</v>
      </c>
      <c r="C11" s="7">
        <v>349137977</v>
      </c>
      <c r="D11" s="15">
        <v>702926</v>
      </c>
      <c r="E11" s="15">
        <f>3484955+15900</f>
        <v>3500855</v>
      </c>
      <c r="F11" s="15">
        <v>2446582</v>
      </c>
      <c r="G11" s="7">
        <f t="shared" ref="G11:G15" si="3">E11-D11</f>
        <v>2797929</v>
      </c>
      <c r="H11" s="7">
        <f t="shared" ref="H11:H15" si="4">F11-D11</f>
        <v>1743656</v>
      </c>
      <c r="I11" s="8">
        <v>0.35</v>
      </c>
      <c r="J11" s="8">
        <v>0.06</v>
      </c>
      <c r="K11" s="7">
        <f t="shared" si="0"/>
        <v>942658.37399999995</v>
      </c>
      <c r="L11" s="7">
        <f t="shared" si="1"/>
        <v>104619.36</v>
      </c>
      <c r="M11" s="7">
        <f t="shared" si="2"/>
        <v>66493024.117999993</v>
      </c>
      <c r="N11" s="7">
        <v>35311</v>
      </c>
      <c r="O11" s="44"/>
      <c r="P11" s="19"/>
    </row>
    <row r="12" spans="1:16" x14ac:dyDescent="0.2">
      <c r="A12" s="43">
        <v>43040</v>
      </c>
      <c r="C12" s="7">
        <v>349137977</v>
      </c>
      <c r="D12" s="15">
        <v>717230</v>
      </c>
      <c r="E12" s="15">
        <f>3500855+15931</f>
        <v>3516786</v>
      </c>
      <c r="F12" s="15">
        <v>2446261.98</v>
      </c>
      <c r="G12" s="7">
        <f t="shared" si="3"/>
        <v>2799556</v>
      </c>
      <c r="H12" s="7">
        <f t="shared" si="4"/>
        <v>1729031.98</v>
      </c>
      <c r="I12" s="8">
        <v>0.35</v>
      </c>
      <c r="J12" s="8">
        <v>0.06</v>
      </c>
      <c r="K12" s="7">
        <f t="shared" si="0"/>
        <v>943534.92842000001</v>
      </c>
      <c r="L12" s="7">
        <f t="shared" si="1"/>
        <v>103741.9188</v>
      </c>
      <c r="M12" s="7">
        <f t="shared" si="2"/>
        <v>67540300.965219989</v>
      </c>
      <c r="N12" s="7">
        <v>62312.4</v>
      </c>
      <c r="O12" s="45"/>
      <c r="P12" s="19"/>
    </row>
    <row r="13" spans="1:16" x14ac:dyDescent="0.2">
      <c r="A13" s="43">
        <v>43070</v>
      </c>
      <c r="C13" s="7">
        <v>349137977</v>
      </c>
      <c r="D13" s="15">
        <v>717230</v>
      </c>
      <c r="E13" s="15">
        <v>3516786</v>
      </c>
      <c r="F13" s="15">
        <v>2446261.98</v>
      </c>
      <c r="G13" s="7">
        <f t="shared" si="3"/>
        <v>2799556</v>
      </c>
      <c r="H13" s="7">
        <f t="shared" si="4"/>
        <v>1729031.98</v>
      </c>
      <c r="I13" s="8">
        <v>0.35</v>
      </c>
      <c r="J13" s="8">
        <v>0.06</v>
      </c>
      <c r="K13" s="7">
        <f t="shared" si="0"/>
        <v>943534.92842000001</v>
      </c>
      <c r="L13" s="7">
        <f t="shared" si="1"/>
        <v>103741.9188</v>
      </c>
      <c r="M13" s="7">
        <f t="shared" si="2"/>
        <v>68587577.812439993</v>
      </c>
      <c r="N13" s="7">
        <v>66803.600000000006</v>
      </c>
      <c r="O13" s="22"/>
      <c r="P13" s="19"/>
    </row>
    <row r="14" spans="1:16" x14ac:dyDescent="0.2">
      <c r="A14" s="43">
        <v>43101</v>
      </c>
      <c r="C14" s="7">
        <v>349137977</v>
      </c>
      <c r="D14" s="15">
        <v>717230</v>
      </c>
      <c r="E14" s="15">
        <v>1157544</v>
      </c>
      <c r="F14" s="15">
        <f>2245240.52</f>
        <v>2245240.52</v>
      </c>
      <c r="G14" s="7">
        <f t="shared" si="3"/>
        <v>440314</v>
      </c>
      <c r="H14" s="7">
        <f t="shared" si="4"/>
        <v>1528010.52</v>
      </c>
      <c r="I14" s="8">
        <v>0.21</v>
      </c>
      <c r="J14" s="8">
        <v>0.06</v>
      </c>
      <c r="K14" s="7">
        <f t="shared" si="0"/>
        <v>73213.007448000004</v>
      </c>
      <c r="L14" s="7">
        <f t="shared" si="1"/>
        <v>91680.631200000003</v>
      </c>
      <c r="M14" s="7">
        <f t="shared" si="2"/>
        <v>68752471.451087996</v>
      </c>
      <c r="N14" s="7">
        <v>68054.52</v>
      </c>
      <c r="O14" s="22"/>
      <c r="P14" s="19"/>
    </row>
    <row r="15" spans="1:16" x14ac:dyDescent="0.2">
      <c r="A15" s="43">
        <v>43132</v>
      </c>
      <c r="C15" s="7">
        <v>349137977</v>
      </c>
      <c r="D15" s="15">
        <v>717230</v>
      </c>
      <c r="E15" s="15">
        <v>1157544</v>
      </c>
      <c r="F15" s="15">
        <f>2245240.52</f>
        <v>2245240.52</v>
      </c>
      <c r="G15" s="7">
        <f t="shared" si="3"/>
        <v>440314</v>
      </c>
      <c r="H15" s="7">
        <f t="shared" si="4"/>
        <v>1528010.52</v>
      </c>
      <c r="I15" s="8">
        <v>0.21</v>
      </c>
      <c r="J15" s="8">
        <v>0.06</v>
      </c>
      <c r="K15" s="7">
        <f t="shared" si="0"/>
        <v>73213.007448000004</v>
      </c>
      <c r="L15" s="7">
        <f t="shared" si="1"/>
        <v>91680.631200000003</v>
      </c>
      <c r="M15" s="7">
        <f t="shared" si="2"/>
        <v>68917365.089736</v>
      </c>
      <c r="N15" s="7">
        <v>67744.58</v>
      </c>
      <c r="P15" s="19"/>
    </row>
    <row r="16" spans="1:16" x14ac:dyDescent="0.2">
      <c r="A16" s="1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">
      <c r="A17" s="55" t="s">
        <v>63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x14ac:dyDescent="0.2">
      <c r="A18" s="43">
        <v>43101</v>
      </c>
      <c r="C18" s="7">
        <v>349137977</v>
      </c>
      <c r="D18" s="15">
        <v>717230</v>
      </c>
      <c r="E18" s="15">
        <v>1157544</v>
      </c>
      <c r="F18" s="15">
        <f>2245240.52</f>
        <v>2245240.52</v>
      </c>
      <c r="G18" s="7">
        <f t="shared" ref="G18:G19" si="5">E18-D18</f>
        <v>440314</v>
      </c>
      <c r="H18" s="7">
        <f t="shared" ref="H18:H19" si="6">F18-D18</f>
        <v>1528010.52</v>
      </c>
      <c r="I18" s="8">
        <v>0.21</v>
      </c>
      <c r="J18" s="8">
        <v>0.05</v>
      </c>
      <c r="K18" s="7">
        <f>G18*I18-L18*I18-24404</f>
        <v>52917.889540000004</v>
      </c>
      <c r="L18" s="7">
        <f>H18*J18-4286</f>
        <v>72114.525999999998</v>
      </c>
      <c r="M18" s="7">
        <f>M13+K18+L18</f>
        <v>68712610.227979988</v>
      </c>
      <c r="N18" s="7">
        <v>68054.52</v>
      </c>
    </row>
    <row r="19" spans="1:14" x14ac:dyDescent="0.2">
      <c r="A19" s="43">
        <v>43132</v>
      </c>
      <c r="C19" s="7">
        <v>349137977</v>
      </c>
      <c r="D19" s="15">
        <v>717230</v>
      </c>
      <c r="E19" s="15">
        <v>1157544</v>
      </c>
      <c r="F19" s="15">
        <f>2245240.52</f>
        <v>2245240.52</v>
      </c>
      <c r="G19" s="7">
        <f t="shared" si="5"/>
        <v>440314</v>
      </c>
      <c r="H19" s="7">
        <f t="shared" si="6"/>
        <v>1528010.52</v>
      </c>
      <c r="I19" s="8">
        <v>0.21</v>
      </c>
      <c r="J19" s="8">
        <v>0.05</v>
      </c>
      <c r="K19" s="7">
        <f t="shared" ref="K19" si="7">G19*I19-L19*I19</f>
        <v>76421.829540000006</v>
      </c>
      <c r="L19" s="7">
        <f t="shared" ref="L19" si="8">H19*J19</f>
        <v>76400.525999999998</v>
      </c>
      <c r="M19" s="7">
        <f t="shared" ref="M19" si="9">M18+K19+L19</f>
        <v>68865432.58351998</v>
      </c>
      <c r="N19" s="7">
        <v>67744.58</v>
      </c>
    </row>
    <row r="20" spans="1:14" x14ac:dyDescent="0.2">
      <c r="A20" s="1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x14ac:dyDescent="0.2">
      <c r="A21" s="1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x14ac:dyDescent="0.2">
      <c r="C22" s="26" t="s">
        <v>47</v>
      </c>
    </row>
    <row r="23" spans="1:14" x14ac:dyDescent="0.2">
      <c r="C23" s="26" t="s">
        <v>31</v>
      </c>
    </row>
    <row r="24" spans="1:14" x14ac:dyDescent="0.2">
      <c r="C24" s="26" t="s">
        <v>55</v>
      </c>
    </row>
    <row r="25" spans="1:14" x14ac:dyDescent="0.2">
      <c r="C25" s="24" t="s">
        <v>32</v>
      </c>
    </row>
    <row r="27" spans="1:14" x14ac:dyDescent="0.2">
      <c r="C27" s="24" t="s">
        <v>34</v>
      </c>
      <c r="D27" s="29" t="s">
        <v>35</v>
      </c>
      <c r="E27" s="28" t="s">
        <v>36</v>
      </c>
      <c r="F27" s="24" t="s">
        <v>37</v>
      </c>
      <c r="G27" s="30" t="s">
        <v>27</v>
      </c>
      <c r="H27" s="24" t="s">
        <v>38</v>
      </c>
    </row>
    <row r="28" spans="1:14" x14ac:dyDescent="0.2">
      <c r="C28" s="15">
        <v>17068.5</v>
      </c>
      <c r="D28" s="15">
        <v>717230</v>
      </c>
      <c r="E28" s="15">
        <v>82</v>
      </c>
      <c r="F28" s="19">
        <f>E28-D28</f>
        <v>-717148</v>
      </c>
      <c r="G28" s="8">
        <v>0.21</v>
      </c>
      <c r="H28" s="19">
        <f>F28*G28</f>
        <v>-150601.07999999999</v>
      </c>
    </row>
    <row r="29" spans="1:14" x14ac:dyDescent="0.2">
      <c r="C29" s="15">
        <v>863123.25</v>
      </c>
      <c r="E29" s="15">
        <v>3801</v>
      </c>
      <c r="F29" s="19">
        <f>E29</f>
        <v>3801</v>
      </c>
      <c r="G29" s="8">
        <v>0.21</v>
      </c>
      <c r="H29" s="19">
        <f t="shared" ref="H29:H55" si="10">F29*G29</f>
        <v>798.20999999999992</v>
      </c>
    </row>
    <row r="30" spans="1:14" x14ac:dyDescent="0.2">
      <c r="C30" s="15">
        <v>172624.8</v>
      </c>
      <c r="E30" s="15">
        <v>2877.08</v>
      </c>
      <c r="F30" s="19">
        <f t="shared" ref="F30:F51" si="11">E30</f>
        <v>2877.08</v>
      </c>
      <c r="G30" s="8">
        <v>0.21</v>
      </c>
      <c r="H30" s="19">
        <f t="shared" si="10"/>
        <v>604.18679999999995</v>
      </c>
    </row>
    <row r="31" spans="1:14" x14ac:dyDescent="0.2">
      <c r="C31" s="15">
        <v>115083.20000000001</v>
      </c>
      <c r="E31" s="15">
        <v>507</v>
      </c>
      <c r="F31" s="19">
        <f t="shared" si="11"/>
        <v>507</v>
      </c>
      <c r="G31" s="8">
        <v>0.21</v>
      </c>
      <c r="H31" s="19">
        <f t="shared" si="10"/>
        <v>106.47</v>
      </c>
    </row>
    <row r="32" spans="1:14" x14ac:dyDescent="0.2">
      <c r="C32" s="15">
        <v>16958769.375</v>
      </c>
      <c r="E32" s="15">
        <v>80738</v>
      </c>
      <c r="F32" s="19">
        <f t="shared" si="11"/>
        <v>80738</v>
      </c>
      <c r="G32" s="8">
        <v>0.21</v>
      </c>
      <c r="H32" s="19">
        <f t="shared" si="10"/>
        <v>16954.98</v>
      </c>
    </row>
    <row r="33" spans="3:8" x14ac:dyDescent="0.2">
      <c r="C33" s="15">
        <v>3391753.8750000005</v>
      </c>
      <c r="E33" s="15">
        <v>56529.231250000012</v>
      </c>
      <c r="F33" s="19">
        <f t="shared" si="11"/>
        <v>56529.231250000012</v>
      </c>
      <c r="G33" s="8">
        <v>0.21</v>
      </c>
      <c r="H33" s="19">
        <f t="shared" si="10"/>
        <v>11871.138562500002</v>
      </c>
    </row>
    <row r="34" spans="3:8" x14ac:dyDescent="0.2">
      <c r="C34" s="15">
        <v>2261169.2500000005</v>
      </c>
      <c r="E34" s="15">
        <v>10765</v>
      </c>
      <c r="F34" s="19">
        <f t="shared" si="11"/>
        <v>10765</v>
      </c>
      <c r="G34" s="8">
        <v>0.21</v>
      </c>
      <c r="H34" s="19">
        <f t="shared" si="10"/>
        <v>2260.65</v>
      </c>
    </row>
    <row r="35" spans="3:8" x14ac:dyDescent="0.2">
      <c r="C35" s="15">
        <v>96326943.479999989</v>
      </c>
      <c r="E35" s="15">
        <v>458596</v>
      </c>
      <c r="F35" s="19">
        <f t="shared" si="11"/>
        <v>458596</v>
      </c>
      <c r="G35" s="8">
        <v>0.21</v>
      </c>
      <c r="H35" s="19">
        <f t="shared" si="10"/>
        <v>96305.16</v>
      </c>
    </row>
    <row r="36" spans="3:8" x14ac:dyDescent="0.2">
      <c r="C36" s="15">
        <v>18955938.995999999</v>
      </c>
      <c r="E36" s="15">
        <v>315932.31659999996</v>
      </c>
      <c r="F36" s="19">
        <f t="shared" si="11"/>
        <v>315932.31659999996</v>
      </c>
      <c r="G36" s="8">
        <v>0.21</v>
      </c>
      <c r="H36" s="19">
        <f t="shared" si="10"/>
        <v>66345.786485999983</v>
      </c>
    </row>
    <row r="37" spans="3:8" x14ac:dyDescent="0.2">
      <c r="C37" s="15">
        <v>12637292.664000001</v>
      </c>
      <c r="E37" s="15">
        <v>60164</v>
      </c>
      <c r="F37" s="19">
        <f t="shared" si="11"/>
        <v>60164</v>
      </c>
      <c r="G37" s="8">
        <v>0.21</v>
      </c>
      <c r="H37" s="19">
        <f t="shared" si="10"/>
        <v>12634.439999999999</v>
      </c>
    </row>
    <row r="38" spans="3:8" x14ac:dyDescent="0.2">
      <c r="C38" s="15">
        <v>2579539.44</v>
      </c>
      <c r="E38" s="15">
        <v>13278</v>
      </c>
      <c r="F38" s="19">
        <f t="shared" si="11"/>
        <v>13278</v>
      </c>
      <c r="G38" s="8">
        <v>0.21</v>
      </c>
      <c r="H38" s="19">
        <f t="shared" si="10"/>
        <v>2788.38</v>
      </c>
    </row>
    <row r="39" spans="3:8" x14ac:dyDescent="0.2">
      <c r="C39" s="15">
        <v>515907.88799999998</v>
      </c>
      <c r="E39" s="15">
        <v>8598.4647999999997</v>
      </c>
      <c r="F39" s="19">
        <f t="shared" si="11"/>
        <v>8598.4647999999997</v>
      </c>
      <c r="G39" s="8">
        <v>0.21</v>
      </c>
      <c r="H39" s="19">
        <f t="shared" si="10"/>
        <v>1805.677608</v>
      </c>
    </row>
    <row r="40" spans="3:8" x14ac:dyDescent="0.2">
      <c r="C40" s="15">
        <v>343938.592</v>
      </c>
      <c r="E40" s="15">
        <v>1770</v>
      </c>
      <c r="F40" s="19">
        <f t="shared" si="11"/>
        <v>1770</v>
      </c>
      <c r="G40" s="8">
        <v>0.21</v>
      </c>
      <c r="H40" s="19">
        <f t="shared" si="10"/>
        <v>371.7</v>
      </c>
    </row>
    <row r="41" spans="3:8" x14ac:dyDescent="0.2">
      <c r="C41" s="15">
        <v>3753722.94</v>
      </c>
      <c r="E41" s="15">
        <v>20886</v>
      </c>
      <c r="F41" s="19">
        <f t="shared" si="11"/>
        <v>20886</v>
      </c>
      <c r="G41" s="8">
        <v>0.21</v>
      </c>
      <c r="H41" s="19">
        <f t="shared" si="10"/>
        <v>4386.0599999999995</v>
      </c>
    </row>
    <row r="42" spans="3:8" x14ac:dyDescent="0.2">
      <c r="C42" s="15">
        <v>750744.58799999999</v>
      </c>
      <c r="E42" s="15">
        <v>12512.409799999999</v>
      </c>
      <c r="F42" s="19">
        <f t="shared" si="11"/>
        <v>12512.409799999999</v>
      </c>
      <c r="G42" s="8">
        <v>0.21</v>
      </c>
      <c r="H42" s="19">
        <f t="shared" si="10"/>
        <v>2627.6060579999998</v>
      </c>
    </row>
    <row r="43" spans="3:8" x14ac:dyDescent="0.2">
      <c r="C43" s="15">
        <v>500496.39199999999</v>
      </c>
      <c r="E43" s="15">
        <v>2785</v>
      </c>
      <c r="F43" s="19">
        <f t="shared" si="11"/>
        <v>2785</v>
      </c>
      <c r="G43" s="8">
        <v>0.21</v>
      </c>
      <c r="H43" s="19">
        <f t="shared" si="10"/>
        <v>584.85</v>
      </c>
    </row>
    <row r="44" spans="3:8" x14ac:dyDescent="0.2">
      <c r="C44" s="15">
        <v>-21906.708749999998</v>
      </c>
      <c r="E44" s="15">
        <v>-122</v>
      </c>
      <c r="F44" s="19">
        <f t="shared" si="11"/>
        <v>-122</v>
      </c>
      <c r="G44" s="8">
        <v>0.21</v>
      </c>
      <c r="H44" s="19">
        <f t="shared" si="10"/>
        <v>-25.619999999999997</v>
      </c>
    </row>
    <row r="45" spans="3:8" x14ac:dyDescent="0.2">
      <c r="C45" s="15">
        <v>-4381.3417499999996</v>
      </c>
      <c r="E45" s="15">
        <v>-73.0223625</v>
      </c>
      <c r="F45" s="19">
        <f t="shared" si="11"/>
        <v>-73.0223625</v>
      </c>
      <c r="G45" s="8">
        <v>0.21</v>
      </c>
      <c r="H45" s="19">
        <f t="shared" si="10"/>
        <v>-15.334696124999999</v>
      </c>
    </row>
    <row r="46" spans="3:8" x14ac:dyDescent="0.2">
      <c r="C46" s="15">
        <v>-2920.8945000000003</v>
      </c>
      <c r="E46" s="15">
        <v>-16</v>
      </c>
      <c r="F46" s="19">
        <f t="shared" si="11"/>
        <v>-16</v>
      </c>
      <c r="G46" s="8">
        <v>0.21</v>
      </c>
      <c r="H46" s="19">
        <f t="shared" si="10"/>
        <v>-3.36</v>
      </c>
    </row>
    <row r="47" spans="3:8" x14ac:dyDescent="0.2">
      <c r="C47" s="15">
        <v>29295.040000000001</v>
      </c>
      <c r="E47" s="15">
        <v>163</v>
      </c>
      <c r="F47" s="19">
        <f t="shared" si="11"/>
        <v>163</v>
      </c>
      <c r="G47" s="8">
        <v>0.21</v>
      </c>
      <c r="H47" s="19">
        <f t="shared" si="10"/>
        <v>34.229999999999997</v>
      </c>
    </row>
    <row r="48" spans="3:8" x14ac:dyDescent="0.2">
      <c r="C48" s="15">
        <v>21.04</v>
      </c>
      <c r="E48" s="15">
        <f>1.91272727272727+0.75</f>
        <v>2.6627272727272699</v>
      </c>
      <c r="F48" s="19">
        <f t="shared" si="11"/>
        <v>2.6627272727272699</v>
      </c>
      <c r="G48" s="8">
        <v>0.21</v>
      </c>
      <c r="H48" s="19">
        <f t="shared" si="10"/>
        <v>0.55917272727272671</v>
      </c>
    </row>
    <row r="49" spans="3:8" x14ac:dyDescent="0.2">
      <c r="C49" s="15">
        <v>15.78</v>
      </c>
      <c r="E49" s="15">
        <v>5.3795454545454542E-2</v>
      </c>
      <c r="F49" s="19">
        <f t="shared" si="11"/>
        <v>5.3795454545454542E-2</v>
      </c>
      <c r="G49" s="8">
        <v>0.21</v>
      </c>
      <c r="H49" s="19">
        <f t="shared" si="10"/>
        <v>1.1297045454545454E-2</v>
      </c>
    </row>
    <row r="50" spans="3:8" x14ac:dyDescent="0.2">
      <c r="C50" s="15">
        <v>3.1559999999999997</v>
      </c>
      <c r="E50" s="15">
        <v>5.2600000000000001E-2</v>
      </c>
      <c r="F50" s="19">
        <f t="shared" si="11"/>
        <v>5.2600000000000001E-2</v>
      </c>
      <c r="G50" s="8">
        <v>0.21</v>
      </c>
      <c r="H50" s="19">
        <f t="shared" si="10"/>
        <v>1.1046E-2</v>
      </c>
    </row>
    <row r="51" spans="3:8" x14ac:dyDescent="0.2">
      <c r="C51" s="15">
        <v>2.1040000000000001</v>
      </c>
      <c r="E51" s="25">
        <v>7.1727272727272725E-3</v>
      </c>
      <c r="F51" s="48">
        <f t="shared" si="11"/>
        <v>7.1727272727272725E-3</v>
      </c>
      <c r="G51" s="8">
        <v>0.21</v>
      </c>
      <c r="H51" s="48">
        <f t="shared" si="10"/>
        <v>1.5062727272727272E-3</v>
      </c>
    </row>
    <row r="52" spans="3:8" x14ac:dyDescent="0.2">
      <c r="C52" s="15">
        <v>19484</v>
      </c>
      <c r="E52" s="25">
        <v>117</v>
      </c>
      <c r="F52" s="48">
        <f t="shared" ref="F52:F55" si="12">E52</f>
        <v>117</v>
      </c>
      <c r="G52" s="8">
        <v>0.21</v>
      </c>
      <c r="H52" s="48">
        <f t="shared" si="10"/>
        <v>24.57</v>
      </c>
    </row>
    <row r="53" spans="3:8" x14ac:dyDescent="0.2">
      <c r="C53" s="15">
        <v>10604784</v>
      </c>
      <c r="E53" s="25">
        <v>63797</v>
      </c>
      <c r="F53" s="48">
        <f t="shared" si="12"/>
        <v>63797</v>
      </c>
      <c r="G53" s="8">
        <v>0.21</v>
      </c>
      <c r="H53" s="48">
        <f t="shared" si="10"/>
        <v>13397.369999999999</v>
      </c>
    </row>
    <row r="54" spans="3:8" x14ac:dyDescent="0.2">
      <c r="C54" s="15">
        <v>2120957</v>
      </c>
      <c r="E54" s="25">
        <v>35349</v>
      </c>
      <c r="F54" s="48">
        <f t="shared" si="12"/>
        <v>35349</v>
      </c>
      <c r="G54" s="8">
        <v>0.21</v>
      </c>
      <c r="H54" s="48">
        <f t="shared" si="10"/>
        <v>7423.29</v>
      </c>
    </row>
    <row r="55" spans="3:8" ht="15" x14ac:dyDescent="0.35">
      <c r="C55" s="15">
        <v>1413971</v>
      </c>
      <c r="E55" s="40">
        <v>8506</v>
      </c>
      <c r="F55" s="33">
        <f t="shared" si="12"/>
        <v>8506</v>
      </c>
      <c r="G55" s="8">
        <v>0.21</v>
      </c>
      <c r="H55" s="33">
        <f t="shared" si="10"/>
        <v>1786.26</v>
      </c>
    </row>
    <row r="56" spans="3:8" x14ac:dyDescent="0.2">
      <c r="E56" s="19">
        <f>SUM(E28:E55)</f>
        <v>1157545.2563829548</v>
      </c>
      <c r="F56" s="19">
        <f>SUM(F28:F55)</f>
        <v>440315.25638295454</v>
      </c>
      <c r="G56" s="34" t="s">
        <v>43</v>
      </c>
      <c r="H56" s="19">
        <f>SUM(H28:H55)</f>
        <v>92466.203840420436</v>
      </c>
    </row>
    <row r="57" spans="3:8" ht="15" x14ac:dyDescent="0.35">
      <c r="G57" s="34" t="s">
        <v>44</v>
      </c>
      <c r="H57" s="33">
        <f>-H88*0.21</f>
        <v>-16044.122342937499</v>
      </c>
    </row>
    <row r="58" spans="3:8" x14ac:dyDescent="0.2">
      <c r="H58" s="19">
        <f>H56+H57</f>
        <v>76422.081497482941</v>
      </c>
    </row>
    <row r="59" spans="3:8" x14ac:dyDescent="0.2">
      <c r="H59" s="19">
        <f>H58-K19</f>
        <v>0.25195748293481302</v>
      </c>
    </row>
    <row r="60" spans="3:8" x14ac:dyDescent="0.2">
      <c r="C60" s="24" t="s">
        <v>39</v>
      </c>
      <c r="D60" s="27" t="s">
        <v>35</v>
      </c>
      <c r="E60" s="28" t="s">
        <v>40</v>
      </c>
      <c r="F60" s="24" t="s">
        <v>41</v>
      </c>
      <c r="G60" s="30" t="s">
        <v>28</v>
      </c>
      <c r="H60" s="24" t="s">
        <v>42</v>
      </c>
    </row>
    <row r="61" spans="3:8" x14ac:dyDescent="0.2">
      <c r="C61" s="19">
        <v>34138</v>
      </c>
      <c r="D61" s="19">
        <f>D28</f>
        <v>717230</v>
      </c>
      <c r="E61" s="19">
        <v>164</v>
      </c>
      <c r="F61" s="19">
        <f>E61-D61</f>
        <v>-717066</v>
      </c>
      <c r="G61" s="8">
        <v>0.05</v>
      </c>
      <c r="H61" s="19">
        <f>F61*G61</f>
        <v>-35853.300000000003</v>
      </c>
    </row>
    <row r="62" spans="3:8" x14ac:dyDescent="0.2">
      <c r="C62" s="19">
        <v>1726246.5</v>
      </c>
      <c r="E62" s="19">
        <v>7603</v>
      </c>
      <c r="F62" s="19">
        <f>E62</f>
        <v>7603</v>
      </c>
      <c r="G62" s="8">
        <v>0.05</v>
      </c>
      <c r="H62" s="19">
        <f t="shared" ref="H62:H83" si="13">F62*G62</f>
        <v>380.15000000000003</v>
      </c>
    </row>
    <row r="63" spans="3:8" x14ac:dyDescent="0.2">
      <c r="C63" s="19">
        <v>345249.3</v>
      </c>
      <c r="E63" s="19">
        <v>5754.1549999999997</v>
      </c>
      <c r="F63" s="19">
        <f t="shared" ref="F63:F87" si="14">E63</f>
        <v>5754.1549999999997</v>
      </c>
      <c r="G63" s="8">
        <v>0.05</v>
      </c>
      <c r="H63" s="19">
        <f t="shared" si="13"/>
        <v>287.70774999999998</v>
      </c>
    </row>
    <row r="64" spans="3:8" x14ac:dyDescent="0.2">
      <c r="C64" s="19">
        <v>230166.2</v>
      </c>
      <c r="E64" s="19">
        <v>1014</v>
      </c>
      <c r="F64" s="19">
        <f t="shared" si="14"/>
        <v>1014</v>
      </c>
      <c r="G64" s="8">
        <v>0.05</v>
      </c>
      <c r="H64" s="19">
        <f t="shared" si="13"/>
        <v>50.7</v>
      </c>
    </row>
    <row r="65" spans="3:8" x14ac:dyDescent="0.2">
      <c r="C65" s="19">
        <v>32248976.25</v>
      </c>
      <c r="E65" s="19">
        <v>153532</v>
      </c>
      <c r="F65" s="19">
        <f t="shared" si="14"/>
        <v>153532</v>
      </c>
      <c r="G65" s="8">
        <v>0.05</v>
      </c>
      <c r="H65" s="19">
        <f t="shared" si="13"/>
        <v>7676.6</v>
      </c>
    </row>
    <row r="66" spans="3:8" x14ac:dyDescent="0.2">
      <c r="C66" s="19">
        <v>6449795.25</v>
      </c>
      <c r="E66" s="19">
        <v>107496.58750000001</v>
      </c>
      <c r="F66" s="19">
        <f t="shared" si="14"/>
        <v>107496.58750000001</v>
      </c>
      <c r="G66" s="8">
        <v>0.05</v>
      </c>
      <c r="H66" s="19">
        <f t="shared" si="13"/>
        <v>5374.8293750000012</v>
      </c>
    </row>
    <row r="67" spans="3:8" x14ac:dyDescent="0.2">
      <c r="C67" s="19">
        <v>4299863.5</v>
      </c>
      <c r="E67" s="19">
        <v>20471</v>
      </c>
      <c r="F67" s="19">
        <f t="shared" si="14"/>
        <v>20471</v>
      </c>
      <c r="G67" s="8">
        <v>0.05</v>
      </c>
      <c r="H67" s="19">
        <f t="shared" si="13"/>
        <v>1023.5500000000001</v>
      </c>
    </row>
    <row r="68" spans="3:8" x14ac:dyDescent="0.2">
      <c r="C68" s="19">
        <v>192267074.83500001</v>
      </c>
      <c r="E68" s="19">
        <v>915351</v>
      </c>
      <c r="F68" s="19">
        <f t="shared" si="14"/>
        <v>915351</v>
      </c>
      <c r="G68" s="8">
        <v>0.05</v>
      </c>
      <c r="H68" s="19">
        <f t="shared" si="13"/>
        <v>45767.55</v>
      </c>
    </row>
    <row r="69" spans="3:8" x14ac:dyDescent="0.2">
      <c r="C69" s="19">
        <v>38143965.266999997</v>
      </c>
      <c r="E69" s="19">
        <v>635732.75445000001</v>
      </c>
      <c r="F69" s="19">
        <f t="shared" si="14"/>
        <v>635732.75445000001</v>
      </c>
      <c r="G69" s="8">
        <v>0.05</v>
      </c>
      <c r="H69" s="19">
        <f t="shared" si="13"/>
        <v>31786.637722500003</v>
      </c>
    </row>
    <row r="70" spans="3:8" x14ac:dyDescent="0.2">
      <c r="C70" s="19">
        <v>25429310.178000003</v>
      </c>
      <c r="E70" s="19">
        <v>121065</v>
      </c>
      <c r="F70" s="19">
        <f t="shared" si="14"/>
        <v>121065</v>
      </c>
      <c r="G70" s="8">
        <v>0.05</v>
      </c>
      <c r="H70" s="19">
        <f t="shared" si="13"/>
        <v>6053.25</v>
      </c>
    </row>
    <row r="71" spans="3:8" x14ac:dyDescent="0.2">
      <c r="C71" s="19">
        <v>5070051.5025000004</v>
      </c>
      <c r="E71" s="19">
        <v>26098</v>
      </c>
      <c r="F71" s="19">
        <f t="shared" si="14"/>
        <v>26098</v>
      </c>
      <c r="G71" s="8">
        <v>0.05</v>
      </c>
      <c r="H71" s="19">
        <f t="shared" si="13"/>
        <v>1304.9000000000001</v>
      </c>
    </row>
    <row r="72" spans="3:8" x14ac:dyDescent="0.2">
      <c r="C72" s="19">
        <v>1014010.3005</v>
      </c>
      <c r="E72" s="19">
        <v>16900.171675000001</v>
      </c>
      <c r="F72" s="19">
        <f t="shared" si="14"/>
        <v>16900.171675000001</v>
      </c>
      <c r="G72" s="8">
        <v>0.05</v>
      </c>
      <c r="H72" s="19">
        <f t="shared" si="13"/>
        <v>845.00858375000007</v>
      </c>
    </row>
    <row r="73" spans="3:8" x14ac:dyDescent="0.2">
      <c r="C73" s="19">
        <v>676006.86699999997</v>
      </c>
      <c r="E73" s="19">
        <v>3480</v>
      </c>
      <c r="F73" s="19">
        <f t="shared" si="14"/>
        <v>3480</v>
      </c>
      <c r="G73" s="8">
        <v>0.05</v>
      </c>
      <c r="H73" s="19">
        <f t="shared" si="13"/>
        <v>174</v>
      </c>
    </row>
    <row r="74" spans="3:8" x14ac:dyDescent="0.2">
      <c r="C74" s="19">
        <v>7507445.8799999999</v>
      </c>
      <c r="E74" s="19">
        <v>41773</v>
      </c>
      <c r="F74" s="19">
        <f t="shared" si="14"/>
        <v>41773</v>
      </c>
      <c r="G74" s="8">
        <v>0.05</v>
      </c>
      <c r="H74" s="19">
        <f t="shared" si="13"/>
        <v>2088.65</v>
      </c>
    </row>
    <row r="75" spans="3:8" x14ac:dyDescent="0.2">
      <c r="C75" s="19">
        <v>1501489.176</v>
      </c>
      <c r="E75" s="19">
        <v>25024.819599999999</v>
      </c>
      <c r="F75" s="19">
        <f t="shared" si="14"/>
        <v>25024.819599999999</v>
      </c>
      <c r="G75" s="8">
        <v>0.05</v>
      </c>
      <c r="H75" s="19">
        <f t="shared" si="13"/>
        <v>1251.24098</v>
      </c>
    </row>
    <row r="76" spans="3:8" x14ac:dyDescent="0.2">
      <c r="C76" s="19">
        <v>1000992.784</v>
      </c>
      <c r="E76" s="19">
        <v>5570</v>
      </c>
      <c r="F76" s="19">
        <f t="shared" si="14"/>
        <v>5570</v>
      </c>
      <c r="G76" s="8">
        <v>0.05</v>
      </c>
      <c r="H76" s="19">
        <f t="shared" si="13"/>
        <v>278.5</v>
      </c>
    </row>
    <row r="77" spans="3:8" x14ac:dyDescent="0.2">
      <c r="C77" s="19">
        <v>-43813.417499999996</v>
      </c>
      <c r="E77" s="19">
        <v>-244</v>
      </c>
      <c r="F77" s="19">
        <f t="shared" si="14"/>
        <v>-244</v>
      </c>
      <c r="G77" s="8">
        <v>0.05</v>
      </c>
      <c r="H77" s="19">
        <f t="shared" si="13"/>
        <v>-12.200000000000001</v>
      </c>
    </row>
    <row r="78" spans="3:8" x14ac:dyDescent="0.2">
      <c r="C78" s="19">
        <v>-8762.6834999999992</v>
      </c>
      <c r="E78" s="19">
        <v>-146.044725</v>
      </c>
      <c r="F78" s="19">
        <f t="shared" si="14"/>
        <v>-146.044725</v>
      </c>
      <c r="G78" s="8">
        <v>0.05</v>
      </c>
      <c r="H78" s="19">
        <f t="shared" si="13"/>
        <v>-7.30223625</v>
      </c>
    </row>
    <row r="79" spans="3:8" x14ac:dyDescent="0.2">
      <c r="C79" s="19">
        <v>-5841.7890000000007</v>
      </c>
      <c r="E79" s="19">
        <v>-32</v>
      </c>
      <c r="F79" s="19">
        <f t="shared" si="14"/>
        <v>-32</v>
      </c>
      <c r="G79" s="8">
        <v>0.05</v>
      </c>
      <c r="H79" s="19">
        <f t="shared" si="13"/>
        <v>-1.6</v>
      </c>
    </row>
    <row r="80" spans="3:8" x14ac:dyDescent="0.2">
      <c r="C80" s="19">
        <v>58590.080000000002</v>
      </c>
      <c r="E80" s="19">
        <v>326</v>
      </c>
      <c r="F80" s="19">
        <f t="shared" si="14"/>
        <v>326</v>
      </c>
      <c r="G80" s="8">
        <v>0.05</v>
      </c>
      <c r="H80" s="19">
        <f t="shared" si="13"/>
        <v>16.3</v>
      </c>
    </row>
    <row r="81" spans="3:8" x14ac:dyDescent="0.2">
      <c r="C81" s="19">
        <v>31.56</v>
      </c>
      <c r="E81" s="19">
        <v>9.8625000000000004E-2</v>
      </c>
      <c r="F81" s="19">
        <f t="shared" si="14"/>
        <v>9.8625000000000004E-2</v>
      </c>
      <c r="G81" s="8">
        <v>0.05</v>
      </c>
      <c r="H81" s="19">
        <f t="shared" si="13"/>
        <v>4.9312500000000007E-3</v>
      </c>
    </row>
    <row r="82" spans="3:8" x14ac:dyDescent="0.2">
      <c r="C82" s="19">
        <v>6.3119999999999994</v>
      </c>
      <c r="E82" s="19">
        <v>9.6433333333333329E-2</v>
      </c>
      <c r="F82" s="19">
        <f t="shared" si="14"/>
        <v>9.6433333333333329E-2</v>
      </c>
      <c r="G82" s="8">
        <v>0.05</v>
      </c>
      <c r="H82" s="19">
        <f t="shared" si="13"/>
        <v>4.8216666666666668E-3</v>
      </c>
    </row>
    <row r="83" spans="3:8" x14ac:dyDescent="0.2">
      <c r="C83" s="19">
        <v>4.2080000000000002</v>
      </c>
      <c r="E83" s="48">
        <v>1.315E-2</v>
      </c>
      <c r="F83" s="48">
        <f t="shared" si="14"/>
        <v>1.315E-2</v>
      </c>
      <c r="G83" s="8">
        <v>0.05</v>
      </c>
      <c r="H83" s="48">
        <f t="shared" si="13"/>
        <v>6.575000000000001E-4</v>
      </c>
    </row>
    <row r="84" spans="3:8" x14ac:dyDescent="0.2">
      <c r="C84" s="19">
        <v>38967</v>
      </c>
      <c r="E84" s="48">
        <v>234</v>
      </c>
      <c r="F84" s="48">
        <f t="shared" si="14"/>
        <v>234</v>
      </c>
      <c r="G84" s="8">
        <v>0.05</v>
      </c>
      <c r="H84" s="48">
        <f t="shared" ref="H84:H87" si="15">F84*G84</f>
        <v>11.700000000000001</v>
      </c>
    </row>
    <row r="85" spans="3:8" x14ac:dyDescent="0.2">
      <c r="C85" s="19">
        <v>15571837</v>
      </c>
      <c r="E85" s="48">
        <v>93678</v>
      </c>
      <c r="F85" s="48">
        <f t="shared" si="14"/>
        <v>93678</v>
      </c>
      <c r="G85" s="8">
        <v>0.05</v>
      </c>
      <c r="H85" s="48">
        <f t="shared" si="15"/>
        <v>4683.9000000000005</v>
      </c>
    </row>
    <row r="86" spans="3:8" x14ac:dyDescent="0.2">
      <c r="C86" s="19">
        <v>3114367</v>
      </c>
      <c r="E86" s="48">
        <v>51906</v>
      </c>
      <c r="F86" s="48">
        <f t="shared" si="14"/>
        <v>51906</v>
      </c>
      <c r="G86" s="8">
        <v>0.05</v>
      </c>
      <c r="H86" s="48">
        <f t="shared" si="15"/>
        <v>2595.3000000000002</v>
      </c>
    </row>
    <row r="87" spans="3:8" ht="15" x14ac:dyDescent="0.35">
      <c r="C87" s="19">
        <v>2076245</v>
      </c>
      <c r="E87" s="33">
        <v>12490</v>
      </c>
      <c r="F87" s="33">
        <f t="shared" si="14"/>
        <v>12490</v>
      </c>
      <c r="G87" s="8">
        <v>0.05</v>
      </c>
      <c r="H87" s="33">
        <f t="shared" si="15"/>
        <v>624.5</v>
      </c>
    </row>
    <row r="88" spans="3:8" x14ac:dyDescent="0.2">
      <c r="E88" s="19">
        <f>SUM(E61:E87)</f>
        <v>2245241.6517083338</v>
      </c>
      <c r="F88" s="19">
        <f>SUM(F61:F87)</f>
        <v>1528011.6517083338</v>
      </c>
      <c r="H88" s="19">
        <f>SUM(H61:H87)</f>
        <v>76400.582585416661</v>
      </c>
    </row>
    <row r="89" spans="3:8" x14ac:dyDescent="0.2">
      <c r="H89" s="19">
        <f>H88-L19</f>
        <v>5.6585416663438082E-2</v>
      </c>
    </row>
  </sheetData>
  <pageMargins left="0.7" right="0.7" top="1.15625" bottom="0.75" header="0.3" footer="0.3"/>
  <pageSetup scale="75" orientation="portrait" r:id="rId1"/>
  <headerFooter>
    <oddHeader>&amp;R&amp;"Times New Roman,Bold"&amp;12Attachment to Response to Question 3
Page 8 of 9
Williams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P19"/>
  <sheetViews>
    <sheetView topLeftCell="A7" zoomScaleNormal="100" workbookViewId="0">
      <selection activeCell="M26" sqref="M26"/>
    </sheetView>
  </sheetViews>
  <sheetFormatPr defaultRowHeight="12.75" x14ac:dyDescent="0.2"/>
  <cols>
    <col min="1" max="1" width="11.28515625" style="3" customWidth="1"/>
    <col min="2" max="2" width="1.7109375" customWidth="1"/>
    <col min="3" max="3" width="12.7109375" customWidth="1"/>
    <col min="4" max="4" width="14.28515625" bestFit="1" customWidth="1"/>
    <col min="5" max="8" width="14.28515625" customWidth="1"/>
    <col min="9" max="12" width="12.7109375" customWidth="1"/>
    <col min="13" max="13" width="16.5703125" bestFit="1" customWidth="1"/>
    <col min="14" max="14" width="12.7109375" customWidth="1"/>
    <col min="15" max="15" width="10.28515625" bestFit="1" customWidth="1"/>
  </cols>
  <sheetData>
    <row r="1" spans="1:16" x14ac:dyDescent="0.2">
      <c r="A1" s="12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6" x14ac:dyDescent="0.2">
      <c r="A2" s="12" t="s">
        <v>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6" x14ac:dyDescent="0.2">
      <c r="A3" s="13" t="s">
        <v>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6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4"/>
    </row>
    <row r="5" spans="1:16" x14ac:dyDescent="0.2">
      <c r="A5" s="9" t="s">
        <v>10</v>
      </c>
    </row>
    <row r="6" spans="1:16" x14ac:dyDescent="0.2">
      <c r="A6" s="11" t="s">
        <v>9</v>
      </c>
    </row>
    <row r="8" spans="1:16" s="6" customFormat="1" ht="38.25" x14ac:dyDescent="0.2">
      <c r="A8" s="4" t="s">
        <v>0</v>
      </c>
      <c r="B8" s="5"/>
      <c r="C8" s="5" t="s">
        <v>1</v>
      </c>
      <c r="D8" s="5" t="s">
        <v>2</v>
      </c>
      <c r="E8" s="5" t="s">
        <v>23</v>
      </c>
      <c r="F8" s="5" t="s">
        <v>24</v>
      </c>
      <c r="G8" s="5" t="s">
        <v>25</v>
      </c>
      <c r="H8" s="5" t="s">
        <v>26</v>
      </c>
      <c r="I8" s="5" t="s">
        <v>27</v>
      </c>
      <c r="J8" s="5" t="s">
        <v>28</v>
      </c>
      <c r="K8" s="5" t="s">
        <v>29</v>
      </c>
      <c r="L8" s="5" t="s">
        <v>30</v>
      </c>
      <c r="M8" s="5" t="s">
        <v>3</v>
      </c>
      <c r="N8" s="5" t="s">
        <v>4</v>
      </c>
    </row>
    <row r="9" spans="1:16" x14ac:dyDescent="0.2">
      <c r="A9" s="3" t="s">
        <v>8</v>
      </c>
      <c r="M9" s="10">
        <v>914931</v>
      </c>
    </row>
    <row r="10" spans="1:16" x14ac:dyDescent="0.2">
      <c r="A10" s="42">
        <v>42987</v>
      </c>
      <c r="C10" s="7">
        <v>9031671</v>
      </c>
      <c r="D10" s="15">
        <v>8705</v>
      </c>
      <c r="E10" s="15">
        <f>36715-283</f>
        <v>36432</v>
      </c>
      <c r="F10" s="15">
        <v>36712.959999999999</v>
      </c>
      <c r="G10" s="7">
        <f t="shared" ref="G10:G15" si="0">E10-D10</f>
        <v>27727</v>
      </c>
      <c r="H10" s="7">
        <f t="shared" ref="H10:H15" si="1">F10-D10</f>
        <v>28007.96</v>
      </c>
      <c r="I10" s="8">
        <v>0.35</v>
      </c>
      <c r="J10" s="8">
        <v>0.06</v>
      </c>
      <c r="K10" s="7">
        <f t="shared" ref="K10:K15" si="2">G10*I10-L10*I10</f>
        <v>9116.2828399999999</v>
      </c>
      <c r="L10" s="7">
        <f t="shared" ref="L10:L15" si="3">H10*J10</f>
        <v>1680.4775999999999</v>
      </c>
      <c r="M10" s="7">
        <f t="shared" ref="M10:M15" si="4">M9+K10+L10</f>
        <v>925727.76043999998</v>
      </c>
      <c r="N10" s="7">
        <v>0</v>
      </c>
      <c r="O10" s="17"/>
      <c r="P10" s="19"/>
    </row>
    <row r="11" spans="1:16" x14ac:dyDescent="0.2">
      <c r="A11" s="43">
        <v>43009</v>
      </c>
      <c r="C11" s="7">
        <v>9031671</v>
      </c>
      <c r="D11" s="15">
        <v>8705</v>
      </c>
      <c r="E11" s="15">
        <v>36715</v>
      </c>
      <c r="F11" s="15">
        <v>36712.959999999999</v>
      </c>
      <c r="G11" s="7">
        <f t="shared" si="0"/>
        <v>28010</v>
      </c>
      <c r="H11" s="7">
        <f t="shared" si="1"/>
        <v>28007.96</v>
      </c>
      <c r="I11" s="8">
        <v>0.35</v>
      </c>
      <c r="J11" s="8">
        <v>0.06</v>
      </c>
      <c r="K11" s="7">
        <f t="shared" si="2"/>
        <v>9215.3328399999991</v>
      </c>
      <c r="L11" s="7">
        <f t="shared" si="3"/>
        <v>1680.4775999999999</v>
      </c>
      <c r="M11" s="24">
        <f t="shared" si="4"/>
        <v>936623.57088000001</v>
      </c>
      <c r="N11" s="7">
        <v>0</v>
      </c>
      <c r="O11" s="17"/>
      <c r="P11" s="19"/>
    </row>
    <row r="12" spans="1:16" x14ac:dyDescent="0.2">
      <c r="A12" s="43">
        <v>43040</v>
      </c>
      <c r="C12" s="7">
        <v>9031671</v>
      </c>
      <c r="D12" s="15">
        <v>8705</v>
      </c>
      <c r="E12" s="15">
        <v>36715</v>
      </c>
      <c r="F12" s="15">
        <v>36712.959999999999</v>
      </c>
      <c r="G12" s="7">
        <f t="shared" si="0"/>
        <v>28010</v>
      </c>
      <c r="H12" s="7">
        <f t="shared" si="1"/>
        <v>28007.96</v>
      </c>
      <c r="I12" s="8">
        <v>0.35</v>
      </c>
      <c r="J12" s="8">
        <v>0.06</v>
      </c>
      <c r="K12" s="7">
        <f t="shared" si="2"/>
        <v>9215.3328399999991</v>
      </c>
      <c r="L12" s="7">
        <f t="shared" si="3"/>
        <v>1680.4775999999999</v>
      </c>
      <c r="M12" s="7">
        <f t="shared" si="4"/>
        <v>947519.38132000004</v>
      </c>
      <c r="N12" s="7">
        <v>0</v>
      </c>
      <c r="O12" s="23"/>
      <c r="P12" s="19"/>
    </row>
    <row r="13" spans="1:16" x14ac:dyDescent="0.2">
      <c r="A13" s="43">
        <v>43070</v>
      </c>
      <c r="C13" s="7">
        <v>9031671</v>
      </c>
      <c r="D13" s="15">
        <v>8705</v>
      </c>
      <c r="E13" s="15">
        <v>36715</v>
      </c>
      <c r="F13" s="15">
        <v>36712.959999999999</v>
      </c>
      <c r="G13" s="7">
        <f t="shared" si="0"/>
        <v>28010</v>
      </c>
      <c r="H13" s="7">
        <f t="shared" si="1"/>
        <v>28007.96</v>
      </c>
      <c r="I13" s="8">
        <v>0.35</v>
      </c>
      <c r="J13" s="8">
        <v>0.06</v>
      </c>
      <c r="K13" s="7">
        <f t="shared" si="2"/>
        <v>9215.3328399999991</v>
      </c>
      <c r="L13" s="7">
        <f t="shared" si="3"/>
        <v>1680.4775999999999</v>
      </c>
      <c r="M13" s="7">
        <f t="shared" si="4"/>
        <v>958415.19176000007</v>
      </c>
      <c r="N13" s="7">
        <v>0</v>
      </c>
      <c r="O13" s="23"/>
      <c r="P13" s="19"/>
    </row>
    <row r="14" spans="1:16" x14ac:dyDescent="0.2">
      <c r="A14" s="43">
        <v>43101</v>
      </c>
      <c r="C14" s="7">
        <v>9031671</v>
      </c>
      <c r="D14" s="15">
        <v>8705</v>
      </c>
      <c r="E14" s="15">
        <v>33964</v>
      </c>
      <c r="F14" s="15">
        <f>33964.08</f>
        <v>33964.080000000002</v>
      </c>
      <c r="G14" s="7">
        <f t="shared" si="0"/>
        <v>25259</v>
      </c>
      <c r="H14" s="7">
        <f t="shared" si="1"/>
        <v>25259.08</v>
      </c>
      <c r="I14" s="8">
        <v>0.21</v>
      </c>
      <c r="J14" s="8">
        <v>0.06</v>
      </c>
      <c r="K14" s="7">
        <f t="shared" si="2"/>
        <v>4986.1255919999994</v>
      </c>
      <c r="L14" s="7">
        <f t="shared" si="3"/>
        <v>1515.5448000000001</v>
      </c>
      <c r="M14" s="7">
        <f t="shared" si="4"/>
        <v>964916.86215200007</v>
      </c>
      <c r="N14" s="7">
        <v>0</v>
      </c>
      <c r="O14" s="7"/>
      <c r="P14" s="19"/>
    </row>
    <row r="15" spans="1:16" x14ac:dyDescent="0.2">
      <c r="A15" s="43">
        <v>43132</v>
      </c>
      <c r="C15" s="7">
        <v>9031671</v>
      </c>
      <c r="D15" s="15">
        <v>8705</v>
      </c>
      <c r="E15" s="15">
        <v>33964</v>
      </c>
      <c r="F15" s="15">
        <f>33964.08</f>
        <v>33964.080000000002</v>
      </c>
      <c r="G15" s="7">
        <f t="shared" si="0"/>
        <v>25259</v>
      </c>
      <c r="H15" s="7">
        <f t="shared" si="1"/>
        <v>25259.08</v>
      </c>
      <c r="I15" s="8">
        <v>0.21</v>
      </c>
      <c r="J15" s="8">
        <v>0.06</v>
      </c>
      <c r="K15" s="7">
        <f t="shared" si="2"/>
        <v>4986.1255919999994</v>
      </c>
      <c r="L15" s="7">
        <f t="shared" si="3"/>
        <v>1515.5448000000001</v>
      </c>
      <c r="M15" s="7">
        <f t="shared" si="4"/>
        <v>971418.53254400007</v>
      </c>
      <c r="N15" s="7">
        <v>0</v>
      </c>
      <c r="P15" s="19"/>
    </row>
    <row r="16" spans="1:16" x14ac:dyDescent="0.2">
      <c r="A16" s="1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">
      <c r="A17" s="55" t="s">
        <v>61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x14ac:dyDescent="0.2">
      <c r="A18" s="43">
        <v>43101</v>
      </c>
      <c r="C18" s="7">
        <v>9031671</v>
      </c>
      <c r="D18" s="15">
        <v>8705</v>
      </c>
      <c r="E18" s="15">
        <v>33964</v>
      </c>
      <c r="F18" s="15">
        <f>33964.08</f>
        <v>33964.080000000002</v>
      </c>
      <c r="G18" s="7">
        <f t="shared" ref="G18:G19" si="5">E18-D18</f>
        <v>25259</v>
      </c>
      <c r="H18" s="7">
        <f t="shared" ref="H18:H19" si="6">F18-D18</f>
        <v>25259.08</v>
      </c>
      <c r="I18" s="8">
        <v>0.21</v>
      </c>
      <c r="J18" s="8">
        <v>0.05</v>
      </c>
      <c r="K18" s="7">
        <f t="shared" ref="K18:K19" si="7">G18*I18-L18*I18</f>
        <v>5039.1696599999996</v>
      </c>
      <c r="L18" s="7">
        <f t="shared" ref="L18:L19" si="8">H18*J18</f>
        <v>1262.9540000000002</v>
      </c>
      <c r="M18" s="7">
        <f>M13+K18+L18</f>
        <v>964717.31542000012</v>
      </c>
      <c r="N18" s="7">
        <v>0</v>
      </c>
    </row>
    <row r="19" spans="1:14" x14ac:dyDescent="0.2">
      <c r="A19" s="43">
        <v>43132</v>
      </c>
      <c r="C19" s="7">
        <v>9031671</v>
      </c>
      <c r="D19" s="15">
        <v>8705</v>
      </c>
      <c r="E19" s="15">
        <v>33964</v>
      </c>
      <c r="F19" s="15">
        <f>33964.08</f>
        <v>33964.080000000002</v>
      </c>
      <c r="G19" s="7">
        <f t="shared" si="5"/>
        <v>25259</v>
      </c>
      <c r="H19" s="7">
        <f t="shared" si="6"/>
        <v>25259.08</v>
      </c>
      <c r="I19" s="8">
        <v>0.21</v>
      </c>
      <c r="J19" s="8">
        <v>0.05</v>
      </c>
      <c r="K19" s="7">
        <f t="shared" si="7"/>
        <v>5039.1696599999996</v>
      </c>
      <c r="L19" s="7">
        <f t="shared" si="8"/>
        <v>1262.9540000000002</v>
      </c>
      <c r="M19" s="7">
        <f t="shared" ref="M19" si="9">M18+K19+L19</f>
        <v>971019.43908000016</v>
      </c>
      <c r="N19" s="7">
        <v>0</v>
      </c>
    </row>
  </sheetData>
  <pageMargins left="0.7" right="0.7" top="1.15625" bottom="0.75" header="0.3" footer="0.3"/>
  <pageSetup scale="75" orientation="portrait" r:id="rId1"/>
  <headerFooter>
    <oddHeader>&amp;R&amp;"Times New Roman,Bold"&amp;12Attachment to Response to Question 3
Page 8 of 9
Williams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opLeftCell="A2" zoomScaleNormal="100" workbookViewId="0">
      <selection activeCell="M26" sqref="M26"/>
    </sheetView>
  </sheetViews>
  <sheetFormatPr defaultRowHeight="12.75" x14ac:dyDescent="0.2"/>
  <cols>
    <col min="1" max="1" width="11.28515625" style="3" customWidth="1"/>
    <col min="2" max="2" width="1.7109375" customWidth="1"/>
    <col min="3" max="3" width="14" customWidth="1"/>
    <col min="4" max="4" width="14.28515625" bestFit="1" customWidth="1"/>
    <col min="5" max="5" width="17.140625" customWidth="1"/>
    <col min="6" max="6" width="15.28515625" customWidth="1"/>
    <col min="7" max="8" width="14.28515625" customWidth="1"/>
    <col min="9" max="12" width="12.7109375" customWidth="1"/>
    <col min="13" max="13" width="16.5703125" bestFit="1" customWidth="1"/>
    <col min="14" max="14" width="12.7109375" customWidth="1"/>
    <col min="15" max="15" width="11.28515625" bestFit="1" customWidth="1"/>
  </cols>
  <sheetData>
    <row r="1" spans="1:16" x14ac:dyDescent="0.2">
      <c r="A1" s="12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6" x14ac:dyDescent="0.2">
      <c r="A2" s="12" t="s">
        <v>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6" x14ac:dyDescent="0.2">
      <c r="A3" s="13" t="s">
        <v>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6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4"/>
    </row>
    <row r="5" spans="1:16" x14ac:dyDescent="0.2">
      <c r="A5" s="9" t="s">
        <v>10</v>
      </c>
    </row>
    <row r="6" spans="1:16" x14ac:dyDescent="0.2">
      <c r="A6" s="11" t="s">
        <v>18</v>
      </c>
    </row>
    <row r="8" spans="1:16" s="6" customFormat="1" ht="38.25" x14ac:dyDescent="0.2">
      <c r="A8" s="4" t="s">
        <v>0</v>
      </c>
      <c r="B8" s="5"/>
      <c r="C8" s="5" t="s">
        <v>1</v>
      </c>
      <c r="D8" s="5" t="s">
        <v>2</v>
      </c>
      <c r="E8" s="5" t="s">
        <v>23</v>
      </c>
      <c r="F8" s="5" t="s">
        <v>24</v>
      </c>
      <c r="G8" s="5" t="s">
        <v>25</v>
      </c>
      <c r="H8" s="5" t="s">
        <v>26</v>
      </c>
      <c r="I8" s="5" t="s">
        <v>27</v>
      </c>
      <c r="J8" s="5" t="s">
        <v>28</v>
      </c>
      <c r="K8" s="5" t="s">
        <v>29</v>
      </c>
      <c r="L8" s="5" t="s">
        <v>30</v>
      </c>
      <c r="M8" s="5" t="s">
        <v>3</v>
      </c>
      <c r="N8" s="5" t="s">
        <v>4</v>
      </c>
    </row>
    <row r="9" spans="1:16" x14ac:dyDescent="0.2">
      <c r="A9" s="3" t="s">
        <v>8</v>
      </c>
      <c r="M9" s="10">
        <v>706311</v>
      </c>
    </row>
    <row r="10" spans="1:16" x14ac:dyDescent="0.2">
      <c r="A10" s="42">
        <v>42987</v>
      </c>
      <c r="C10" s="7">
        <v>3760136</v>
      </c>
      <c r="D10" s="15">
        <v>7390</v>
      </c>
      <c r="E10" s="15">
        <v>10461</v>
      </c>
      <c r="F10" s="15">
        <v>20922.03</v>
      </c>
      <c r="G10" s="7">
        <f t="shared" ref="G10:G15" si="0">E10-D10</f>
        <v>3071</v>
      </c>
      <c r="H10" s="7">
        <f t="shared" ref="H10:H15" si="1">F10-D10</f>
        <v>13532.029999999999</v>
      </c>
      <c r="I10" s="8">
        <v>0.35</v>
      </c>
      <c r="J10" s="8">
        <v>0.06</v>
      </c>
      <c r="K10" s="7">
        <f t="shared" ref="K10:K15" si="2">G10*I10-L10*I10</f>
        <v>790.67737</v>
      </c>
      <c r="L10" s="7">
        <f t="shared" ref="L10:L15" si="3">H10*J10</f>
        <v>811.92179999999985</v>
      </c>
      <c r="M10" s="7">
        <f t="shared" ref="M10:M15" si="4">M9+K10+L10</f>
        <v>707913.59917000006</v>
      </c>
      <c r="N10" s="7">
        <v>0</v>
      </c>
      <c r="O10" s="17"/>
      <c r="P10" s="19"/>
    </row>
    <row r="11" spans="1:16" x14ac:dyDescent="0.2">
      <c r="A11" s="43">
        <v>43009</v>
      </c>
      <c r="C11" s="7">
        <v>3760136</v>
      </c>
      <c r="D11" s="15">
        <v>7390</v>
      </c>
      <c r="E11" s="15">
        <v>10461</v>
      </c>
      <c r="F11" s="15">
        <v>20922.03</v>
      </c>
      <c r="G11" s="7">
        <f t="shared" si="0"/>
        <v>3071</v>
      </c>
      <c r="H11" s="7">
        <f t="shared" si="1"/>
        <v>13532.029999999999</v>
      </c>
      <c r="I11" s="8">
        <v>0.35</v>
      </c>
      <c r="J11" s="8">
        <v>0.06</v>
      </c>
      <c r="K11" s="7">
        <f t="shared" si="2"/>
        <v>790.67737</v>
      </c>
      <c r="L11" s="7">
        <f t="shared" si="3"/>
        <v>811.92179999999985</v>
      </c>
      <c r="M11" s="24">
        <f t="shared" si="4"/>
        <v>709516.19834000012</v>
      </c>
      <c r="N11" s="7">
        <v>0</v>
      </c>
      <c r="O11" s="17"/>
      <c r="P11" s="19"/>
    </row>
    <row r="12" spans="1:16" x14ac:dyDescent="0.2">
      <c r="A12" s="43">
        <v>43040</v>
      </c>
      <c r="C12" s="7">
        <v>3760136</v>
      </c>
      <c r="D12" s="15">
        <v>7390</v>
      </c>
      <c r="E12" s="15">
        <v>10461</v>
      </c>
      <c r="F12" s="15">
        <v>20922.03</v>
      </c>
      <c r="G12" s="7">
        <f t="shared" si="0"/>
        <v>3071</v>
      </c>
      <c r="H12" s="7">
        <f t="shared" si="1"/>
        <v>13532.029999999999</v>
      </c>
      <c r="I12" s="8">
        <v>0.35</v>
      </c>
      <c r="J12" s="8">
        <v>0.06</v>
      </c>
      <c r="K12" s="7">
        <f t="shared" si="2"/>
        <v>790.67737</v>
      </c>
      <c r="L12" s="7">
        <f t="shared" si="3"/>
        <v>811.92179999999985</v>
      </c>
      <c r="M12" s="7">
        <f t="shared" si="4"/>
        <v>711118.79751000018</v>
      </c>
      <c r="N12" s="7">
        <v>0</v>
      </c>
      <c r="O12" s="23"/>
      <c r="P12" s="19"/>
    </row>
    <row r="13" spans="1:16" x14ac:dyDescent="0.2">
      <c r="A13" s="43">
        <v>43070</v>
      </c>
      <c r="C13" s="7">
        <v>4907957</v>
      </c>
      <c r="D13" s="15">
        <v>7390</v>
      </c>
      <c r="E13" s="15">
        <v>10461</v>
      </c>
      <c r="F13" s="15">
        <v>20922.03</v>
      </c>
      <c r="G13" s="7">
        <f t="shared" si="0"/>
        <v>3071</v>
      </c>
      <c r="H13" s="7">
        <f t="shared" si="1"/>
        <v>13532.029999999999</v>
      </c>
      <c r="I13" s="8">
        <v>0.35</v>
      </c>
      <c r="J13" s="8">
        <v>0.06</v>
      </c>
      <c r="K13" s="7">
        <f t="shared" si="2"/>
        <v>790.67737</v>
      </c>
      <c r="L13" s="7">
        <f t="shared" si="3"/>
        <v>811.92179999999985</v>
      </c>
      <c r="M13" s="7">
        <f t="shared" si="4"/>
        <v>712721.39668000024</v>
      </c>
      <c r="N13" s="7">
        <v>0</v>
      </c>
      <c r="O13" s="23"/>
      <c r="P13" s="19"/>
    </row>
    <row r="14" spans="1:16" x14ac:dyDescent="0.2">
      <c r="A14" s="43">
        <v>43101</v>
      </c>
      <c r="C14" s="7">
        <v>4907957</v>
      </c>
      <c r="D14" s="15">
        <v>7390</v>
      </c>
      <c r="E14" s="15">
        <v>9678</v>
      </c>
      <c r="F14" s="15">
        <f>19355.3</f>
        <v>19355.3</v>
      </c>
      <c r="G14" s="7">
        <f t="shared" si="0"/>
        <v>2288</v>
      </c>
      <c r="H14" s="7">
        <f t="shared" si="1"/>
        <v>11965.3</v>
      </c>
      <c r="I14" s="8">
        <v>0.21</v>
      </c>
      <c r="J14" s="8">
        <v>0.06</v>
      </c>
      <c r="K14" s="7">
        <f t="shared" si="2"/>
        <v>329.71722</v>
      </c>
      <c r="L14" s="7">
        <f t="shared" si="3"/>
        <v>717.91799999999989</v>
      </c>
      <c r="M14" s="7">
        <f t="shared" si="4"/>
        <v>713769.03190000018</v>
      </c>
      <c r="N14" s="7">
        <v>0</v>
      </c>
      <c r="O14" s="7"/>
      <c r="P14" s="19"/>
    </row>
    <row r="15" spans="1:16" x14ac:dyDescent="0.2">
      <c r="A15" s="43">
        <v>43132</v>
      </c>
      <c r="C15" s="7">
        <v>4907957</v>
      </c>
      <c r="D15" s="15">
        <v>7390</v>
      </c>
      <c r="E15" s="15">
        <v>9678</v>
      </c>
      <c r="F15" s="15">
        <f>19355.3</f>
        <v>19355.3</v>
      </c>
      <c r="G15" s="7">
        <f t="shared" si="0"/>
        <v>2288</v>
      </c>
      <c r="H15" s="7">
        <f t="shared" si="1"/>
        <v>11965.3</v>
      </c>
      <c r="I15" s="8">
        <v>0.21</v>
      </c>
      <c r="J15" s="8">
        <v>0.06</v>
      </c>
      <c r="K15" s="7">
        <f t="shared" si="2"/>
        <v>329.71722</v>
      </c>
      <c r="L15" s="7">
        <f t="shared" si="3"/>
        <v>717.91799999999989</v>
      </c>
      <c r="M15" s="7">
        <f t="shared" si="4"/>
        <v>714816.66712000011</v>
      </c>
      <c r="N15" s="7">
        <v>0</v>
      </c>
      <c r="P15" s="19"/>
    </row>
    <row r="16" spans="1:16" x14ac:dyDescent="0.2">
      <c r="A16" s="1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">
      <c r="A17" s="55" t="s">
        <v>61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x14ac:dyDescent="0.2">
      <c r="A18" s="43">
        <v>43101</v>
      </c>
      <c r="C18" s="7">
        <v>4907957</v>
      </c>
      <c r="D18" s="15">
        <v>7390</v>
      </c>
      <c r="E18" s="15">
        <v>9678</v>
      </c>
      <c r="F18" s="15">
        <f>19355.3</f>
        <v>19355.3</v>
      </c>
      <c r="G18" s="7">
        <f t="shared" ref="G18:G19" si="5">E18-D18</f>
        <v>2288</v>
      </c>
      <c r="H18" s="7">
        <f t="shared" ref="H18:H19" si="6">F18-D18</f>
        <v>11965.3</v>
      </c>
      <c r="I18" s="8">
        <v>0.21</v>
      </c>
      <c r="J18" s="8">
        <v>0.05</v>
      </c>
      <c r="K18" s="7">
        <f t="shared" ref="K18:K19" si="7">G18*I18-L18*I18</f>
        <v>354.84434999999996</v>
      </c>
      <c r="L18" s="7">
        <f t="shared" ref="L18:L19" si="8">H18*J18</f>
        <v>598.26499999999999</v>
      </c>
      <c r="M18" s="7">
        <f>M13+K18+L18</f>
        <v>713674.50603000028</v>
      </c>
      <c r="N18" s="7">
        <v>0</v>
      </c>
    </row>
    <row r="19" spans="1:14" x14ac:dyDescent="0.2">
      <c r="A19" s="43">
        <v>43132</v>
      </c>
      <c r="C19" s="7">
        <v>4907957</v>
      </c>
      <c r="D19" s="15">
        <v>7390</v>
      </c>
      <c r="E19" s="15">
        <v>9678</v>
      </c>
      <c r="F19" s="15">
        <f>19355.3</f>
        <v>19355.3</v>
      </c>
      <c r="G19" s="7">
        <f t="shared" si="5"/>
        <v>2288</v>
      </c>
      <c r="H19" s="7">
        <f t="shared" si="6"/>
        <v>11965.3</v>
      </c>
      <c r="I19" s="8">
        <v>0.21</v>
      </c>
      <c r="J19" s="8">
        <v>0.05</v>
      </c>
      <c r="K19" s="7">
        <f t="shared" si="7"/>
        <v>354.84434999999996</v>
      </c>
      <c r="L19" s="7">
        <f t="shared" si="8"/>
        <v>598.26499999999999</v>
      </c>
      <c r="M19" s="7">
        <f t="shared" ref="M19" si="9">M18+K19+L19</f>
        <v>714627.61538000032</v>
      </c>
      <c r="N19" s="7">
        <v>0</v>
      </c>
    </row>
    <row r="20" spans="1:14" x14ac:dyDescent="0.2">
      <c r="A20" s="1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x14ac:dyDescent="0.2">
      <c r="A21" s="1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x14ac:dyDescent="0.2">
      <c r="C22" s="26" t="s">
        <v>48</v>
      </c>
    </row>
    <row r="23" spans="1:14" x14ac:dyDescent="0.2">
      <c r="C23" s="26" t="s">
        <v>31</v>
      </c>
    </row>
    <row r="24" spans="1:14" x14ac:dyDescent="0.2">
      <c r="C24" s="26" t="s">
        <v>55</v>
      </c>
    </row>
    <row r="25" spans="1:14" x14ac:dyDescent="0.2">
      <c r="C25" s="24" t="s">
        <v>32</v>
      </c>
    </row>
    <row r="27" spans="1:14" x14ac:dyDescent="0.2">
      <c r="C27" s="24" t="s">
        <v>34</v>
      </c>
      <c r="D27" s="29" t="s">
        <v>35</v>
      </c>
      <c r="E27" s="28" t="s">
        <v>36</v>
      </c>
      <c r="F27" s="24" t="s">
        <v>37</v>
      </c>
      <c r="G27" s="30" t="s">
        <v>27</v>
      </c>
      <c r="H27" s="24" t="s">
        <v>38</v>
      </c>
    </row>
    <row r="28" spans="1:14" x14ac:dyDescent="0.2">
      <c r="C28" s="7">
        <v>1880068.145</v>
      </c>
      <c r="D28" s="7">
        <v>7390</v>
      </c>
      <c r="E28" s="7">
        <v>9678</v>
      </c>
      <c r="F28" s="7">
        <f>E28-D28</f>
        <v>2288</v>
      </c>
      <c r="G28" s="8">
        <v>0.21</v>
      </c>
      <c r="H28" s="7">
        <f>F28*G28</f>
        <v>480.47999999999996</v>
      </c>
    </row>
    <row r="29" spans="1:14" ht="15" x14ac:dyDescent="0.35">
      <c r="G29" s="34" t="s">
        <v>44</v>
      </c>
      <c r="H29" s="32">
        <f>-H33*0.21</f>
        <v>-125.63249999999999</v>
      </c>
    </row>
    <row r="30" spans="1:14" x14ac:dyDescent="0.2">
      <c r="H30" s="7">
        <f>H28+H29</f>
        <v>354.84749999999997</v>
      </c>
    </row>
    <row r="31" spans="1:14" x14ac:dyDescent="0.2">
      <c r="H31" s="7">
        <f>H30-K19</f>
        <v>3.1500000000050932E-3</v>
      </c>
    </row>
    <row r="32" spans="1:14" x14ac:dyDescent="0.2">
      <c r="C32" s="24" t="s">
        <v>39</v>
      </c>
      <c r="D32" s="27" t="s">
        <v>35</v>
      </c>
      <c r="E32" s="28" t="s">
        <v>40</v>
      </c>
      <c r="F32" s="24" t="s">
        <v>41</v>
      </c>
      <c r="G32" s="30" t="s">
        <v>28</v>
      </c>
      <c r="H32" s="24" t="s">
        <v>42</v>
      </c>
    </row>
    <row r="33" spans="3:8" x14ac:dyDescent="0.2">
      <c r="C33" s="7">
        <v>3760136.29</v>
      </c>
      <c r="D33" s="7">
        <f>D28</f>
        <v>7390</v>
      </c>
      <c r="E33" s="7">
        <v>19355</v>
      </c>
      <c r="F33" s="7">
        <f>E33-D33</f>
        <v>11965</v>
      </c>
      <c r="G33" s="8">
        <v>0.05</v>
      </c>
      <c r="H33" s="7">
        <f>F33*G33</f>
        <v>598.25</v>
      </c>
    </row>
    <row r="34" spans="3:8" x14ac:dyDescent="0.2">
      <c r="H34" s="7">
        <f>H33-L19</f>
        <v>-1.4999999999986358E-2</v>
      </c>
    </row>
  </sheetData>
  <pageMargins left="0.7" right="0.7" top="1.15625" bottom="0.75" header="0.3" footer="0.3"/>
  <pageSetup scale="75" orientation="portrait" r:id="rId1"/>
  <headerFooter>
    <oddHeader>&amp;R&amp;"Times New Roman,Bold"&amp;12Attachment to Response to Question 3
Page 8 of 9
Williams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P38"/>
  <sheetViews>
    <sheetView zoomScaleNormal="100" workbookViewId="0">
      <selection activeCell="M25" sqref="M25"/>
    </sheetView>
  </sheetViews>
  <sheetFormatPr defaultRowHeight="12.75" x14ac:dyDescent="0.2"/>
  <cols>
    <col min="1" max="1" width="11.28515625" style="3" customWidth="1"/>
    <col min="2" max="2" width="1.7109375" customWidth="1"/>
    <col min="3" max="3" width="14.7109375" customWidth="1"/>
    <col min="4" max="4" width="14.28515625" bestFit="1" customWidth="1"/>
    <col min="5" max="5" width="16.7109375" customWidth="1"/>
    <col min="6" max="6" width="15" customWidth="1"/>
    <col min="7" max="8" width="14.28515625" customWidth="1"/>
    <col min="9" max="12" width="12.7109375" customWidth="1"/>
    <col min="13" max="13" width="16.5703125" bestFit="1" customWidth="1"/>
    <col min="14" max="14" width="12.7109375" customWidth="1"/>
    <col min="15" max="15" width="11.28515625" bestFit="1" customWidth="1"/>
  </cols>
  <sheetData>
    <row r="1" spans="1:16" x14ac:dyDescent="0.2">
      <c r="A1" s="12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6" x14ac:dyDescent="0.2">
      <c r="A2" s="12" t="s">
        <v>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6" x14ac:dyDescent="0.2">
      <c r="A3" s="13" t="s">
        <v>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6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4"/>
    </row>
    <row r="5" spans="1:16" x14ac:dyDescent="0.2">
      <c r="A5" s="9" t="s">
        <v>10</v>
      </c>
    </row>
    <row r="6" spans="1:16" x14ac:dyDescent="0.2">
      <c r="A6" s="11" t="s">
        <v>16</v>
      </c>
    </row>
    <row r="8" spans="1:16" s="6" customFormat="1" ht="38.25" x14ac:dyDescent="0.2">
      <c r="A8" s="4" t="s">
        <v>0</v>
      </c>
      <c r="B8" s="5"/>
      <c r="C8" s="5" t="s">
        <v>1</v>
      </c>
      <c r="D8" s="5" t="s">
        <v>2</v>
      </c>
      <c r="E8" s="5" t="s">
        <v>23</v>
      </c>
      <c r="F8" s="5" t="s">
        <v>24</v>
      </c>
      <c r="G8" s="5" t="s">
        <v>25</v>
      </c>
      <c r="H8" s="5" t="s">
        <v>26</v>
      </c>
      <c r="I8" s="5" t="s">
        <v>27</v>
      </c>
      <c r="J8" s="5" t="s">
        <v>28</v>
      </c>
      <c r="K8" s="5" t="s">
        <v>29</v>
      </c>
      <c r="L8" s="5" t="s">
        <v>30</v>
      </c>
      <c r="M8" s="5" t="s">
        <v>3</v>
      </c>
      <c r="N8" s="5" t="s">
        <v>4</v>
      </c>
    </row>
    <row r="9" spans="1:16" x14ac:dyDescent="0.2">
      <c r="A9" s="3" t="s">
        <v>8</v>
      </c>
      <c r="M9" s="10">
        <v>871286</v>
      </c>
    </row>
    <row r="10" spans="1:16" x14ac:dyDescent="0.2">
      <c r="A10" s="42">
        <v>42987</v>
      </c>
      <c r="C10" s="7">
        <v>4193823</v>
      </c>
      <c r="D10" s="15">
        <v>8033</v>
      </c>
      <c r="E10" s="15">
        <v>9187</v>
      </c>
      <c r="F10" s="15">
        <v>18371</v>
      </c>
      <c r="G10" s="7">
        <f t="shared" ref="G10:G15" si="0">E10-D10</f>
        <v>1154</v>
      </c>
      <c r="H10" s="7">
        <f t="shared" ref="H10:H15" si="1">F10-D10</f>
        <v>10338</v>
      </c>
      <c r="I10" s="8">
        <v>0.35</v>
      </c>
      <c r="J10" s="8">
        <v>0.06</v>
      </c>
      <c r="K10" s="7">
        <f t="shared" ref="K10:K15" si="2">G10*I10-L10*I10</f>
        <v>186.80199999999999</v>
      </c>
      <c r="L10" s="7">
        <f t="shared" ref="L10:L15" si="3">H10*J10</f>
        <v>620.28</v>
      </c>
      <c r="M10" s="7">
        <f t="shared" ref="M10:M15" si="4">M9+K10+L10</f>
        <v>872093.08200000005</v>
      </c>
      <c r="N10" s="7">
        <v>0</v>
      </c>
      <c r="O10" s="20"/>
      <c r="P10" s="19"/>
    </row>
    <row r="11" spans="1:16" x14ac:dyDescent="0.2">
      <c r="A11" s="43">
        <v>43009</v>
      </c>
      <c r="C11" s="7">
        <v>4193823</v>
      </c>
      <c r="D11" s="15">
        <v>8033</v>
      </c>
      <c r="E11" s="15">
        <v>9187</v>
      </c>
      <c r="F11" s="15">
        <v>18371</v>
      </c>
      <c r="G11" s="7">
        <f t="shared" si="0"/>
        <v>1154</v>
      </c>
      <c r="H11" s="7">
        <f t="shared" si="1"/>
        <v>10338</v>
      </c>
      <c r="I11" s="8">
        <v>0.35</v>
      </c>
      <c r="J11" s="8">
        <v>0.06</v>
      </c>
      <c r="K11" s="7">
        <f t="shared" si="2"/>
        <v>186.80199999999999</v>
      </c>
      <c r="L11" s="7">
        <f t="shared" si="3"/>
        <v>620.28</v>
      </c>
      <c r="M11" s="7">
        <f t="shared" si="4"/>
        <v>872900.16400000011</v>
      </c>
      <c r="N11" s="7">
        <v>0</v>
      </c>
      <c r="O11" s="21"/>
      <c r="P11" s="19"/>
    </row>
    <row r="12" spans="1:16" x14ac:dyDescent="0.2">
      <c r="A12" s="43">
        <v>43040</v>
      </c>
      <c r="C12" s="7">
        <v>4193823</v>
      </c>
      <c r="D12" s="15">
        <v>8033</v>
      </c>
      <c r="E12" s="15">
        <v>9187</v>
      </c>
      <c r="F12" s="15">
        <v>18371</v>
      </c>
      <c r="G12" s="7">
        <f t="shared" si="0"/>
        <v>1154</v>
      </c>
      <c r="H12" s="7">
        <f t="shared" si="1"/>
        <v>10338</v>
      </c>
      <c r="I12" s="8">
        <v>0.35</v>
      </c>
      <c r="J12" s="8">
        <v>0.06</v>
      </c>
      <c r="K12" s="7">
        <f t="shared" si="2"/>
        <v>186.80199999999999</v>
      </c>
      <c r="L12" s="7">
        <f t="shared" si="3"/>
        <v>620.28</v>
      </c>
      <c r="M12" s="7">
        <f t="shared" si="4"/>
        <v>873707.24600000016</v>
      </c>
      <c r="N12" s="7">
        <v>0</v>
      </c>
      <c r="O12" s="17"/>
      <c r="P12" s="19"/>
    </row>
    <row r="13" spans="1:16" x14ac:dyDescent="0.2">
      <c r="A13" s="43">
        <v>43070</v>
      </c>
      <c r="C13" s="7">
        <v>4193823</v>
      </c>
      <c r="D13" s="15">
        <v>8033</v>
      </c>
      <c r="E13" s="15">
        <v>9187</v>
      </c>
      <c r="F13" s="15">
        <v>18371</v>
      </c>
      <c r="G13" s="7">
        <f t="shared" si="0"/>
        <v>1154</v>
      </c>
      <c r="H13" s="7">
        <f t="shared" si="1"/>
        <v>10338</v>
      </c>
      <c r="I13" s="8">
        <v>0.35</v>
      </c>
      <c r="J13" s="8">
        <v>0.06</v>
      </c>
      <c r="K13" s="7">
        <f t="shared" si="2"/>
        <v>186.80199999999999</v>
      </c>
      <c r="L13" s="7">
        <f t="shared" si="3"/>
        <v>620.28</v>
      </c>
      <c r="M13" s="7">
        <f t="shared" si="4"/>
        <v>874514.32800000021</v>
      </c>
      <c r="N13" s="7">
        <v>0</v>
      </c>
      <c r="O13" s="22"/>
      <c r="P13" s="19"/>
    </row>
    <row r="14" spans="1:16" x14ac:dyDescent="0.2">
      <c r="A14" s="43">
        <v>43101</v>
      </c>
      <c r="C14" s="7">
        <v>4193823</v>
      </c>
      <c r="D14" s="15">
        <v>8033</v>
      </c>
      <c r="E14" s="15">
        <v>8495</v>
      </c>
      <c r="F14" s="15">
        <f>16990.89</f>
        <v>16990.89</v>
      </c>
      <c r="G14" s="7">
        <f t="shared" si="0"/>
        <v>462</v>
      </c>
      <c r="H14" s="7">
        <f t="shared" si="1"/>
        <v>8957.89</v>
      </c>
      <c r="I14" s="8">
        <v>0.21</v>
      </c>
      <c r="J14" s="8">
        <v>0.06</v>
      </c>
      <c r="K14" s="7">
        <f t="shared" si="2"/>
        <v>-15.849413999999996</v>
      </c>
      <c r="L14" s="7">
        <f t="shared" si="3"/>
        <v>537.47339999999997</v>
      </c>
      <c r="M14" s="7">
        <f t="shared" si="4"/>
        <v>875035.95198600017</v>
      </c>
      <c r="N14" s="7">
        <v>0</v>
      </c>
      <c r="O14" s="22"/>
      <c r="P14" s="19"/>
    </row>
    <row r="15" spans="1:16" x14ac:dyDescent="0.2">
      <c r="A15" s="43">
        <v>43132</v>
      </c>
      <c r="C15" s="7">
        <v>4193823</v>
      </c>
      <c r="D15" s="15">
        <v>8033</v>
      </c>
      <c r="E15" s="15">
        <v>8495</v>
      </c>
      <c r="F15" s="15">
        <f>16990.89</f>
        <v>16990.89</v>
      </c>
      <c r="G15" s="7">
        <f t="shared" si="0"/>
        <v>462</v>
      </c>
      <c r="H15" s="7">
        <f t="shared" si="1"/>
        <v>8957.89</v>
      </c>
      <c r="I15" s="8">
        <v>0.21</v>
      </c>
      <c r="J15" s="8">
        <v>0.06</v>
      </c>
      <c r="K15" s="7">
        <f t="shared" si="2"/>
        <v>-15.849413999999996</v>
      </c>
      <c r="L15" s="7">
        <f t="shared" si="3"/>
        <v>537.47339999999997</v>
      </c>
      <c r="M15" s="7">
        <f t="shared" si="4"/>
        <v>875557.57597200014</v>
      </c>
      <c r="N15" s="7">
        <v>0</v>
      </c>
      <c r="P15" s="19"/>
    </row>
    <row r="16" spans="1:16" x14ac:dyDescent="0.2">
      <c r="A16" s="1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">
      <c r="A17" s="55" t="s">
        <v>61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x14ac:dyDescent="0.2">
      <c r="A18" s="43">
        <v>43101</v>
      </c>
      <c r="C18" s="7">
        <v>4193823</v>
      </c>
      <c r="D18" s="15">
        <v>8033</v>
      </c>
      <c r="E18" s="15">
        <v>8495</v>
      </c>
      <c r="F18" s="15">
        <f>16990.89</f>
        <v>16990.89</v>
      </c>
      <c r="G18" s="7">
        <f t="shared" ref="G18:G19" si="5">E18-D18</f>
        <v>462</v>
      </c>
      <c r="H18" s="7">
        <f t="shared" ref="H18:H19" si="6">F18-D18</f>
        <v>8957.89</v>
      </c>
      <c r="I18" s="8">
        <v>0.21</v>
      </c>
      <c r="J18" s="8">
        <v>0.05</v>
      </c>
      <c r="K18" s="7">
        <f t="shared" ref="K18:K19" si="7">G18*I18-L18*I18</f>
        <v>2.9621549999999957</v>
      </c>
      <c r="L18" s="7">
        <f t="shared" ref="L18:L19" si="8">H18*J18</f>
        <v>447.89449999999999</v>
      </c>
      <c r="M18" s="7">
        <f>M13+K18+L18</f>
        <v>874965.18465500022</v>
      </c>
      <c r="N18" s="7">
        <v>0</v>
      </c>
    </row>
    <row r="19" spans="1:14" x14ac:dyDescent="0.2">
      <c r="A19" s="43">
        <v>43132</v>
      </c>
      <c r="C19" s="7">
        <v>4193823</v>
      </c>
      <c r="D19" s="15">
        <v>8033</v>
      </c>
      <c r="E19" s="15">
        <v>8495</v>
      </c>
      <c r="F19" s="15">
        <f>16990.89</f>
        <v>16990.89</v>
      </c>
      <c r="G19" s="7">
        <f t="shared" si="5"/>
        <v>462</v>
      </c>
      <c r="H19" s="7">
        <f t="shared" si="6"/>
        <v>8957.89</v>
      </c>
      <c r="I19" s="8">
        <v>0.21</v>
      </c>
      <c r="J19" s="8">
        <v>0.05</v>
      </c>
      <c r="K19" s="7">
        <f t="shared" si="7"/>
        <v>2.9621549999999957</v>
      </c>
      <c r="L19" s="7">
        <f t="shared" si="8"/>
        <v>447.89449999999999</v>
      </c>
      <c r="M19" s="7">
        <f t="shared" ref="M19" si="9">M18+K19+L19</f>
        <v>875416.04131000023</v>
      </c>
      <c r="N19" s="7">
        <v>0</v>
      </c>
    </row>
    <row r="20" spans="1:14" x14ac:dyDescent="0.2">
      <c r="A20" s="1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x14ac:dyDescent="0.2">
      <c r="A21" s="1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x14ac:dyDescent="0.2">
      <c r="C22" s="26" t="s">
        <v>50</v>
      </c>
    </row>
    <row r="23" spans="1:14" x14ac:dyDescent="0.2">
      <c r="C23" s="26" t="s">
        <v>31</v>
      </c>
    </row>
    <row r="24" spans="1:14" x14ac:dyDescent="0.2">
      <c r="C24" s="26" t="s">
        <v>55</v>
      </c>
    </row>
    <row r="25" spans="1:14" x14ac:dyDescent="0.2">
      <c r="C25" s="24" t="s">
        <v>32</v>
      </c>
    </row>
    <row r="27" spans="1:14" x14ac:dyDescent="0.2">
      <c r="C27" s="24" t="s">
        <v>34</v>
      </c>
      <c r="D27" s="29" t="s">
        <v>35</v>
      </c>
      <c r="E27" s="28" t="s">
        <v>36</v>
      </c>
      <c r="F27" s="24" t="s">
        <v>37</v>
      </c>
      <c r="G27" s="30" t="s">
        <v>27</v>
      </c>
      <c r="H27" s="24" t="s">
        <v>38</v>
      </c>
    </row>
    <row r="28" spans="1:14" x14ac:dyDescent="0.2">
      <c r="C28" s="7">
        <v>2139710</v>
      </c>
      <c r="D28" s="7">
        <v>8033</v>
      </c>
      <c r="E28" s="7">
        <v>8716</v>
      </c>
      <c r="F28" s="7">
        <f>E28-D28</f>
        <v>683</v>
      </c>
      <c r="G28" s="8">
        <v>0.21</v>
      </c>
      <c r="H28" s="7">
        <f>F28*G28</f>
        <v>143.43</v>
      </c>
    </row>
    <row r="29" spans="1:14" ht="15" x14ac:dyDescent="0.35">
      <c r="C29" s="7">
        <v>-42798.530000000028</v>
      </c>
      <c r="D29" s="7"/>
      <c r="E29" s="32">
        <v>-220</v>
      </c>
      <c r="F29" s="32">
        <f>E29</f>
        <v>-220</v>
      </c>
      <c r="G29" s="8">
        <v>0.21</v>
      </c>
      <c r="H29" s="32">
        <f>F29*G29</f>
        <v>-46.199999999999996</v>
      </c>
    </row>
    <row r="30" spans="1:14" x14ac:dyDescent="0.2">
      <c r="E30" s="7">
        <f>E28+E29</f>
        <v>8496</v>
      </c>
      <c r="F30" s="7">
        <f>F28+F29</f>
        <v>463</v>
      </c>
      <c r="G30" s="34" t="s">
        <v>43</v>
      </c>
      <c r="H30" s="7">
        <f>H28+H29</f>
        <v>97.230000000000018</v>
      </c>
    </row>
    <row r="31" spans="1:14" ht="15" x14ac:dyDescent="0.35">
      <c r="G31" s="34" t="s">
        <v>44</v>
      </c>
      <c r="H31" s="32">
        <f>-H37*0.21</f>
        <v>-94.058999999999997</v>
      </c>
    </row>
    <row r="32" spans="1:14" x14ac:dyDescent="0.2">
      <c r="H32" s="7">
        <f>H30+H31</f>
        <v>3.1710000000000207</v>
      </c>
    </row>
    <row r="33" spans="3:8" x14ac:dyDescent="0.2">
      <c r="H33" s="7">
        <f>H32-K19</f>
        <v>0.20884500000002504</v>
      </c>
    </row>
    <row r="34" spans="3:8" x14ac:dyDescent="0.2">
      <c r="C34" s="24" t="s">
        <v>39</v>
      </c>
      <c r="D34" s="27" t="s">
        <v>35</v>
      </c>
      <c r="E34" s="28" t="s">
        <v>40</v>
      </c>
      <c r="F34" s="24" t="s">
        <v>41</v>
      </c>
      <c r="G34" s="30" t="s">
        <v>28</v>
      </c>
      <c r="H34" s="24" t="s">
        <v>42</v>
      </c>
    </row>
    <row r="35" spans="3:8" x14ac:dyDescent="0.2">
      <c r="C35" s="7">
        <v>4279420</v>
      </c>
      <c r="D35" s="7">
        <f>D28</f>
        <v>8033</v>
      </c>
      <c r="E35" s="7">
        <v>17432</v>
      </c>
      <c r="F35" s="7">
        <f>E35-D35</f>
        <v>9399</v>
      </c>
      <c r="G35" s="8">
        <v>0.05</v>
      </c>
      <c r="H35" s="7">
        <f>F35*G35</f>
        <v>469.95000000000005</v>
      </c>
    </row>
    <row r="36" spans="3:8" ht="15" x14ac:dyDescent="0.35">
      <c r="C36" s="7">
        <v>-85597.060000000056</v>
      </c>
      <c r="D36" s="7"/>
      <c r="E36" s="32">
        <v>-441</v>
      </c>
      <c r="F36" s="32">
        <f>E36</f>
        <v>-441</v>
      </c>
      <c r="G36" s="8">
        <v>0.05</v>
      </c>
      <c r="H36" s="32">
        <f>F36*G36</f>
        <v>-22.05</v>
      </c>
    </row>
    <row r="37" spans="3:8" x14ac:dyDescent="0.2">
      <c r="E37" s="7">
        <f>E35+E36</f>
        <v>16991</v>
      </c>
      <c r="F37" s="7">
        <f>F35+F36</f>
        <v>8958</v>
      </c>
      <c r="H37" s="7">
        <f>H35+H36</f>
        <v>447.90000000000003</v>
      </c>
    </row>
    <row r="38" spans="3:8" x14ac:dyDescent="0.2">
      <c r="H38" s="7">
        <f>H37-L19</f>
        <v>5.5000000000404725E-3</v>
      </c>
    </row>
  </sheetData>
  <pageMargins left="0.7" right="0.7" top="1.15625" bottom="0.75" header="0.3" footer="0.3"/>
  <pageSetup scale="75" orientation="portrait" r:id="rId1"/>
  <headerFooter>
    <oddHeader>&amp;R&amp;"Times New Roman,Bold"&amp;12Attachment to Response to Question 3
Page 8 of 9
Williams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zoomScaleNormal="100" workbookViewId="0">
      <selection activeCell="M27" sqref="M27"/>
    </sheetView>
  </sheetViews>
  <sheetFormatPr defaultRowHeight="12.75" x14ac:dyDescent="0.2"/>
  <cols>
    <col min="1" max="1" width="11.28515625" style="3" customWidth="1"/>
    <col min="2" max="2" width="1.7109375" customWidth="1"/>
    <col min="3" max="3" width="14.42578125" customWidth="1"/>
    <col min="4" max="4" width="14.28515625" bestFit="1" customWidth="1"/>
    <col min="5" max="5" width="17" customWidth="1"/>
    <col min="6" max="6" width="15.5703125" customWidth="1"/>
    <col min="7" max="8" width="14.28515625" customWidth="1"/>
    <col min="9" max="12" width="12.7109375" customWidth="1"/>
    <col min="13" max="13" width="16.5703125" bestFit="1" customWidth="1"/>
    <col min="14" max="14" width="12.7109375" customWidth="1"/>
    <col min="15" max="15" width="11.28515625" hidden="1" customWidth="1"/>
    <col min="16" max="16" width="14.5703125" bestFit="1" customWidth="1"/>
    <col min="17" max="17" width="11.42578125" bestFit="1" customWidth="1"/>
  </cols>
  <sheetData>
    <row r="1" spans="1:17" x14ac:dyDescent="0.2">
      <c r="A1" s="12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7" x14ac:dyDescent="0.2">
      <c r="A2" s="12" t="s">
        <v>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7" x14ac:dyDescent="0.2">
      <c r="A3" s="13" t="s">
        <v>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7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4"/>
    </row>
    <row r="5" spans="1:17" x14ac:dyDescent="0.2">
      <c r="A5" s="9" t="s">
        <v>12</v>
      </c>
    </row>
    <row r="6" spans="1:17" x14ac:dyDescent="0.2">
      <c r="A6" s="11" t="s">
        <v>19</v>
      </c>
    </row>
    <row r="8" spans="1:17" s="6" customFormat="1" ht="38.25" x14ac:dyDescent="0.2">
      <c r="A8" s="4" t="s">
        <v>0</v>
      </c>
      <c r="B8" s="5"/>
      <c r="C8" s="5" t="s">
        <v>1</v>
      </c>
      <c r="D8" s="5" t="s">
        <v>2</v>
      </c>
      <c r="E8" s="5" t="s">
        <v>23</v>
      </c>
      <c r="F8" s="5" t="s">
        <v>24</v>
      </c>
      <c r="G8" s="5" t="s">
        <v>25</v>
      </c>
      <c r="H8" s="5" t="s">
        <v>26</v>
      </c>
      <c r="I8" s="5" t="s">
        <v>27</v>
      </c>
      <c r="J8" s="5" t="s">
        <v>28</v>
      </c>
      <c r="K8" s="5" t="s">
        <v>29</v>
      </c>
      <c r="L8" s="5" t="s">
        <v>30</v>
      </c>
      <c r="M8" s="5" t="s">
        <v>3</v>
      </c>
      <c r="N8" s="5" t="s">
        <v>4</v>
      </c>
    </row>
    <row r="9" spans="1:17" x14ac:dyDescent="0.2">
      <c r="A9" s="3" t="s">
        <v>8</v>
      </c>
      <c r="M9" s="10">
        <v>18796598</v>
      </c>
    </row>
    <row r="10" spans="1:17" x14ac:dyDescent="0.2">
      <c r="A10" s="42">
        <v>42987</v>
      </c>
      <c r="C10" s="7">
        <v>84655448</v>
      </c>
      <c r="D10" s="15">
        <v>186947</v>
      </c>
      <c r="E10" s="15">
        <v>302765</v>
      </c>
      <c r="F10" s="15">
        <v>1034263.59</v>
      </c>
      <c r="G10" s="7">
        <f>E10-D10</f>
        <v>115818</v>
      </c>
      <c r="H10" s="7">
        <f>F10-D10</f>
        <v>847316.59</v>
      </c>
      <c r="I10" s="8">
        <v>0.35</v>
      </c>
      <c r="J10" s="8">
        <v>0.06</v>
      </c>
      <c r="K10" s="7">
        <f t="shared" ref="K10:K15" si="0">G10*I10-L10*I10</f>
        <v>22742.651609999997</v>
      </c>
      <c r="L10" s="7">
        <f t="shared" ref="L10:L15" si="1">H10*J10</f>
        <v>50838.9954</v>
      </c>
      <c r="M10" s="7">
        <f t="shared" ref="M10:M15" si="2">M9+K10+L10</f>
        <v>18870179.647009999</v>
      </c>
      <c r="N10" s="7">
        <v>0</v>
      </c>
      <c r="P10" s="17"/>
      <c r="Q10" s="19"/>
    </row>
    <row r="11" spans="1:17" x14ac:dyDescent="0.2">
      <c r="A11" s="43">
        <v>43009</v>
      </c>
      <c r="C11" s="7">
        <v>84655448</v>
      </c>
      <c r="D11" s="15">
        <v>186947</v>
      </c>
      <c r="E11" s="15">
        <v>302765</v>
      </c>
      <c r="F11" s="15">
        <v>1034263.59</v>
      </c>
      <c r="G11" s="7">
        <f t="shared" ref="G11:G15" si="3">E11-D11</f>
        <v>115818</v>
      </c>
      <c r="H11" s="7">
        <f t="shared" ref="H11:H15" si="4">F11-D11</f>
        <v>847316.59</v>
      </c>
      <c r="I11" s="8">
        <v>0.35</v>
      </c>
      <c r="J11" s="8">
        <v>0.06</v>
      </c>
      <c r="K11" s="7">
        <f t="shared" si="0"/>
        <v>22742.651609999997</v>
      </c>
      <c r="L11" s="7">
        <f t="shared" si="1"/>
        <v>50838.9954</v>
      </c>
      <c r="M11" s="7">
        <f t="shared" si="2"/>
        <v>18943761.294019997</v>
      </c>
      <c r="N11" s="7">
        <v>0</v>
      </c>
      <c r="O11" s="7">
        <f>1598189-M12</f>
        <v>-17419153.941029996</v>
      </c>
      <c r="P11" s="17"/>
      <c r="Q11" s="19"/>
    </row>
    <row r="12" spans="1:17" x14ac:dyDescent="0.2">
      <c r="A12" s="43">
        <v>43040</v>
      </c>
      <c r="C12" s="7">
        <v>84655448</v>
      </c>
      <c r="D12" s="15">
        <v>186947</v>
      </c>
      <c r="E12" s="15">
        <v>302765</v>
      </c>
      <c r="F12" s="15">
        <v>1034263.59</v>
      </c>
      <c r="G12" s="7">
        <f t="shared" si="3"/>
        <v>115818</v>
      </c>
      <c r="H12" s="7">
        <f t="shared" si="4"/>
        <v>847316.59</v>
      </c>
      <c r="I12" s="8">
        <v>0.35</v>
      </c>
      <c r="J12" s="8">
        <v>0.06</v>
      </c>
      <c r="K12" s="7">
        <f t="shared" si="0"/>
        <v>22742.651609999997</v>
      </c>
      <c r="L12" s="7">
        <f t="shared" si="1"/>
        <v>50838.9954</v>
      </c>
      <c r="M12" s="7">
        <f t="shared" si="2"/>
        <v>19017342.941029996</v>
      </c>
      <c r="N12" s="7">
        <v>0</v>
      </c>
      <c r="O12" s="17">
        <f>+O11/0.389</f>
        <v>-44779316.043778911</v>
      </c>
      <c r="Q12" s="19"/>
    </row>
    <row r="13" spans="1:17" x14ac:dyDescent="0.2">
      <c r="A13" s="43">
        <v>43070</v>
      </c>
      <c r="C13" s="7">
        <v>84655448</v>
      </c>
      <c r="D13" s="15">
        <v>186947</v>
      </c>
      <c r="E13" s="15">
        <v>302765</v>
      </c>
      <c r="F13" s="15">
        <v>1034263.59</v>
      </c>
      <c r="G13" s="7">
        <f t="shared" si="3"/>
        <v>115818</v>
      </c>
      <c r="H13" s="7">
        <f t="shared" si="4"/>
        <v>847316.59</v>
      </c>
      <c r="I13" s="8">
        <v>0.35</v>
      </c>
      <c r="J13" s="8">
        <v>0.06</v>
      </c>
      <c r="K13" s="7">
        <f t="shared" si="0"/>
        <v>22742.651609999997</v>
      </c>
      <c r="L13" s="7">
        <f t="shared" si="1"/>
        <v>50838.9954</v>
      </c>
      <c r="M13" s="7">
        <f t="shared" si="2"/>
        <v>19090924.588039994</v>
      </c>
      <c r="N13" s="7">
        <v>0</v>
      </c>
      <c r="O13" s="7">
        <f>1923738-M14</f>
        <v>-17274509.275183994</v>
      </c>
      <c r="Q13" s="19"/>
    </row>
    <row r="14" spans="1:17" x14ac:dyDescent="0.2">
      <c r="A14" s="43">
        <v>43101</v>
      </c>
      <c r="C14" s="7">
        <v>84655448</v>
      </c>
      <c r="D14" s="15">
        <v>186947</v>
      </c>
      <c r="E14" s="15">
        <v>509983</v>
      </c>
      <c r="F14" s="15">
        <f>1019966.56</f>
        <v>1019966.56</v>
      </c>
      <c r="G14" s="7">
        <f t="shared" si="3"/>
        <v>323036</v>
      </c>
      <c r="H14" s="7">
        <f t="shared" si="4"/>
        <v>833019.56</v>
      </c>
      <c r="I14" s="8">
        <v>0.21</v>
      </c>
      <c r="J14" s="8">
        <v>0.06</v>
      </c>
      <c r="K14" s="7">
        <f t="shared" si="0"/>
        <v>57341.513544000001</v>
      </c>
      <c r="L14" s="7">
        <f t="shared" si="1"/>
        <v>49981.173600000002</v>
      </c>
      <c r="M14" s="7">
        <f t="shared" si="2"/>
        <v>19198247.275183994</v>
      </c>
      <c r="N14" s="7">
        <v>0</v>
      </c>
      <c r="O14" s="17">
        <f>+O13/0.389</f>
        <v>-44407478.856514126</v>
      </c>
      <c r="Q14" s="19"/>
    </row>
    <row r="15" spans="1:17" x14ac:dyDescent="0.2">
      <c r="A15" s="43">
        <v>43132</v>
      </c>
      <c r="C15" s="7">
        <v>84655448</v>
      </c>
      <c r="D15" s="15">
        <v>186947</v>
      </c>
      <c r="E15" s="15">
        <f>509983-28938</f>
        <v>481045</v>
      </c>
      <c r="F15" s="15">
        <f>1019966.56</f>
        <v>1019966.56</v>
      </c>
      <c r="G15" s="7">
        <f t="shared" si="3"/>
        <v>294098</v>
      </c>
      <c r="H15" s="7">
        <f t="shared" si="4"/>
        <v>833019.56</v>
      </c>
      <c r="I15" s="8">
        <v>0.21</v>
      </c>
      <c r="J15" s="8">
        <v>0.06</v>
      </c>
      <c r="K15" s="7">
        <f t="shared" si="0"/>
        <v>51264.533543999991</v>
      </c>
      <c r="L15" s="7">
        <f t="shared" si="1"/>
        <v>49981.173600000002</v>
      </c>
      <c r="M15" s="7">
        <f t="shared" si="2"/>
        <v>19299492.982327994</v>
      </c>
      <c r="N15" s="7">
        <v>0</v>
      </c>
      <c r="O15" s="7">
        <f>+M15-2105354</f>
        <v>17194138.982327994</v>
      </c>
      <c r="Q15" s="19"/>
    </row>
    <row r="16" spans="1:17" x14ac:dyDescent="0.2">
      <c r="A16" s="1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19">
        <f>+O15/0.389</f>
        <v>44200871.419866309</v>
      </c>
    </row>
    <row r="17" spans="1:15" x14ac:dyDescent="0.2">
      <c r="A17" s="55" t="s">
        <v>61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19"/>
    </row>
    <row r="18" spans="1:15" x14ac:dyDescent="0.2">
      <c r="A18" s="43">
        <v>43101</v>
      </c>
      <c r="C18" s="7">
        <v>84655448</v>
      </c>
      <c r="D18" s="15">
        <v>186947</v>
      </c>
      <c r="E18" s="15">
        <v>509983</v>
      </c>
      <c r="F18" s="15">
        <f>1019966.56</f>
        <v>1019966.56</v>
      </c>
      <c r="G18" s="7">
        <f t="shared" ref="G18:G19" si="5">E18-D18</f>
        <v>323036</v>
      </c>
      <c r="H18" s="7">
        <f t="shared" ref="H18:H19" si="6">F18-D18</f>
        <v>833019.56</v>
      </c>
      <c r="I18" s="8">
        <v>0.21</v>
      </c>
      <c r="J18" s="8">
        <v>0.05</v>
      </c>
      <c r="K18" s="7">
        <f t="shared" ref="K18:K19" si="7">G18*I18-L18*I18</f>
        <v>59090.854619999998</v>
      </c>
      <c r="L18" s="7">
        <f t="shared" ref="L18:L19" si="8">H18*J18</f>
        <v>41650.978000000003</v>
      </c>
      <c r="M18" s="7">
        <f>M13+K18+L18</f>
        <v>19191666.420659993</v>
      </c>
      <c r="N18" s="7">
        <v>0</v>
      </c>
      <c r="O18" s="19"/>
    </row>
    <row r="19" spans="1:15" x14ac:dyDescent="0.2">
      <c r="A19" s="43">
        <v>43132</v>
      </c>
      <c r="C19" s="7">
        <v>84655448</v>
      </c>
      <c r="D19" s="15">
        <v>186947</v>
      </c>
      <c r="E19" s="15">
        <v>509983</v>
      </c>
      <c r="F19" s="15">
        <f>1019966.56</f>
        <v>1019966.56</v>
      </c>
      <c r="G19" s="7">
        <f t="shared" si="5"/>
        <v>323036</v>
      </c>
      <c r="H19" s="7">
        <f t="shared" si="6"/>
        <v>833019.56</v>
      </c>
      <c r="I19" s="8">
        <v>0.21</v>
      </c>
      <c r="J19" s="8">
        <v>0.05</v>
      </c>
      <c r="K19" s="7">
        <f t="shared" si="7"/>
        <v>59090.854619999998</v>
      </c>
      <c r="L19" s="7">
        <f t="shared" si="8"/>
        <v>41650.978000000003</v>
      </c>
      <c r="M19" s="7">
        <f t="shared" ref="M19" si="9">M18+K19+L19</f>
        <v>19292408.253279991</v>
      </c>
      <c r="N19" s="7">
        <v>0</v>
      </c>
      <c r="O19" s="19"/>
    </row>
    <row r="20" spans="1:15" x14ac:dyDescent="0.2">
      <c r="A20" s="1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5" x14ac:dyDescent="0.2">
      <c r="A21" s="1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5" x14ac:dyDescent="0.2">
      <c r="C22" s="26" t="s">
        <v>49</v>
      </c>
    </row>
    <row r="23" spans="1:15" x14ac:dyDescent="0.2">
      <c r="C23" s="26" t="s">
        <v>31</v>
      </c>
    </row>
    <row r="24" spans="1:15" x14ac:dyDescent="0.2">
      <c r="C24" s="26" t="s">
        <v>55</v>
      </c>
    </row>
    <row r="25" spans="1:15" x14ac:dyDescent="0.2">
      <c r="C25" s="24" t="s">
        <v>32</v>
      </c>
    </row>
    <row r="27" spans="1:15" x14ac:dyDescent="0.2">
      <c r="C27" s="24" t="s">
        <v>34</v>
      </c>
      <c r="D27" s="29" t="s">
        <v>35</v>
      </c>
      <c r="E27" s="28" t="s">
        <v>36</v>
      </c>
      <c r="F27" s="24" t="s">
        <v>37</v>
      </c>
      <c r="G27" s="30" t="s">
        <v>27</v>
      </c>
      <c r="H27" s="24" t="s">
        <v>38</v>
      </c>
    </row>
    <row r="28" spans="1:15" x14ac:dyDescent="0.2">
      <c r="C28" s="7">
        <v>17445568.128000002</v>
      </c>
      <c r="D28" s="7">
        <v>186947</v>
      </c>
      <c r="E28" s="7">
        <v>89801</v>
      </c>
      <c r="F28" s="7">
        <f>E28-D28</f>
        <v>-97146</v>
      </c>
      <c r="G28" s="8">
        <v>0.21</v>
      </c>
      <c r="H28" s="7">
        <f>F28*G28</f>
        <v>-20400.66</v>
      </c>
    </row>
    <row r="29" spans="1:15" x14ac:dyDescent="0.2">
      <c r="C29" s="7">
        <v>26168352.191999998</v>
      </c>
      <c r="D29" s="7"/>
      <c r="E29" s="24">
        <v>436139</v>
      </c>
      <c r="F29" s="7">
        <f>E29</f>
        <v>436139</v>
      </c>
      <c r="G29" s="8">
        <v>0.21</v>
      </c>
      <c r="H29" s="41">
        <f>F29*G29</f>
        <v>91589.19</v>
      </c>
    </row>
    <row r="30" spans="1:15" x14ac:dyDescent="0.2">
      <c r="C30" s="7">
        <v>-514479</v>
      </c>
      <c r="D30" s="7"/>
      <c r="E30" s="7">
        <v>-3095</v>
      </c>
      <c r="F30" s="7">
        <f t="shared" ref="F30:F31" si="10">E30</f>
        <v>-3095</v>
      </c>
      <c r="G30" s="8">
        <v>0.21</v>
      </c>
      <c r="H30" s="41">
        <f t="shared" ref="H30:H31" si="11">F30*G30</f>
        <v>-649.94999999999993</v>
      </c>
    </row>
    <row r="31" spans="1:15" ht="15" x14ac:dyDescent="0.35">
      <c r="C31" s="7">
        <v>-771718</v>
      </c>
      <c r="D31" s="7"/>
      <c r="E31" s="32">
        <v>-12862</v>
      </c>
      <c r="F31" s="32">
        <f t="shared" si="10"/>
        <v>-12862</v>
      </c>
      <c r="G31" s="8">
        <v>0.21</v>
      </c>
      <c r="H31" s="32">
        <f t="shared" si="11"/>
        <v>-2701.02</v>
      </c>
    </row>
    <row r="32" spans="1:15" x14ac:dyDescent="0.2">
      <c r="E32" s="19">
        <f>SUM(E28:E31)</f>
        <v>509983</v>
      </c>
      <c r="F32" s="19">
        <f>SUM(F28:F31)</f>
        <v>323036</v>
      </c>
      <c r="G32" s="34" t="s">
        <v>43</v>
      </c>
      <c r="H32" s="19">
        <f>SUM(H28:H31)</f>
        <v>67837.56</v>
      </c>
    </row>
    <row r="33" spans="3:8" ht="15" x14ac:dyDescent="0.35">
      <c r="G33" s="34" t="s">
        <v>44</v>
      </c>
      <c r="H33" s="32">
        <f>-H41*0.21</f>
        <v>-8746.7037672000006</v>
      </c>
    </row>
    <row r="34" spans="3:8" x14ac:dyDescent="0.2">
      <c r="H34" s="7">
        <f>H32+H33</f>
        <v>59090.856232799997</v>
      </c>
    </row>
    <row r="35" spans="3:8" x14ac:dyDescent="0.2">
      <c r="H35" s="24">
        <f>H34-K19</f>
        <v>1.6127999988384545E-3</v>
      </c>
    </row>
    <row r="36" spans="3:8" x14ac:dyDescent="0.2">
      <c r="C36" s="24" t="s">
        <v>39</v>
      </c>
      <c r="D36" s="27" t="s">
        <v>35</v>
      </c>
      <c r="E36" s="28" t="s">
        <v>40</v>
      </c>
      <c r="F36" s="24" t="s">
        <v>41</v>
      </c>
      <c r="G36" s="30" t="s">
        <v>28</v>
      </c>
      <c r="H36" s="24" t="s">
        <v>42</v>
      </c>
    </row>
    <row r="37" spans="3:8" x14ac:dyDescent="0.2">
      <c r="C37" s="7">
        <v>34891136.256000005</v>
      </c>
      <c r="D37" s="7">
        <f>D28</f>
        <v>186947</v>
      </c>
      <c r="E37" s="7">
        <v>179602</v>
      </c>
      <c r="F37" s="7">
        <f>E37-D37</f>
        <v>-7345</v>
      </c>
      <c r="G37" s="8">
        <v>0.05</v>
      </c>
      <c r="H37" s="7">
        <f>F37*G37</f>
        <v>-367.25</v>
      </c>
    </row>
    <row r="38" spans="3:8" x14ac:dyDescent="0.2">
      <c r="C38" s="7">
        <v>52336704.383999996</v>
      </c>
      <c r="D38" s="7"/>
      <c r="E38" s="41">
        <v>872278.40639999986</v>
      </c>
      <c r="F38" s="41">
        <f>E38</f>
        <v>872278.40639999986</v>
      </c>
      <c r="G38" s="47">
        <v>0.05</v>
      </c>
      <c r="H38" s="41">
        <f>F38*G38</f>
        <v>43613.920319999997</v>
      </c>
    </row>
    <row r="39" spans="3:8" x14ac:dyDescent="0.2">
      <c r="C39" s="7">
        <v>-1028957</v>
      </c>
      <c r="D39" s="7"/>
      <c r="E39" s="41">
        <v>-6190</v>
      </c>
      <c r="F39" s="41">
        <f t="shared" ref="F39:F40" si="12">E39</f>
        <v>-6190</v>
      </c>
      <c r="G39" s="47">
        <v>0.05</v>
      </c>
      <c r="H39" s="41">
        <f t="shared" ref="H39:H40" si="13">F39*G39</f>
        <v>-309.5</v>
      </c>
    </row>
    <row r="40" spans="3:8" ht="15" x14ac:dyDescent="0.35">
      <c r="C40" s="7">
        <v>-1543436</v>
      </c>
      <c r="D40" s="7"/>
      <c r="E40" s="32">
        <v>-25724</v>
      </c>
      <c r="F40" s="32">
        <f t="shared" si="12"/>
        <v>-25724</v>
      </c>
      <c r="G40" s="8">
        <v>0.05</v>
      </c>
      <c r="H40" s="32">
        <f t="shared" si="13"/>
        <v>-1286.2</v>
      </c>
    </row>
    <row r="41" spans="3:8" x14ac:dyDescent="0.2">
      <c r="E41" s="7">
        <f>E37+E38+E39+E40</f>
        <v>1019966.4063999997</v>
      </c>
      <c r="F41" s="7">
        <f>F37+F38+F39+F40</f>
        <v>833019.40639999986</v>
      </c>
      <c r="H41" s="7">
        <f>H37+H38+H39+H40</f>
        <v>41650.97032</v>
      </c>
    </row>
    <row r="42" spans="3:8" x14ac:dyDescent="0.2">
      <c r="H42" s="7">
        <f>H41-L19</f>
        <v>-7.6800000024377368E-3</v>
      </c>
    </row>
  </sheetData>
  <pageMargins left="0.7" right="0.7" top="1.15625" bottom="0.75" header="0.3" footer="0.3"/>
  <pageSetup scale="75" orientation="portrait" r:id="rId1"/>
  <headerFooter>
    <oddHeader>&amp;R&amp;"Times New Roman,Bold"&amp;12Attachment to Response to Question 3
Page 9 of 9
Williams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Q73"/>
  <sheetViews>
    <sheetView topLeftCell="A7" zoomScaleNormal="100" workbookViewId="0">
      <selection activeCell="M30" sqref="M30"/>
    </sheetView>
  </sheetViews>
  <sheetFormatPr defaultRowHeight="12.75" x14ac:dyDescent="0.2"/>
  <cols>
    <col min="1" max="1" width="11.28515625" style="3" customWidth="1"/>
    <col min="2" max="2" width="1.7109375" customWidth="1"/>
    <col min="3" max="3" width="13.42578125" customWidth="1"/>
    <col min="4" max="4" width="14.28515625" bestFit="1" customWidth="1"/>
    <col min="5" max="5" width="17.140625" customWidth="1"/>
    <col min="6" max="6" width="16" customWidth="1"/>
    <col min="7" max="8" width="14.28515625" customWidth="1"/>
    <col min="9" max="12" width="12.7109375" customWidth="1"/>
    <col min="13" max="13" width="16.5703125" bestFit="1" customWidth="1"/>
    <col min="14" max="14" width="12.7109375" customWidth="1"/>
    <col min="15" max="15" width="11.28515625" hidden="1" customWidth="1"/>
    <col min="16" max="16" width="14.5703125" bestFit="1" customWidth="1"/>
    <col min="17" max="17" width="12.42578125" bestFit="1" customWidth="1"/>
  </cols>
  <sheetData>
    <row r="1" spans="1:17" x14ac:dyDescent="0.2">
      <c r="A1" s="12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7" x14ac:dyDescent="0.2">
      <c r="A2" s="12" t="s">
        <v>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7" x14ac:dyDescent="0.2">
      <c r="A3" s="13" t="s">
        <v>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7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4"/>
    </row>
    <row r="5" spans="1:17" x14ac:dyDescent="0.2">
      <c r="A5" s="9" t="s">
        <v>12</v>
      </c>
    </row>
    <row r="6" spans="1:17" x14ac:dyDescent="0.2">
      <c r="A6" s="11" t="s">
        <v>13</v>
      </c>
    </row>
    <row r="8" spans="1:17" s="6" customFormat="1" ht="38.25" x14ac:dyDescent="0.2">
      <c r="A8" s="4" t="s">
        <v>0</v>
      </c>
      <c r="B8" s="5"/>
      <c r="C8" s="5" t="s">
        <v>1</v>
      </c>
      <c r="D8" s="5" t="s">
        <v>2</v>
      </c>
      <c r="E8" s="5" t="s">
        <v>23</v>
      </c>
      <c r="F8" s="5" t="s">
        <v>24</v>
      </c>
      <c r="G8" s="5" t="s">
        <v>25</v>
      </c>
      <c r="H8" s="5" t="s">
        <v>26</v>
      </c>
      <c r="I8" s="5" t="s">
        <v>27</v>
      </c>
      <c r="J8" s="5" t="s">
        <v>28</v>
      </c>
      <c r="K8" s="5" t="s">
        <v>29</v>
      </c>
      <c r="L8" s="5" t="s">
        <v>30</v>
      </c>
      <c r="M8" s="5" t="s">
        <v>3</v>
      </c>
      <c r="N8" s="5" t="s">
        <v>4</v>
      </c>
    </row>
    <row r="9" spans="1:17" x14ac:dyDescent="0.2">
      <c r="A9" s="3" t="s">
        <v>8</v>
      </c>
      <c r="M9" s="10">
        <v>140220785</v>
      </c>
    </row>
    <row r="10" spans="1:17" x14ac:dyDescent="0.2">
      <c r="A10" s="42">
        <v>42987</v>
      </c>
      <c r="C10" s="7">
        <v>641481666</v>
      </c>
      <c r="D10" s="15">
        <v>1252973</v>
      </c>
      <c r="E10" s="15">
        <v>3193974</v>
      </c>
      <c r="F10" s="15">
        <v>6349338.8399999999</v>
      </c>
      <c r="G10" s="7">
        <f>E10-D10</f>
        <v>1941001</v>
      </c>
      <c r="H10" s="7">
        <f>F10-D10</f>
        <v>5096365.84</v>
      </c>
      <c r="I10" s="8">
        <v>0.35</v>
      </c>
      <c r="J10" s="8">
        <v>0.06</v>
      </c>
      <c r="K10" s="7">
        <f t="shared" ref="K10:K15" si="0">G10*I10-L10*I10</f>
        <v>572326.66735999996</v>
      </c>
      <c r="L10" s="7">
        <f t="shared" ref="L10:L15" si="1">H10*J10</f>
        <v>305781.95039999997</v>
      </c>
      <c r="M10" s="7">
        <f t="shared" ref="M10:M15" si="2">M9+K10+L10</f>
        <v>141098893.61776</v>
      </c>
      <c r="N10" s="7">
        <v>0</v>
      </c>
      <c r="P10" s="17"/>
      <c r="Q10" s="19"/>
    </row>
    <row r="11" spans="1:17" x14ac:dyDescent="0.2">
      <c r="A11" s="43">
        <v>43009</v>
      </c>
      <c r="C11" s="7">
        <v>641481666</v>
      </c>
      <c r="D11" s="15">
        <v>1252973</v>
      </c>
      <c r="E11" s="15">
        <v>3193974</v>
      </c>
      <c r="F11" s="15">
        <v>6349338.8399999999</v>
      </c>
      <c r="G11" s="7">
        <f t="shared" ref="G11:G15" si="3">E11-D11</f>
        <v>1941001</v>
      </c>
      <c r="H11" s="7">
        <f t="shared" ref="H11:H15" si="4">F11-D11</f>
        <v>5096365.84</v>
      </c>
      <c r="I11" s="8">
        <v>0.35</v>
      </c>
      <c r="J11" s="8">
        <v>0.06</v>
      </c>
      <c r="K11" s="7">
        <f t="shared" si="0"/>
        <v>572326.66735999996</v>
      </c>
      <c r="L11" s="7">
        <f t="shared" si="1"/>
        <v>305781.95039999997</v>
      </c>
      <c r="M11" s="7">
        <f t="shared" si="2"/>
        <v>141977002.23552001</v>
      </c>
      <c r="N11" s="7">
        <v>0</v>
      </c>
      <c r="O11" s="7">
        <f>1598189-M12</f>
        <v>-141256921.85328001</v>
      </c>
      <c r="P11" s="17"/>
      <c r="Q11" s="19"/>
    </row>
    <row r="12" spans="1:17" x14ac:dyDescent="0.2">
      <c r="A12" s="43">
        <v>43040</v>
      </c>
      <c r="C12" s="7">
        <v>641481666</v>
      </c>
      <c r="D12" s="15">
        <v>1252973</v>
      </c>
      <c r="E12" s="15">
        <v>3193974</v>
      </c>
      <c r="F12" s="15">
        <v>6349338.8399999999</v>
      </c>
      <c r="G12" s="7">
        <f t="shared" si="3"/>
        <v>1941001</v>
      </c>
      <c r="H12" s="7">
        <f t="shared" si="4"/>
        <v>5096365.84</v>
      </c>
      <c r="I12" s="8">
        <v>0.35</v>
      </c>
      <c r="J12" s="8">
        <v>0.06</v>
      </c>
      <c r="K12" s="7">
        <f t="shared" si="0"/>
        <v>572326.66735999996</v>
      </c>
      <c r="L12" s="7">
        <f t="shared" si="1"/>
        <v>305781.95039999997</v>
      </c>
      <c r="M12" s="7">
        <f t="shared" si="2"/>
        <v>142855110.85328001</v>
      </c>
      <c r="N12" s="7">
        <v>0</v>
      </c>
      <c r="O12" s="17">
        <f>+O11/0.389</f>
        <v>-363128333.81305915</v>
      </c>
      <c r="Q12" s="19"/>
    </row>
    <row r="13" spans="1:17" x14ac:dyDescent="0.2">
      <c r="A13" s="43">
        <v>43070</v>
      </c>
      <c r="C13" s="7">
        <v>641481666</v>
      </c>
      <c r="D13" s="15">
        <v>1252973</v>
      </c>
      <c r="E13" s="15">
        <v>3193974</v>
      </c>
      <c r="F13" s="15">
        <v>6349338.8399999999</v>
      </c>
      <c r="G13" s="7">
        <f t="shared" si="3"/>
        <v>1941001</v>
      </c>
      <c r="H13" s="7">
        <f t="shared" si="4"/>
        <v>5096365.84</v>
      </c>
      <c r="I13" s="8">
        <v>0.35</v>
      </c>
      <c r="J13" s="8">
        <v>0.06</v>
      </c>
      <c r="K13" s="7">
        <f t="shared" si="0"/>
        <v>572326.66735999996</v>
      </c>
      <c r="L13" s="7">
        <f t="shared" si="1"/>
        <v>305781.95039999997</v>
      </c>
      <c r="M13" s="7">
        <f t="shared" si="2"/>
        <v>143733219.47104001</v>
      </c>
      <c r="N13" s="7">
        <v>0</v>
      </c>
      <c r="O13" s="7">
        <f>1923738-M14</f>
        <v>-142442130.11403999</v>
      </c>
      <c r="Q13" s="19"/>
    </row>
    <row r="14" spans="1:17" x14ac:dyDescent="0.2">
      <c r="A14" s="43">
        <v>43101</v>
      </c>
      <c r="C14" s="7">
        <v>641481666</v>
      </c>
      <c r="D14" s="15">
        <v>1252973</v>
      </c>
      <c r="E14" s="15">
        <f>3139295</f>
        <v>3139295</v>
      </c>
      <c r="F14" s="15">
        <v>6242868</v>
      </c>
      <c r="G14" s="7">
        <f t="shared" si="3"/>
        <v>1886322</v>
      </c>
      <c r="H14" s="7">
        <f t="shared" si="4"/>
        <v>4989895</v>
      </c>
      <c r="I14" s="8">
        <v>0.21</v>
      </c>
      <c r="J14" s="8">
        <v>0.06</v>
      </c>
      <c r="K14" s="7">
        <f t="shared" si="0"/>
        <v>333254.94299999997</v>
      </c>
      <c r="L14" s="7">
        <f t="shared" si="1"/>
        <v>299393.7</v>
      </c>
      <c r="M14" s="7">
        <f t="shared" si="2"/>
        <v>144365868.11403999</v>
      </c>
      <c r="N14" s="7">
        <v>0</v>
      </c>
      <c r="O14" s="17">
        <f>+O13/0.389</f>
        <v>-366175141.6813367</v>
      </c>
      <c r="Q14" s="19"/>
    </row>
    <row r="15" spans="1:17" x14ac:dyDescent="0.2">
      <c r="A15" s="43">
        <v>43132</v>
      </c>
      <c r="C15" s="7">
        <v>641481666</v>
      </c>
      <c r="D15" s="15">
        <v>1252973</v>
      </c>
      <c r="E15" s="15">
        <v>3139295</v>
      </c>
      <c r="F15" s="15">
        <f>6242867.79</f>
        <v>6242867.79</v>
      </c>
      <c r="G15" s="7">
        <f t="shared" si="3"/>
        <v>1886322</v>
      </c>
      <c r="H15" s="7">
        <f t="shared" si="4"/>
        <v>4989894.79</v>
      </c>
      <c r="I15" s="8">
        <v>0.21</v>
      </c>
      <c r="J15" s="8">
        <v>0.06</v>
      </c>
      <c r="K15" s="7">
        <f t="shared" si="0"/>
        <v>333254.94564599998</v>
      </c>
      <c r="L15" s="7">
        <f t="shared" si="1"/>
        <v>299393.6874</v>
      </c>
      <c r="M15" s="7">
        <f t="shared" si="2"/>
        <v>144998516.74708599</v>
      </c>
      <c r="N15" s="7">
        <v>0</v>
      </c>
      <c r="O15" s="7">
        <f>+M15-2105354</f>
        <v>142893162.74708599</v>
      </c>
      <c r="Q15" s="19"/>
    </row>
    <row r="16" spans="1:17" x14ac:dyDescent="0.2">
      <c r="A16" s="1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19">
        <f>+O15/0.389</f>
        <v>367334608.60433418</v>
      </c>
    </row>
    <row r="17" spans="1:15" x14ac:dyDescent="0.2">
      <c r="A17" s="55" t="s">
        <v>61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19"/>
    </row>
    <row r="18" spans="1:15" x14ac:dyDescent="0.2">
      <c r="A18" s="43">
        <v>43101</v>
      </c>
      <c r="C18" s="7">
        <v>641481666</v>
      </c>
      <c r="D18" s="15">
        <v>1252973</v>
      </c>
      <c r="E18" s="15">
        <f>3139295</f>
        <v>3139295</v>
      </c>
      <c r="F18" s="15">
        <v>6242868</v>
      </c>
      <c r="G18" s="7">
        <f t="shared" ref="G18:G19" si="5">E18-D18</f>
        <v>1886322</v>
      </c>
      <c r="H18" s="7">
        <f t="shared" ref="H18:H19" si="6">F18-D18</f>
        <v>4989895</v>
      </c>
      <c r="I18" s="8">
        <v>0.21</v>
      </c>
      <c r="J18" s="8">
        <v>0.05</v>
      </c>
      <c r="K18" s="7">
        <f t="shared" ref="K18:K19" si="7">G18*I18-L18*I18</f>
        <v>343733.72249999997</v>
      </c>
      <c r="L18" s="7">
        <f t="shared" ref="L18:L19" si="8">H18*J18</f>
        <v>249494.75</v>
      </c>
      <c r="M18" s="7">
        <f>M13+K18+L18</f>
        <v>144326447.94354001</v>
      </c>
      <c r="N18" s="7">
        <v>0</v>
      </c>
      <c r="O18" s="19"/>
    </row>
    <row r="19" spans="1:15" x14ac:dyDescent="0.2">
      <c r="A19" s="43">
        <v>43132</v>
      </c>
      <c r="C19" s="7">
        <v>641481666</v>
      </c>
      <c r="D19" s="15">
        <v>1252973</v>
      </c>
      <c r="E19" s="15">
        <v>3139295</v>
      </c>
      <c r="F19" s="15">
        <f>6242867.79</f>
        <v>6242867.79</v>
      </c>
      <c r="G19" s="7">
        <f t="shared" si="5"/>
        <v>1886322</v>
      </c>
      <c r="H19" s="7">
        <f t="shared" si="6"/>
        <v>4989894.79</v>
      </c>
      <c r="I19" s="8">
        <v>0.21</v>
      </c>
      <c r="J19" s="8">
        <v>0.05</v>
      </c>
      <c r="K19" s="7">
        <f t="shared" si="7"/>
        <v>343733.724705</v>
      </c>
      <c r="L19" s="7">
        <f t="shared" si="8"/>
        <v>249494.73950000003</v>
      </c>
      <c r="M19" s="7">
        <f t="shared" ref="M19" si="9">M18+K19+L19</f>
        <v>144919676.407745</v>
      </c>
      <c r="N19" s="7">
        <v>0</v>
      </c>
      <c r="O19" s="19"/>
    </row>
    <row r="20" spans="1:15" x14ac:dyDescent="0.2">
      <c r="A20" s="1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5" x14ac:dyDescent="0.2">
      <c r="A21" s="1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5" x14ac:dyDescent="0.2">
      <c r="C22" s="26" t="s">
        <v>51</v>
      </c>
    </row>
    <row r="23" spans="1:15" x14ac:dyDescent="0.2">
      <c r="C23" s="26" t="s">
        <v>31</v>
      </c>
    </row>
    <row r="24" spans="1:15" x14ac:dyDescent="0.2">
      <c r="C24" s="26" t="s">
        <v>55</v>
      </c>
    </row>
    <row r="25" spans="1:15" x14ac:dyDescent="0.2">
      <c r="C25" s="24" t="s">
        <v>32</v>
      </c>
    </row>
    <row r="27" spans="1:15" x14ac:dyDescent="0.2">
      <c r="C27" s="24" t="s">
        <v>34</v>
      </c>
      <c r="D27" s="29" t="s">
        <v>35</v>
      </c>
      <c r="E27" s="28" t="s">
        <v>36</v>
      </c>
      <c r="F27" s="24" t="s">
        <v>37</v>
      </c>
      <c r="G27" s="30" t="s">
        <v>27</v>
      </c>
      <c r="H27" s="24" t="s">
        <v>38</v>
      </c>
    </row>
    <row r="28" spans="1:15" x14ac:dyDescent="0.2">
      <c r="C28" s="7">
        <v>1707678.0000000002</v>
      </c>
      <c r="D28" s="7">
        <v>1252973</v>
      </c>
      <c r="E28" s="7">
        <v>7521</v>
      </c>
      <c r="F28" s="7">
        <f>E28-D28</f>
        <v>-1245452</v>
      </c>
      <c r="G28" s="8">
        <v>0.21</v>
      </c>
      <c r="H28" s="7">
        <f>F28*G28</f>
        <v>-261544.91999999998</v>
      </c>
    </row>
    <row r="29" spans="1:15" x14ac:dyDescent="0.2">
      <c r="C29" s="7">
        <v>2561517</v>
      </c>
      <c r="E29" s="7">
        <v>30494.25</v>
      </c>
      <c r="F29" s="7">
        <f>E29</f>
        <v>30494.25</v>
      </c>
      <c r="G29" s="8">
        <v>0.21</v>
      </c>
      <c r="H29" s="7">
        <f t="shared" ref="H29:H47" si="10">F29*G29</f>
        <v>6403.7924999999996</v>
      </c>
    </row>
    <row r="30" spans="1:15" x14ac:dyDescent="0.2">
      <c r="C30" s="7">
        <v>30650265</v>
      </c>
      <c r="E30" s="7">
        <v>145921</v>
      </c>
      <c r="F30" s="7">
        <f t="shared" ref="F30:F47" si="11">E30</f>
        <v>145921</v>
      </c>
      <c r="G30" s="8">
        <v>0.21</v>
      </c>
      <c r="H30" s="7">
        <f t="shared" si="10"/>
        <v>30643.41</v>
      </c>
    </row>
    <row r="31" spans="1:15" x14ac:dyDescent="0.2">
      <c r="C31" s="7">
        <v>45975398</v>
      </c>
      <c r="E31" s="7">
        <v>547326.16666666663</v>
      </c>
      <c r="F31" s="7">
        <f t="shared" si="11"/>
        <v>547326.16666666663</v>
      </c>
      <c r="G31" s="8">
        <v>0.21</v>
      </c>
      <c r="H31" s="7">
        <f t="shared" si="10"/>
        <v>114938.49499999998</v>
      </c>
    </row>
    <row r="32" spans="1:15" x14ac:dyDescent="0.2">
      <c r="C32" s="7">
        <v>27464567.032000002</v>
      </c>
      <c r="E32" s="7">
        <v>130754</v>
      </c>
      <c r="F32" s="7">
        <f t="shared" si="11"/>
        <v>130754</v>
      </c>
      <c r="G32" s="8">
        <v>0.21</v>
      </c>
      <c r="H32" s="7">
        <f t="shared" si="10"/>
        <v>27458.34</v>
      </c>
    </row>
    <row r="33" spans="3:8" x14ac:dyDescent="0.2">
      <c r="C33" s="7">
        <v>41196850.548</v>
      </c>
      <c r="E33" s="7">
        <v>490438.69699999999</v>
      </c>
      <c r="F33" s="7">
        <f t="shared" si="11"/>
        <v>490438.69699999999</v>
      </c>
      <c r="G33" s="8">
        <v>0.21</v>
      </c>
      <c r="H33" s="7">
        <f t="shared" si="10"/>
        <v>102992.12637</v>
      </c>
    </row>
    <row r="34" spans="3:8" x14ac:dyDescent="0.2">
      <c r="C34" s="7">
        <v>8604879.8300000001</v>
      </c>
      <c r="E34" s="7">
        <v>44294</v>
      </c>
      <c r="F34" s="7">
        <f t="shared" si="11"/>
        <v>44294</v>
      </c>
      <c r="G34" s="8">
        <v>0.21</v>
      </c>
      <c r="H34" s="7">
        <f t="shared" si="10"/>
        <v>9301.74</v>
      </c>
    </row>
    <row r="35" spans="3:8" x14ac:dyDescent="0.2">
      <c r="C35" s="7">
        <v>3423604.6119999997</v>
      </c>
      <c r="E35" s="7">
        <v>17623</v>
      </c>
      <c r="F35" s="7">
        <f t="shared" si="11"/>
        <v>17623</v>
      </c>
      <c r="G35" s="8">
        <v>0.21</v>
      </c>
      <c r="H35" s="7">
        <f t="shared" si="10"/>
        <v>3700.83</v>
      </c>
    </row>
    <row r="36" spans="3:8" x14ac:dyDescent="0.2">
      <c r="C36" s="7">
        <v>5135406.9179999996</v>
      </c>
      <c r="E36" s="7">
        <v>61135.796642857138</v>
      </c>
      <c r="F36" s="7">
        <f t="shared" si="11"/>
        <v>61135.796642857138</v>
      </c>
      <c r="G36" s="8">
        <v>0.21</v>
      </c>
      <c r="H36" s="7">
        <f t="shared" si="10"/>
        <v>12838.517294999998</v>
      </c>
    </row>
    <row r="37" spans="3:8" x14ac:dyDescent="0.2">
      <c r="C37" s="7">
        <v>16610.338</v>
      </c>
      <c r="E37" s="7">
        <v>85</v>
      </c>
      <c r="F37" s="7">
        <f t="shared" si="11"/>
        <v>85</v>
      </c>
      <c r="G37" s="8">
        <v>0.21</v>
      </c>
      <c r="H37" s="7">
        <f t="shared" si="10"/>
        <v>17.849999999999998</v>
      </c>
    </row>
    <row r="38" spans="3:8" x14ac:dyDescent="0.2">
      <c r="C38" s="7">
        <v>24915.507000000001</v>
      </c>
      <c r="E38" s="7">
        <v>296.61317857142859</v>
      </c>
      <c r="F38" s="7">
        <f t="shared" si="11"/>
        <v>296.61317857142859</v>
      </c>
      <c r="G38" s="8">
        <v>0.21</v>
      </c>
      <c r="H38" s="7">
        <f t="shared" si="10"/>
        <v>62.288767499999999</v>
      </c>
    </row>
    <row r="39" spans="3:8" x14ac:dyDescent="0.2">
      <c r="C39" s="7">
        <v>31061870.714000002</v>
      </c>
      <c r="E39" s="7">
        <v>159891</v>
      </c>
      <c r="F39" s="7">
        <f t="shared" si="11"/>
        <v>159891</v>
      </c>
      <c r="G39" s="8">
        <v>0.21</v>
      </c>
      <c r="H39" s="7">
        <f t="shared" si="10"/>
        <v>33577.11</v>
      </c>
    </row>
    <row r="40" spans="3:8" x14ac:dyDescent="0.2">
      <c r="C40" s="7">
        <v>46592806.070999995</v>
      </c>
      <c r="E40" s="7">
        <v>776546.76784999995</v>
      </c>
      <c r="F40" s="7">
        <f t="shared" si="11"/>
        <v>776546.76784999995</v>
      </c>
      <c r="G40" s="8">
        <v>0.21</v>
      </c>
      <c r="H40" s="7">
        <f t="shared" si="10"/>
        <v>163074.8212485</v>
      </c>
    </row>
    <row r="41" spans="3:8" x14ac:dyDescent="0.2">
      <c r="C41" s="7">
        <v>1219848.1800000002</v>
      </c>
      <c r="E41" s="7">
        <v>6279</v>
      </c>
      <c r="F41" s="7">
        <f t="shared" si="11"/>
        <v>6279</v>
      </c>
      <c r="G41" s="8">
        <v>0.21</v>
      </c>
      <c r="H41" s="7">
        <f t="shared" si="10"/>
        <v>1318.59</v>
      </c>
    </row>
    <row r="42" spans="3:8" x14ac:dyDescent="0.2">
      <c r="C42" s="7">
        <v>2523999.9120000005</v>
      </c>
      <c r="E42" s="7">
        <v>12992</v>
      </c>
      <c r="F42" s="7">
        <f t="shared" si="11"/>
        <v>12992</v>
      </c>
      <c r="G42" s="8">
        <v>0.21</v>
      </c>
      <c r="H42" s="7">
        <f t="shared" si="10"/>
        <v>2728.3199999999997</v>
      </c>
    </row>
    <row r="43" spans="3:8" x14ac:dyDescent="0.2">
      <c r="C43" s="7">
        <v>3785999.8679999998</v>
      </c>
      <c r="E43" s="7">
        <v>45071.426999999996</v>
      </c>
      <c r="F43" s="7">
        <f t="shared" si="11"/>
        <v>45071.426999999996</v>
      </c>
      <c r="G43" s="8">
        <v>0.21</v>
      </c>
      <c r="H43" s="7">
        <f t="shared" si="10"/>
        <v>9464.9996699999992</v>
      </c>
    </row>
    <row r="44" spans="3:8" x14ac:dyDescent="0.2">
      <c r="C44" s="7">
        <v>25974568.388</v>
      </c>
      <c r="E44" s="7">
        <v>133704</v>
      </c>
      <c r="F44" s="7">
        <f t="shared" si="11"/>
        <v>133704</v>
      </c>
      <c r="G44" s="8">
        <v>0.21</v>
      </c>
      <c r="H44" s="7">
        <f t="shared" si="10"/>
        <v>28077.84</v>
      </c>
    </row>
    <row r="45" spans="3:8" x14ac:dyDescent="0.2">
      <c r="C45" s="7">
        <v>38961852.581999995</v>
      </c>
      <c r="E45" s="7">
        <v>463831.5783571428</v>
      </c>
      <c r="F45" s="7">
        <f t="shared" si="11"/>
        <v>463831.5783571428</v>
      </c>
      <c r="G45" s="8">
        <v>0.21</v>
      </c>
      <c r="H45" s="7">
        <f t="shared" si="10"/>
        <v>97404.631454999981</v>
      </c>
    </row>
    <row r="46" spans="3:8" x14ac:dyDescent="0.2">
      <c r="C46" s="7">
        <v>2779050.4420000003</v>
      </c>
      <c r="E46" s="7">
        <v>15463</v>
      </c>
      <c r="F46" s="7">
        <f t="shared" si="11"/>
        <v>15463</v>
      </c>
      <c r="G46" s="8">
        <v>0.21</v>
      </c>
      <c r="H46" s="7">
        <f t="shared" si="10"/>
        <v>3247.23</v>
      </c>
    </row>
    <row r="47" spans="3:8" ht="15" x14ac:dyDescent="0.35">
      <c r="C47" s="7">
        <v>4168575.6630000002</v>
      </c>
      <c r="E47" s="32">
        <v>49625.900750000001</v>
      </c>
      <c r="F47" s="32">
        <f t="shared" si="11"/>
        <v>49625.900750000001</v>
      </c>
      <c r="G47" s="8">
        <v>0.21</v>
      </c>
      <c r="H47" s="32">
        <f t="shared" si="10"/>
        <v>10421.439157499999</v>
      </c>
    </row>
    <row r="48" spans="3:8" x14ac:dyDescent="0.2">
      <c r="E48" s="7">
        <f>SUM(E28:E47)</f>
        <v>3139294.1974452385</v>
      </c>
      <c r="F48" s="7">
        <f>SUM(F28:F47)</f>
        <v>1886321.1974452378</v>
      </c>
      <c r="G48" s="34" t="s">
        <v>43</v>
      </c>
      <c r="H48" s="7">
        <f>SUM(H28:H47)</f>
        <v>396127.45146349992</v>
      </c>
    </row>
    <row r="49" spans="3:8" ht="15" x14ac:dyDescent="0.35">
      <c r="G49" s="34" t="s">
        <v>44</v>
      </c>
      <c r="H49" s="32">
        <f>-H72*0.21</f>
        <v>-52393.901671350002</v>
      </c>
    </row>
    <row r="50" spans="3:8" x14ac:dyDescent="0.2">
      <c r="H50" s="7">
        <f>H48+H49</f>
        <v>343733.54979214992</v>
      </c>
    </row>
    <row r="51" spans="3:8" x14ac:dyDescent="0.2">
      <c r="H51" s="7">
        <f>H50-K19</f>
        <v>-0.17491285008145496</v>
      </c>
    </row>
    <row r="52" spans="3:8" x14ac:dyDescent="0.2">
      <c r="C52" s="24" t="s">
        <v>39</v>
      </c>
      <c r="D52" s="27" t="s">
        <v>35</v>
      </c>
      <c r="E52" s="28" t="s">
        <v>40</v>
      </c>
      <c r="F52" s="24" t="s">
        <v>41</v>
      </c>
      <c r="G52" s="30" t="s">
        <v>28</v>
      </c>
      <c r="H52" s="24" t="s">
        <v>42</v>
      </c>
    </row>
    <row r="53" spans="3:8" x14ac:dyDescent="0.2">
      <c r="C53" s="7">
        <v>3645863</v>
      </c>
      <c r="D53" s="7">
        <f>D28</f>
        <v>1252973</v>
      </c>
      <c r="E53" s="7">
        <v>14851</v>
      </c>
      <c r="F53" s="7">
        <f>E53-D53</f>
        <v>-1238122</v>
      </c>
      <c r="G53" s="8">
        <v>0.05</v>
      </c>
      <c r="H53" s="7">
        <f>F53*G53</f>
        <v>-61906.100000000006</v>
      </c>
    </row>
    <row r="54" spans="3:8" x14ac:dyDescent="0.2">
      <c r="C54" s="7">
        <v>3415356</v>
      </c>
      <c r="E54" s="7">
        <v>15042</v>
      </c>
      <c r="F54" s="7">
        <f t="shared" ref="F54:F71" si="12">E54-D54</f>
        <v>15042</v>
      </c>
      <c r="G54" s="8">
        <v>0.05</v>
      </c>
      <c r="H54" s="7">
        <f t="shared" ref="H54:H71" si="13">F54*G54</f>
        <v>752.1</v>
      </c>
    </row>
    <row r="55" spans="3:8" x14ac:dyDescent="0.2">
      <c r="C55" s="7">
        <v>5123034</v>
      </c>
      <c r="E55" s="7">
        <v>60988.5</v>
      </c>
      <c r="F55" s="7">
        <f t="shared" si="12"/>
        <v>60988.5</v>
      </c>
      <c r="G55" s="8">
        <v>0.05</v>
      </c>
      <c r="H55" s="7">
        <f t="shared" si="13"/>
        <v>3049.4250000000002</v>
      </c>
    </row>
    <row r="56" spans="3:8" x14ac:dyDescent="0.2">
      <c r="C56" s="7">
        <v>61300530.800000004</v>
      </c>
      <c r="E56" s="7">
        <v>291842</v>
      </c>
      <c r="F56" s="7">
        <f t="shared" si="12"/>
        <v>291842</v>
      </c>
      <c r="G56" s="8">
        <v>0.05</v>
      </c>
      <c r="H56" s="7">
        <f t="shared" si="13"/>
        <v>14592.1</v>
      </c>
    </row>
    <row r="57" spans="3:8" x14ac:dyDescent="0.2">
      <c r="C57" s="7">
        <v>91950796.200000003</v>
      </c>
      <c r="E57" s="7">
        <v>1094652.3357142857</v>
      </c>
      <c r="F57" s="7">
        <f t="shared" si="12"/>
        <v>1094652.3357142857</v>
      </c>
      <c r="G57" s="8">
        <v>0.05</v>
      </c>
      <c r="H57" s="7">
        <f t="shared" si="13"/>
        <v>54732.616785714286</v>
      </c>
    </row>
    <row r="58" spans="3:8" x14ac:dyDescent="0.2">
      <c r="C58" s="7">
        <v>54929134.064000003</v>
      </c>
      <c r="E58" s="7">
        <v>261508</v>
      </c>
      <c r="F58" s="7">
        <f t="shared" si="12"/>
        <v>261508</v>
      </c>
      <c r="G58" s="8">
        <v>0.05</v>
      </c>
      <c r="H58" s="7">
        <f t="shared" si="13"/>
        <v>13075.400000000001</v>
      </c>
    </row>
    <row r="59" spans="3:8" x14ac:dyDescent="0.2">
      <c r="C59" s="7">
        <v>82393701.096000001</v>
      </c>
      <c r="E59" s="7">
        <v>980877.39399999997</v>
      </c>
      <c r="F59" s="7">
        <f t="shared" si="12"/>
        <v>980877.39399999997</v>
      </c>
      <c r="G59" s="8">
        <v>0.05</v>
      </c>
      <c r="H59" s="7">
        <f t="shared" si="13"/>
        <v>49043.869700000003</v>
      </c>
    </row>
    <row r="60" spans="3:8" x14ac:dyDescent="0.2">
      <c r="C60" s="7">
        <v>8604879.8300000001</v>
      </c>
      <c r="E60" s="7">
        <v>44294</v>
      </c>
      <c r="F60" s="7">
        <f t="shared" si="12"/>
        <v>44294</v>
      </c>
      <c r="G60" s="8">
        <v>0.05</v>
      </c>
      <c r="H60" s="7">
        <f t="shared" si="13"/>
        <v>2214.7000000000003</v>
      </c>
    </row>
    <row r="61" spans="3:8" x14ac:dyDescent="0.2">
      <c r="C61" s="7">
        <v>6880429.9000000022</v>
      </c>
      <c r="E61" s="7">
        <v>35417</v>
      </c>
      <c r="F61" s="7">
        <f t="shared" si="12"/>
        <v>35417</v>
      </c>
      <c r="G61" s="8">
        <v>0.05</v>
      </c>
      <c r="H61" s="7">
        <f t="shared" si="13"/>
        <v>1770.8500000000001</v>
      </c>
    </row>
    <row r="62" spans="3:8" x14ac:dyDescent="0.2">
      <c r="C62" s="7">
        <v>10320644.850000001</v>
      </c>
      <c r="E62" s="7">
        <v>122864.81964285717</v>
      </c>
      <c r="F62" s="7">
        <f t="shared" si="12"/>
        <v>122864.81964285717</v>
      </c>
      <c r="G62" s="8">
        <v>0.05</v>
      </c>
      <c r="H62" s="7">
        <f t="shared" si="13"/>
        <v>6143.2409821428591</v>
      </c>
    </row>
    <row r="63" spans="3:8" x14ac:dyDescent="0.2">
      <c r="C63" s="7">
        <v>62123741.428000003</v>
      </c>
      <c r="E63" s="7">
        <v>319782</v>
      </c>
      <c r="F63" s="7">
        <f t="shared" si="12"/>
        <v>319782</v>
      </c>
      <c r="G63" s="8">
        <v>0.05</v>
      </c>
      <c r="H63" s="7">
        <f t="shared" si="13"/>
        <v>15989.1</v>
      </c>
    </row>
    <row r="64" spans="3:8" x14ac:dyDescent="0.2">
      <c r="C64" s="7">
        <v>93185612.14199999</v>
      </c>
      <c r="E64" s="7">
        <v>1553093.5356999999</v>
      </c>
      <c r="F64" s="7">
        <f t="shared" si="12"/>
        <v>1553093.5356999999</v>
      </c>
      <c r="G64" s="8">
        <v>0.05</v>
      </c>
      <c r="H64" s="7">
        <f t="shared" si="13"/>
        <v>77654.676785000003</v>
      </c>
    </row>
    <row r="65" spans="3:8" x14ac:dyDescent="0.2">
      <c r="C65" s="7">
        <v>1219848.1800000002</v>
      </c>
      <c r="E65" s="7">
        <v>6279</v>
      </c>
      <c r="F65" s="7">
        <f t="shared" si="12"/>
        <v>6279</v>
      </c>
      <c r="G65" s="8">
        <v>0.05</v>
      </c>
      <c r="H65" s="7">
        <f t="shared" si="13"/>
        <v>313.95000000000005</v>
      </c>
    </row>
    <row r="66" spans="3:8" x14ac:dyDescent="0.2">
      <c r="C66" s="7">
        <v>5047999.824000001</v>
      </c>
      <c r="E66" s="7">
        <v>25985</v>
      </c>
      <c r="F66" s="7">
        <f t="shared" si="12"/>
        <v>25985</v>
      </c>
      <c r="G66" s="8">
        <v>0.05</v>
      </c>
      <c r="H66" s="7">
        <f t="shared" si="13"/>
        <v>1299.25</v>
      </c>
    </row>
    <row r="67" spans="3:8" x14ac:dyDescent="0.2">
      <c r="C67" s="7">
        <v>7571999.7359999996</v>
      </c>
      <c r="E67" s="7">
        <v>90142.853999999992</v>
      </c>
      <c r="F67" s="7">
        <f t="shared" si="12"/>
        <v>90142.853999999992</v>
      </c>
      <c r="G67" s="8">
        <v>0.05</v>
      </c>
      <c r="H67" s="7">
        <f t="shared" si="13"/>
        <v>4507.1426999999994</v>
      </c>
    </row>
    <row r="68" spans="3:8" x14ac:dyDescent="0.2">
      <c r="C68" s="7">
        <v>51949136.776000001</v>
      </c>
      <c r="E68" s="7">
        <v>267408</v>
      </c>
      <c r="F68" s="7">
        <f t="shared" si="12"/>
        <v>267408</v>
      </c>
      <c r="G68" s="8">
        <v>0.05</v>
      </c>
      <c r="H68" s="7">
        <f t="shared" si="13"/>
        <v>13370.400000000001</v>
      </c>
    </row>
    <row r="69" spans="3:8" x14ac:dyDescent="0.2">
      <c r="C69" s="7">
        <v>77923705.16399999</v>
      </c>
      <c r="E69" s="7">
        <v>927663.15671428561</v>
      </c>
      <c r="F69" s="7">
        <f t="shared" si="12"/>
        <v>927663.15671428561</v>
      </c>
      <c r="G69" s="8">
        <v>0.05</v>
      </c>
      <c r="H69" s="7">
        <f t="shared" si="13"/>
        <v>46383.157835714286</v>
      </c>
    </row>
    <row r="70" spans="3:8" x14ac:dyDescent="0.2">
      <c r="C70" s="7">
        <v>5558100.8840000005</v>
      </c>
      <c r="E70" s="7">
        <v>30926</v>
      </c>
      <c r="F70" s="41">
        <f t="shared" si="12"/>
        <v>30926</v>
      </c>
      <c r="G70" s="8">
        <v>0.05</v>
      </c>
      <c r="H70" s="7">
        <f t="shared" si="13"/>
        <v>1546.3000000000002</v>
      </c>
    </row>
    <row r="71" spans="3:8" ht="15" x14ac:dyDescent="0.35">
      <c r="C71" s="7">
        <v>8337151.3260000004</v>
      </c>
      <c r="E71" s="32">
        <v>99251.801500000001</v>
      </c>
      <c r="F71" s="32">
        <f t="shared" si="12"/>
        <v>99251.801500000001</v>
      </c>
      <c r="G71" s="8">
        <v>0.05</v>
      </c>
      <c r="H71" s="32">
        <f t="shared" si="13"/>
        <v>4962.5900750000001</v>
      </c>
    </row>
    <row r="72" spans="3:8" x14ac:dyDescent="0.2">
      <c r="E72" s="7">
        <f>SUM(E53:E71)</f>
        <v>6242868.3972714292</v>
      </c>
      <c r="F72" s="7">
        <f>SUM(F53:F71)</f>
        <v>4989895.3972714283</v>
      </c>
      <c r="H72" s="7">
        <f>SUM(H53:H71)</f>
        <v>249494.76986357145</v>
      </c>
    </row>
    <row r="73" spans="3:8" x14ac:dyDescent="0.2">
      <c r="H73" s="7">
        <f>H72-L19</f>
        <v>3.0363571422640234E-2</v>
      </c>
    </row>
  </sheetData>
  <pageMargins left="0.7" right="0.7" top="1.15625" bottom="0.75" header="0.3" footer="0.3"/>
  <pageSetup scale="75" orientation="portrait" r:id="rId1"/>
  <headerFooter>
    <oddHeader>&amp;R&amp;"Times New Roman,Bold"&amp;12Attachment to Response to Question 3
Page 9 of 9
Williams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Project 28</vt:lpstr>
      <vt:lpstr>Project 29</vt:lpstr>
      <vt:lpstr>Project 29_2011 Plan</vt:lpstr>
      <vt:lpstr>Project 30</vt:lpstr>
      <vt:lpstr>Project 31</vt:lpstr>
      <vt:lpstr>Project 32</vt:lpstr>
      <vt:lpstr>Project 33</vt:lpstr>
      <vt:lpstr>Project 34</vt:lpstr>
      <vt:lpstr>Project 35</vt:lpstr>
      <vt:lpstr>Project 37</vt:lpstr>
      <vt:lpstr>Project 38</vt:lpstr>
      <vt:lpstr>Project 41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2018-09-04T15:21:11Z</dcterms:created>
  <dcterms:modified xsi:type="dcterms:W3CDTF">2018-09-04T15:21:19Z</dcterms:modified>
</cp:coreProperties>
</file>