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70" tabRatio="868"/>
  </bookViews>
  <sheets>
    <sheet name="Input Tab" sheetId="13" r:id="rId1"/>
    <sheet name="Q1 p.1 - Rate Base True-up Adj" sheetId="2" r:id="rId2"/>
    <sheet name="Q1 p.2 - Rate of Return Adj" sheetId="14" r:id="rId3"/>
    <sheet name="Q1 p3. - ROR (Dec 2017)" sheetId="17" r:id="rId4"/>
    <sheet name="Q1 p4. - ROR (Feb 2018)" sheetId="19" r:id="rId5"/>
    <sheet name="Q1 p.5 - ECC (Dec 2017)" sheetId="18" r:id="rId6"/>
    <sheet name="Q1 p.6 - ECC (Feb 2018)" sheetId="11" r:id="rId7"/>
    <sheet name="Q2 p.1 - Retail E(m)" sheetId="12" r:id="rId8"/>
    <sheet name="Q2 p.2 - Detailed Over-Under" sheetId="15" r:id="rId9"/>
    <sheet name="Q2 p.3 - Summary Over-Under" sheetId="3" r:id="rId10"/>
    <sheet name="Q2 p.4 - Detailed Variances " sheetId="16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\\" localSheetId="4" hidden="1">#REF!</definedName>
    <definedName name="\\" localSheetId="7" hidden="1">#REF!</definedName>
    <definedName name="\\" hidden="1">#REF!</definedName>
    <definedName name="\\\" localSheetId="4" hidden="1">#REF!</definedName>
    <definedName name="\\\" localSheetId="7" hidden="1">#REF!</definedName>
    <definedName name="\\\" hidden="1">#REF!</definedName>
    <definedName name="\\\\" localSheetId="4" hidden="1">#REF!</definedName>
    <definedName name="\\\\" localSheetId="7" hidden="1">#REF!</definedName>
    <definedName name="\\\\" hidden="1">#REF!</definedName>
    <definedName name="__123Graph_A" localSheetId="4" hidden="1">#REF!</definedName>
    <definedName name="__123Graph_A" localSheetId="7" hidden="1">#REF!</definedName>
    <definedName name="__123Graph_A" hidden="1">#REF!</definedName>
    <definedName name="__123Graph_B" localSheetId="4" hidden="1">#REF!</definedName>
    <definedName name="__123Graph_B" localSheetId="7" hidden="1">#REF!</definedName>
    <definedName name="__123Graph_B" hidden="1">#REF!</definedName>
    <definedName name="__123Graph_C" localSheetId="4" hidden="1">#REF!</definedName>
    <definedName name="__123Graph_C" localSheetId="7" hidden="1">#REF!</definedName>
    <definedName name="__123Graph_C" hidden="1">#REF!</definedName>
    <definedName name="__123Graph_D" localSheetId="4" hidden="1">#REF!</definedName>
    <definedName name="__123Graph_D" localSheetId="7" hidden="1">#REF!</definedName>
    <definedName name="__123Graph_D" hidden="1">#REF!</definedName>
    <definedName name="__123Graph_E" localSheetId="4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7" hidden="1">#REF!</definedName>
    <definedName name="__123Graph_F" hidden="1">#REF!</definedName>
    <definedName name="__123Graph_X" localSheetId="4" hidden="1">#REF!</definedName>
    <definedName name="__123Graph_X" localSheetId="7" hidden="1">#REF!</definedName>
    <definedName name="__123Graph_X" hidden="1">#REF!</definedName>
    <definedName name="_36__123Graph_BCHART_1" localSheetId="4" hidden="1">'[1]HOSPICE OPSUM'!#REF!</definedName>
    <definedName name="_36__123Graph_BCHART_1" localSheetId="7" hidden="1">'[1]HOSPICE OPSUM'!#REF!</definedName>
    <definedName name="_36__123Graph_BCHART_1" hidden="1">'[1]HOSPICE OPSUM'!#REF!</definedName>
    <definedName name="_Fill" localSheetId="4" hidden="1">#REF!</definedName>
    <definedName name="_Fill" localSheetId="7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4" hidden="1">#REF!</definedName>
    <definedName name="_Table1_In1" localSheetId="7" hidden="1">#REF!</definedName>
    <definedName name="_Table1_In1" hidden="1">#REF!</definedName>
    <definedName name="_Table1_Out" localSheetId="4" hidden="1">#REF!</definedName>
    <definedName name="_Table1_Out" localSheetId="7" hidden="1">#REF!</definedName>
    <definedName name="_Table1_Out" hidden="1">#REF!</definedName>
    <definedName name="_Table1_Out_2" localSheetId="4" hidden="1">#REF!</definedName>
    <definedName name="_Table1_Out_2" localSheetId="7" hidden="1">#REF!</definedName>
    <definedName name="_Table1_Out_2" hidden="1">#REF!</definedName>
    <definedName name="_Table2_In1" localSheetId="4" hidden="1">'[2]Bank Model'!#REF!</definedName>
    <definedName name="_Table2_In1" localSheetId="7" hidden="1">'[2]Bank Model'!#REF!</definedName>
    <definedName name="_Table2_In1" hidden="1">'[2]Bank Model'!#REF!</definedName>
    <definedName name="_Table2_In2" localSheetId="4" hidden="1">'[2]Bank Model'!#REF!</definedName>
    <definedName name="_Table2_In2" localSheetId="7" hidden="1">'[2]Bank Model'!#REF!</definedName>
    <definedName name="_Table2_In2" hidden="1">'[2]Bank Model'!#REF!</definedName>
    <definedName name="_Table2_Out" localSheetId="4" hidden="1">'[2]Bank Model'!#REF!</definedName>
    <definedName name="_Table2_Out" localSheetId="7" hidden="1">'[2]Bank Model'!#REF!</definedName>
    <definedName name="_Table2_Out" hidden="1">'[2]Bank Model'!#REF!</definedName>
    <definedName name="_Table2_Out_2" localSheetId="4" hidden="1">#REF!</definedName>
    <definedName name="_Table2_Out_2" localSheetId="7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4" hidden="1">#REF!</definedName>
    <definedName name="asdfasdfasdfas" localSheetId="7" hidden="1">#REF!</definedName>
    <definedName name="asdfasdfasdfas" hidden="1">#REF!</definedName>
    <definedName name="BLPH1" hidden="1">'[3]Natural gas'!$A$3</definedName>
    <definedName name="BLPR1020040129204514642" localSheetId="4" hidden="1">'[4]Spread Sheet'!#REF!</definedName>
    <definedName name="BLPR1020040129204514642" localSheetId="7" hidden="1">'[4]Spread Sheet'!#REF!</definedName>
    <definedName name="BLPR1020040129204514642" hidden="1">'[4]Spread Sheet'!#REF!</definedName>
    <definedName name="BLPR1020040129204514642_1_5" localSheetId="4" hidden="1">'[4]Spread Sheet'!#REF!</definedName>
    <definedName name="BLPR1020040129204514642_1_5" localSheetId="7" hidden="1">'[4]Spread Sheet'!#REF!</definedName>
    <definedName name="BLPR1020040129204514642_1_5" hidden="1">'[4]Spread Sheet'!#REF!</definedName>
    <definedName name="BLPR1020040129204514642_2_5" localSheetId="4" hidden="1">'[4]Spread Sheet'!#REF!</definedName>
    <definedName name="BLPR1020040129204514642_2_5" localSheetId="7" hidden="1">'[4]Spread Sheet'!#REF!</definedName>
    <definedName name="BLPR1020040129204514642_2_5" hidden="1">'[4]Spread Sheet'!#REF!</definedName>
    <definedName name="BLPR1020040129204514642_3_5" localSheetId="4" hidden="1">'[4]Spread Sheet'!#REF!</definedName>
    <definedName name="BLPR1020040129204514642_3_5" localSheetId="7" hidden="1">'[4]Spread Sheet'!#REF!</definedName>
    <definedName name="BLPR1020040129204514642_3_5" hidden="1">'[4]Spread Sheet'!#REF!</definedName>
    <definedName name="BLPR1020040129204514642_4_5" localSheetId="4" hidden="1">'[4]Spread Sheet'!#REF!</definedName>
    <definedName name="BLPR1020040129204514642_4_5" localSheetId="7" hidden="1">'[4]Spread Sheet'!#REF!</definedName>
    <definedName name="BLPR1020040129204514642_4_5" hidden="1">'[4]Spread Sheet'!#REF!</definedName>
    <definedName name="BLPR1020040129204514642_5_5" localSheetId="4" hidden="1">'[4]Spread Sheet'!#REF!</definedName>
    <definedName name="BLPR1020040129204514642_5_5" localSheetId="7" hidden="1">'[4]Spread Sheet'!#REF!</definedName>
    <definedName name="BLPR1020040129204514642_5_5" hidden="1">'[4]Spread Sheet'!#REF!</definedName>
    <definedName name="BLPR1120040129204514642" localSheetId="4" hidden="1">'[4]Spread Sheet'!#REF!</definedName>
    <definedName name="BLPR1120040129204514642" localSheetId="7" hidden="1">'[4]Spread Sheet'!#REF!</definedName>
    <definedName name="BLPR1120040129204514642" hidden="1">'[4]Spread Sheet'!#REF!</definedName>
    <definedName name="BLPR1120040129204514642_1_5" localSheetId="4" hidden="1">'[4]Spread Sheet'!#REF!</definedName>
    <definedName name="BLPR1120040129204514642_1_5" localSheetId="7" hidden="1">'[4]Spread Sheet'!#REF!</definedName>
    <definedName name="BLPR1120040129204514642_1_5" hidden="1">'[4]Spread Sheet'!#REF!</definedName>
    <definedName name="BLPR1120040129204514642_2_5" localSheetId="4" hidden="1">'[4]Spread Sheet'!#REF!</definedName>
    <definedName name="BLPR1120040129204514642_2_5" localSheetId="7" hidden="1">'[4]Spread Sheet'!#REF!</definedName>
    <definedName name="BLPR1120040129204514642_2_5" hidden="1">'[4]Spread Sheet'!#REF!</definedName>
    <definedName name="BLPR1120040129204514642_3_5" localSheetId="4" hidden="1">'[4]Spread Sheet'!#REF!</definedName>
    <definedName name="BLPR1120040129204514642_3_5" localSheetId="7" hidden="1">'[4]Spread Sheet'!#REF!</definedName>
    <definedName name="BLPR1120040129204514642_3_5" hidden="1">'[4]Spread Sheet'!#REF!</definedName>
    <definedName name="BLPR1120040129204514642_4_5" localSheetId="4" hidden="1">'[4]Spread Sheet'!#REF!</definedName>
    <definedName name="BLPR1120040129204514642_4_5" localSheetId="7" hidden="1">'[4]Spread Sheet'!#REF!</definedName>
    <definedName name="BLPR1120040129204514642_4_5" hidden="1">'[4]Spread Sheet'!#REF!</definedName>
    <definedName name="BLPR1120040129204514642_5_5" localSheetId="4" hidden="1">'[4]Spread Sheet'!#REF!</definedName>
    <definedName name="BLPR1120040129204514642_5_5" localSheetId="7" hidden="1">'[4]Spread Sheet'!#REF!</definedName>
    <definedName name="BLPR1120040129204514642_5_5" hidden="1">'[4]Spread Sheet'!#REF!</definedName>
    <definedName name="BLPR120040129203645421" localSheetId="4" hidden="1">'[4]Spread Sheet'!#REF!</definedName>
    <definedName name="BLPR120040129203645421" localSheetId="7" hidden="1">'[4]Spread Sheet'!#REF!</definedName>
    <definedName name="BLPR120040129203645421" hidden="1">'[4]Spread Sheet'!#REF!</definedName>
    <definedName name="BLPR120040129203645421_1_4" localSheetId="4" hidden="1">'[4]Spread Sheet'!#REF!</definedName>
    <definedName name="BLPR120040129203645421_1_4" localSheetId="7" hidden="1">'[4]Spread Sheet'!#REF!</definedName>
    <definedName name="BLPR120040129203645421_1_4" hidden="1">'[4]Spread Sheet'!#REF!</definedName>
    <definedName name="BLPR120040129203645421_2_4" localSheetId="4" hidden="1">'[4]Spread Sheet'!#REF!</definedName>
    <definedName name="BLPR120040129203645421_2_4" localSheetId="7" hidden="1">'[4]Spread Sheet'!#REF!</definedName>
    <definedName name="BLPR120040129203645421_2_4" hidden="1">'[4]Spread Sheet'!#REF!</definedName>
    <definedName name="BLPR120040129203645421_3_4" localSheetId="4" hidden="1">'[4]Spread Sheet'!#REF!</definedName>
    <definedName name="BLPR120040129203645421_3_4" localSheetId="7" hidden="1">'[4]Spread Sheet'!#REF!</definedName>
    <definedName name="BLPR120040129203645421_3_4" hidden="1">'[4]Spread Sheet'!#REF!</definedName>
    <definedName name="BLPR120040129203645421_4_4" localSheetId="4" hidden="1">'[4]Spread Sheet'!#REF!</definedName>
    <definedName name="BLPR120040129203645421_4_4" localSheetId="7" hidden="1">'[4]Spread Sheet'!#REF!</definedName>
    <definedName name="BLPR120040129203645421_4_4" hidden="1">'[4]Spread Sheet'!#REF!</definedName>
    <definedName name="BLPR1220040129204514642" localSheetId="4" hidden="1">'[4]Spread Sheet'!#REF!</definedName>
    <definedName name="BLPR1220040129204514642" localSheetId="7" hidden="1">'[4]Spread Sheet'!#REF!</definedName>
    <definedName name="BLPR1220040129204514642" hidden="1">'[4]Spread Sheet'!#REF!</definedName>
    <definedName name="BLPR1220040129204514642_1_5" localSheetId="4" hidden="1">'[4]Spread Sheet'!#REF!</definedName>
    <definedName name="BLPR1220040129204514642_1_5" localSheetId="7" hidden="1">'[4]Spread Sheet'!#REF!</definedName>
    <definedName name="BLPR1220040129204514642_1_5" hidden="1">'[4]Spread Sheet'!#REF!</definedName>
    <definedName name="BLPR1220040129204514642_2_5" localSheetId="4" hidden="1">'[4]Spread Sheet'!#REF!</definedName>
    <definedName name="BLPR1220040129204514642_2_5" localSheetId="7" hidden="1">'[4]Spread Sheet'!#REF!</definedName>
    <definedName name="BLPR1220040129204514642_2_5" hidden="1">'[4]Spread Sheet'!#REF!</definedName>
    <definedName name="BLPR1220040129204514642_3_5" localSheetId="4" hidden="1">'[4]Spread Sheet'!#REF!</definedName>
    <definedName name="BLPR1220040129204514642_3_5" localSheetId="7" hidden="1">'[4]Spread Sheet'!#REF!</definedName>
    <definedName name="BLPR1220040129204514642_3_5" hidden="1">'[4]Spread Sheet'!#REF!</definedName>
    <definedName name="BLPR1220040129204514642_4_5" localSheetId="4" hidden="1">'[4]Spread Sheet'!#REF!</definedName>
    <definedName name="BLPR1220040129204514642_4_5" localSheetId="7" hidden="1">'[4]Spread Sheet'!#REF!</definedName>
    <definedName name="BLPR1220040129204514642_4_5" hidden="1">'[4]Spread Sheet'!#REF!</definedName>
    <definedName name="BLPR1220040129204514642_5_5" localSheetId="4" hidden="1">'[4]Spread Sheet'!#REF!</definedName>
    <definedName name="BLPR1220040129204514642_5_5" localSheetId="7" hidden="1">'[4]Spread Sheet'!#REF!</definedName>
    <definedName name="BLPR1220040129204514642_5_5" hidden="1">'[4]Spread Sheet'!#REF!</definedName>
    <definedName name="BLPR1320040129204514642" localSheetId="4" hidden="1">'[4]Spread Sheet'!#REF!</definedName>
    <definedName name="BLPR1320040129204514642" localSheetId="7" hidden="1">'[4]Spread Sheet'!#REF!</definedName>
    <definedName name="BLPR1320040129204514642" hidden="1">'[4]Spread Sheet'!#REF!</definedName>
    <definedName name="BLPR1320040129204514642_1_5" localSheetId="4" hidden="1">'[4]Spread Sheet'!#REF!</definedName>
    <definedName name="BLPR1320040129204514642_1_5" localSheetId="7" hidden="1">'[4]Spread Sheet'!#REF!</definedName>
    <definedName name="BLPR1320040129204514642_1_5" hidden="1">'[4]Spread Sheet'!#REF!</definedName>
    <definedName name="BLPR1320040129204514642_2_5" localSheetId="4" hidden="1">'[4]Spread Sheet'!#REF!</definedName>
    <definedName name="BLPR1320040129204514642_2_5" localSheetId="7" hidden="1">'[4]Spread Sheet'!#REF!</definedName>
    <definedName name="BLPR1320040129204514642_2_5" hidden="1">'[4]Spread Sheet'!#REF!</definedName>
    <definedName name="BLPR1320040129204514642_3_5" localSheetId="4" hidden="1">'[4]Spread Sheet'!#REF!</definedName>
    <definedName name="BLPR1320040129204514642_3_5" localSheetId="7" hidden="1">'[4]Spread Sheet'!#REF!</definedName>
    <definedName name="BLPR1320040129204514642_3_5" hidden="1">'[4]Spread Sheet'!#REF!</definedName>
    <definedName name="BLPR1320040129204514642_4_5" localSheetId="4" hidden="1">'[4]Spread Sheet'!#REF!</definedName>
    <definedName name="BLPR1320040129204514642_4_5" localSheetId="7" hidden="1">'[4]Spread Sheet'!#REF!</definedName>
    <definedName name="BLPR1320040129204514642_4_5" hidden="1">'[4]Spread Sheet'!#REF!</definedName>
    <definedName name="BLPR1320040129204514642_5_5" localSheetId="4" hidden="1">'[4]Spread Sheet'!#REF!</definedName>
    <definedName name="BLPR1320040129204514642_5_5" localSheetId="7" hidden="1">'[4]Spread Sheet'!#REF!</definedName>
    <definedName name="BLPR1320040129204514642_5_5" hidden="1">'[4]Spread Sheet'!#REF!</definedName>
    <definedName name="BLPR1420040129204514642" localSheetId="4" hidden="1">'[4]Spread Sheet'!#REF!</definedName>
    <definedName name="BLPR1420040129204514642" localSheetId="7" hidden="1">'[4]Spread Sheet'!#REF!</definedName>
    <definedName name="BLPR1420040129204514642" hidden="1">'[4]Spread Sheet'!#REF!</definedName>
    <definedName name="BLPR1420040129204514642_1_5" localSheetId="4" hidden="1">'[4]Spread Sheet'!#REF!</definedName>
    <definedName name="BLPR1420040129204514642_1_5" localSheetId="7" hidden="1">'[4]Spread Sheet'!#REF!</definedName>
    <definedName name="BLPR1420040129204514642_1_5" hidden="1">'[4]Spread Sheet'!#REF!</definedName>
    <definedName name="BLPR1420040129204514642_2_5" localSheetId="4" hidden="1">'[4]Spread Sheet'!#REF!</definedName>
    <definedName name="BLPR1420040129204514642_2_5" localSheetId="7" hidden="1">'[4]Spread Sheet'!#REF!</definedName>
    <definedName name="BLPR1420040129204514642_2_5" hidden="1">'[4]Spread Sheet'!#REF!</definedName>
    <definedName name="BLPR1420040129204514642_3_5" localSheetId="4" hidden="1">'[4]Spread Sheet'!#REF!</definedName>
    <definedName name="BLPR1420040129204514642_3_5" localSheetId="7" hidden="1">'[4]Spread Sheet'!#REF!</definedName>
    <definedName name="BLPR1420040129204514642_3_5" hidden="1">'[4]Spread Sheet'!#REF!</definedName>
    <definedName name="BLPR1420040129204514642_4_5" localSheetId="4" hidden="1">'[4]Spread Sheet'!#REF!</definedName>
    <definedName name="BLPR1420040129204514642_4_5" localSheetId="7" hidden="1">'[4]Spread Sheet'!#REF!</definedName>
    <definedName name="BLPR1420040129204514642_4_5" hidden="1">'[4]Spread Sheet'!#REF!</definedName>
    <definedName name="BLPR1420040129204514642_5_5" localSheetId="4" hidden="1">'[4]Spread Sheet'!#REF!</definedName>
    <definedName name="BLPR1420040129204514642_5_5" localSheetId="7" hidden="1">'[4]Spread Sheet'!#REF!</definedName>
    <definedName name="BLPR1420040129204514642_5_5" hidden="1">'[4]Spread Sheet'!#REF!</definedName>
    <definedName name="BLPR1520040129204514652" localSheetId="4" hidden="1">'[4]Spread Sheet'!#REF!</definedName>
    <definedName name="BLPR1520040129204514652" localSheetId="7" hidden="1">'[4]Spread Sheet'!#REF!</definedName>
    <definedName name="BLPR1520040129204514652" hidden="1">'[4]Spread Sheet'!#REF!</definedName>
    <definedName name="BLPR1520040129204514652_1_5" localSheetId="4" hidden="1">'[4]Spread Sheet'!#REF!</definedName>
    <definedName name="BLPR1520040129204514652_1_5" localSheetId="7" hidden="1">'[4]Spread Sheet'!#REF!</definedName>
    <definedName name="BLPR1520040129204514652_1_5" hidden="1">'[4]Spread Sheet'!#REF!</definedName>
    <definedName name="BLPR1520040129204514652_2_5" localSheetId="4" hidden="1">'[4]Spread Sheet'!#REF!</definedName>
    <definedName name="BLPR1520040129204514652_2_5" localSheetId="7" hidden="1">'[4]Spread Sheet'!#REF!</definedName>
    <definedName name="BLPR1520040129204514652_2_5" hidden="1">'[4]Spread Sheet'!#REF!</definedName>
    <definedName name="BLPR1520040129204514652_3_5" localSheetId="4" hidden="1">'[4]Spread Sheet'!#REF!</definedName>
    <definedName name="BLPR1520040129204514652_3_5" localSheetId="7" hidden="1">'[4]Spread Sheet'!#REF!</definedName>
    <definedName name="BLPR1520040129204514652_3_5" hidden="1">'[4]Spread Sheet'!#REF!</definedName>
    <definedName name="BLPR1520040129204514652_4_5" localSheetId="4" hidden="1">'[4]Spread Sheet'!#REF!</definedName>
    <definedName name="BLPR1520040129204514652_4_5" localSheetId="7" hidden="1">'[4]Spread Sheet'!#REF!</definedName>
    <definedName name="BLPR1520040129204514652_4_5" hidden="1">'[4]Spread Sheet'!#REF!</definedName>
    <definedName name="BLPR1520040129204514652_5_5" localSheetId="4" hidden="1">'[4]Spread Sheet'!#REF!</definedName>
    <definedName name="BLPR1520040129204514652_5_5" localSheetId="7" hidden="1">'[4]Spread Sheet'!#REF!</definedName>
    <definedName name="BLPR1520040129204514652_5_5" hidden="1">'[4]Spread Sheet'!#REF!</definedName>
    <definedName name="BLPR1620040129204514652" localSheetId="4" hidden="1">'[4]Spread Sheet'!#REF!</definedName>
    <definedName name="BLPR1620040129204514652" localSheetId="7" hidden="1">'[4]Spread Sheet'!#REF!</definedName>
    <definedName name="BLPR1620040129204514652" hidden="1">'[4]Spread Sheet'!#REF!</definedName>
    <definedName name="BLPR1620040129204514652_1_5" localSheetId="4" hidden="1">'[4]Spread Sheet'!#REF!</definedName>
    <definedName name="BLPR1620040129204514652_1_5" localSheetId="7" hidden="1">'[4]Spread Sheet'!#REF!</definedName>
    <definedName name="BLPR1620040129204514652_1_5" hidden="1">'[4]Spread Sheet'!#REF!</definedName>
    <definedName name="BLPR1620040129204514652_2_5" localSheetId="4" hidden="1">'[4]Spread Sheet'!#REF!</definedName>
    <definedName name="BLPR1620040129204514652_2_5" localSheetId="7" hidden="1">'[4]Spread Sheet'!#REF!</definedName>
    <definedName name="BLPR1620040129204514652_2_5" hidden="1">'[4]Spread Sheet'!#REF!</definedName>
    <definedName name="BLPR1620040129204514652_3_5" localSheetId="4" hidden="1">'[4]Spread Sheet'!#REF!</definedName>
    <definedName name="BLPR1620040129204514652_3_5" localSheetId="7" hidden="1">'[4]Spread Sheet'!#REF!</definedName>
    <definedName name="BLPR1620040129204514652_3_5" hidden="1">'[4]Spread Sheet'!#REF!</definedName>
    <definedName name="BLPR1620040129204514652_4_5" localSheetId="4" hidden="1">'[4]Spread Sheet'!#REF!</definedName>
    <definedName name="BLPR1620040129204514652_4_5" localSheetId="7" hidden="1">'[4]Spread Sheet'!#REF!</definedName>
    <definedName name="BLPR1620040129204514652_4_5" hidden="1">'[4]Spread Sheet'!#REF!</definedName>
    <definedName name="BLPR1620040129204514652_5_5" localSheetId="4" hidden="1">'[4]Spread Sheet'!#REF!</definedName>
    <definedName name="BLPR1620040129204514652_5_5" localSheetId="7" hidden="1">'[4]Spread Sheet'!#REF!</definedName>
    <definedName name="BLPR1620040129204514652_5_5" hidden="1">'[4]Spread Sheet'!#REF!</definedName>
    <definedName name="BLPR1720040129204514652" localSheetId="4" hidden="1">'[4]Spread Sheet'!#REF!</definedName>
    <definedName name="BLPR1720040129204514652" localSheetId="7" hidden="1">'[4]Spread Sheet'!#REF!</definedName>
    <definedName name="BLPR1720040129204514652" hidden="1">'[4]Spread Sheet'!#REF!</definedName>
    <definedName name="BLPR1720040129204514652_1_5" localSheetId="4" hidden="1">'[4]Spread Sheet'!#REF!</definedName>
    <definedName name="BLPR1720040129204514652_1_5" localSheetId="7" hidden="1">'[4]Spread Sheet'!#REF!</definedName>
    <definedName name="BLPR1720040129204514652_1_5" hidden="1">'[4]Spread Sheet'!#REF!</definedName>
    <definedName name="BLPR1720040129204514652_2_5" localSheetId="4" hidden="1">'[4]Spread Sheet'!#REF!</definedName>
    <definedName name="BLPR1720040129204514652_2_5" localSheetId="7" hidden="1">'[4]Spread Sheet'!#REF!</definedName>
    <definedName name="BLPR1720040129204514652_2_5" hidden="1">'[4]Spread Sheet'!#REF!</definedName>
    <definedName name="BLPR1720040129204514652_3_5" localSheetId="4" hidden="1">'[4]Spread Sheet'!#REF!</definedName>
    <definedName name="BLPR1720040129204514652_3_5" localSheetId="7" hidden="1">'[4]Spread Sheet'!#REF!</definedName>
    <definedName name="BLPR1720040129204514652_3_5" hidden="1">'[4]Spread Sheet'!#REF!</definedName>
    <definedName name="BLPR1720040129204514652_4_5" localSheetId="4" hidden="1">'[4]Spread Sheet'!#REF!</definedName>
    <definedName name="BLPR1720040129204514652_4_5" localSheetId="7" hidden="1">'[4]Spread Sheet'!#REF!</definedName>
    <definedName name="BLPR1720040129204514652_4_5" hidden="1">'[4]Spread Sheet'!#REF!</definedName>
    <definedName name="BLPR1720040129204514652_5_5" localSheetId="4" hidden="1">'[4]Spread Sheet'!#REF!</definedName>
    <definedName name="BLPR1720040129204514652_5_5" localSheetId="7" hidden="1">'[4]Spread Sheet'!#REF!</definedName>
    <definedName name="BLPR1720040129204514652_5_5" hidden="1">'[4]Spread Sheet'!#REF!</definedName>
    <definedName name="BLPR1820040129204514652" localSheetId="4" hidden="1">'[4]Spread Sheet'!#REF!</definedName>
    <definedName name="BLPR1820040129204514652" localSheetId="7" hidden="1">'[4]Spread Sheet'!#REF!</definedName>
    <definedName name="BLPR1820040129204514652" hidden="1">'[4]Spread Sheet'!#REF!</definedName>
    <definedName name="BLPR1820040129204514652_1_5" localSheetId="4" hidden="1">'[4]Spread Sheet'!#REF!</definedName>
    <definedName name="BLPR1820040129204514652_1_5" localSheetId="7" hidden="1">'[4]Spread Sheet'!#REF!</definedName>
    <definedName name="BLPR1820040129204514652_1_5" hidden="1">'[4]Spread Sheet'!#REF!</definedName>
    <definedName name="BLPR1820040129204514652_2_5" localSheetId="4" hidden="1">'[4]Spread Sheet'!#REF!</definedName>
    <definedName name="BLPR1820040129204514652_2_5" localSheetId="7" hidden="1">'[4]Spread Sheet'!#REF!</definedName>
    <definedName name="BLPR1820040129204514652_2_5" hidden="1">'[4]Spread Sheet'!#REF!</definedName>
    <definedName name="BLPR1820040129204514652_3_5" localSheetId="4" hidden="1">'[4]Spread Sheet'!#REF!</definedName>
    <definedName name="BLPR1820040129204514652_3_5" localSheetId="7" hidden="1">'[4]Spread Sheet'!#REF!</definedName>
    <definedName name="BLPR1820040129204514652_3_5" hidden="1">'[4]Spread Sheet'!#REF!</definedName>
    <definedName name="BLPR1820040129204514652_4_5" localSheetId="4" hidden="1">'[4]Spread Sheet'!#REF!</definedName>
    <definedName name="BLPR1820040129204514652_4_5" localSheetId="7" hidden="1">'[4]Spread Sheet'!#REF!</definedName>
    <definedName name="BLPR1820040129204514652_4_5" hidden="1">'[4]Spread Sheet'!#REF!</definedName>
    <definedName name="BLPR1820040129204514652_5_5" localSheetId="4" hidden="1">'[4]Spread Sheet'!#REF!</definedName>
    <definedName name="BLPR1820040129204514652_5_5" localSheetId="7" hidden="1">'[4]Spread Sheet'!#REF!</definedName>
    <definedName name="BLPR1820040129204514652_5_5" hidden="1">'[4]Spread Sheet'!#REF!</definedName>
    <definedName name="BLPR1920040129204514652" localSheetId="4" hidden="1">'[4]Spread Sheet'!#REF!</definedName>
    <definedName name="BLPR1920040129204514652" localSheetId="7" hidden="1">'[4]Spread Sheet'!#REF!</definedName>
    <definedName name="BLPR1920040129204514652" hidden="1">'[4]Spread Sheet'!#REF!</definedName>
    <definedName name="BLPR1920040129204514652_1_5" localSheetId="4" hidden="1">'[4]Spread Sheet'!#REF!</definedName>
    <definedName name="BLPR1920040129204514652_1_5" localSheetId="7" hidden="1">'[4]Spread Sheet'!#REF!</definedName>
    <definedName name="BLPR1920040129204514652_1_5" hidden="1">'[4]Spread Sheet'!#REF!</definedName>
    <definedName name="BLPR1920040129204514652_2_5" localSheetId="4" hidden="1">'[4]Spread Sheet'!#REF!</definedName>
    <definedName name="BLPR1920040129204514652_2_5" localSheetId="7" hidden="1">'[4]Spread Sheet'!#REF!</definedName>
    <definedName name="BLPR1920040129204514652_2_5" hidden="1">'[4]Spread Sheet'!#REF!</definedName>
    <definedName name="BLPR1920040129204514652_3_5" localSheetId="4" hidden="1">'[4]Spread Sheet'!#REF!</definedName>
    <definedName name="BLPR1920040129204514652_3_5" localSheetId="7" hidden="1">'[4]Spread Sheet'!#REF!</definedName>
    <definedName name="BLPR1920040129204514652_3_5" hidden="1">'[4]Spread Sheet'!#REF!</definedName>
    <definedName name="BLPR1920040129204514652_4_5" localSheetId="4" hidden="1">'[4]Spread Sheet'!#REF!</definedName>
    <definedName name="BLPR1920040129204514652_4_5" localSheetId="7" hidden="1">'[4]Spread Sheet'!#REF!</definedName>
    <definedName name="BLPR1920040129204514652_4_5" hidden="1">'[4]Spread Sheet'!#REF!</definedName>
    <definedName name="BLPR1920040129204514652_5_5" localSheetId="4" hidden="1">'[4]Spread Sheet'!#REF!</definedName>
    <definedName name="BLPR1920040129204514652_5_5" localSheetId="7" hidden="1">'[4]Spread Sheet'!#REF!</definedName>
    <definedName name="BLPR1920040129204514652_5_5" hidden="1">'[4]Spread Sheet'!#REF!</definedName>
    <definedName name="BLPR2020040129204514652" localSheetId="4" hidden="1">'[4]Spread Sheet'!#REF!</definedName>
    <definedName name="BLPR2020040129204514652" localSheetId="7" hidden="1">'[4]Spread Sheet'!#REF!</definedName>
    <definedName name="BLPR2020040129204514652" hidden="1">'[4]Spread Sheet'!#REF!</definedName>
    <definedName name="BLPR2020040129204514652_1_5" localSheetId="4" hidden="1">'[4]Spread Sheet'!#REF!</definedName>
    <definedName name="BLPR2020040129204514652_1_5" localSheetId="7" hidden="1">'[4]Spread Sheet'!#REF!</definedName>
    <definedName name="BLPR2020040129204514652_1_5" hidden="1">'[4]Spread Sheet'!#REF!</definedName>
    <definedName name="BLPR2020040129204514652_2_5" localSheetId="4" hidden="1">'[4]Spread Sheet'!#REF!</definedName>
    <definedName name="BLPR2020040129204514652_2_5" localSheetId="7" hidden="1">'[4]Spread Sheet'!#REF!</definedName>
    <definedName name="BLPR2020040129204514652_2_5" hidden="1">'[4]Spread Sheet'!#REF!</definedName>
    <definedName name="BLPR2020040129204514652_3_5" localSheetId="4" hidden="1">'[4]Spread Sheet'!#REF!</definedName>
    <definedName name="BLPR2020040129204514652_3_5" localSheetId="7" hidden="1">'[4]Spread Sheet'!#REF!</definedName>
    <definedName name="BLPR2020040129204514652_3_5" hidden="1">'[4]Spread Sheet'!#REF!</definedName>
    <definedName name="BLPR2020040129204514652_4_5" localSheetId="4" hidden="1">'[4]Spread Sheet'!#REF!</definedName>
    <definedName name="BLPR2020040129204514652_4_5" localSheetId="7" hidden="1">'[4]Spread Sheet'!#REF!</definedName>
    <definedName name="BLPR2020040129204514652_4_5" hidden="1">'[4]Spread Sheet'!#REF!</definedName>
    <definedName name="BLPR2020040129204514652_5_5" localSheetId="4" hidden="1">'[4]Spread Sheet'!#REF!</definedName>
    <definedName name="BLPR2020040129204514652_5_5" localSheetId="7" hidden="1">'[4]Spread Sheet'!#REF!</definedName>
    <definedName name="BLPR2020040129204514652_5_5" hidden="1">'[4]Spread Sheet'!#REF!</definedName>
    <definedName name="BLPR2120040129204514652" localSheetId="4" hidden="1">'[4]Spread Sheet'!#REF!</definedName>
    <definedName name="BLPR2120040129204514652" localSheetId="7" hidden="1">'[4]Spread Sheet'!#REF!</definedName>
    <definedName name="BLPR2120040129204514652" hidden="1">'[4]Spread Sheet'!#REF!</definedName>
    <definedName name="BLPR2120040129204514652_1_5" localSheetId="4" hidden="1">'[4]Spread Sheet'!#REF!</definedName>
    <definedName name="BLPR2120040129204514652_1_5" localSheetId="7" hidden="1">'[4]Spread Sheet'!#REF!</definedName>
    <definedName name="BLPR2120040129204514652_1_5" hidden="1">'[4]Spread Sheet'!#REF!</definedName>
    <definedName name="BLPR2120040129204514652_2_5" localSheetId="4" hidden="1">'[4]Spread Sheet'!#REF!</definedName>
    <definedName name="BLPR2120040129204514652_2_5" localSheetId="7" hidden="1">'[4]Spread Sheet'!#REF!</definedName>
    <definedName name="BLPR2120040129204514652_2_5" hidden="1">'[4]Spread Sheet'!#REF!</definedName>
    <definedName name="BLPR2120040129204514652_3_5" localSheetId="4" hidden="1">'[4]Spread Sheet'!#REF!</definedName>
    <definedName name="BLPR2120040129204514652_3_5" localSheetId="7" hidden="1">'[4]Spread Sheet'!#REF!</definedName>
    <definedName name="BLPR2120040129204514652_3_5" hidden="1">'[4]Spread Sheet'!#REF!</definedName>
    <definedName name="BLPR2120040129204514652_4_5" localSheetId="4" hidden="1">'[4]Spread Sheet'!#REF!</definedName>
    <definedName name="BLPR2120040129204514652_4_5" localSheetId="7" hidden="1">'[4]Spread Sheet'!#REF!</definedName>
    <definedName name="BLPR2120040129204514652_4_5" hidden="1">'[4]Spread Sheet'!#REF!</definedName>
    <definedName name="BLPR2120040129204514652_5_5" localSheetId="4" hidden="1">'[4]Spread Sheet'!#REF!</definedName>
    <definedName name="BLPR2120040129204514652_5_5" localSheetId="7" hidden="1">'[4]Spread Sheet'!#REF!</definedName>
    <definedName name="BLPR2120040129204514652_5_5" hidden="1">'[4]Spread Sheet'!#REF!</definedName>
    <definedName name="BLPR220040129203645421" localSheetId="4" hidden="1">'[4]Spread Sheet'!#REF!</definedName>
    <definedName name="BLPR220040129203645421" localSheetId="7" hidden="1">'[4]Spread Sheet'!#REF!</definedName>
    <definedName name="BLPR220040129203645421" hidden="1">'[4]Spread Sheet'!#REF!</definedName>
    <definedName name="BLPR220040129203645421_1_4" localSheetId="4" hidden="1">'[4]Spread Sheet'!#REF!</definedName>
    <definedName name="BLPR220040129203645421_1_4" localSheetId="7" hidden="1">'[4]Spread Sheet'!#REF!</definedName>
    <definedName name="BLPR220040129203645421_1_4" hidden="1">'[4]Spread Sheet'!#REF!</definedName>
    <definedName name="BLPR220040129203645421_2_4" localSheetId="4" hidden="1">'[4]Spread Sheet'!#REF!</definedName>
    <definedName name="BLPR220040129203645421_2_4" localSheetId="7" hidden="1">'[4]Spread Sheet'!#REF!</definedName>
    <definedName name="BLPR220040129203645421_2_4" hidden="1">'[4]Spread Sheet'!#REF!</definedName>
    <definedName name="BLPR220040129203645421_3_4" localSheetId="4" hidden="1">'[4]Spread Sheet'!#REF!</definedName>
    <definedName name="BLPR220040129203645421_3_4" localSheetId="7" hidden="1">'[4]Spread Sheet'!#REF!</definedName>
    <definedName name="BLPR220040129203645421_3_4" hidden="1">'[4]Spread Sheet'!#REF!</definedName>
    <definedName name="BLPR220040129203645421_4_4" localSheetId="4" hidden="1">'[4]Spread Sheet'!#REF!</definedName>
    <definedName name="BLPR220040129203645421_4_4" localSheetId="7" hidden="1">'[4]Spread Sheet'!#REF!</definedName>
    <definedName name="BLPR220040129203645421_4_4" hidden="1">'[4]Spread Sheet'!#REF!</definedName>
    <definedName name="BLPR2220040129204514652" localSheetId="4" hidden="1">'[4]Spread Sheet'!#REF!</definedName>
    <definedName name="BLPR2220040129204514652" localSheetId="7" hidden="1">'[4]Spread Sheet'!#REF!</definedName>
    <definedName name="BLPR2220040129204514652" hidden="1">'[4]Spread Sheet'!#REF!</definedName>
    <definedName name="BLPR2220040129204514652_1_5" localSheetId="4" hidden="1">'[4]Spread Sheet'!#REF!</definedName>
    <definedName name="BLPR2220040129204514652_1_5" localSheetId="7" hidden="1">'[4]Spread Sheet'!#REF!</definedName>
    <definedName name="BLPR2220040129204514652_1_5" hidden="1">'[4]Spread Sheet'!#REF!</definedName>
    <definedName name="BLPR2220040129204514652_2_5" localSheetId="4" hidden="1">'[4]Spread Sheet'!#REF!</definedName>
    <definedName name="BLPR2220040129204514652_2_5" localSheetId="7" hidden="1">'[4]Spread Sheet'!#REF!</definedName>
    <definedName name="BLPR2220040129204514652_2_5" hidden="1">'[4]Spread Sheet'!#REF!</definedName>
    <definedName name="BLPR2220040129204514652_3_5" localSheetId="4" hidden="1">'[4]Spread Sheet'!#REF!</definedName>
    <definedName name="BLPR2220040129204514652_3_5" localSheetId="7" hidden="1">'[4]Spread Sheet'!#REF!</definedName>
    <definedName name="BLPR2220040129204514652_3_5" hidden="1">'[4]Spread Sheet'!#REF!</definedName>
    <definedName name="BLPR2220040129204514652_4_5" localSheetId="4" hidden="1">'[4]Spread Sheet'!#REF!</definedName>
    <definedName name="BLPR2220040129204514652_4_5" localSheetId="7" hidden="1">'[4]Spread Sheet'!#REF!</definedName>
    <definedName name="BLPR2220040129204514652_4_5" hidden="1">'[4]Spread Sheet'!#REF!</definedName>
    <definedName name="BLPR2220040129204514652_5_5" localSheetId="4" hidden="1">'[4]Spread Sheet'!#REF!</definedName>
    <definedName name="BLPR2220040129204514652_5_5" localSheetId="7" hidden="1">'[4]Spread Sheet'!#REF!</definedName>
    <definedName name="BLPR2220040129204514652_5_5" hidden="1">'[4]Spread Sheet'!#REF!</definedName>
    <definedName name="BLPR2320040129204514662" localSheetId="4" hidden="1">'[4]Spread Sheet'!#REF!</definedName>
    <definedName name="BLPR2320040129204514662" localSheetId="7" hidden="1">'[4]Spread Sheet'!#REF!</definedName>
    <definedName name="BLPR2320040129204514662" hidden="1">'[4]Spread Sheet'!#REF!</definedName>
    <definedName name="BLPR2320040129204514662_1_5" localSheetId="4" hidden="1">'[4]Spread Sheet'!#REF!</definedName>
    <definedName name="BLPR2320040129204514662_1_5" localSheetId="7" hidden="1">'[4]Spread Sheet'!#REF!</definedName>
    <definedName name="BLPR2320040129204514662_1_5" hidden="1">'[4]Spread Sheet'!#REF!</definedName>
    <definedName name="BLPR2320040129204514662_2_5" localSheetId="4" hidden="1">'[4]Spread Sheet'!#REF!</definedName>
    <definedName name="BLPR2320040129204514662_2_5" localSheetId="7" hidden="1">'[4]Spread Sheet'!#REF!</definedName>
    <definedName name="BLPR2320040129204514662_2_5" hidden="1">'[4]Spread Sheet'!#REF!</definedName>
    <definedName name="BLPR2320040129204514662_3_5" localSheetId="4" hidden="1">'[4]Spread Sheet'!#REF!</definedName>
    <definedName name="BLPR2320040129204514662_3_5" localSheetId="7" hidden="1">'[4]Spread Sheet'!#REF!</definedName>
    <definedName name="BLPR2320040129204514662_3_5" hidden="1">'[4]Spread Sheet'!#REF!</definedName>
    <definedName name="BLPR2320040129204514662_4_5" localSheetId="4" hidden="1">'[4]Spread Sheet'!#REF!</definedName>
    <definedName name="BLPR2320040129204514662_4_5" localSheetId="7" hidden="1">'[4]Spread Sheet'!#REF!</definedName>
    <definedName name="BLPR2320040129204514662_4_5" hidden="1">'[4]Spread Sheet'!#REF!</definedName>
    <definedName name="BLPR2320040129204514662_5_5" localSheetId="4" hidden="1">'[4]Spread Sheet'!#REF!</definedName>
    <definedName name="BLPR2320040129204514662_5_5" localSheetId="7" hidden="1">'[4]Spread Sheet'!#REF!</definedName>
    <definedName name="BLPR2320040129204514662_5_5" hidden="1">'[4]Spread Sheet'!#REF!</definedName>
    <definedName name="BLPR2420040129204514662" localSheetId="4" hidden="1">'[4]Spread Sheet'!#REF!</definedName>
    <definedName name="BLPR2420040129204514662" localSheetId="7" hidden="1">'[4]Spread Sheet'!#REF!</definedName>
    <definedName name="BLPR2420040129204514662" hidden="1">'[4]Spread Sheet'!#REF!</definedName>
    <definedName name="BLPR2420040129204514662_1_5" localSheetId="4" hidden="1">'[4]Spread Sheet'!#REF!</definedName>
    <definedName name="BLPR2420040129204514662_1_5" localSheetId="7" hidden="1">'[4]Spread Sheet'!#REF!</definedName>
    <definedName name="BLPR2420040129204514662_1_5" hidden="1">'[4]Spread Sheet'!#REF!</definedName>
    <definedName name="BLPR2420040129204514662_2_5" localSheetId="4" hidden="1">'[4]Spread Sheet'!#REF!</definedName>
    <definedName name="BLPR2420040129204514662_2_5" localSheetId="7" hidden="1">'[4]Spread Sheet'!#REF!</definedName>
    <definedName name="BLPR2420040129204514662_2_5" hidden="1">'[4]Spread Sheet'!#REF!</definedName>
    <definedName name="BLPR2420040129204514662_3_5" localSheetId="4" hidden="1">'[4]Spread Sheet'!#REF!</definedName>
    <definedName name="BLPR2420040129204514662_3_5" localSheetId="7" hidden="1">'[4]Spread Sheet'!#REF!</definedName>
    <definedName name="BLPR2420040129204514662_3_5" hidden="1">'[4]Spread Sheet'!#REF!</definedName>
    <definedName name="BLPR2420040129204514662_4_5" localSheetId="4" hidden="1">'[4]Spread Sheet'!#REF!</definedName>
    <definedName name="BLPR2420040129204514662_4_5" localSheetId="7" hidden="1">'[4]Spread Sheet'!#REF!</definedName>
    <definedName name="BLPR2420040129204514662_4_5" hidden="1">'[4]Spread Sheet'!#REF!</definedName>
    <definedName name="BLPR2420040129204514662_5_5" localSheetId="4" hidden="1">'[4]Spread Sheet'!#REF!</definedName>
    <definedName name="BLPR2420040129204514662_5_5" localSheetId="7" hidden="1">'[4]Spread Sheet'!#REF!</definedName>
    <definedName name="BLPR2420040129204514662_5_5" hidden="1">'[4]Spread Sheet'!#REF!</definedName>
    <definedName name="BLPR2520040129204514662" localSheetId="4" hidden="1">'[4]Spread Sheet'!#REF!</definedName>
    <definedName name="BLPR2520040129204514662" localSheetId="7" hidden="1">'[4]Spread Sheet'!#REF!</definedName>
    <definedName name="BLPR2520040129204514662" hidden="1">'[4]Spread Sheet'!#REF!</definedName>
    <definedName name="BLPR2520040129204514662_1_5" localSheetId="4" hidden="1">'[4]Spread Sheet'!#REF!</definedName>
    <definedName name="BLPR2520040129204514662_1_5" localSheetId="7" hidden="1">'[4]Spread Sheet'!#REF!</definedName>
    <definedName name="BLPR2520040129204514662_1_5" hidden="1">'[4]Spread Sheet'!#REF!</definedName>
    <definedName name="BLPR2520040129204514662_2_5" localSheetId="4" hidden="1">'[4]Spread Sheet'!#REF!</definedName>
    <definedName name="BLPR2520040129204514662_2_5" localSheetId="7" hidden="1">'[4]Spread Sheet'!#REF!</definedName>
    <definedName name="BLPR2520040129204514662_2_5" hidden="1">'[4]Spread Sheet'!#REF!</definedName>
    <definedName name="BLPR2520040129204514662_3_5" localSheetId="4" hidden="1">'[4]Spread Sheet'!#REF!</definedName>
    <definedName name="BLPR2520040129204514662_3_5" localSheetId="7" hidden="1">'[4]Spread Sheet'!#REF!</definedName>
    <definedName name="BLPR2520040129204514662_3_5" hidden="1">'[4]Spread Sheet'!#REF!</definedName>
    <definedName name="BLPR2520040129204514662_4_5" localSheetId="4" hidden="1">'[4]Spread Sheet'!#REF!</definedName>
    <definedName name="BLPR2520040129204514662_4_5" localSheetId="7" hidden="1">'[4]Spread Sheet'!#REF!</definedName>
    <definedName name="BLPR2520040129204514662_4_5" hidden="1">'[4]Spread Sheet'!#REF!</definedName>
    <definedName name="BLPR2520040129204514662_5_5" localSheetId="4" hidden="1">'[4]Spread Sheet'!#REF!</definedName>
    <definedName name="BLPR2520040129204514662_5_5" localSheetId="7" hidden="1">'[4]Spread Sheet'!#REF!</definedName>
    <definedName name="BLPR2520040129204514662_5_5" hidden="1">'[4]Spread Sheet'!#REF!</definedName>
    <definedName name="BLPR2620040129204514662" localSheetId="4" hidden="1">'[4]Spread Sheet'!#REF!</definedName>
    <definedName name="BLPR2620040129204514662" localSheetId="7" hidden="1">'[4]Spread Sheet'!#REF!</definedName>
    <definedName name="BLPR2620040129204514662" hidden="1">'[4]Spread Sheet'!#REF!</definedName>
    <definedName name="BLPR2620040129204514662_1_5" localSheetId="4" hidden="1">'[4]Spread Sheet'!#REF!</definedName>
    <definedName name="BLPR2620040129204514662_1_5" localSheetId="7" hidden="1">'[4]Spread Sheet'!#REF!</definedName>
    <definedName name="BLPR2620040129204514662_1_5" hidden="1">'[4]Spread Sheet'!#REF!</definedName>
    <definedName name="BLPR2620040129204514662_2_5" localSheetId="4" hidden="1">'[4]Spread Sheet'!#REF!</definedName>
    <definedName name="BLPR2620040129204514662_2_5" localSheetId="7" hidden="1">'[4]Spread Sheet'!#REF!</definedName>
    <definedName name="BLPR2620040129204514662_2_5" hidden="1">'[4]Spread Sheet'!#REF!</definedName>
    <definedName name="BLPR2620040129204514662_3_5" localSheetId="4" hidden="1">'[4]Spread Sheet'!#REF!</definedName>
    <definedName name="BLPR2620040129204514662_3_5" localSheetId="7" hidden="1">'[4]Spread Sheet'!#REF!</definedName>
    <definedName name="BLPR2620040129204514662_3_5" hidden="1">'[4]Spread Sheet'!#REF!</definedName>
    <definedName name="BLPR2620040129204514662_4_5" localSheetId="4" hidden="1">'[4]Spread Sheet'!#REF!</definedName>
    <definedName name="BLPR2620040129204514662_4_5" localSheetId="7" hidden="1">'[4]Spread Sheet'!#REF!</definedName>
    <definedName name="BLPR2620040129204514662_4_5" hidden="1">'[4]Spread Sheet'!#REF!</definedName>
    <definedName name="BLPR2620040129204514662_5_5" localSheetId="4" hidden="1">'[4]Spread Sheet'!#REF!</definedName>
    <definedName name="BLPR2620040129204514662_5_5" localSheetId="7" hidden="1">'[4]Spread Sheet'!#REF!</definedName>
    <definedName name="BLPR2620040129204514662_5_5" hidden="1">'[4]Spread Sheet'!#REF!</definedName>
    <definedName name="BLPR2720040129204514662" localSheetId="4" hidden="1">'[4]Spread Sheet'!#REF!</definedName>
    <definedName name="BLPR2720040129204514662" localSheetId="7" hidden="1">'[4]Spread Sheet'!#REF!</definedName>
    <definedName name="BLPR2720040129204514662" hidden="1">'[4]Spread Sheet'!#REF!</definedName>
    <definedName name="BLPR2720040129204514662_1_5" localSheetId="4" hidden="1">'[4]Spread Sheet'!#REF!</definedName>
    <definedName name="BLPR2720040129204514662_1_5" localSheetId="7" hidden="1">'[4]Spread Sheet'!#REF!</definedName>
    <definedName name="BLPR2720040129204514662_1_5" hidden="1">'[4]Spread Sheet'!#REF!</definedName>
    <definedName name="BLPR2720040129204514662_2_5" localSheetId="4" hidden="1">'[4]Spread Sheet'!#REF!</definedName>
    <definedName name="BLPR2720040129204514662_2_5" localSheetId="7" hidden="1">'[4]Spread Sheet'!#REF!</definedName>
    <definedName name="BLPR2720040129204514662_2_5" hidden="1">'[4]Spread Sheet'!#REF!</definedName>
    <definedName name="BLPR2720040129204514662_3_5" localSheetId="4" hidden="1">'[4]Spread Sheet'!#REF!</definedName>
    <definedName name="BLPR2720040129204514662_3_5" localSheetId="7" hidden="1">'[4]Spread Sheet'!#REF!</definedName>
    <definedName name="BLPR2720040129204514662_3_5" hidden="1">'[4]Spread Sheet'!#REF!</definedName>
    <definedName name="BLPR2720040129204514662_4_5" localSheetId="4" hidden="1">'[4]Spread Sheet'!#REF!</definedName>
    <definedName name="BLPR2720040129204514662_4_5" localSheetId="7" hidden="1">'[4]Spread Sheet'!#REF!</definedName>
    <definedName name="BLPR2720040129204514662_4_5" hidden="1">'[4]Spread Sheet'!#REF!</definedName>
    <definedName name="BLPR2720040129204514662_5_5" localSheetId="4" hidden="1">'[4]Spread Sheet'!#REF!</definedName>
    <definedName name="BLPR2720040129204514662_5_5" localSheetId="7" hidden="1">'[4]Spread Sheet'!#REF!</definedName>
    <definedName name="BLPR2720040129204514662_5_5" hidden="1">'[4]Spread Sheet'!#REF!</definedName>
    <definedName name="BLPR2820040129204514662" localSheetId="4" hidden="1">'[4]Spread Sheet'!#REF!</definedName>
    <definedName name="BLPR2820040129204514662" localSheetId="7" hidden="1">'[4]Spread Sheet'!#REF!</definedName>
    <definedName name="BLPR2820040129204514662" hidden="1">'[4]Spread Sheet'!#REF!</definedName>
    <definedName name="BLPR2820040129204514662_1_5" localSheetId="4" hidden="1">'[4]Spread Sheet'!#REF!</definedName>
    <definedName name="BLPR2820040129204514662_1_5" localSheetId="7" hidden="1">'[4]Spread Sheet'!#REF!</definedName>
    <definedName name="BLPR2820040129204514662_1_5" hidden="1">'[4]Spread Sheet'!#REF!</definedName>
    <definedName name="BLPR2820040129204514662_2_5" localSheetId="4" hidden="1">'[4]Spread Sheet'!#REF!</definedName>
    <definedName name="BLPR2820040129204514662_2_5" localSheetId="7" hidden="1">'[4]Spread Sheet'!#REF!</definedName>
    <definedName name="BLPR2820040129204514662_2_5" hidden="1">'[4]Spread Sheet'!#REF!</definedName>
    <definedName name="BLPR2820040129204514662_3_5" localSheetId="4" hidden="1">'[4]Spread Sheet'!#REF!</definedName>
    <definedName name="BLPR2820040129204514662_3_5" localSheetId="7" hidden="1">'[4]Spread Sheet'!#REF!</definedName>
    <definedName name="BLPR2820040129204514662_3_5" hidden="1">'[4]Spread Sheet'!#REF!</definedName>
    <definedName name="BLPR2820040129204514662_4_5" localSheetId="4" hidden="1">'[4]Spread Sheet'!#REF!</definedName>
    <definedName name="BLPR2820040129204514662_4_5" localSheetId="7" hidden="1">'[4]Spread Sheet'!#REF!</definedName>
    <definedName name="BLPR2820040129204514662_4_5" hidden="1">'[4]Spread Sheet'!#REF!</definedName>
    <definedName name="BLPR2820040129204514662_5_5" localSheetId="4" hidden="1">'[4]Spread Sheet'!#REF!</definedName>
    <definedName name="BLPR2820040129204514662_5_5" localSheetId="7" hidden="1">'[4]Spread Sheet'!#REF!</definedName>
    <definedName name="BLPR2820040129204514662_5_5" hidden="1">'[4]Spread Sheet'!#REF!</definedName>
    <definedName name="BLPR2920040129204514662" localSheetId="4" hidden="1">'[4]Spread Sheet'!#REF!</definedName>
    <definedName name="BLPR2920040129204514662" localSheetId="7" hidden="1">'[4]Spread Sheet'!#REF!</definedName>
    <definedName name="BLPR2920040129204514662" hidden="1">'[4]Spread Sheet'!#REF!</definedName>
    <definedName name="BLPR2920040129204514662_1_5" localSheetId="4" hidden="1">'[4]Spread Sheet'!#REF!</definedName>
    <definedName name="BLPR2920040129204514662_1_5" localSheetId="7" hidden="1">'[4]Spread Sheet'!#REF!</definedName>
    <definedName name="BLPR2920040129204514662_1_5" hidden="1">'[4]Spread Sheet'!#REF!</definedName>
    <definedName name="BLPR2920040129204514662_2_5" localSheetId="4" hidden="1">'[4]Spread Sheet'!#REF!</definedName>
    <definedName name="BLPR2920040129204514662_2_5" localSheetId="7" hidden="1">'[4]Spread Sheet'!#REF!</definedName>
    <definedName name="BLPR2920040129204514662_2_5" hidden="1">'[4]Spread Sheet'!#REF!</definedName>
    <definedName name="BLPR2920040129204514662_3_5" localSheetId="4" hidden="1">'[4]Spread Sheet'!#REF!</definedName>
    <definedName name="BLPR2920040129204514662_3_5" localSheetId="7" hidden="1">'[4]Spread Sheet'!#REF!</definedName>
    <definedName name="BLPR2920040129204514662_3_5" hidden="1">'[4]Spread Sheet'!#REF!</definedName>
    <definedName name="BLPR2920040129204514662_4_5" localSheetId="4" hidden="1">'[4]Spread Sheet'!#REF!</definedName>
    <definedName name="BLPR2920040129204514662_4_5" localSheetId="7" hidden="1">'[4]Spread Sheet'!#REF!</definedName>
    <definedName name="BLPR2920040129204514662_4_5" hidden="1">'[4]Spread Sheet'!#REF!</definedName>
    <definedName name="BLPR2920040129204514662_5_5" localSheetId="4" hidden="1">'[4]Spread Sheet'!#REF!</definedName>
    <definedName name="BLPR2920040129204514662_5_5" localSheetId="7" hidden="1">'[4]Spread Sheet'!#REF!</definedName>
    <definedName name="BLPR2920040129204514662_5_5" hidden="1">'[4]Spread Sheet'!#REF!</definedName>
    <definedName name="BLPR3020040129204514672" localSheetId="4" hidden="1">'[4]Spread Sheet'!#REF!</definedName>
    <definedName name="BLPR3020040129204514672" localSheetId="7" hidden="1">'[4]Spread Sheet'!#REF!</definedName>
    <definedName name="BLPR3020040129204514672" hidden="1">'[4]Spread Sheet'!#REF!</definedName>
    <definedName name="BLPR3020040129204514672_1_5" localSheetId="4" hidden="1">'[4]Spread Sheet'!#REF!</definedName>
    <definedName name="BLPR3020040129204514672_1_5" localSheetId="7" hidden="1">'[4]Spread Sheet'!#REF!</definedName>
    <definedName name="BLPR3020040129204514672_1_5" hidden="1">'[4]Spread Sheet'!#REF!</definedName>
    <definedName name="BLPR3020040129204514672_2_5" localSheetId="4" hidden="1">'[4]Spread Sheet'!#REF!</definedName>
    <definedName name="BLPR3020040129204514672_2_5" localSheetId="7" hidden="1">'[4]Spread Sheet'!#REF!</definedName>
    <definedName name="BLPR3020040129204514672_2_5" hidden="1">'[4]Spread Sheet'!#REF!</definedName>
    <definedName name="BLPR3020040129204514672_3_5" localSheetId="4" hidden="1">'[4]Spread Sheet'!#REF!</definedName>
    <definedName name="BLPR3020040129204514672_3_5" localSheetId="7" hidden="1">'[4]Spread Sheet'!#REF!</definedName>
    <definedName name="BLPR3020040129204514672_3_5" hidden="1">'[4]Spread Sheet'!#REF!</definedName>
    <definedName name="BLPR3020040129204514672_4_5" localSheetId="4" hidden="1">'[4]Spread Sheet'!#REF!</definedName>
    <definedName name="BLPR3020040129204514672_4_5" localSheetId="7" hidden="1">'[4]Spread Sheet'!#REF!</definedName>
    <definedName name="BLPR3020040129204514672_4_5" hidden="1">'[4]Spread Sheet'!#REF!</definedName>
    <definedName name="BLPR3020040129204514672_5_5" localSheetId="4" hidden="1">'[4]Spread Sheet'!#REF!</definedName>
    <definedName name="BLPR3020040129204514672_5_5" localSheetId="7" hidden="1">'[4]Spread Sheet'!#REF!</definedName>
    <definedName name="BLPR3020040129204514672_5_5" hidden="1">'[4]Spread Sheet'!#REF!</definedName>
    <definedName name="BLPR3120040129204514692" localSheetId="4" hidden="1">'[4]Spread Sheet'!#REF!</definedName>
    <definedName name="BLPR3120040129204514692" localSheetId="7" hidden="1">'[4]Spread Sheet'!#REF!</definedName>
    <definedName name="BLPR3120040129204514692" hidden="1">'[4]Spread Sheet'!#REF!</definedName>
    <definedName name="BLPR3120040129204514692_1_1" localSheetId="4" hidden="1">'[4]Spread Sheet'!#REF!</definedName>
    <definedName name="BLPR3120040129204514692_1_1" localSheetId="7" hidden="1">'[4]Spread Sheet'!#REF!</definedName>
    <definedName name="BLPR3120040129204514692_1_1" hidden="1">'[4]Spread Sheet'!#REF!</definedName>
    <definedName name="BLPR320040129203645431" localSheetId="4" hidden="1">'[4]Spread Sheet'!#REF!</definedName>
    <definedName name="BLPR320040129203645431" localSheetId="7" hidden="1">'[4]Spread Sheet'!#REF!</definedName>
    <definedName name="BLPR320040129203645431" hidden="1">'[4]Spread Sheet'!#REF!</definedName>
    <definedName name="BLPR320040129203645431_1_4" localSheetId="4" hidden="1">'[4]Spread Sheet'!#REF!</definedName>
    <definedName name="BLPR320040129203645431_1_4" localSheetId="7" hidden="1">'[4]Spread Sheet'!#REF!</definedName>
    <definedName name="BLPR320040129203645431_1_4" hidden="1">'[4]Spread Sheet'!#REF!</definedName>
    <definedName name="BLPR320040129203645431_2_4" localSheetId="4" hidden="1">'[4]Spread Sheet'!#REF!</definedName>
    <definedName name="BLPR320040129203645431_2_4" localSheetId="7" hidden="1">'[4]Spread Sheet'!#REF!</definedName>
    <definedName name="BLPR320040129203645431_2_4" hidden="1">'[4]Spread Sheet'!#REF!</definedName>
    <definedName name="BLPR320040129203645431_3_4" localSheetId="4" hidden="1">'[4]Spread Sheet'!#REF!</definedName>
    <definedName name="BLPR320040129203645431_3_4" localSheetId="7" hidden="1">'[4]Spread Sheet'!#REF!</definedName>
    <definedName name="BLPR320040129203645431_3_4" hidden="1">'[4]Spread Sheet'!#REF!</definedName>
    <definedName name="BLPR320040129203645431_4_4" localSheetId="4" hidden="1">'[4]Spread Sheet'!#REF!</definedName>
    <definedName name="BLPR320040129203645431_4_4" localSheetId="7" hidden="1">'[4]Spread Sheet'!#REF!</definedName>
    <definedName name="BLPR320040129203645431_4_4" hidden="1">'[4]Spread Sheet'!#REF!</definedName>
    <definedName name="BLPR3220040129204514692" localSheetId="4" hidden="1">'[4]Spread Sheet'!#REF!</definedName>
    <definedName name="BLPR3220040129204514692" localSheetId="7" hidden="1">'[4]Spread Sheet'!#REF!</definedName>
    <definedName name="BLPR3220040129204514692" hidden="1">'[4]Spread Sheet'!#REF!</definedName>
    <definedName name="BLPR3220040129204514692_1_1" localSheetId="4" hidden="1">'[4]Spread Sheet'!#REF!</definedName>
    <definedName name="BLPR3220040129204514692_1_1" localSheetId="7" hidden="1">'[4]Spread Sheet'!#REF!</definedName>
    <definedName name="BLPR3220040129204514692_1_1" hidden="1">'[4]Spread Sheet'!#REF!</definedName>
    <definedName name="BLPR3320040129204514702" localSheetId="4" hidden="1">'[4]Spread Sheet'!#REF!</definedName>
    <definedName name="BLPR3320040129204514702" localSheetId="7" hidden="1">'[4]Spread Sheet'!#REF!</definedName>
    <definedName name="BLPR3320040129204514702" hidden="1">'[4]Spread Sheet'!#REF!</definedName>
    <definedName name="BLPR3320040129204514702_1_1" localSheetId="4" hidden="1">'[4]Spread Sheet'!#REF!</definedName>
    <definedName name="BLPR3320040129204514702_1_1" localSheetId="7" hidden="1">'[4]Spread Sheet'!#REF!</definedName>
    <definedName name="BLPR3320040129204514702_1_1" hidden="1">'[4]Spread Sheet'!#REF!</definedName>
    <definedName name="BLPR3420040129204514702" localSheetId="4" hidden="1">'[4]Spread Sheet'!#REF!</definedName>
    <definedName name="BLPR3420040129204514702" localSheetId="7" hidden="1">'[4]Spread Sheet'!#REF!</definedName>
    <definedName name="BLPR3420040129204514702" hidden="1">'[4]Spread Sheet'!#REF!</definedName>
    <definedName name="BLPR3420040129204514702_1_1" localSheetId="4" hidden="1">'[4]Spread Sheet'!#REF!</definedName>
    <definedName name="BLPR3420040129204514702_1_1" localSheetId="7" hidden="1">'[4]Spread Sheet'!#REF!</definedName>
    <definedName name="BLPR3420040129204514702_1_1" hidden="1">'[4]Spread Sheet'!#REF!</definedName>
    <definedName name="BLPR3520040129204514702" localSheetId="4" hidden="1">'[4]Spread Sheet'!#REF!</definedName>
    <definedName name="BLPR3520040129204514702" localSheetId="7" hidden="1">'[4]Spread Sheet'!#REF!</definedName>
    <definedName name="BLPR3520040129204514702" hidden="1">'[4]Spread Sheet'!#REF!</definedName>
    <definedName name="BLPR3520040129204514702_1_1" localSheetId="4" hidden="1">'[4]Spread Sheet'!#REF!</definedName>
    <definedName name="BLPR3520040129204514702_1_1" localSheetId="7" hidden="1">'[4]Spread Sheet'!#REF!</definedName>
    <definedName name="BLPR3520040129204514702_1_1" hidden="1">'[4]Spread Sheet'!#REF!</definedName>
    <definedName name="BLPR420040129203645431" localSheetId="4" hidden="1">'[4]Spread Sheet'!#REF!</definedName>
    <definedName name="BLPR420040129203645431" localSheetId="7" hidden="1">'[4]Spread Sheet'!#REF!</definedName>
    <definedName name="BLPR420040129203645431" hidden="1">'[4]Spread Sheet'!#REF!</definedName>
    <definedName name="BLPR420040129203645431_1_4" localSheetId="4" hidden="1">'[4]Spread Sheet'!#REF!</definedName>
    <definedName name="BLPR420040129203645431_1_4" localSheetId="7" hidden="1">'[4]Spread Sheet'!#REF!</definedName>
    <definedName name="BLPR420040129203645431_1_4" hidden="1">'[4]Spread Sheet'!#REF!</definedName>
    <definedName name="BLPR420040129203645431_2_4" localSheetId="4" hidden="1">'[4]Spread Sheet'!#REF!</definedName>
    <definedName name="BLPR420040129203645431_2_4" localSheetId="7" hidden="1">'[4]Spread Sheet'!#REF!</definedName>
    <definedName name="BLPR420040129203645431_2_4" hidden="1">'[4]Spread Sheet'!#REF!</definedName>
    <definedName name="BLPR420040129203645431_3_4" localSheetId="4" hidden="1">'[4]Spread Sheet'!#REF!</definedName>
    <definedName name="BLPR420040129203645431_3_4" localSheetId="7" hidden="1">'[4]Spread Sheet'!#REF!</definedName>
    <definedName name="BLPR420040129203645431_3_4" hidden="1">'[4]Spread Sheet'!#REF!</definedName>
    <definedName name="BLPR420040129203645431_4_4" localSheetId="4" hidden="1">'[4]Spread Sheet'!#REF!</definedName>
    <definedName name="BLPR420040129203645431_4_4" localSheetId="7" hidden="1">'[4]Spread Sheet'!#REF!</definedName>
    <definedName name="BLPR420040129203645431_4_4" hidden="1">'[4]Spread Sheet'!#REF!</definedName>
    <definedName name="BLPR520040129203645441" localSheetId="4" hidden="1">'[4]Spread Sheet'!#REF!</definedName>
    <definedName name="BLPR520040129203645441" localSheetId="7" hidden="1">'[4]Spread Sheet'!#REF!</definedName>
    <definedName name="BLPR520040129203645441" hidden="1">'[4]Spread Sheet'!#REF!</definedName>
    <definedName name="BLPR520040129203645441_1_4" localSheetId="4" hidden="1">'[4]Spread Sheet'!#REF!</definedName>
    <definedName name="BLPR520040129203645441_1_4" localSheetId="7" hidden="1">'[4]Spread Sheet'!#REF!</definedName>
    <definedName name="BLPR520040129203645441_1_4" hidden="1">'[4]Spread Sheet'!#REF!</definedName>
    <definedName name="BLPR520040129203645441_2_4" localSheetId="4" hidden="1">'[4]Spread Sheet'!#REF!</definedName>
    <definedName name="BLPR520040129203645441_2_4" localSheetId="7" hidden="1">'[4]Spread Sheet'!#REF!</definedName>
    <definedName name="BLPR520040129203645441_2_4" hidden="1">'[4]Spread Sheet'!#REF!</definedName>
    <definedName name="BLPR520040129203645441_3_4" localSheetId="4" hidden="1">'[4]Spread Sheet'!#REF!</definedName>
    <definedName name="BLPR520040129203645441_3_4" localSheetId="7" hidden="1">'[4]Spread Sheet'!#REF!</definedName>
    <definedName name="BLPR520040129203645441_3_4" hidden="1">'[4]Spread Sheet'!#REF!</definedName>
    <definedName name="BLPR520040129203645441_4_4" localSheetId="4" hidden="1">'[4]Spread Sheet'!#REF!</definedName>
    <definedName name="BLPR520040129203645441_4_4" localSheetId="7" hidden="1">'[4]Spread Sheet'!#REF!</definedName>
    <definedName name="BLPR520040129203645441_4_4" hidden="1">'[4]Spread Sheet'!#REF!</definedName>
    <definedName name="BLPR620040129204149993" localSheetId="4" hidden="1">'[4]Spread Sheet'!#REF!</definedName>
    <definedName name="BLPR620040129204149993" localSheetId="7" hidden="1">'[4]Spread Sheet'!#REF!</definedName>
    <definedName name="BLPR620040129204149993" hidden="1">'[4]Spread Sheet'!#REF!</definedName>
    <definedName name="BLPR620040129204149993_1_5" localSheetId="4" hidden="1">'[4]Spread Sheet'!#REF!</definedName>
    <definedName name="BLPR620040129204149993_1_5" localSheetId="7" hidden="1">'[4]Spread Sheet'!#REF!</definedName>
    <definedName name="BLPR620040129204149993_1_5" hidden="1">'[4]Spread Sheet'!#REF!</definedName>
    <definedName name="BLPR620040129204149993_2_5" localSheetId="4" hidden="1">'[4]Spread Sheet'!#REF!</definedName>
    <definedName name="BLPR620040129204149993_2_5" localSheetId="7" hidden="1">'[4]Spread Sheet'!#REF!</definedName>
    <definedName name="BLPR620040129204149993_2_5" hidden="1">'[4]Spread Sheet'!#REF!</definedName>
    <definedName name="BLPR620040129204149993_3_5" localSheetId="4" hidden="1">'[4]Spread Sheet'!#REF!</definedName>
    <definedName name="BLPR620040129204149993_3_5" localSheetId="7" hidden="1">'[4]Spread Sheet'!#REF!</definedName>
    <definedName name="BLPR620040129204149993_3_5" hidden="1">'[4]Spread Sheet'!#REF!</definedName>
    <definedName name="BLPR620040129204149993_4_5" localSheetId="4" hidden="1">'[4]Spread Sheet'!#REF!</definedName>
    <definedName name="BLPR620040129204149993_4_5" localSheetId="7" hidden="1">'[4]Spread Sheet'!#REF!</definedName>
    <definedName name="BLPR620040129204149993_4_5" hidden="1">'[4]Spread Sheet'!#REF!</definedName>
    <definedName name="BLPR620040129204149993_5_5" localSheetId="4" hidden="1">'[4]Spread Sheet'!#REF!</definedName>
    <definedName name="BLPR620040129204149993_5_5" localSheetId="7" hidden="1">'[4]Spread Sheet'!#REF!</definedName>
    <definedName name="BLPR620040129204149993_5_5" hidden="1">'[4]Spread Sheet'!#REF!</definedName>
    <definedName name="BLPR720040129204514631" localSheetId="4" hidden="1">'[4]Spread Sheet'!#REF!</definedName>
    <definedName name="BLPR720040129204514631" localSheetId="7" hidden="1">'[4]Spread Sheet'!#REF!</definedName>
    <definedName name="BLPR720040129204514631" hidden="1">'[4]Spread Sheet'!#REF!</definedName>
    <definedName name="BLPR720040129204514631_1_5" localSheetId="4" hidden="1">'[4]Spread Sheet'!#REF!</definedName>
    <definedName name="BLPR720040129204514631_1_5" localSheetId="7" hidden="1">'[4]Spread Sheet'!#REF!</definedName>
    <definedName name="BLPR720040129204514631_1_5" hidden="1">'[4]Spread Sheet'!#REF!</definedName>
    <definedName name="BLPR720040129204514631_2_5" localSheetId="4" hidden="1">'[4]Spread Sheet'!#REF!</definedName>
    <definedName name="BLPR720040129204514631_2_5" localSheetId="7" hidden="1">'[4]Spread Sheet'!#REF!</definedName>
    <definedName name="BLPR720040129204514631_2_5" hidden="1">'[4]Spread Sheet'!#REF!</definedName>
    <definedName name="BLPR720040129204514631_3_5" localSheetId="4" hidden="1">'[4]Spread Sheet'!#REF!</definedName>
    <definedName name="BLPR720040129204514631_3_5" localSheetId="7" hidden="1">'[4]Spread Sheet'!#REF!</definedName>
    <definedName name="BLPR720040129204514631_3_5" hidden="1">'[4]Spread Sheet'!#REF!</definedName>
    <definedName name="BLPR720040129204514631_4_5" localSheetId="4" hidden="1">'[4]Spread Sheet'!#REF!</definedName>
    <definedName name="BLPR720040129204514631_4_5" localSheetId="7" hidden="1">'[4]Spread Sheet'!#REF!</definedName>
    <definedName name="BLPR720040129204514631_4_5" hidden="1">'[4]Spread Sheet'!#REF!</definedName>
    <definedName name="BLPR720040129204514631_5_5" localSheetId="4" hidden="1">'[4]Spread Sheet'!#REF!</definedName>
    <definedName name="BLPR720040129204514631_5_5" localSheetId="7" hidden="1">'[4]Spread Sheet'!#REF!</definedName>
    <definedName name="BLPR720040129204514631_5_5" hidden="1">'[4]Spread Sheet'!#REF!</definedName>
    <definedName name="BLPR820040129204514642" localSheetId="4" hidden="1">'[4]Spread Sheet'!#REF!</definedName>
    <definedName name="BLPR820040129204514642" localSheetId="7" hidden="1">'[4]Spread Sheet'!#REF!</definedName>
    <definedName name="BLPR820040129204514642" hidden="1">'[4]Spread Sheet'!#REF!</definedName>
    <definedName name="BLPR820040129204514642_1_5" localSheetId="4" hidden="1">'[4]Spread Sheet'!#REF!</definedName>
    <definedName name="BLPR820040129204514642_1_5" localSheetId="7" hidden="1">'[4]Spread Sheet'!#REF!</definedName>
    <definedName name="BLPR820040129204514642_1_5" hidden="1">'[4]Spread Sheet'!#REF!</definedName>
    <definedName name="BLPR820040129204514642_2_5" localSheetId="4" hidden="1">'[4]Spread Sheet'!#REF!</definedName>
    <definedName name="BLPR820040129204514642_2_5" localSheetId="7" hidden="1">'[4]Spread Sheet'!#REF!</definedName>
    <definedName name="BLPR820040129204514642_2_5" hidden="1">'[4]Spread Sheet'!#REF!</definedName>
    <definedName name="BLPR820040129204514642_3_5" localSheetId="4" hidden="1">'[4]Spread Sheet'!#REF!</definedName>
    <definedName name="BLPR820040129204514642_3_5" localSheetId="7" hidden="1">'[4]Spread Sheet'!#REF!</definedName>
    <definedName name="BLPR820040129204514642_3_5" hidden="1">'[4]Spread Sheet'!#REF!</definedName>
    <definedName name="BLPR820040129204514642_4_5" localSheetId="4" hidden="1">'[4]Spread Sheet'!#REF!</definedName>
    <definedName name="BLPR820040129204514642_4_5" localSheetId="7" hidden="1">'[4]Spread Sheet'!#REF!</definedName>
    <definedName name="BLPR820040129204514642_4_5" hidden="1">'[4]Spread Sheet'!#REF!</definedName>
    <definedName name="BLPR820040129204514642_5_5" localSheetId="4" hidden="1">'[4]Spread Sheet'!#REF!</definedName>
    <definedName name="BLPR820040129204514642_5_5" localSheetId="7" hidden="1">'[4]Spread Sheet'!#REF!</definedName>
    <definedName name="BLPR820040129204514642_5_5" hidden="1">'[4]Spread Sheet'!#REF!</definedName>
    <definedName name="BLPR920040129204514642" localSheetId="4" hidden="1">'[4]Spread Sheet'!#REF!</definedName>
    <definedName name="BLPR920040129204514642" localSheetId="7" hidden="1">'[4]Spread Sheet'!#REF!</definedName>
    <definedName name="BLPR920040129204514642" hidden="1">'[4]Spread Sheet'!#REF!</definedName>
    <definedName name="BLPR920040129204514642_1_5" localSheetId="4" hidden="1">'[4]Spread Sheet'!#REF!</definedName>
    <definedName name="BLPR920040129204514642_1_5" localSheetId="7" hidden="1">'[4]Spread Sheet'!#REF!</definedName>
    <definedName name="BLPR920040129204514642_1_5" hidden="1">'[4]Spread Sheet'!#REF!</definedName>
    <definedName name="BLPR920040129204514642_2_5" localSheetId="4" hidden="1">'[4]Spread Sheet'!#REF!</definedName>
    <definedName name="BLPR920040129204514642_2_5" localSheetId="7" hidden="1">'[4]Spread Sheet'!#REF!</definedName>
    <definedName name="BLPR920040129204514642_2_5" hidden="1">'[4]Spread Sheet'!#REF!</definedName>
    <definedName name="BLPR920040129204514642_3_5" localSheetId="4" hidden="1">'[4]Spread Sheet'!#REF!</definedName>
    <definedName name="BLPR920040129204514642_3_5" localSheetId="7" hidden="1">'[4]Spread Sheet'!#REF!</definedName>
    <definedName name="BLPR920040129204514642_3_5" hidden="1">'[4]Spread Sheet'!#REF!</definedName>
    <definedName name="BLPR920040129204514642_4_5" localSheetId="4" hidden="1">'[4]Spread Sheet'!#REF!</definedName>
    <definedName name="BLPR920040129204514642_4_5" localSheetId="7" hidden="1">'[4]Spread Sheet'!#REF!</definedName>
    <definedName name="BLPR920040129204514642_4_5" hidden="1">'[4]Spread Sheet'!#REF!</definedName>
    <definedName name="BLPR920040129204514642_5_5" localSheetId="4" hidden="1">'[4]Spread Sheet'!#REF!</definedName>
    <definedName name="BLPR920040129204514642_5_5" localSheetId="7" hidden="1">'[4]Spread Sheet'!#REF!</definedName>
    <definedName name="BLPR920040129204514642_5_5" hidden="1">'[4]Spread Sheet'!#REF!</definedName>
    <definedName name="BNE_MESSAGES_HIDDEN" localSheetId="4" hidden="1">#REF!</definedName>
    <definedName name="BNE_MESSAGES_HIDDEN" localSheetId="7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3">'Q1 p3. - ROR (Dec 2017)'!$A$1:$R$47</definedName>
    <definedName name="_xlnm.Print_Area" localSheetId="4">'Q1 p4. - ROR (Feb 2018)'!$A$1:$R$47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4" hidden="1">#REF!</definedName>
    <definedName name="solver_opt" localSheetId="7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L21" i="13" l="1"/>
  <c r="L20" i="13"/>
  <c r="L23" i="13" l="1"/>
  <c r="L22" i="13"/>
  <c r="D10" i="2" l="1"/>
  <c r="K34" i="13" l="1"/>
  <c r="J15" i="19" l="1"/>
  <c r="H16" i="19"/>
  <c r="P43" i="19" l="1"/>
  <c r="P29" i="19"/>
  <c r="H16" i="17" l="1"/>
  <c r="P13" i="17"/>
  <c r="P28" i="19"/>
  <c r="P27" i="19"/>
  <c r="C14" i="19"/>
  <c r="C13" i="19"/>
  <c r="N67" i="18"/>
  <c r="L67" i="18"/>
  <c r="I67" i="18"/>
  <c r="E67" i="18"/>
  <c r="C13" i="17" s="1"/>
  <c r="G65" i="18"/>
  <c r="P65" i="18" s="1"/>
  <c r="R65" i="18" s="1"/>
  <c r="R64" i="18"/>
  <c r="G64" i="18"/>
  <c r="P64" i="18" s="1"/>
  <c r="R63" i="18"/>
  <c r="P63" i="18"/>
  <c r="G63" i="18"/>
  <c r="N49" i="18"/>
  <c r="L49" i="18"/>
  <c r="I49" i="18"/>
  <c r="G49" i="18"/>
  <c r="E49" i="18"/>
  <c r="P48" i="18"/>
  <c r="P47" i="18"/>
  <c r="P46" i="18"/>
  <c r="P49" i="18" s="1"/>
  <c r="R45" i="18"/>
  <c r="P45" i="18"/>
  <c r="N42" i="18"/>
  <c r="L42" i="18"/>
  <c r="I42" i="18"/>
  <c r="I51" i="18" s="1"/>
  <c r="I70" i="18" s="1"/>
  <c r="E42" i="18"/>
  <c r="P39" i="18"/>
  <c r="P38" i="18"/>
  <c r="R38" i="18" s="1"/>
  <c r="G37" i="18"/>
  <c r="P37" i="18" s="1"/>
  <c r="R37" i="18" s="1"/>
  <c r="P36" i="18"/>
  <c r="P35" i="18"/>
  <c r="R35" i="18" s="1"/>
  <c r="G34" i="18"/>
  <c r="P34" i="18" s="1"/>
  <c r="R34" i="18" s="1"/>
  <c r="P33" i="18"/>
  <c r="P32" i="18"/>
  <c r="R32" i="18" s="1"/>
  <c r="G31" i="18"/>
  <c r="P31" i="18" s="1"/>
  <c r="R31" i="18" s="1"/>
  <c r="P30" i="18"/>
  <c r="R30" i="18" s="1"/>
  <c r="G29" i="18"/>
  <c r="P29" i="18" s="1"/>
  <c r="R29" i="18" s="1"/>
  <c r="P28" i="18"/>
  <c r="R28" i="18" s="1"/>
  <c r="G27" i="18"/>
  <c r="N25" i="18"/>
  <c r="L25" i="18"/>
  <c r="I25" i="18"/>
  <c r="E25" i="18"/>
  <c r="P23" i="18"/>
  <c r="G22" i="18"/>
  <c r="P22" i="18" s="1"/>
  <c r="R22" i="18" s="1"/>
  <c r="G21" i="18"/>
  <c r="P21" i="18" s="1"/>
  <c r="R21" i="18" s="1"/>
  <c r="P20" i="18"/>
  <c r="R20" i="18" s="1"/>
  <c r="G20" i="18"/>
  <c r="G19" i="18"/>
  <c r="P19" i="18" s="1"/>
  <c r="R19" i="18" s="1"/>
  <c r="G18" i="18"/>
  <c r="P18" i="18" s="1"/>
  <c r="R18" i="18" s="1"/>
  <c r="G17" i="18"/>
  <c r="P17" i="18" s="1"/>
  <c r="R17" i="18" s="1"/>
  <c r="G16" i="18"/>
  <c r="P16" i="18" s="1"/>
  <c r="R16" i="18" s="1"/>
  <c r="G15" i="18"/>
  <c r="P15" i="18" s="1"/>
  <c r="R15" i="18" s="1"/>
  <c r="G14" i="18"/>
  <c r="P14" i="18" s="1"/>
  <c r="R14" i="18" s="1"/>
  <c r="G13" i="18"/>
  <c r="P13" i="18" s="1"/>
  <c r="P12" i="18"/>
  <c r="R12" i="18" s="1"/>
  <c r="G12" i="18"/>
  <c r="G12" i="11"/>
  <c r="P12" i="11"/>
  <c r="R12" i="11" s="1"/>
  <c r="G13" i="11"/>
  <c r="P13" i="11"/>
  <c r="R13" i="11"/>
  <c r="G14" i="11"/>
  <c r="P14" i="11"/>
  <c r="R14" i="11" s="1"/>
  <c r="G15" i="11"/>
  <c r="P15" i="11" s="1"/>
  <c r="R15" i="11" s="1"/>
  <c r="G16" i="11"/>
  <c r="P16" i="11"/>
  <c r="R16" i="11" s="1"/>
  <c r="G17" i="11"/>
  <c r="P17" i="11" s="1"/>
  <c r="R17" i="11" s="1"/>
  <c r="G18" i="11"/>
  <c r="P18" i="11"/>
  <c r="R18" i="11" s="1"/>
  <c r="G19" i="11"/>
  <c r="P19" i="11" s="1"/>
  <c r="R19" i="11" s="1"/>
  <c r="G20" i="11"/>
  <c r="P20" i="11"/>
  <c r="R20" i="11" s="1"/>
  <c r="G21" i="11"/>
  <c r="P21" i="11" s="1"/>
  <c r="R21" i="11" s="1"/>
  <c r="G22" i="11"/>
  <c r="P22" i="11"/>
  <c r="R22" i="11" s="1"/>
  <c r="P23" i="11"/>
  <c r="E25" i="11"/>
  <c r="I25" i="11"/>
  <c r="L25" i="11"/>
  <c r="L51" i="11" s="1"/>
  <c r="L70" i="11" s="1"/>
  <c r="N25" i="11"/>
  <c r="G27" i="11"/>
  <c r="P27" i="11" s="1"/>
  <c r="P28" i="11"/>
  <c r="R28" i="11"/>
  <c r="G29" i="11"/>
  <c r="P29" i="11"/>
  <c r="R29" i="11" s="1"/>
  <c r="P30" i="11"/>
  <c r="R30" i="11" s="1"/>
  <c r="G31" i="11"/>
  <c r="P31" i="11" s="1"/>
  <c r="R31" i="11" s="1"/>
  <c r="P32" i="11"/>
  <c r="R32" i="11"/>
  <c r="P33" i="11"/>
  <c r="G34" i="11"/>
  <c r="P34" i="11" s="1"/>
  <c r="R34" i="11" s="1"/>
  <c r="P35" i="11"/>
  <c r="R35" i="11"/>
  <c r="P36" i="11"/>
  <c r="G37" i="11"/>
  <c r="P37" i="11" s="1"/>
  <c r="R37" i="11" s="1"/>
  <c r="P38" i="11"/>
  <c r="R38" i="11"/>
  <c r="P39" i="11"/>
  <c r="E42" i="11"/>
  <c r="I42" i="11"/>
  <c r="L42" i="11"/>
  <c r="N42" i="11"/>
  <c r="P45" i="11"/>
  <c r="R45" i="11"/>
  <c r="P46" i="11"/>
  <c r="R46" i="11"/>
  <c r="P47" i="11"/>
  <c r="P48" i="11"/>
  <c r="P49" i="11" s="1"/>
  <c r="R49" i="11" s="1"/>
  <c r="E49" i="11"/>
  <c r="G49" i="11"/>
  <c r="I49" i="11"/>
  <c r="L49" i="11"/>
  <c r="N49" i="11"/>
  <c r="E51" i="11"/>
  <c r="E70" i="11" s="1"/>
  <c r="I51" i="11"/>
  <c r="I70" i="11" s="1"/>
  <c r="N51" i="11"/>
  <c r="N70" i="11" s="1"/>
  <c r="G63" i="11"/>
  <c r="P63" i="11"/>
  <c r="P67" i="11" s="1"/>
  <c r="R67" i="11" s="1"/>
  <c r="R63" i="11"/>
  <c r="G64" i="11"/>
  <c r="P64" i="11" s="1"/>
  <c r="R64" i="11"/>
  <c r="G65" i="11"/>
  <c r="P65" i="11"/>
  <c r="R65" i="11" s="1"/>
  <c r="E67" i="11"/>
  <c r="I67" i="11"/>
  <c r="L67" i="11"/>
  <c r="N67" i="11"/>
  <c r="G42" i="18" l="1"/>
  <c r="N51" i="18"/>
  <c r="N70" i="18" s="1"/>
  <c r="R46" i="18"/>
  <c r="L51" i="18"/>
  <c r="L70" i="18" s="1"/>
  <c r="E51" i="18"/>
  <c r="G67" i="18"/>
  <c r="P67" i="18"/>
  <c r="R67" i="18" s="1"/>
  <c r="R13" i="18"/>
  <c r="P25" i="18"/>
  <c r="G25" i="18"/>
  <c r="G51" i="18" s="1"/>
  <c r="G70" i="18" s="1"/>
  <c r="P27" i="18"/>
  <c r="P42" i="11"/>
  <c r="R42" i="11" s="1"/>
  <c r="R27" i="11"/>
  <c r="P25" i="11"/>
  <c r="G25" i="11"/>
  <c r="G67" i="11"/>
  <c r="G42" i="11"/>
  <c r="E70" i="18" l="1"/>
  <c r="C14" i="17"/>
  <c r="R49" i="18"/>
  <c r="R25" i="18"/>
  <c r="P42" i="18"/>
  <c r="R42" i="18" s="1"/>
  <c r="R27" i="18"/>
  <c r="G51" i="11"/>
  <c r="G70" i="11" s="1"/>
  <c r="R25" i="11"/>
  <c r="P51" i="11"/>
  <c r="P51" i="18" l="1"/>
  <c r="P70" i="11"/>
  <c r="R70" i="11" s="1"/>
  <c r="R51" i="11"/>
  <c r="P70" i="18" l="1"/>
  <c r="R70" i="18" s="1"/>
  <c r="R51" i="18"/>
  <c r="J44" i="19"/>
  <c r="H44" i="19"/>
  <c r="P42" i="19"/>
  <c r="P41" i="19"/>
  <c r="P13" i="19"/>
  <c r="P15" i="19" s="1"/>
  <c r="A1" i="19"/>
  <c r="P14" i="19" l="1"/>
  <c r="C16" i="19"/>
  <c r="F14" i="19" s="1"/>
  <c r="J14" i="19" s="1"/>
  <c r="L14" i="19" s="1"/>
  <c r="N14" i="19" s="1"/>
  <c r="N23" i="13"/>
  <c r="R14" i="19" l="1"/>
  <c r="C28" i="19" s="1"/>
  <c r="F13" i="19"/>
  <c r="F15" i="19" s="1"/>
  <c r="F16" i="19" s="1"/>
  <c r="A1" i="18"/>
  <c r="C42" i="19" l="1"/>
  <c r="J13" i="19"/>
  <c r="L15" i="19" s="1"/>
  <c r="N15" i="19" s="1"/>
  <c r="R15" i="19" s="1"/>
  <c r="L13" i="19" l="1"/>
  <c r="L16" i="19" s="1"/>
  <c r="C43" i="19"/>
  <c r="C29" i="19"/>
  <c r="C16" i="17"/>
  <c r="N13" i="19" l="1"/>
  <c r="N16" i="19" s="1"/>
  <c r="D15" i="15"/>
  <c r="D14" i="15"/>
  <c r="D13" i="15"/>
  <c r="D12" i="15"/>
  <c r="D11" i="15"/>
  <c r="D10" i="15"/>
  <c r="R13" i="19" l="1"/>
  <c r="R16" i="19" s="1"/>
  <c r="C30" i="19" s="1"/>
  <c r="F28" i="19" s="1"/>
  <c r="A1" i="16"/>
  <c r="C41" i="19" l="1"/>
  <c r="C44" i="19" s="1"/>
  <c r="F42" i="19" s="1"/>
  <c r="C27" i="19"/>
  <c r="F27" i="19"/>
  <c r="H28" i="19"/>
  <c r="J28" i="19"/>
  <c r="H23" i="14"/>
  <c r="H24" i="14"/>
  <c r="H25" i="14"/>
  <c r="H26" i="14"/>
  <c r="H27" i="14"/>
  <c r="H22" i="14"/>
  <c r="H10" i="14"/>
  <c r="H11" i="14"/>
  <c r="H12" i="14"/>
  <c r="H13" i="14"/>
  <c r="H14" i="14"/>
  <c r="H9" i="14"/>
  <c r="F23" i="14"/>
  <c r="F24" i="14"/>
  <c r="F25" i="14"/>
  <c r="F26" i="14"/>
  <c r="F27" i="14"/>
  <c r="F22" i="14"/>
  <c r="F10" i="14"/>
  <c r="F11" i="14"/>
  <c r="F12" i="14"/>
  <c r="F13" i="14"/>
  <c r="F14" i="14"/>
  <c r="F9" i="14"/>
  <c r="C23" i="14"/>
  <c r="C24" i="14"/>
  <c r="C25" i="14"/>
  <c r="C26" i="14"/>
  <c r="C27" i="14"/>
  <c r="C22" i="14"/>
  <c r="C10" i="14"/>
  <c r="C11" i="14"/>
  <c r="C12" i="14"/>
  <c r="C13" i="14"/>
  <c r="C14" i="14"/>
  <c r="C9" i="14"/>
  <c r="E23" i="2"/>
  <c r="E24" i="2"/>
  <c r="E25" i="2"/>
  <c r="E26" i="2"/>
  <c r="E27" i="2"/>
  <c r="E10" i="2"/>
  <c r="E11" i="2"/>
  <c r="E12" i="2"/>
  <c r="E13" i="2"/>
  <c r="E14" i="2"/>
  <c r="E22" i="2"/>
  <c r="E9" i="2"/>
  <c r="J27" i="19" l="1"/>
  <c r="J29" i="19" s="1"/>
  <c r="H27" i="19"/>
  <c r="L28" i="19"/>
  <c r="F41" i="19"/>
  <c r="H42" i="19"/>
  <c r="J42" i="19"/>
  <c r="F29" i="19"/>
  <c r="F30" i="19" s="1"/>
  <c r="AG23" i="13"/>
  <c r="AG22" i="13"/>
  <c r="AG21" i="13"/>
  <c r="AG20" i="13"/>
  <c r="AG19" i="13"/>
  <c r="AG18" i="13"/>
  <c r="AE23" i="13"/>
  <c r="AE22" i="13"/>
  <c r="AE21" i="13"/>
  <c r="AE20" i="13"/>
  <c r="AE19" i="13"/>
  <c r="AE18" i="13"/>
  <c r="H29" i="19" l="1"/>
  <c r="L29" i="19" s="1"/>
  <c r="L27" i="19"/>
  <c r="L42" i="19"/>
  <c r="H41" i="19"/>
  <c r="J41" i="19"/>
  <c r="J43" i="19" s="1"/>
  <c r="F43" i="19"/>
  <c r="F44" i="19" s="1"/>
  <c r="C9" i="16"/>
  <c r="H43" i="19" l="1"/>
  <c r="L43" i="19" s="1"/>
  <c r="L41" i="19"/>
  <c r="L30" i="19"/>
  <c r="N28" i="19" s="1"/>
  <c r="R28" i="19" s="1"/>
  <c r="D9" i="16"/>
  <c r="C10" i="16"/>
  <c r="D10" i="16"/>
  <c r="C11" i="16"/>
  <c r="D11" i="16"/>
  <c r="E9" i="16"/>
  <c r="F9" i="16"/>
  <c r="L44" i="19" l="1"/>
  <c r="N42" i="19" s="1"/>
  <c r="R42" i="19" s="1"/>
  <c r="N27" i="19"/>
  <c r="R27" i="19" s="1"/>
  <c r="H15" i="3"/>
  <c r="H29" i="3" s="1"/>
  <c r="H14" i="3"/>
  <c r="H28" i="3" s="1"/>
  <c r="H13" i="3"/>
  <c r="H27" i="3" s="1"/>
  <c r="H12" i="3"/>
  <c r="H26" i="3" s="1"/>
  <c r="H11" i="3"/>
  <c r="H25" i="3" s="1"/>
  <c r="H10" i="3"/>
  <c r="H24" i="3" s="1"/>
  <c r="G25" i="12"/>
  <c r="G26" i="12"/>
  <c r="G27" i="12"/>
  <c r="G28" i="12"/>
  <c r="G29" i="12"/>
  <c r="G24" i="12"/>
  <c r="G15" i="12"/>
  <c r="G14" i="12"/>
  <c r="G13" i="12"/>
  <c r="G12" i="12"/>
  <c r="G11" i="12"/>
  <c r="G10" i="12"/>
  <c r="N41" i="19" l="1"/>
  <c r="N43" i="19" s="1"/>
  <c r="R43" i="19" s="1"/>
  <c r="N29" i="19"/>
  <c r="R29" i="19" s="1"/>
  <c r="H44" i="17"/>
  <c r="P42" i="17"/>
  <c r="P41" i="17"/>
  <c r="F13" i="17"/>
  <c r="J13" i="17" s="1"/>
  <c r="A1" i="17"/>
  <c r="L13" i="17" l="1"/>
  <c r="N13" i="17" s="1"/>
  <c r="R13" i="17" s="1"/>
  <c r="P14" i="17"/>
  <c r="R41" i="19"/>
  <c r="R44" i="19" s="1"/>
  <c r="R45" i="19" s="1"/>
  <c r="N30" i="19"/>
  <c r="N44" i="19"/>
  <c r="R30" i="19"/>
  <c r="R31" i="19" s="1"/>
  <c r="F14" i="17"/>
  <c r="J14" i="17" s="1"/>
  <c r="J15" i="17" s="1"/>
  <c r="P15" i="17"/>
  <c r="J44" i="17"/>
  <c r="J22" i="13" l="1"/>
  <c r="J23" i="13" s="1"/>
  <c r="L15" i="17"/>
  <c r="N15" i="17" s="1"/>
  <c r="R15" i="17" s="1"/>
  <c r="C29" i="17" s="1"/>
  <c r="L14" i="17"/>
  <c r="F15" i="17"/>
  <c r="F16" i="17" s="1"/>
  <c r="N14" i="17" l="1"/>
  <c r="L16" i="17"/>
  <c r="C43" i="17"/>
  <c r="C41" i="17"/>
  <c r="C27" i="17"/>
  <c r="R14" i="17" l="1"/>
  <c r="N16" i="17"/>
  <c r="F10" i="16"/>
  <c r="F11" i="16"/>
  <c r="F12" i="16"/>
  <c r="F13" i="16"/>
  <c r="F14" i="16"/>
  <c r="E10" i="16"/>
  <c r="E11" i="16"/>
  <c r="E12" i="16"/>
  <c r="E13" i="16"/>
  <c r="E14" i="16"/>
  <c r="C28" i="17" l="1"/>
  <c r="C42" i="17"/>
  <c r="C44" i="17" s="1"/>
  <c r="F42" i="17" s="1"/>
  <c r="J42" i="17" s="1"/>
  <c r="R16" i="17"/>
  <c r="C30" i="17" s="1"/>
  <c r="B18" i="13"/>
  <c r="C9" i="2"/>
  <c r="C10" i="3" s="1"/>
  <c r="D9" i="2"/>
  <c r="H9" i="2"/>
  <c r="C10" i="2"/>
  <c r="C11" i="3" s="1"/>
  <c r="H10" i="2"/>
  <c r="H23" i="2" s="1"/>
  <c r="C11" i="2"/>
  <c r="C12" i="3" s="1"/>
  <c r="D11" i="2"/>
  <c r="H11" i="2"/>
  <c r="C12" i="2"/>
  <c r="D12" i="2"/>
  <c r="H12" i="2"/>
  <c r="C13" i="2"/>
  <c r="D13" i="2"/>
  <c r="H13" i="2"/>
  <c r="C14" i="2"/>
  <c r="D14" i="2"/>
  <c r="H14" i="2"/>
  <c r="H27" i="2" s="1"/>
  <c r="C22" i="2"/>
  <c r="D22" i="2"/>
  <c r="C23" i="2"/>
  <c r="D23" i="2"/>
  <c r="C24" i="2"/>
  <c r="C26" i="3" s="1"/>
  <c r="D24" i="2"/>
  <c r="H24" i="2"/>
  <c r="C25" i="2"/>
  <c r="C27" i="3" s="1"/>
  <c r="D25" i="2"/>
  <c r="H25" i="2"/>
  <c r="C26" i="2"/>
  <c r="D26" i="2"/>
  <c r="C27" i="2"/>
  <c r="D27" i="2"/>
  <c r="B10" i="12"/>
  <c r="C10" i="12" s="1"/>
  <c r="E10" i="12"/>
  <c r="B11" i="12"/>
  <c r="C11" i="12" s="1"/>
  <c r="E11" i="12"/>
  <c r="B12" i="12"/>
  <c r="C12" i="12" s="1"/>
  <c r="E12" i="12"/>
  <c r="B13" i="12"/>
  <c r="C13" i="12" s="1"/>
  <c r="E13" i="12"/>
  <c r="B14" i="12"/>
  <c r="C14" i="12" s="1"/>
  <c r="E14" i="12"/>
  <c r="B15" i="12"/>
  <c r="C15" i="12" s="1"/>
  <c r="E15" i="12"/>
  <c r="B24" i="12"/>
  <c r="C24" i="12" s="1"/>
  <c r="E24" i="12"/>
  <c r="B25" i="12"/>
  <c r="C25" i="12" s="1"/>
  <c r="E25" i="12"/>
  <c r="B26" i="12"/>
  <c r="C26" i="12" s="1"/>
  <c r="E26" i="12"/>
  <c r="B27" i="12"/>
  <c r="C27" i="12" s="1"/>
  <c r="E27" i="12"/>
  <c r="B28" i="12"/>
  <c r="C28" i="12" s="1"/>
  <c r="E28" i="12"/>
  <c r="B29" i="12"/>
  <c r="C29" i="12" s="1"/>
  <c r="E29" i="12"/>
  <c r="C10" i="15"/>
  <c r="F10" i="15"/>
  <c r="G10" i="15"/>
  <c r="H10" i="15"/>
  <c r="J10" i="15"/>
  <c r="K10" i="15"/>
  <c r="C11" i="15"/>
  <c r="F11" i="15"/>
  <c r="G11" i="15"/>
  <c r="H11" i="15"/>
  <c r="J11" i="15"/>
  <c r="K11" i="15"/>
  <c r="C12" i="15"/>
  <c r="F12" i="15"/>
  <c r="G12" i="15"/>
  <c r="H12" i="15"/>
  <c r="J12" i="15"/>
  <c r="K12" i="15"/>
  <c r="C13" i="15"/>
  <c r="F13" i="15"/>
  <c r="G13" i="15"/>
  <c r="H13" i="15"/>
  <c r="J13" i="15"/>
  <c r="K13" i="15"/>
  <c r="C14" i="15"/>
  <c r="F14" i="15"/>
  <c r="G14" i="15"/>
  <c r="H14" i="15"/>
  <c r="J14" i="15"/>
  <c r="K14" i="15"/>
  <c r="C15" i="15"/>
  <c r="F15" i="15"/>
  <c r="G15" i="15"/>
  <c r="H15" i="15"/>
  <c r="J15" i="15"/>
  <c r="K15" i="15"/>
  <c r="C18" i="13" l="1"/>
  <c r="A9" i="16" s="1"/>
  <c r="A9" i="2"/>
  <c r="F41" i="17"/>
  <c r="H41" i="17" s="1"/>
  <c r="H42" i="17"/>
  <c r="L42" i="17" s="1"/>
  <c r="F28" i="17"/>
  <c r="F27" i="17"/>
  <c r="C14" i="3"/>
  <c r="B19" i="13"/>
  <c r="F29" i="3"/>
  <c r="C29" i="3"/>
  <c r="C24" i="3"/>
  <c r="C13" i="3"/>
  <c r="F13" i="3"/>
  <c r="J16" i="15"/>
  <c r="H16" i="15"/>
  <c r="K16" i="15"/>
  <c r="F24" i="3"/>
  <c r="F24" i="2"/>
  <c r="G24" i="2" s="1"/>
  <c r="I24" i="2" s="1"/>
  <c r="F25" i="2"/>
  <c r="G25" i="2" s="1"/>
  <c r="I25" i="2" s="1"/>
  <c r="F14" i="2"/>
  <c r="G14" i="2" s="1"/>
  <c r="I14" i="2" s="1"/>
  <c r="F14" i="3"/>
  <c r="F28" i="3"/>
  <c r="F25" i="3"/>
  <c r="F10" i="3"/>
  <c r="C28" i="3"/>
  <c r="C15" i="3"/>
  <c r="H26" i="2"/>
  <c r="C25" i="3"/>
  <c r="H22" i="2"/>
  <c r="B20" i="13" l="1"/>
  <c r="A10" i="2"/>
  <c r="J41" i="17"/>
  <c r="J43" i="17" s="1"/>
  <c r="F43" i="17"/>
  <c r="F44" i="17" s="1"/>
  <c r="H43" i="17"/>
  <c r="H27" i="17"/>
  <c r="J27" i="17"/>
  <c r="F29" i="17"/>
  <c r="F30" i="17" s="1"/>
  <c r="J28" i="17"/>
  <c r="H28" i="17"/>
  <c r="F12" i="2"/>
  <c r="G12" i="2" s="1"/>
  <c r="I12" i="2" s="1"/>
  <c r="F27" i="2"/>
  <c r="G27" i="2" s="1"/>
  <c r="I27" i="2" s="1"/>
  <c r="F22" i="2"/>
  <c r="G22" i="2" s="1"/>
  <c r="I22" i="2" s="1"/>
  <c r="C19" i="13"/>
  <c r="A10" i="16" s="1"/>
  <c r="B21" i="13"/>
  <c r="F13" i="2"/>
  <c r="G13" i="2" s="1"/>
  <c r="I13" i="2" s="1"/>
  <c r="F9" i="2"/>
  <c r="G9" i="2" s="1"/>
  <c r="I9" i="2" s="1"/>
  <c r="F27" i="3"/>
  <c r="F26" i="3"/>
  <c r="F23" i="2"/>
  <c r="G23" i="2" s="1"/>
  <c r="I23" i="2" s="1"/>
  <c r="F15" i="3"/>
  <c r="F10" i="2"/>
  <c r="G10" i="2" s="1"/>
  <c r="I10" i="2" s="1"/>
  <c r="F11" i="3"/>
  <c r="F12" i="3"/>
  <c r="F11" i="2"/>
  <c r="G11" i="2" s="1"/>
  <c r="I11" i="2" s="1"/>
  <c r="F26" i="2"/>
  <c r="G26" i="2" s="1"/>
  <c r="I26" i="2" s="1"/>
  <c r="L41" i="17" l="1"/>
  <c r="C20" i="13"/>
  <c r="A11" i="16" s="1"/>
  <c r="A11" i="2"/>
  <c r="L43" i="17"/>
  <c r="B22" i="13"/>
  <c r="A13" i="2" s="1"/>
  <c r="A12" i="2"/>
  <c r="L28" i="17"/>
  <c r="H29" i="17"/>
  <c r="L27" i="17"/>
  <c r="J29" i="17"/>
  <c r="C21" i="13"/>
  <c r="A12" i="16" s="1"/>
  <c r="I15" i="2"/>
  <c r="G15" i="2"/>
  <c r="G28" i="2"/>
  <c r="I28" i="2"/>
  <c r="C22" i="13" l="1"/>
  <c r="A13" i="16" s="1"/>
  <c r="L44" i="17"/>
  <c r="N41" i="17" s="1"/>
  <c r="R41" i="17" s="1"/>
  <c r="B23" i="13"/>
  <c r="C23" i="13" s="1"/>
  <c r="A14" i="16" s="1"/>
  <c r="L29" i="17"/>
  <c r="L30" i="17" s="1"/>
  <c r="D12" i="16"/>
  <c r="D13" i="16"/>
  <c r="D14" i="16"/>
  <c r="C12" i="16"/>
  <c r="C13" i="16"/>
  <c r="C14" i="16"/>
  <c r="A14" i="2" l="1"/>
  <c r="N42" i="17"/>
  <c r="R42" i="17" s="1"/>
  <c r="N28" i="17"/>
  <c r="R28" i="17" s="1"/>
  <c r="N27" i="17"/>
  <c r="H9" i="16"/>
  <c r="H10" i="16"/>
  <c r="H11" i="16"/>
  <c r="H12" i="16"/>
  <c r="H13" i="16"/>
  <c r="H14" i="16"/>
  <c r="G10" i="16"/>
  <c r="G11" i="16"/>
  <c r="G12" i="16"/>
  <c r="G13" i="16"/>
  <c r="G14" i="16"/>
  <c r="G9" i="16"/>
  <c r="N43" i="17" l="1"/>
  <c r="R43" i="17" s="1"/>
  <c r="R44" i="17" s="1"/>
  <c r="R45" i="17" s="1"/>
  <c r="N18" i="13" s="1"/>
  <c r="D22" i="14" s="1"/>
  <c r="R27" i="17"/>
  <c r="N29" i="17"/>
  <c r="R29" i="17" s="1"/>
  <c r="E23" i="16"/>
  <c r="D24" i="16"/>
  <c r="E20" i="16"/>
  <c r="F23" i="16"/>
  <c r="C25" i="16"/>
  <c r="D22" i="16"/>
  <c r="D20" i="16"/>
  <c r="E22" i="16"/>
  <c r="E21" i="16"/>
  <c r="C24" i="16"/>
  <c r="D25" i="16"/>
  <c r="F21" i="16"/>
  <c r="E24" i="16"/>
  <c r="E25" i="16"/>
  <c r="F22" i="16"/>
  <c r="C22" i="16"/>
  <c r="F24" i="16"/>
  <c r="C23" i="16"/>
  <c r="F20" i="16"/>
  <c r="D23" i="16"/>
  <c r="F25" i="16"/>
  <c r="C21" i="16"/>
  <c r="D21" i="16"/>
  <c r="C20" i="16"/>
  <c r="G20" i="16" s="1"/>
  <c r="H24" i="16" l="1"/>
  <c r="G24" i="16"/>
  <c r="N19" i="13"/>
  <c r="N20" i="13" s="1"/>
  <c r="D24" i="14" s="1"/>
  <c r="N44" i="17"/>
  <c r="H20" i="16"/>
  <c r="C32" i="16" s="1"/>
  <c r="G25" i="16"/>
  <c r="H25" i="16"/>
  <c r="G21" i="16"/>
  <c r="G23" i="16"/>
  <c r="R30" i="17"/>
  <c r="R31" i="17" s="1"/>
  <c r="J18" i="13" s="1"/>
  <c r="D9" i="14" s="1"/>
  <c r="N30" i="17"/>
  <c r="H21" i="16"/>
  <c r="G22" i="16"/>
  <c r="H23" i="16"/>
  <c r="H22" i="16"/>
  <c r="C36" i="16" l="1"/>
  <c r="D23" i="14"/>
  <c r="C33" i="16"/>
  <c r="C35" i="16"/>
  <c r="G26" i="16"/>
  <c r="C37" i="16"/>
  <c r="C34" i="16"/>
  <c r="H26" i="16"/>
  <c r="C38" i="16" l="1"/>
  <c r="A1" i="3"/>
  <c r="A1" i="15"/>
  <c r="A1" i="12"/>
  <c r="A1" i="2"/>
  <c r="A1" i="14" s="1"/>
  <c r="B6" i="15" l="1"/>
  <c r="C6" i="15" s="1"/>
  <c r="D6" i="15" s="1"/>
  <c r="E6" i="15" s="1"/>
  <c r="F6" i="15" s="1"/>
  <c r="G6" i="15" s="1"/>
  <c r="H6" i="15" s="1"/>
  <c r="I6" i="15" s="1"/>
  <c r="J6" i="15" s="1"/>
  <c r="K6" i="15" s="1"/>
  <c r="L6" i="15" s="1"/>
  <c r="A3" i="15"/>
  <c r="A2" i="15"/>
  <c r="L1" i="15"/>
  <c r="B19" i="14" l="1"/>
  <c r="C19" i="14" s="1"/>
  <c r="D19" i="14" s="1"/>
  <c r="E19" i="14" s="1"/>
  <c r="F19" i="14" s="1"/>
  <c r="G19" i="14" s="1"/>
  <c r="H19" i="14" s="1"/>
  <c r="I19" i="14" s="1"/>
  <c r="B6" i="14"/>
  <c r="C6" i="14" s="1"/>
  <c r="D6" i="14" s="1"/>
  <c r="E6" i="14" s="1"/>
  <c r="F6" i="14" s="1"/>
  <c r="G6" i="14" s="1"/>
  <c r="H6" i="14" s="1"/>
  <c r="I6" i="14" s="1"/>
  <c r="A3" i="14"/>
  <c r="I1" i="14"/>
  <c r="A1" i="11" l="1"/>
  <c r="H3" i="12" l="1"/>
  <c r="L3" i="15" s="1"/>
  <c r="I3" i="2"/>
  <c r="I3" i="14" s="1"/>
  <c r="R3" i="19" s="1"/>
  <c r="R3" i="17" l="1"/>
  <c r="R3" i="18"/>
  <c r="I1" i="3"/>
  <c r="I3" i="3"/>
  <c r="B21" i="12"/>
  <c r="C21" i="12" s="1"/>
  <c r="D21" i="12" s="1"/>
  <c r="E21" i="12" s="1"/>
  <c r="F21" i="12" s="1"/>
  <c r="G21" i="12" s="1"/>
  <c r="H21" i="12" s="1"/>
  <c r="B7" i="12"/>
  <c r="C7" i="12" s="1"/>
  <c r="D7" i="12" s="1"/>
  <c r="E7" i="12" s="1"/>
  <c r="F7" i="12" s="1"/>
  <c r="G7" i="12" s="1"/>
  <c r="H7" i="12" s="1"/>
  <c r="B20" i="3" l="1"/>
  <c r="C20" i="3" s="1"/>
  <c r="D20" i="3" s="1"/>
  <c r="E20" i="3" s="1"/>
  <c r="F20" i="3" s="1"/>
  <c r="G20" i="3" s="1"/>
  <c r="H20" i="3" s="1"/>
  <c r="I20" i="3" s="1"/>
  <c r="A22" i="2" l="1"/>
  <c r="B9" i="2"/>
  <c r="I10" i="15"/>
  <c r="A10" i="3"/>
  <c r="A9" i="14"/>
  <c r="B9" i="14" l="1"/>
  <c r="A10" i="12"/>
  <c r="A10" i="15" s="1"/>
  <c r="B10" i="3"/>
  <c r="A22" i="14"/>
  <c r="A24" i="3"/>
  <c r="B22" i="2"/>
  <c r="A11" i="3"/>
  <c r="A10" i="14"/>
  <c r="B10" i="2"/>
  <c r="A23" i="2"/>
  <c r="I11" i="15"/>
  <c r="B9" i="16"/>
  <c r="A32" i="16"/>
  <c r="A20" i="16"/>
  <c r="A12" i="3" l="1"/>
  <c r="A24" i="2"/>
  <c r="A11" i="14"/>
  <c r="B11" i="2"/>
  <c r="I12" i="15"/>
  <c r="B23" i="2"/>
  <c r="A23" i="14"/>
  <c r="A25" i="3"/>
  <c r="B22" i="14"/>
  <c r="B24" i="3"/>
  <c r="A24" i="12"/>
  <c r="A11" i="12"/>
  <c r="A11" i="15" s="1"/>
  <c r="B10" i="14"/>
  <c r="B11" i="3"/>
  <c r="B20" i="16"/>
  <c r="B32" i="16"/>
  <c r="B10" i="16"/>
  <c r="A21" i="16"/>
  <c r="A33" i="16"/>
  <c r="B25" i="3" l="1"/>
  <c r="A25" i="12"/>
  <c r="B23" i="14"/>
  <c r="B24" i="2"/>
  <c r="A24" i="14"/>
  <c r="A26" i="3"/>
  <c r="B12" i="2"/>
  <c r="A12" i="14"/>
  <c r="A25" i="2"/>
  <c r="A13" i="3"/>
  <c r="I13" i="15"/>
  <c r="B11" i="14"/>
  <c r="B12" i="3"/>
  <c r="A12" i="12"/>
  <c r="A12" i="15" s="1"/>
  <c r="A34" i="16"/>
  <c r="B11" i="16"/>
  <c r="A22" i="16"/>
  <c r="B21" i="16"/>
  <c r="B33" i="16"/>
  <c r="B13" i="3" l="1"/>
  <c r="B12" i="14"/>
  <c r="A13" i="12"/>
  <c r="A13" i="15" s="1"/>
  <c r="A26" i="12"/>
  <c r="B24" i="14"/>
  <c r="B26" i="3"/>
  <c r="A13" i="14"/>
  <c r="B13" i="2"/>
  <c r="I14" i="15"/>
  <c r="A14" i="3"/>
  <c r="A26" i="2"/>
  <c r="B25" i="2"/>
  <c r="A27" i="3"/>
  <c r="A25" i="14"/>
  <c r="B22" i="16"/>
  <c r="B34" i="16"/>
  <c r="A23" i="16"/>
  <c r="A35" i="16"/>
  <c r="B12" i="16"/>
  <c r="B26" i="2" l="1"/>
  <c r="A28" i="3"/>
  <c r="A26" i="14"/>
  <c r="B13" i="14"/>
  <c r="B14" i="3"/>
  <c r="A14" i="12"/>
  <c r="A14" i="15" s="1"/>
  <c r="B25" i="14"/>
  <c r="A27" i="12"/>
  <c r="B27" i="3"/>
  <c r="A15" i="3"/>
  <c r="A27" i="2"/>
  <c r="B14" i="2"/>
  <c r="A14" i="14"/>
  <c r="I15" i="15"/>
  <c r="B23" i="16"/>
  <c r="B35" i="16"/>
  <c r="A36" i="16"/>
  <c r="A24" i="16"/>
  <c r="B13" i="16"/>
  <c r="D10" i="12" l="1"/>
  <c r="F10" i="12" s="1"/>
  <c r="H10" i="12" s="1"/>
  <c r="B14" i="14"/>
  <c r="A15" i="12"/>
  <c r="A15" i="15" s="1"/>
  <c r="B15" i="3"/>
  <c r="B27" i="2"/>
  <c r="A29" i="3"/>
  <c r="A27" i="14"/>
  <c r="B26" i="14"/>
  <c r="A28" i="12"/>
  <c r="B28" i="3"/>
  <c r="B24" i="16"/>
  <c r="B36" i="16"/>
  <c r="A37" i="16"/>
  <c r="A25" i="16"/>
  <c r="B14" i="16"/>
  <c r="J19" i="13"/>
  <c r="B19" i="2"/>
  <c r="C19" i="2" s="1"/>
  <c r="D19" i="2" s="1"/>
  <c r="E19" i="2" s="1"/>
  <c r="F19" i="2" s="1"/>
  <c r="G19" i="2" s="1"/>
  <c r="H19" i="2" s="1"/>
  <c r="I19" i="2" s="1"/>
  <c r="D10" i="14" l="1"/>
  <c r="J20" i="13"/>
  <c r="J21" i="13" s="1"/>
  <c r="D11" i="12"/>
  <c r="D10" i="3"/>
  <c r="E9" i="14"/>
  <c r="G9" i="14" s="1"/>
  <c r="D24" i="12"/>
  <c r="B29" i="3"/>
  <c r="A29" i="12"/>
  <c r="B27" i="14"/>
  <c r="B25" i="16"/>
  <c r="B37" i="16"/>
  <c r="B6" i="2"/>
  <c r="C6" i="2" s="1"/>
  <c r="D6" i="2" s="1"/>
  <c r="E6" i="2" s="1"/>
  <c r="F6" i="2" s="1"/>
  <c r="G6" i="2" s="1"/>
  <c r="H6" i="2" s="1"/>
  <c r="I6" i="2" s="1"/>
  <c r="D11" i="14" l="1"/>
  <c r="I9" i="14"/>
  <c r="D24" i="3"/>
  <c r="E24" i="3" s="1"/>
  <c r="F24" i="12"/>
  <c r="H24" i="12" s="1"/>
  <c r="F11" i="12"/>
  <c r="H11" i="12" s="1"/>
  <c r="D25" i="12"/>
  <c r="D12" i="12"/>
  <c r="B10" i="15" l="1"/>
  <c r="D11" i="3"/>
  <c r="E10" i="14"/>
  <c r="G10" i="14" s="1"/>
  <c r="F25" i="12"/>
  <c r="H25" i="12" s="1"/>
  <c r="B11" i="15" s="1"/>
  <c r="D26" i="12"/>
  <c r="G24" i="3"/>
  <c r="I24" i="3" s="1"/>
  <c r="E22" i="14"/>
  <c r="G22" i="14" s="1"/>
  <c r="F12" i="12"/>
  <c r="H12" i="12" s="1"/>
  <c r="E11" i="15" l="1"/>
  <c r="L11" i="15" s="1"/>
  <c r="F33" i="16" s="1"/>
  <c r="E10" i="15"/>
  <c r="L10" i="15" s="1"/>
  <c r="F32" i="16" s="1"/>
  <c r="I22" i="14"/>
  <c r="I10" i="14"/>
  <c r="F26" i="12"/>
  <c r="H26" i="12" s="1"/>
  <c r="B12" i="15" s="1"/>
  <c r="E12" i="15" s="1"/>
  <c r="L12" i="15" s="1"/>
  <c r="D12" i="3"/>
  <c r="E11" i="14"/>
  <c r="G11" i="14" s="1"/>
  <c r="I11" i="14" s="1"/>
  <c r="D25" i="3"/>
  <c r="E25" i="3" s="1"/>
  <c r="G25" i="3" s="1"/>
  <c r="I25" i="3" s="1"/>
  <c r="F39" i="3" s="1"/>
  <c r="E23" i="14"/>
  <c r="G23" i="14" s="1"/>
  <c r="I23" i="14" s="1"/>
  <c r="F38" i="3"/>
  <c r="E32" i="16" l="1"/>
  <c r="D32" i="16" s="1"/>
  <c r="E33" i="16"/>
  <c r="D33" i="16" s="1"/>
  <c r="D26" i="3"/>
  <c r="E26" i="3" s="1"/>
  <c r="G26" i="3" s="1"/>
  <c r="E24" i="14"/>
  <c r="G24" i="14" s="1"/>
  <c r="F34" i="16"/>
  <c r="R3" i="11"/>
  <c r="I26" i="3" l="1"/>
  <c r="I24" i="14"/>
  <c r="E34" i="16" l="1"/>
  <c r="D34" i="16" s="1"/>
  <c r="F40" i="3"/>
  <c r="B40" i="3"/>
  <c r="C34" i="3"/>
  <c r="D34" i="3" s="1"/>
  <c r="E34" i="3" s="1"/>
  <c r="F34" i="3" s="1"/>
  <c r="G34" i="3" s="1"/>
  <c r="C43" i="3"/>
  <c r="B43" i="3"/>
  <c r="C42" i="3"/>
  <c r="B42" i="3"/>
  <c r="C41" i="3"/>
  <c r="B41" i="3"/>
  <c r="C40" i="3"/>
  <c r="C39" i="3"/>
  <c r="B39" i="3"/>
  <c r="C38" i="3"/>
  <c r="B38" i="3"/>
  <c r="B6" i="3"/>
  <c r="C6" i="3" s="1"/>
  <c r="D6" i="3" s="1"/>
  <c r="E6" i="3" s="1"/>
  <c r="F6" i="3" s="1"/>
  <c r="G6" i="3" s="1"/>
  <c r="H6" i="3" s="1"/>
  <c r="I6" i="3" s="1"/>
  <c r="D39" i="3" l="1"/>
  <c r="D40" i="3"/>
  <c r="D38" i="3" l="1"/>
  <c r="E12" i="3" l="1"/>
  <c r="G12" i="3" s="1"/>
  <c r="I12" i="3" s="1"/>
  <c r="E40" i="3" s="1"/>
  <c r="E11" i="3"/>
  <c r="G11" i="3" s="1"/>
  <c r="I11" i="3" s="1"/>
  <c r="E39" i="3" s="1"/>
  <c r="E10" i="3"/>
  <c r="G10" i="3" s="1"/>
  <c r="G40" i="3" l="1"/>
  <c r="G39" i="3"/>
  <c r="I10" i="3"/>
  <c r="E38" i="3" l="1"/>
  <c r="G38" i="3" s="1"/>
  <c r="D13" i="12" l="1"/>
  <c r="F13" i="12" s="1"/>
  <c r="H13" i="12" s="1"/>
  <c r="D12" i="14"/>
  <c r="E12" i="14" s="1"/>
  <c r="G12" i="14" s="1"/>
  <c r="D27" i="12"/>
  <c r="F27" i="12" s="1"/>
  <c r="H27" i="12" s="1"/>
  <c r="D14" i="12"/>
  <c r="F14" i="12" s="1"/>
  <c r="H14" i="12" s="1"/>
  <c r="D28" i="12" l="1"/>
  <c r="F28" i="12" s="1"/>
  <c r="H28" i="12" s="1"/>
  <c r="B14" i="15" s="1"/>
  <c r="E14" i="15" s="1"/>
  <c r="L14" i="15" s="1"/>
  <c r="D13" i="3"/>
  <c r="E13" i="3" s="1"/>
  <c r="G13" i="3" s="1"/>
  <c r="I13" i="3" s="1"/>
  <c r="D26" i="14"/>
  <c r="D28" i="3" s="1"/>
  <c r="E28" i="3" s="1"/>
  <c r="G28" i="3" s="1"/>
  <c r="I28" i="3" s="1"/>
  <c r="F42" i="3" s="1"/>
  <c r="B13" i="15"/>
  <c r="E13" i="15" s="1"/>
  <c r="D13" i="14"/>
  <c r="E13" i="14" s="1"/>
  <c r="G13" i="14" s="1"/>
  <c r="I13" i="14" s="1"/>
  <c r="D25" i="14"/>
  <c r="D15" i="12"/>
  <c r="F15" i="12" s="1"/>
  <c r="H15" i="12" s="1"/>
  <c r="I12" i="14"/>
  <c r="E26" i="14" l="1"/>
  <c r="G26" i="14" s="1"/>
  <c r="I26" i="14" s="1"/>
  <c r="D27" i="14"/>
  <c r="E27" i="14" s="1"/>
  <c r="G27" i="14" s="1"/>
  <c r="I27" i="14" s="1"/>
  <c r="D14" i="3"/>
  <c r="E14" i="3" s="1"/>
  <c r="G14" i="3" s="1"/>
  <c r="I14" i="3" s="1"/>
  <c r="E42" i="3" s="1"/>
  <c r="E25" i="14"/>
  <c r="G25" i="14" s="1"/>
  <c r="I25" i="14" s="1"/>
  <c r="D27" i="3"/>
  <c r="E27" i="3" s="1"/>
  <c r="G27" i="3" s="1"/>
  <c r="I27" i="3" s="1"/>
  <c r="F41" i="3" s="1"/>
  <c r="D14" i="14"/>
  <c r="E14" i="14" s="1"/>
  <c r="G14" i="14" s="1"/>
  <c r="L13" i="15"/>
  <c r="E41" i="3"/>
  <c r="E36" i="16"/>
  <c r="F36" i="16"/>
  <c r="D42" i="3"/>
  <c r="D29" i="3" l="1"/>
  <c r="E29" i="3" s="1"/>
  <c r="G29" i="3" s="1"/>
  <c r="I29" i="3" s="1"/>
  <c r="F43" i="3" s="1"/>
  <c r="F44" i="3" s="1"/>
  <c r="E52" i="3" s="1"/>
  <c r="D29" i="12"/>
  <c r="F29" i="12" s="1"/>
  <c r="H29" i="12" s="1"/>
  <c r="B15" i="15" s="1"/>
  <c r="E15" i="15" s="1"/>
  <c r="G28" i="14"/>
  <c r="G42" i="3"/>
  <c r="D15" i="3"/>
  <c r="E15" i="3" s="1"/>
  <c r="G15" i="3" s="1"/>
  <c r="I15" i="3" s="1"/>
  <c r="E35" i="16"/>
  <c r="D36" i="16"/>
  <c r="I28" i="14"/>
  <c r="F35" i="16"/>
  <c r="D41" i="3"/>
  <c r="I14" i="14"/>
  <c r="G15" i="14"/>
  <c r="I30" i="3" l="1"/>
  <c r="G30" i="3"/>
  <c r="G16" i="3"/>
  <c r="D35" i="16"/>
  <c r="E37" i="16"/>
  <c r="E38" i="16" s="1"/>
  <c r="I15" i="14"/>
  <c r="L15" i="15"/>
  <c r="E16" i="15"/>
  <c r="G41" i="3"/>
  <c r="E43" i="3"/>
  <c r="E44" i="3" s="1"/>
  <c r="E51" i="3" s="1"/>
  <c r="I16" i="3"/>
  <c r="F37" i="16" l="1"/>
  <c r="D43" i="3"/>
  <c r="L16" i="15"/>
  <c r="D37" i="16" l="1"/>
  <c r="D38" i="16" s="1"/>
  <c r="F38" i="16"/>
  <c r="G43" i="3"/>
  <c r="G44" i="3" s="1"/>
  <c r="E53" i="3" s="1"/>
  <c r="F55" i="3" s="1"/>
  <c r="D44" i="3"/>
  <c r="F49" i="3" s="1"/>
  <c r="F57" i="3" l="1"/>
</calcChain>
</file>

<file path=xl/sharedStrings.xml><?xml version="1.0" encoding="utf-8"?>
<sst xmlns="http://schemas.openxmlformats.org/spreadsheetml/2006/main" count="728" uniqueCount="282">
  <si>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</si>
  <si>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</si>
  <si>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</si>
  <si>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</si>
  <si>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</si>
  <si>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</si>
  <si>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</si>
  <si>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</si>
  <si>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</si>
  <si>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</si>
  <si>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</si>
  <si>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</si>
  <si>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</si>
  <si>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</si>
  <si>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</si>
  <si>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</si>
  <si>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</si>
  <si>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</si>
  <si>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</si>
  <si>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</si>
  <si>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Operating Expenses (net of allowance proceeds)</t>
  </si>
  <si>
    <t>ES Form 1.10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</si>
  <si>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</si>
  <si>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</si>
  <si>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</si>
  <si>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</si>
  <si>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</si>
  <si>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</si>
  <si>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</si>
  <si>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</si>
  <si>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</si>
  <si>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</si>
  <si>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</si>
  <si>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</si>
  <si>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</si>
  <si>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</si>
  <si>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</si>
  <si>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</si>
  <si>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</si>
  <si>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</si>
  <si>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</si>
  <si>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</si>
  <si>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</si>
  <si>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</si>
  <si>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</si>
  <si>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</si>
  <si>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</si>
  <si>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</si>
  <si>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</si>
  <si>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</si>
  <si>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</si>
  <si>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</si>
  <si>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</si>
  <si>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</si>
  <si>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</si>
  <si>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</si>
  <si>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</si>
  <si>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</si>
  <si>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</si>
  <si>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</si>
  <si>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</si>
  <si>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</si>
  <si>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</si>
  <si>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</si>
  <si>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</si>
  <si>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</si>
  <si>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</si>
  <si>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</si>
  <si>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</si>
  <si>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</si>
  <si>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</si>
  <si>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</si>
  <si>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</si>
  <si>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</si>
  <si>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</si>
  <si>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</si>
  <si>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</si>
  <si>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</si>
  <si>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</si>
  <si>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</si>
  <si>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</si>
  <si>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</si>
  <si>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</si>
  <si>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</si>
  <si>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</si>
  <si>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</si>
  <si>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</si>
  <si>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</si>
  <si>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</si>
  <si>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</si>
  <si>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</si>
  <si>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</si>
  <si>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</si>
  <si>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</si>
  <si>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</si>
  <si>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</si>
  <si>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</si>
  <si>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</si>
  <si>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Total for 6 months</t>
  </si>
  <si>
    <t>Rahn</t>
  </si>
  <si>
    <t>2016 ECR Plans</t>
  </si>
  <si>
    <t>2016 ECR Plans     ES  Form 2.00</t>
  </si>
  <si>
    <t>PRE-2016 ECR PLANS</t>
  </si>
  <si>
    <t>2016 ECR PLANS</t>
  </si>
  <si>
    <t>(5)-(4)</t>
  </si>
  <si>
    <t>(3) * (6)  / 12</t>
  </si>
  <si>
    <t>ES  Form 2.00</t>
  </si>
  <si>
    <t>(2) / 12</t>
  </si>
  <si>
    <t>Page 1 Col (8)     Pre-2016 ECR Plans; 2016 ECR Plans</t>
  </si>
  <si>
    <t>Adjusted Electric Rate of Return on Common Equity - Pre-2016 ECR Plans</t>
  </si>
  <si>
    <t>Adjusted Electric Rate of Return on Common Equity - 2016 ECR Plans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</si>
  <si>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</si>
  <si>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</si>
  <si>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</si>
  <si>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</si>
  <si>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</si>
  <si>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</si>
  <si>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</si>
  <si>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</si>
  <si>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</si>
  <si>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</si>
  <si>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</si>
  <si>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</si>
  <si>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</si>
  <si>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</si>
  <si>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*</t>
  </si>
  <si>
    <t>a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</si>
  <si>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</si>
  <si>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</si>
  <si>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</si>
  <si>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</si>
  <si>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</si>
  <si>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</si>
  <si>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</si>
  <si>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</si>
  <si>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</si>
  <si>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Carroll Co. 2016 Series A</t>
  </si>
  <si>
    <t>Called Bonds</t>
  </si>
  <si>
    <t>Total Pollution Control Bond Debt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</si>
  <si>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</si>
  <si>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</si>
  <si>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</si>
  <si>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</si>
  <si>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</si>
  <si>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</si>
  <si>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</si>
  <si>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</si>
  <si>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</si>
  <si>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</si>
  <si>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</si>
  <si>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b</t>
  </si>
  <si>
    <t>Letter of Credit Facility</t>
  </si>
  <si>
    <t>Total First Mortgage Bond Debt</t>
  </si>
  <si>
    <t>Notes Payable to PPL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</si>
  <si>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</si>
  <si>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</si>
  <si>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</si>
  <si>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</si>
  <si>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</si>
  <si>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</si>
  <si>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</si>
  <si>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</si>
  <si>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</si>
  <si>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</si>
  <si>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</si>
  <si>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a - Remarketing fee = 10 basis points</t>
  </si>
  <si>
    <t>b - Revolving Credit Facility fee = 10 basis points</t>
  </si>
  <si>
    <t>ROR True-up (Pre-2016 Plans)</t>
  </si>
  <si>
    <t>ROR True-up (2016 Plans)</t>
  </si>
  <si>
    <t>Due to Change in ROR in (Pre-2016 Plans)</t>
  </si>
  <si>
    <t>Due to Change in ROR in (2016 Plans)</t>
  </si>
  <si>
    <t xml:space="preserve">Adjusted Electric Rate of Return on Common Equity </t>
  </si>
  <si>
    <t>Kentucky Jurisdictional Capitalization</t>
  </si>
  <si>
    <t>Pre-2016 Plan</t>
  </si>
  <si>
    <t>2016 Plan</t>
  </si>
  <si>
    <t>Period #4</t>
  </si>
  <si>
    <t xml:space="preserve">First Billing Month:  </t>
  </si>
  <si>
    <t>Company :</t>
  </si>
  <si>
    <t>Witnesse(s):  (Q1)</t>
  </si>
  <si>
    <t>Witnesse(s):  (Q2)</t>
  </si>
  <si>
    <t xml:space="preserve">(Pre-2016 Plan) Common Equity Rate:  </t>
  </si>
  <si>
    <t xml:space="preserve">(2016 Plan) Common Equity Rate:  </t>
  </si>
  <si>
    <t>Rate Base Revised</t>
  </si>
  <si>
    <t>Question #1</t>
  </si>
  <si>
    <t>Question #2</t>
  </si>
  <si>
    <t>Page 1 of 4</t>
  </si>
  <si>
    <t>Page 2 of 4</t>
  </si>
  <si>
    <t>Page 3 of 4</t>
  </si>
  <si>
    <t>Jurisdictional Allocation</t>
  </si>
  <si>
    <t>ES Form 1.10 , Line 11</t>
  </si>
  <si>
    <t>Analysis of Embedded Cost of Capital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</si>
  <si>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</si>
  <si>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</si>
  <si>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</si>
  <si>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</si>
  <si>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</si>
  <si>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</si>
  <si>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</si>
  <si>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</si>
  <si>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</si>
  <si>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</si>
  <si>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</si>
  <si>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</si>
  <si>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</si>
  <si>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</si>
  <si>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</si>
  <si>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</si>
  <si>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</si>
  <si>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</si>
  <si>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</si>
  <si>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</si>
  <si>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</si>
  <si>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</si>
  <si>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</si>
  <si>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</si>
  <si>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</si>
  <si>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</si>
  <si>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</si>
  <si>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</si>
  <si>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</si>
  <si>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</si>
  <si>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</si>
  <si>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</si>
  <si>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</si>
  <si>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</si>
  <si>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</si>
  <si>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</si>
  <si>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</si>
  <si>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r>
      <t>LONG-TERM DEBT</t>
    </r>
    <r>
      <rPr>
        <b/>
        <sz val="16"/>
        <rFont val="Arial"/>
        <family val="2"/>
      </rPr>
      <t xml:space="preserve"> </t>
    </r>
  </si>
  <si>
    <t xml:space="preserve"> Issuance Exp./Discount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</si>
  <si>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</si>
  <si>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</si>
  <si>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</si>
  <si>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</si>
  <si>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</si>
  <si>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</si>
  <si>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</si>
  <si>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r>
      <t>LONG-TERM DEBT</t>
    </r>
    <r>
      <rPr>
        <b/>
        <sz val="12"/>
        <rFont val="Arial"/>
        <family val="2"/>
      </rPr>
      <t xml:space="preserve"> </t>
    </r>
  </si>
  <si>
    <t>Page 4 of 4</t>
  </si>
  <si>
    <t>2016 ECR Plans        (2) / 12</t>
  </si>
  <si>
    <t>Prior Period Adjustments (as Filed)</t>
  </si>
  <si>
    <t>Prior Period Adustments (as Filed)</t>
  </si>
  <si>
    <t>ES Form 1.10 , Line 12</t>
  </si>
  <si>
    <t>(2) + (3) + (4)</t>
  </si>
  <si>
    <t>(8) + (10) + (11) - (5)</t>
  </si>
  <si>
    <t>ES Form 1.10, Line 11</t>
  </si>
  <si>
    <t>ES Form 1.10, Line 12</t>
  </si>
  <si>
    <t>(25) + (26) Combined 12 Month Avg Rev</t>
  </si>
  <si>
    <t>(27) + (28) Combined Bill Revenue</t>
  </si>
  <si>
    <t>Page 1 of 6</t>
  </si>
  <si>
    <t>Page 2 of 6</t>
  </si>
  <si>
    <t>Page 3 of 6</t>
  </si>
  <si>
    <t>Page 5 of 6</t>
  </si>
  <si>
    <t>Page 6 of 6</t>
  </si>
  <si>
    <t>1.  12-Month Average Revenues were provided in the Direct Testimony of Derek A. Rahn on page 6 and consisted of Group 1 and Group 2 combined.</t>
  </si>
  <si>
    <t>Overall Rate of Return Adjustment - Revised Rate Base</t>
  </si>
  <si>
    <t>Overall Revised Rate of Return</t>
  </si>
  <si>
    <t xml:space="preserve">Summary Schedule for Expense Months </t>
  </si>
  <si>
    <t>Summary Schedule for Expense Months</t>
  </si>
  <si>
    <t xml:space="preserve">Detailed Variances for Expense Months </t>
  </si>
  <si>
    <t>Rahn/Neal</t>
  </si>
  <si>
    <t>Other Debt:</t>
  </si>
  <si>
    <t>Total Other Debt</t>
  </si>
  <si>
    <t>1 Call premium and debt expense is being amortized in accordance with ASC 980, Regulated Operations.</t>
  </si>
  <si>
    <t>2   Includes setup fees for Credit Facility amended January 26, 2018 with a term ending January 26, 2023.</t>
  </si>
  <si>
    <t>3   Includes setup fees for Credit Facility amended August 1, 2017 with a term ending October 1, 2020.</t>
  </si>
  <si>
    <t>2   Includes setup fees for Credit Facility amended January 27, 2017 with a term ending January 27, 2022.</t>
  </si>
  <si>
    <t>September 01, 2017 - December 31, 2017</t>
  </si>
  <si>
    <t>September 01, 2017 - February 28, 2018</t>
  </si>
  <si>
    <t xml:space="preserve">Jurisdictional Rate base (Dec) %: </t>
  </si>
  <si>
    <t xml:space="preserve">Jurisdictional Rate base (Feb) %: </t>
  </si>
  <si>
    <t>Case No. 2018-00257</t>
  </si>
  <si>
    <t>As of December 31, 2017</t>
  </si>
  <si>
    <t>As of February 28, 2018</t>
  </si>
  <si>
    <t>Page 4 of 6</t>
  </si>
  <si>
    <t xml:space="preserve">4.  Expense month January 2018 represents a higher revenue variance due to the difference between the 12-month average revenue and the revenue used for billing. </t>
  </si>
  <si>
    <t>12-31-17</t>
  </si>
  <si>
    <t>2-28-18</t>
  </si>
  <si>
    <t>6.  Combined Total Over/(Under) Recovery were provided in the Initial Request for Information Response to Question No. 2, page 2 of 4.</t>
  </si>
  <si>
    <t>5.  Rate of Return True-up was provided in the Initial Request for Information Response to Question No. 1, page 2 of 6.</t>
  </si>
  <si>
    <t xml:space="preserve">3.  Billing Factors were provided in the Initial Request for Information Response to Question No. 2, page 2 of 4. </t>
  </si>
  <si>
    <t>2.  Actual Revenues Subject to ECR Surcharge are taken from monthly filings on ES Form 3.00.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</si>
</sst>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"/>
    <numFmt numFmtId="175" formatCode="0.00000%"/>
    <numFmt numFmtId="176" formatCode="_(* #,##0_);_(* \(#,##0\);_(* &quot;0&quot;_);_(@_)"/>
    <numFmt numFmtId="177" formatCode="_(&quot;$&quot;* #,##0_);_(&quot;$&quot;* \(#,##0\);_(&quot;$&quot;* &quot;0&quot;_);_(@_)"/>
    <numFmt numFmtId="178" formatCode="#,##0.0000_);\(#,##0.0000\)"/>
    <numFmt numFmtId="179" formatCode="mm/dd/yy_)"/>
    <numFmt numFmtId="180" formatCode="0.0000%"/>
    <numFmt numFmtId="181" formatCode="0.000_)"/>
    <numFmt numFmtId="182" formatCode="_(&quot;$&quot;* #,##0.00_);_(&quot;$&quot;* \(#,##0.00\);_(&quot;$&quot;* &quot;0&quot;_);_(@_)"/>
    <numFmt numFmtId="183" formatCode="&quot;$&quot;#,##0"/>
    <numFmt numFmtId="184" formatCode="0.0%"/>
    <numFmt numFmtId="185" formatCode="[$-409]mmmm\-yy;@"/>
  </numFmts>
  <fonts count="10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169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18" fillId="7" borderId="20" applyNumberFormat="0" applyAlignment="0" applyProtection="0"/>
    <xf numFmtId="164" fontId="18" fillId="7" borderId="20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169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8" fillId="0" borderId="14" applyNumberFormat="0" applyFill="0" applyAlignment="0" applyProtection="0"/>
    <xf numFmtId="164" fontId="8" fillId="0" borderId="14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169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9" fillId="0" borderId="15" applyNumberFormat="0" applyFill="0" applyAlignment="0" applyProtection="0"/>
    <xf numFmtId="164" fontId="9" fillId="0" borderId="15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10" fillId="0" borderId="16" applyNumberFormat="0" applyFill="0" applyAlignment="0" applyProtection="0"/>
    <xf numFmtId="164" fontId="10" fillId="0" borderId="16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14" fillId="5" borderId="17" applyNumberFormat="0" applyAlignment="0" applyProtection="0"/>
    <xf numFmtId="164" fontId="14" fillId="5" borderId="17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169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17" fillId="0" borderId="19" applyNumberFormat="0" applyFill="0" applyAlignment="0" applyProtection="0"/>
    <xf numFmtId="164" fontId="17" fillId="0" borderId="19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15" fillId="6" borderId="18" applyNumberFormat="0" applyAlignment="0" applyProtection="0"/>
    <xf numFmtId="164" fontId="15" fillId="6" borderId="18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1"/>
    <xf numFmtId="0" fontId="47" fillId="51" borderId="31"/>
    <xf numFmtId="0" fontId="47" fillId="51" borderId="31"/>
    <xf numFmtId="169" fontId="47" fillId="51" borderId="31"/>
    <xf numFmtId="0" fontId="47" fillId="51" borderId="31"/>
    <xf numFmtId="164" fontId="57" fillId="51" borderId="31"/>
    <xf numFmtId="164" fontId="57" fillId="51" borderId="31"/>
    <xf numFmtId="164" fontId="57" fillId="51" borderId="31"/>
    <xf numFmtId="0" fontId="47" fillId="51" borderId="31"/>
    <xf numFmtId="169" fontId="47" fillId="51" borderId="31"/>
    <xf numFmtId="169" fontId="47" fillId="51" borderId="31"/>
    <xf numFmtId="164" fontId="57" fillId="51" borderId="31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2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21" fillId="0" borderId="22" applyNumberFormat="0" applyFill="0" applyAlignment="0" applyProtection="0"/>
    <xf numFmtId="164" fontId="21" fillId="0" borderId="22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638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68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 wrapText="1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71" fillId="0" borderId="0" xfId="57515" applyFont="1" applyAlignment="1"/>
    <xf numFmtId="43" fontId="72" fillId="0" borderId="0" xfId="11027" applyFont="1" applyAlignment="1">
      <alignment horizontal="center"/>
    </xf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37" fontId="70" fillId="0" borderId="1" xfId="57515" applyFont="1" applyBorder="1" applyAlignment="1">
      <alignment horizontal="center"/>
    </xf>
    <xf numFmtId="37" fontId="70" fillId="0" borderId="1" xfId="57515" applyFont="1" applyFill="1" applyBorder="1" applyAlignment="1">
      <alignment horizontal="center"/>
    </xf>
    <xf numFmtId="166" fontId="70" fillId="0" borderId="0" xfId="12007" applyNumberFormat="1" applyFont="1" applyFill="1" applyBorder="1"/>
    <xf numFmtId="37" fontId="70" fillId="0" borderId="0" xfId="57515" applyFont="1" applyFill="1" applyBorder="1"/>
    <xf numFmtId="166" fontId="70" fillId="0" borderId="34" xfId="12007" applyNumberFormat="1" applyFont="1" applyBorder="1"/>
    <xf numFmtId="168" fontId="70" fillId="0" borderId="34" xfId="45409" applyNumberFormat="1" applyFont="1" applyBorder="1"/>
    <xf numFmtId="166" fontId="70" fillId="0" borderId="34" xfId="12007" applyNumberFormat="1" applyFont="1" applyFill="1" applyBorder="1"/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66" fontId="70" fillId="0" borderId="0" xfId="12007" applyNumberFormat="1" applyFont="1" applyFill="1" applyBorder="1" applyAlignment="1">
      <alignment horizontal="center"/>
    </xf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68" fontId="73" fillId="0" borderId="0" xfId="45409" applyNumberFormat="1" applyFont="1" applyBorder="1"/>
    <xf numFmtId="10" fontId="70" fillId="0" borderId="0" xfId="45409" applyNumberFormat="1" applyFont="1" applyBorder="1"/>
    <xf numFmtId="37" fontId="68" fillId="0" borderId="0" xfId="57515"/>
    <xf numFmtId="165" fontId="70" fillId="0" borderId="0" xfId="11027" applyNumberFormat="1" applyFont="1" applyFill="1" applyBorder="1" applyAlignment="1">
      <alignment horizontal="center"/>
    </xf>
    <xf numFmtId="37" fontId="68" fillId="51" borderId="0" xfId="57515" quotePrefix="1" applyFill="1" applyAlignment="1"/>
    <xf numFmtId="168" fontId="70" fillId="0" borderId="34" xfId="45409" applyNumberFormat="1" applyFont="1" applyFill="1" applyBorder="1"/>
    <xf numFmtId="168" fontId="70" fillId="0" borderId="0" xfId="45409" applyNumberFormat="1" applyFont="1" applyBorder="1"/>
    <xf numFmtId="174" fontId="70" fillId="0" borderId="0" xfId="45409" applyNumberFormat="1" applyFont="1" applyBorder="1"/>
    <xf numFmtId="175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7" fontId="0" fillId="0" borderId="0" xfId="0" applyNumberFormat="1" applyFill="1" applyBorder="1"/>
    <xf numFmtId="176" fontId="0" fillId="0" borderId="0" xfId="0" applyNumberFormat="1" applyFill="1" applyBorder="1"/>
    <xf numFmtId="176" fontId="4" fillId="0" borderId="1" xfId="5" applyNumberFormat="1" applyFont="1" applyFill="1" applyBorder="1"/>
    <xf numFmtId="176" fontId="0" fillId="0" borderId="1" xfId="0" applyNumberFormat="1" applyFill="1" applyBorder="1"/>
    <xf numFmtId="0" fontId="5" fillId="0" borderId="0" xfId="0" applyFont="1" applyFill="1" applyAlignment="1">
      <alignment horizontal="right" vertical="top"/>
    </xf>
    <xf numFmtId="177" fontId="0" fillId="0" borderId="1" xfId="0" applyNumberFormat="1" applyFill="1" applyBorder="1"/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6" fillId="0" borderId="1" xfId="0" quotePrefix="1" applyFont="1" applyFill="1" applyBorder="1" applyAlignment="1">
      <alignment horizontal="right" wrapText="1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42" fontId="75" fillId="0" borderId="0" xfId="1" applyNumberFormat="1" applyFont="1" applyFill="1" applyBorder="1"/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0" fontId="75" fillId="0" borderId="7" xfId="0" applyFont="1" applyFill="1" applyBorder="1"/>
    <xf numFmtId="165" fontId="75" fillId="0" borderId="0" xfId="1" applyNumberFormat="1" applyFont="1" applyFill="1" applyBorder="1"/>
    <xf numFmtId="177" fontId="75" fillId="0" borderId="0" xfId="1" applyNumberFormat="1" applyFont="1" applyFill="1" applyBorder="1"/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4" fontId="75" fillId="0" borderId="6" xfId="0" applyNumberFormat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176" fontId="75" fillId="0" borderId="0" xfId="1" applyNumberFormat="1" applyFont="1" applyFill="1" applyBorder="1"/>
    <xf numFmtId="41" fontId="75" fillId="0" borderId="7" xfId="0" applyNumberFormat="1" applyFont="1" applyFill="1" applyBorder="1"/>
    <xf numFmtId="165" fontId="75" fillId="0" borderId="0" xfId="0" applyNumberFormat="1" applyFont="1" applyFill="1"/>
    <xf numFmtId="176" fontId="75" fillId="0" borderId="1" xfId="1" applyNumberFormat="1" applyFont="1" applyFill="1" applyBorder="1"/>
    <xf numFmtId="37" fontId="75" fillId="0" borderId="0" xfId="1" applyNumberFormat="1" applyFont="1" applyFill="1" applyBorder="1"/>
    <xf numFmtId="177" fontId="75" fillId="0" borderId="0" xfId="2" applyNumberFormat="1" applyFont="1" applyFill="1" applyBorder="1"/>
    <xf numFmtId="0" fontId="75" fillId="0" borderId="0" xfId="0" applyFont="1" applyFill="1" applyBorder="1"/>
    <xf numFmtId="177" fontId="75" fillId="0" borderId="7" xfId="2" applyNumberFormat="1" applyFont="1" applyFill="1" applyBorder="1"/>
    <xf numFmtId="0" fontId="75" fillId="0" borderId="6" xfId="0" applyFont="1" applyFill="1" applyBorder="1"/>
    <xf numFmtId="166" fontId="75" fillId="0" borderId="2" xfId="2" applyNumberFormat="1" applyFont="1" applyFill="1" applyBorder="1"/>
    <xf numFmtId="166" fontId="75" fillId="0" borderId="10" xfId="2" applyNumberFormat="1" applyFont="1" applyFill="1" applyBorder="1"/>
    <xf numFmtId="177" fontId="75" fillId="0" borderId="0" xfId="0" applyNumberFormat="1" applyFont="1" applyFill="1" applyBorder="1"/>
    <xf numFmtId="39" fontId="75" fillId="0" borderId="0" xfId="0" applyNumberFormat="1" applyFont="1" applyFill="1"/>
    <xf numFmtId="0" fontId="75" fillId="0" borderId="0" xfId="1" applyNumberFormat="1" applyFont="1" applyFill="1"/>
    <xf numFmtId="0" fontId="75" fillId="0" borderId="11" xfId="0" applyFont="1" applyFill="1" applyBorder="1"/>
    <xf numFmtId="0" fontId="75" fillId="0" borderId="12" xfId="0" applyFont="1" applyFill="1" applyBorder="1"/>
    <xf numFmtId="0" fontId="75" fillId="0" borderId="13" xfId="0" applyFont="1" applyFill="1" applyBorder="1"/>
    <xf numFmtId="43" fontId="75" fillId="0" borderId="12" xfId="0" applyNumberFormat="1" applyFont="1" applyFill="1" applyBorder="1"/>
    <xf numFmtId="4" fontId="77" fillId="0" borderId="12" xfId="0" quotePrefix="1" applyNumberFormat="1" applyFont="1" applyFill="1" applyBorder="1"/>
    <xf numFmtId="166" fontId="75" fillId="0" borderId="7" xfId="0" applyNumberFormat="1" applyFont="1" applyFill="1" applyBorder="1"/>
    <xf numFmtId="165" fontId="75" fillId="0" borderId="7" xfId="1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77" fontId="75" fillId="0" borderId="1" xfId="2" applyNumberFormat="1" applyFont="1" applyFill="1" applyBorder="1"/>
    <xf numFmtId="177" fontId="75" fillId="0" borderId="8" xfId="2" applyNumberFormat="1" applyFont="1" applyFill="1" applyBorder="1"/>
    <xf numFmtId="177" fontId="75" fillId="0" borderId="1" xfId="0" applyNumberFormat="1" applyFont="1" applyFill="1" applyBorder="1"/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7" fontId="4" fillId="0" borderId="0" xfId="5" applyNumberFormat="1" applyFont="1" applyFill="1" applyBorder="1" applyAlignment="1" applyProtection="1">
      <alignment horizontal="right"/>
      <protection locked="0"/>
    </xf>
    <xf numFmtId="17" fontId="4" fillId="0" borderId="1" xfId="5" applyNumberFormat="1" applyFont="1" applyFill="1" applyBorder="1" applyAlignment="1" applyProtection="1">
      <alignment horizontal="right"/>
      <protection locked="0"/>
    </xf>
    <xf numFmtId="177" fontId="4" fillId="0" borderId="1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177" fontId="0" fillId="0" borderId="7" xfId="0" applyNumberFormat="1" applyFill="1" applyBorder="1"/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2" xfId="5" applyFont="1" applyFill="1" applyBorder="1"/>
    <xf numFmtId="165" fontId="4" fillId="0" borderId="12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75" fillId="0" borderId="12" xfId="0" applyNumberFormat="1" applyFont="1" applyFill="1" applyBorder="1"/>
    <xf numFmtId="0" fontId="75" fillId="0" borderId="13" xfId="0" applyNumberFormat="1" applyFont="1" applyFill="1" applyBorder="1"/>
    <xf numFmtId="0" fontId="4" fillId="0" borderId="0" xfId="5" quotePrefix="1" applyFont="1" applyFill="1" applyBorder="1" applyAlignment="1">
      <alignment horizontal="center"/>
    </xf>
    <xf numFmtId="164" fontId="78" fillId="0" borderId="6" xfId="0" applyNumberFormat="1" applyFont="1" applyFill="1" applyBorder="1" applyAlignment="1">
      <alignment horizontal="center"/>
    </xf>
    <xf numFmtId="0" fontId="78" fillId="0" borderId="11" xfId="0" applyFont="1" applyFill="1" applyBorder="1"/>
    <xf numFmtId="10" fontId="78" fillId="0" borderId="0" xfId="3" applyNumberFormat="1" applyFont="1" applyFill="1" applyBorder="1" applyAlignment="1">
      <alignment horizontal="center"/>
    </xf>
    <xf numFmtId="37" fontId="70" fillId="0" borderId="6" xfId="57515" applyFont="1" applyBorder="1"/>
    <xf numFmtId="0" fontId="70" fillId="0" borderId="0" xfId="57515" applyNumberFormat="1" applyFont="1" applyBorder="1" applyAlignment="1">
      <alignment horizontal="center"/>
    </xf>
    <xf numFmtId="37" fontId="70" fillId="0" borderId="7" xfId="57515" applyFont="1" applyBorder="1"/>
    <xf numFmtId="37" fontId="70" fillId="0" borderId="7" xfId="57515" applyFont="1" applyBorder="1" applyAlignment="1">
      <alignment horizontal="center"/>
    </xf>
    <xf numFmtId="37" fontId="70" fillId="0" borderId="0" xfId="57515" applyFont="1" applyFill="1" applyBorder="1" applyAlignment="1">
      <alignment horizontal="center"/>
    </xf>
    <xf numFmtId="37" fontId="71" fillId="0" borderId="6" xfId="57515" applyFont="1" applyBorder="1"/>
    <xf numFmtId="37" fontId="6" fillId="0" borderId="0" xfId="57515" quotePrefix="1" applyFont="1" applyFill="1" applyBorder="1" applyAlignment="1">
      <alignment horizontal="center"/>
    </xf>
    <xf numFmtId="37" fontId="6" fillId="0" borderId="7" xfId="57515" quotePrefix="1" applyFont="1" applyBorder="1" applyAlignment="1">
      <alignment horizontal="center"/>
    </xf>
    <xf numFmtId="37" fontId="69" fillId="0" borderId="6" xfId="57515" applyFont="1" applyBorder="1"/>
    <xf numFmtId="37" fontId="70" fillId="0" borderId="8" xfId="57515" applyFont="1" applyBorder="1" applyAlignment="1">
      <alignment horizontal="center"/>
    </xf>
    <xf numFmtId="37" fontId="70" fillId="0" borderId="6" xfId="57515" quotePrefix="1" applyFont="1" applyBorder="1" applyAlignment="1">
      <alignment horizontal="left"/>
    </xf>
    <xf numFmtId="10" fontId="70" fillId="0" borderId="0" xfId="45409" applyNumberFormat="1" applyFont="1" applyFill="1" applyBorder="1" applyAlignment="1">
      <alignment horizontal="center"/>
    </xf>
    <xf numFmtId="10" fontId="70" fillId="0" borderId="7" xfId="45409" applyNumberFormat="1" applyFont="1" applyFill="1" applyBorder="1" applyAlignment="1">
      <alignment horizontal="center"/>
    </xf>
    <xf numFmtId="10" fontId="70" fillId="0" borderId="44" xfId="45409" quotePrefix="1" applyNumberFormat="1" applyFont="1" applyFill="1" applyBorder="1" applyAlignment="1">
      <alignment horizontal="center"/>
    </xf>
    <xf numFmtId="37" fontId="70" fillId="0" borderId="11" xfId="57515" applyFont="1" applyBorder="1"/>
    <xf numFmtId="37" fontId="70" fillId="0" borderId="12" xfId="57515" applyFont="1" applyBorder="1"/>
    <xf numFmtId="37" fontId="70" fillId="0" borderId="13" xfId="57515" applyFont="1" applyBorder="1"/>
    <xf numFmtId="37" fontId="6" fillId="0" borderId="0" xfId="57515" quotePrefix="1" applyFont="1" applyBorder="1" applyAlignment="1">
      <alignment horizontal="center"/>
    </xf>
    <xf numFmtId="37" fontId="6" fillId="0" borderId="7" xfId="57515" quotePrefix="1" applyFont="1" applyFill="1" applyBorder="1" applyAlignment="1">
      <alignment horizontal="center"/>
    </xf>
    <xf numFmtId="37" fontId="70" fillId="0" borderId="0" xfId="57515" quotePrefix="1" applyFont="1" applyBorder="1"/>
    <xf numFmtId="166" fontId="70" fillId="0" borderId="7" xfId="12007" applyNumberFormat="1" applyFont="1" applyFill="1" applyBorder="1"/>
    <xf numFmtId="165" fontId="70" fillId="0" borderId="0" xfId="11027" applyNumberFormat="1" applyFont="1" applyFill="1" applyBorder="1"/>
    <xf numFmtId="10" fontId="70" fillId="0" borderId="0" xfId="45409" applyNumberFormat="1" applyFont="1" applyBorder="1" applyAlignment="1">
      <alignment horizontal="center"/>
    </xf>
    <xf numFmtId="37" fontId="70" fillId="0" borderId="7" xfId="57515" applyFont="1" applyFill="1" applyBorder="1"/>
    <xf numFmtId="166" fontId="70" fillId="0" borderId="44" xfId="12007" applyNumberFormat="1" applyFont="1" applyFill="1" applyBorder="1"/>
    <xf numFmtId="37" fontId="71" fillId="0" borderId="0" xfId="57515" applyFont="1" applyFill="1" applyBorder="1" applyAlignment="1">
      <alignment horizontal="center"/>
    </xf>
    <xf numFmtId="37" fontId="71" fillId="0" borderId="7" xfId="57515" applyFont="1" applyBorder="1" applyAlignment="1">
      <alignment horizontal="center"/>
    </xf>
    <xf numFmtId="37" fontId="80" fillId="0" borderId="0" xfId="57516" applyFont="1" applyFill="1" applyBorder="1"/>
    <xf numFmtId="0" fontId="81" fillId="0" borderId="0" xfId="0" applyFont="1" applyFill="1"/>
    <xf numFmtId="166" fontId="79" fillId="0" borderId="0" xfId="12007" applyNumberFormat="1" applyFont="1" applyFill="1" applyBorder="1"/>
    <xf numFmtId="165" fontId="79" fillId="0" borderId="0" xfId="11027" applyNumberFormat="1" applyFont="1" applyFill="1" applyBorder="1"/>
    <xf numFmtId="37" fontId="70" fillId="0" borderId="1" xfId="57515" applyFont="1" applyFill="1" applyBorder="1"/>
    <xf numFmtId="10" fontId="70" fillId="0" borderId="1" xfId="45409" applyNumberFormat="1" applyFont="1" applyFill="1" applyBorder="1"/>
    <xf numFmtId="165" fontId="70" fillId="0" borderId="1" xfId="11027" applyNumberFormat="1" applyFont="1" applyFill="1" applyBorder="1" applyAlignment="1">
      <alignment horizontal="center"/>
    </xf>
    <xf numFmtId="10" fontId="70" fillId="0" borderId="8" xfId="45409" applyNumberFormat="1" applyFont="1" applyFill="1" applyBorder="1" applyAlignment="1">
      <alignment horizontal="center"/>
    </xf>
    <xf numFmtId="10" fontId="70" fillId="0" borderId="45" xfId="45409" quotePrefix="1" applyNumberFormat="1" applyFont="1" applyFill="1" applyBorder="1" applyAlignment="1">
      <alignment horizontal="center"/>
    </xf>
    <xf numFmtId="37" fontId="71" fillId="0" borderId="6" xfId="57515" applyFont="1" applyBorder="1" applyAlignment="1">
      <alignment horizontal="center"/>
    </xf>
    <xf numFmtId="167" fontId="4" fillId="0" borderId="0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 wrapText="1"/>
    </xf>
    <xf numFmtId="0" fontId="4" fillId="0" borderId="7" xfId="5" quotePrefix="1" applyFont="1" applyFill="1" applyBorder="1" applyAlignment="1">
      <alignment horizontal="center" wrapText="1"/>
    </xf>
    <xf numFmtId="176" fontId="0" fillId="0" borderId="7" xfId="0" applyNumberFormat="1" applyFill="1" applyBorder="1"/>
    <xf numFmtId="176" fontId="0" fillId="0" borderId="8" xfId="0" applyNumberFormat="1" applyFill="1" applyBorder="1"/>
    <xf numFmtId="164" fontId="4" fillId="0" borderId="12" xfId="5" applyNumberFormat="1" applyFont="1" applyFill="1" applyBorder="1" applyAlignment="1">
      <alignment horizontal="center"/>
    </xf>
    <xf numFmtId="177" fontId="0" fillId="0" borderId="12" xfId="0" applyNumberFormat="1" applyFill="1" applyBorder="1"/>
    <xf numFmtId="177" fontId="0" fillId="0" borderId="13" xfId="0" applyNumberFormat="1" applyFill="1" applyBorder="1"/>
    <xf numFmtId="167" fontId="4" fillId="0" borderId="4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0" fontId="4" fillId="0" borderId="6" xfId="5" quotePrefix="1" applyFont="1" applyFill="1" applyBorder="1" applyAlignment="1">
      <alignment horizontal="center" wrapText="1"/>
    </xf>
    <xf numFmtId="0" fontId="4" fillId="0" borderId="7" xfId="5" applyFont="1" applyFill="1" applyBorder="1" applyAlignment="1">
      <alignment horizontal="center" wrapText="1"/>
    </xf>
    <xf numFmtId="17" fontId="4" fillId="0" borderId="6" xfId="5" applyNumberFormat="1" applyFont="1" applyFill="1" applyBorder="1" applyAlignment="1" applyProtection="1">
      <alignment horizontal="center"/>
      <protection locked="0"/>
    </xf>
    <xf numFmtId="17" fontId="4" fillId="0" borderId="6" xfId="5" applyNumberFormat="1" applyFont="1" applyFill="1" applyBorder="1" applyAlignment="1" applyProtection="1">
      <alignment horizontal="right"/>
      <protection locked="0"/>
    </xf>
    <xf numFmtId="177" fontId="4" fillId="0" borderId="0" xfId="5" applyNumberFormat="1" applyFont="1" applyFill="1" applyBorder="1"/>
    <xf numFmtId="176" fontId="4" fillId="0" borderId="0" xfId="5" applyNumberFormat="1" applyFont="1" applyFill="1" applyBorder="1"/>
    <xf numFmtId="17" fontId="4" fillId="0" borderId="9" xfId="5" applyNumberFormat="1" applyFont="1" applyFill="1" applyBorder="1" applyAlignment="1" applyProtection="1">
      <alignment horizontal="right"/>
      <protection locked="0"/>
    </xf>
    <xf numFmtId="177" fontId="0" fillId="0" borderId="8" xfId="0" applyNumberFormat="1" applyFill="1" applyBorder="1"/>
    <xf numFmtId="37" fontId="70" fillId="0" borderId="11" xfId="57515" quotePrefix="1" applyFont="1" applyBorder="1" applyAlignment="1">
      <alignment horizontal="left"/>
    </xf>
    <xf numFmtId="10" fontId="69" fillId="0" borderId="13" xfId="45409" applyNumberFormat="1" applyFont="1" applyFill="1" applyBorder="1" applyAlignment="1">
      <alignment horizontal="center"/>
    </xf>
    <xf numFmtId="0" fontId="83" fillId="0" borderId="6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0" fontId="83" fillId="0" borderId="7" xfId="0" applyFont="1" applyFill="1" applyBorder="1" applyAlignment="1">
      <alignment horizontal="center" wrapText="1"/>
    </xf>
    <xf numFmtId="0" fontId="83" fillId="0" borderId="0" xfId="0" quotePrefix="1" applyFont="1" applyFill="1" applyBorder="1" applyAlignment="1">
      <alignment horizontal="center" wrapText="1"/>
    </xf>
    <xf numFmtId="0" fontId="83" fillId="0" borderId="7" xfId="0" quotePrefix="1" applyFont="1" applyFill="1" applyBorder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83" fillId="0" borderId="0" xfId="0" applyFont="1" applyFill="1"/>
    <xf numFmtId="0" fontId="78" fillId="0" borderId="0" xfId="0" applyFont="1"/>
    <xf numFmtId="0" fontId="78" fillId="0" borderId="0" xfId="0" quotePrefix="1" applyFont="1" applyAlignment="1">
      <alignment horizontal="left"/>
    </xf>
    <xf numFmtId="17" fontId="78" fillId="0" borderId="0" xfId="0" applyNumberFormat="1" applyFont="1" applyAlignment="1">
      <alignment horizontal="left"/>
    </xf>
    <xf numFmtId="166" fontId="75" fillId="0" borderId="0" xfId="2" applyNumberFormat="1" applyFont="1" applyFill="1" applyBorder="1" applyAlignment="1">
      <alignment horizontal="center"/>
    </xf>
    <xf numFmtId="41" fontId="75" fillId="0" borderId="0" xfId="2" applyNumberFormat="1" applyFont="1" applyFill="1" applyBorder="1" applyAlignment="1">
      <alignment horizontal="center"/>
    </xf>
    <xf numFmtId="42" fontId="78" fillId="53" borderId="4" xfId="1" applyNumberFormat="1" applyFont="1" applyFill="1" applyBorder="1"/>
    <xf numFmtId="165" fontId="78" fillId="53" borderId="0" xfId="1" applyNumberFormat="1" applyFont="1" applyFill="1" applyBorder="1"/>
    <xf numFmtId="165" fontId="78" fillId="53" borderId="12" xfId="1" applyNumberFormat="1" applyFont="1" applyFill="1" applyBorder="1"/>
    <xf numFmtId="42" fontId="75" fillId="0" borderId="0" xfId="2" applyNumberFormat="1" applyFont="1" applyFill="1" applyBorder="1" applyAlignment="1">
      <alignment horizontal="center"/>
    </xf>
    <xf numFmtId="41" fontId="75" fillId="0" borderId="0" xfId="3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 wrapText="1"/>
    </xf>
    <xf numFmtId="0" fontId="83" fillId="53" borderId="12" xfId="0" applyFont="1" applyFill="1" applyBorder="1" applyAlignment="1">
      <alignment horizontal="center" wrapText="1"/>
    </xf>
    <xf numFmtId="166" fontId="80" fillId="54" borderId="34" xfId="12007" applyNumberFormat="1" applyFont="1" applyFill="1" applyBorder="1"/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80" fillId="0" borderId="0" xfId="45409" applyNumberFormat="1" applyFont="1" applyFill="1" applyBorder="1" applyAlignment="1">
      <alignment horizontal="center"/>
    </xf>
    <xf numFmtId="0" fontId="69" fillId="0" borderId="0" xfId="24280" applyFont="1" applyFill="1" applyAlignment="1">
      <alignment horizontal="center"/>
    </xf>
    <xf numFmtId="0" fontId="69" fillId="0" borderId="0" xfId="24280" applyFont="1" applyFill="1" applyAlignment="1"/>
    <xf numFmtId="0" fontId="69" fillId="0" borderId="1" xfId="24280" applyFont="1" applyFill="1" applyBorder="1" applyAlignment="1">
      <alignment horizontal="center"/>
    </xf>
    <xf numFmtId="0" fontId="69" fillId="0" borderId="0" xfId="24280" applyFont="1" applyFill="1"/>
    <xf numFmtId="0" fontId="70" fillId="0" borderId="0" xfId="24280" applyFont="1" applyFill="1"/>
    <xf numFmtId="2" fontId="70" fillId="0" borderId="0" xfId="24280" applyNumberFormat="1" applyFont="1" applyFill="1"/>
    <xf numFmtId="0" fontId="84" fillId="0" borderId="0" xfId="24280" applyFont="1" applyFill="1"/>
    <xf numFmtId="43" fontId="70" fillId="0" borderId="0" xfId="11027" applyFont="1" applyFill="1"/>
    <xf numFmtId="165" fontId="70" fillId="0" borderId="0" xfId="24280" applyNumberFormat="1" applyFont="1" applyFill="1"/>
    <xf numFmtId="4" fontId="70" fillId="0" borderId="0" xfId="24280" applyNumberFormat="1" applyFont="1" applyFill="1"/>
    <xf numFmtId="0" fontId="70" fillId="0" borderId="0" xfId="24280" applyFont="1" applyFill="1" applyAlignment="1">
      <alignment horizontal="center"/>
    </xf>
    <xf numFmtId="0" fontId="4" fillId="0" borderId="0" xfId="24280" applyFont="1" applyFill="1" applyAlignment="1">
      <alignment horizontal="right"/>
    </xf>
    <xf numFmtId="178" fontId="70" fillId="0" borderId="0" xfId="24280" applyNumberFormat="1" applyFont="1" applyFill="1"/>
    <xf numFmtId="0" fontId="70" fillId="0" borderId="0" xfId="24280" applyFont="1" applyFill="1" applyAlignment="1"/>
    <xf numFmtId="168" fontId="70" fillId="0" borderId="0" xfId="24280" applyNumberFormat="1" applyFont="1" applyFill="1"/>
    <xf numFmtId="0" fontId="0" fillId="0" borderId="0" xfId="0" applyFill="1"/>
    <xf numFmtId="0" fontId="0" fillId="0" borderId="0" xfId="0" applyFill="1" applyBorder="1"/>
    <xf numFmtId="0" fontId="5" fillId="0" borderId="0" xfId="24280" applyFont="1" applyFill="1" applyBorder="1" applyAlignment="1">
      <alignment horizontal="left"/>
    </xf>
    <xf numFmtId="17" fontId="85" fillId="0" borderId="6" xfId="0" applyNumberFormat="1" applyFont="1" applyBorder="1" applyAlignment="1">
      <alignment vertical="center"/>
    </xf>
    <xf numFmtId="17" fontId="85" fillId="0" borderId="11" xfId="0" applyNumberFormat="1" applyFont="1" applyBorder="1" applyAlignment="1">
      <alignment vertical="center"/>
    </xf>
    <xf numFmtId="17" fontId="0" fillId="0" borderId="0" xfId="0" applyNumberFormat="1"/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182" fontId="75" fillId="0" borderId="0" xfId="2" applyNumberFormat="1" applyFont="1" applyFill="1" applyBorder="1"/>
    <xf numFmtId="182" fontId="75" fillId="0" borderId="0" xfId="1" applyNumberFormat="1" applyFont="1" applyFill="1" applyBorder="1"/>
    <xf numFmtId="182" fontId="75" fillId="0" borderId="1" xfId="1" applyNumberFormat="1" applyFont="1" applyFill="1" applyBorder="1"/>
    <xf numFmtId="182" fontId="75" fillId="0" borderId="7" xfId="2" applyNumberFormat="1" applyFont="1" applyFill="1" applyBorder="1"/>
    <xf numFmtId="182" fontId="75" fillId="0" borderId="8" xfId="2" applyNumberFormat="1" applyFont="1" applyFill="1" applyBorder="1"/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9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5" fillId="0" borderId="12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5" fillId="53" borderId="0" xfId="0" applyFont="1" applyFill="1" applyBorder="1" applyAlignment="1">
      <alignment horizontal="center"/>
    </xf>
    <xf numFmtId="0" fontId="70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3" fillId="0" borderId="5" xfId="0" quotePrefix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53" borderId="4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83" fillId="0" borderId="4" xfId="0" quotePrefix="1" applyFont="1" applyFill="1" applyBorder="1" applyAlignment="1">
      <alignment horizontal="center" vertical="center" wrapText="1"/>
    </xf>
    <xf numFmtId="0" fontId="5" fillId="53" borderId="47" xfId="0" applyFont="1" applyFill="1" applyBorder="1" applyAlignment="1"/>
    <xf numFmtId="0" fontId="87" fillId="0" borderId="0" xfId="0" applyFont="1" applyAlignment="1">
      <alignment horizontal="center" vertical="center" textRotation="180" wrapText="1"/>
    </xf>
    <xf numFmtId="0" fontId="5" fillId="0" borderId="0" xfId="24280" quotePrefix="1" applyFont="1" applyFill="1" applyBorder="1" applyAlignment="1">
      <alignment horizontal="left"/>
    </xf>
    <xf numFmtId="0" fontId="4" fillId="0" borderId="0" xfId="0" applyFont="1"/>
    <xf numFmtId="0" fontId="78" fillId="0" borderId="0" xfId="0" quotePrefix="1" applyFont="1" applyAlignment="1">
      <alignment horizontal="center" vertical="center" textRotation="180" wrapText="1"/>
    </xf>
    <xf numFmtId="0" fontId="78" fillId="0" borderId="0" xfId="0" applyFont="1" applyFill="1"/>
    <xf numFmtId="0" fontId="90" fillId="0" borderId="0" xfId="0" applyFont="1" applyFill="1"/>
    <xf numFmtId="0" fontId="90" fillId="0" borderId="0" xfId="0" quotePrefix="1" applyFont="1" applyFill="1" applyAlignment="1">
      <alignment horizontal="center"/>
    </xf>
    <xf numFmtId="0" fontId="90" fillId="0" borderId="0" xfId="0" applyFont="1"/>
    <xf numFmtId="0" fontId="90" fillId="0" borderId="54" xfId="0" applyFont="1" applyFill="1" applyBorder="1" applyAlignment="1">
      <alignment horizontal="center"/>
    </xf>
    <xf numFmtId="0" fontId="90" fillId="55" borderId="54" xfId="0" applyFont="1" applyFill="1" applyBorder="1" applyAlignment="1">
      <alignment horizontal="center"/>
    </xf>
    <xf numFmtId="0" fontId="90" fillId="0" borderId="52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center"/>
    </xf>
    <xf numFmtId="0" fontId="90" fillId="55" borderId="52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164" fontId="90" fillId="0" borderId="36" xfId="0" applyNumberFormat="1" applyFont="1" applyFill="1" applyBorder="1" applyAlignment="1">
      <alignment horizontal="center"/>
    </xf>
    <xf numFmtId="164" fontId="90" fillId="55" borderId="50" xfId="0" applyNumberFormat="1" applyFont="1" applyFill="1" applyBorder="1" applyAlignment="1">
      <alignment horizontal="center"/>
    </xf>
    <xf numFmtId="164" fontId="90" fillId="55" borderId="53" xfId="0" applyNumberFormat="1" applyFont="1" applyFill="1" applyBorder="1" applyAlignment="1">
      <alignment horizontal="center"/>
    </xf>
    <xf numFmtId="164" fontId="90" fillId="0" borderId="38" xfId="0" applyNumberFormat="1" applyFont="1" applyFill="1" applyBorder="1" applyAlignment="1">
      <alignment horizontal="center"/>
    </xf>
    <xf numFmtId="164" fontId="90" fillId="0" borderId="42" xfId="0" applyNumberFormat="1" applyFont="1" applyFill="1" applyBorder="1" applyAlignment="1">
      <alignment horizontal="center"/>
    </xf>
    <xf numFmtId="164" fontId="90" fillId="55" borderId="55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54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5" borderId="54" xfId="0" applyFont="1" applyFill="1" applyBorder="1" applyAlignment="1">
      <alignment horizontal="center" wrapText="1"/>
    </xf>
    <xf numFmtId="0" fontId="90" fillId="55" borderId="52" xfId="0" applyFont="1" applyFill="1" applyBorder="1" applyAlignment="1">
      <alignment horizontal="center" wrapText="1"/>
    </xf>
    <xf numFmtId="0" fontId="90" fillId="0" borderId="54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183" fontId="90" fillId="0" borderId="0" xfId="1" applyNumberFormat="1" applyFont="1" applyFill="1" applyBorder="1" applyAlignment="1">
      <alignment horizontal="center"/>
    </xf>
    <xf numFmtId="183" fontId="90" fillId="0" borderId="50" xfId="1" applyNumberFormat="1" applyFont="1" applyFill="1" applyBorder="1" applyAlignment="1">
      <alignment horizontal="center"/>
    </xf>
    <xf numFmtId="183" fontId="90" fillId="55" borderId="0" xfId="1" applyNumberFormat="1" applyFont="1" applyFill="1" applyBorder="1" applyAlignment="1">
      <alignment horizontal="center"/>
    </xf>
    <xf numFmtId="183" fontId="90" fillId="55" borderId="50" xfId="1" applyNumberFormat="1" applyFont="1" applyFill="1" applyBorder="1" applyAlignment="1">
      <alignment horizontal="center"/>
    </xf>
    <xf numFmtId="5" fontId="90" fillId="0" borderId="0" xfId="1" applyNumberFormat="1" applyFont="1" applyFill="1" applyBorder="1" applyAlignment="1">
      <alignment horizontal="center"/>
    </xf>
    <xf numFmtId="5" fontId="90" fillId="0" borderId="50" xfId="1" applyNumberFormat="1" applyFont="1" applyFill="1" applyBorder="1" applyAlignment="1">
      <alignment horizontal="center"/>
    </xf>
    <xf numFmtId="183" fontId="90" fillId="0" borderId="53" xfId="1" applyNumberFormat="1" applyFont="1" applyFill="1" applyBorder="1" applyAlignment="1">
      <alignment horizontal="center"/>
    </xf>
    <xf numFmtId="183" fontId="90" fillId="55" borderId="53" xfId="1" applyNumberFormat="1" applyFont="1" applyFill="1" applyBorder="1" applyAlignment="1">
      <alignment horizontal="center"/>
    </xf>
    <xf numFmtId="5" fontId="90" fillId="0" borderId="53" xfId="1" applyNumberFormat="1" applyFont="1" applyFill="1" applyBorder="1" applyAlignment="1">
      <alignment horizontal="center"/>
    </xf>
    <xf numFmtId="183" fontId="90" fillId="0" borderId="1" xfId="1" applyNumberFormat="1" applyFont="1" applyFill="1" applyBorder="1" applyAlignment="1">
      <alignment horizontal="center"/>
    </xf>
    <xf numFmtId="183" fontId="90" fillId="0" borderId="55" xfId="1" applyNumberFormat="1" applyFont="1" applyFill="1" applyBorder="1" applyAlignment="1">
      <alignment horizontal="center"/>
    </xf>
    <xf numFmtId="183" fontId="90" fillId="55" borderId="1" xfId="1" applyNumberFormat="1" applyFont="1" applyFill="1" applyBorder="1" applyAlignment="1">
      <alignment horizontal="center"/>
    </xf>
    <xf numFmtId="183" fontId="90" fillId="55" borderId="55" xfId="1" applyNumberFormat="1" applyFont="1" applyFill="1" applyBorder="1" applyAlignment="1">
      <alignment horizontal="center"/>
    </xf>
    <xf numFmtId="5" fontId="90" fillId="0" borderId="1" xfId="1" applyNumberFormat="1" applyFont="1" applyFill="1" applyBorder="1" applyAlignment="1">
      <alignment horizontal="center"/>
    </xf>
    <xf numFmtId="5" fontId="90" fillId="0" borderId="55" xfId="1" applyNumberFormat="1" applyFont="1" applyFill="1" applyBorder="1" applyAlignment="1">
      <alignment horizontal="center"/>
    </xf>
    <xf numFmtId="183" fontId="90" fillId="0" borderId="0" xfId="0" applyNumberFormat="1" applyFont="1" applyFill="1" applyAlignment="1">
      <alignment horizontal="center"/>
    </xf>
    <xf numFmtId="5" fontId="90" fillId="0" borderId="51" xfId="0" applyNumberFormat="1" applyFont="1" applyFill="1" applyBorder="1" applyAlignment="1">
      <alignment horizontal="center"/>
    </xf>
    <xf numFmtId="5" fontId="90" fillId="0" borderId="54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54" xfId="0" quotePrefix="1" applyFont="1" applyFill="1" applyBorder="1" applyAlignment="1">
      <alignment horizontal="center"/>
    </xf>
    <xf numFmtId="0" fontId="90" fillId="55" borderId="53" xfId="0" quotePrefix="1" applyFont="1" applyFill="1" applyBorder="1" applyAlignment="1">
      <alignment horizontal="center"/>
    </xf>
    <xf numFmtId="5" fontId="90" fillId="0" borderId="37" xfId="0" applyNumberFormat="1" applyFont="1" applyFill="1" applyBorder="1" applyAlignment="1">
      <alignment horizontal="center"/>
    </xf>
    <xf numFmtId="5" fontId="90" fillId="0" borderId="31" xfId="0" applyNumberFormat="1" applyFont="1" applyFill="1" applyBorder="1" applyAlignment="1">
      <alignment horizontal="center"/>
    </xf>
    <xf numFmtId="5" fontId="90" fillId="0" borderId="39" xfId="0" applyNumberFormat="1" applyFont="1" applyFill="1" applyBorder="1" applyAlignment="1">
      <alignment horizontal="center"/>
    </xf>
    <xf numFmtId="0" fontId="90" fillId="0" borderId="0" xfId="0" quotePrefix="1" applyFont="1" applyAlignment="1">
      <alignment horizontal="left"/>
    </xf>
    <xf numFmtId="164" fontId="90" fillId="0" borderId="50" xfId="0" applyNumberFormat="1" applyFont="1" applyFill="1" applyBorder="1" applyAlignment="1">
      <alignment horizontal="center"/>
    </xf>
    <xf numFmtId="164" fontId="90" fillId="0" borderId="53" xfId="0" applyNumberFormat="1" applyFont="1" applyFill="1" applyBorder="1" applyAlignment="1">
      <alignment horizontal="center"/>
    </xf>
    <xf numFmtId="164" fontId="90" fillId="0" borderId="55" xfId="0" applyNumberFormat="1" applyFont="1" applyFill="1" applyBorder="1" applyAlignment="1">
      <alignment horizontal="center"/>
    </xf>
    <xf numFmtId="0" fontId="0" fillId="53" borderId="0" xfId="0" applyFill="1"/>
    <xf numFmtId="0" fontId="0" fillId="53" borderId="0" xfId="0" applyFill="1" applyAlignment="1">
      <alignment horizontal="center" vertical="center"/>
    </xf>
    <xf numFmtId="10" fontId="67" fillId="53" borderId="0" xfId="45409" applyNumberFormat="1" applyFont="1" applyFill="1"/>
    <xf numFmtId="10" fontId="88" fillId="53" borderId="0" xfId="45409" applyNumberFormat="1" applyFont="1" applyFill="1"/>
    <xf numFmtId="0" fontId="89" fillId="0" borderId="0" xfId="0" quotePrefix="1" applyFont="1" applyFill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3" fontId="90" fillId="55" borderId="50" xfId="2" applyNumberFormat="1" applyFont="1" applyFill="1" applyBorder="1" applyAlignment="1">
      <alignment horizontal="center"/>
    </xf>
    <xf numFmtId="183" fontId="90" fillId="55" borderId="37" xfId="2" applyNumberFormat="1" applyFont="1" applyFill="1" applyBorder="1" applyAlignment="1">
      <alignment horizontal="center"/>
    </xf>
    <xf numFmtId="183" fontId="90" fillId="55" borderId="53" xfId="2" applyNumberFormat="1" applyFont="1" applyFill="1" applyBorder="1" applyAlignment="1">
      <alignment horizontal="center"/>
    </xf>
    <xf numFmtId="183" fontId="90" fillId="55" borderId="31" xfId="2" applyNumberFormat="1" applyFont="1" applyFill="1" applyBorder="1" applyAlignment="1">
      <alignment horizontal="center"/>
    </xf>
    <xf numFmtId="183" fontId="90" fillId="55" borderId="55" xfId="2" applyNumberFormat="1" applyFont="1" applyFill="1" applyBorder="1" applyAlignment="1">
      <alignment horizontal="center"/>
    </xf>
    <xf numFmtId="183" fontId="90" fillId="55" borderId="39" xfId="2" applyNumberFormat="1" applyFont="1" applyFill="1" applyBorder="1" applyAlignment="1">
      <alignment horizontal="center"/>
    </xf>
    <xf numFmtId="185" fontId="89" fillId="0" borderId="0" xfId="24280" applyNumberFormat="1" applyFont="1" applyFill="1" applyAlignment="1">
      <alignment horizontal="left"/>
    </xf>
    <xf numFmtId="37" fontId="71" fillId="0" borderId="0" xfId="57515" applyFont="1" applyBorder="1" applyAlignment="1">
      <alignment horizontal="center"/>
    </xf>
    <xf numFmtId="165" fontId="78" fillId="0" borderId="0" xfId="0" quotePrefix="1" applyNumberFormat="1" applyFont="1" applyAlignment="1">
      <alignment horizontal="center" vertical="center" textRotation="180" wrapText="1"/>
    </xf>
    <xf numFmtId="5" fontId="0" fillId="0" borderId="0" xfId="0" applyNumberFormat="1"/>
    <xf numFmtId="5" fontId="87" fillId="0" borderId="0" xfId="0" applyNumberFormat="1" applyFont="1" applyAlignment="1">
      <alignment horizontal="center" vertical="center" textRotation="180" wrapText="1"/>
    </xf>
    <xf numFmtId="166" fontId="70" fillId="0" borderId="1" xfId="12007" applyNumberFormat="1" applyFont="1" applyFill="1" applyBorder="1"/>
    <xf numFmtId="0" fontId="95" fillId="0" borderId="38" xfId="24280" applyFont="1" applyFill="1" applyBorder="1" applyAlignment="1">
      <alignment horizontal="left"/>
    </xf>
    <xf numFmtId="0" fontId="96" fillId="0" borderId="0" xfId="24280" applyFont="1" applyFill="1" applyBorder="1" applyAlignment="1">
      <alignment horizontal="center"/>
    </xf>
    <xf numFmtId="0" fontId="96" fillId="0" borderId="0" xfId="24280" applyFont="1" applyFill="1" applyBorder="1"/>
    <xf numFmtId="0" fontId="23" fillId="0" borderId="0" xfId="24280" applyFont="1" applyFill="1" applyBorder="1" applyAlignment="1">
      <alignment horizontal="right"/>
    </xf>
    <xf numFmtId="0" fontId="97" fillId="0" borderId="0" xfId="24280" applyFont="1" applyFill="1" applyBorder="1"/>
    <xf numFmtId="178" fontId="96" fillId="0" borderId="31" xfId="24280" applyNumberFormat="1" applyFont="1" applyFill="1" applyBorder="1"/>
    <xf numFmtId="43" fontId="96" fillId="0" borderId="38" xfId="11027" applyFont="1" applyFill="1" applyBorder="1"/>
    <xf numFmtId="0" fontId="96" fillId="0" borderId="0" xfId="24280" applyFont="1" applyFill="1" applyBorder="1" applyAlignment="1">
      <alignment horizontal="right"/>
    </xf>
    <xf numFmtId="178" fontId="96" fillId="0" borderId="31" xfId="24280" applyNumberFormat="1" applyFont="1" applyFill="1" applyBorder="1" applyAlignment="1">
      <alignment horizontal="center"/>
    </xf>
    <xf numFmtId="0" fontId="96" fillId="0" borderId="38" xfId="24280" applyFont="1" applyFill="1" applyBorder="1"/>
    <xf numFmtId="0" fontId="98" fillId="0" borderId="0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 wrapText="1"/>
    </xf>
    <xf numFmtId="0" fontId="96" fillId="0" borderId="1" xfId="24280" applyFont="1" applyFill="1" applyBorder="1" applyAlignment="1">
      <alignment horizontal="right" wrapText="1"/>
    </xf>
    <xf numFmtId="178" fontId="96" fillId="0" borderId="39" xfId="24280" applyNumberFormat="1" applyFont="1" applyFill="1" applyBorder="1" applyAlignment="1">
      <alignment horizontal="center"/>
    </xf>
    <xf numFmtId="168" fontId="96" fillId="0" borderId="0" xfId="45409" applyNumberFormat="1" applyFont="1" applyFill="1" applyBorder="1"/>
    <xf numFmtId="168" fontId="96" fillId="0" borderId="31" xfId="45409" applyNumberFormat="1" applyFont="1" applyFill="1" applyBorder="1"/>
    <xf numFmtId="43" fontId="96" fillId="0" borderId="0" xfId="11027" applyFont="1" applyFill="1" applyBorder="1" applyAlignment="1">
      <alignment horizontal="center"/>
    </xf>
    <xf numFmtId="0" fontId="96" fillId="0" borderId="0" xfId="24280" applyFont="1" applyFill="1" applyAlignment="1">
      <alignment horizontal="right"/>
    </xf>
    <xf numFmtId="0" fontId="96" fillId="0" borderId="0" xfId="24280" applyFont="1" applyFill="1"/>
    <xf numFmtId="0" fontId="96" fillId="0" borderId="0" xfId="24280" applyFont="1" applyFill="1" applyAlignment="1">
      <alignment horizontal="center"/>
    </xf>
    <xf numFmtId="178" fontId="96" fillId="0" borderId="0" xfId="24280" applyNumberFormat="1" applyFont="1" applyFill="1"/>
    <xf numFmtId="4" fontId="96" fillId="0" borderId="0" xfId="24280" applyNumberFormat="1" applyFont="1" applyFill="1"/>
    <xf numFmtId="168" fontId="96" fillId="0" borderId="39" xfId="45409" applyNumberFormat="1" applyFont="1" applyFill="1" applyBorder="1"/>
    <xf numFmtId="168" fontId="96" fillId="0" borderId="0" xfId="45409" applyNumberFormat="1" applyFont="1" applyFill="1"/>
    <xf numFmtId="180" fontId="95" fillId="0" borderId="0" xfId="45409" applyNumberFormat="1" applyFont="1" applyFill="1" applyAlignment="1">
      <alignment horizontal="center"/>
    </xf>
    <xf numFmtId="0" fontId="95" fillId="0" borderId="0" xfId="24280" applyFont="1" applyFill="1" applyAlignment="1"/>
    <xf numFmtId="2" fontId="96" fillId="0" borderId="0" xfId="24280" applyNumberFormat="1" applyFont="1" applyFill="1"/>
    <xf numFmtId="43" fontId="96" fillId="0" borderId="0" xfId="11027" applyFont="1" applyFill="1"/>
    <xf numFmtId="165" fontId="96" fillId="0" borderId="0" xfId="24280" applyNumberFormat="1" applyFont="1" applyFill="1"/>
    <xf numFmtId="0" fontId="96" fillId="0" borderId="0" xfId="24280" applyFont="1" applyFill="1" applyAlignment="1"/>
    <xf numFmtId="10" fontId="0" fillId="0" borderId="0" xfId="0" applyNumberFormat="1"/>
    <xf numFmtId="183" fontId="4" fillId="0" borderId="0" xfId="0" applyNumberFormat="1" applyFont="1"/>
    <xf numFmtId="0" fontId="0" fillId="0" borderId="0" xfId="0" applyAlignment="1">
      <alignment horizontal="center"/>
    </xf>
    <xf numFmtId="42" fontId="0" fillId="0" borderId="0" xfId="0" applyNumberFormat="1"/>
    <xf numFmtId="9" fontId="90" fillId="0" borderId="0" xfId="3" applyFont="1"/>
    <xf numFmtId="10" fontId="75" fillId="0" borderId="3" xfId="0" applyNumberFormat="1" applyFont="1" applyFill="1" applyBorder="1" applyAlignment="1">
      <alignment horizontal="center"/>
    </xf>
    <xf numFmtId="10" fontId="75" fillId="0" borderId="6" xfId="0" applyNumberFormat="1" applyFont="1" applyFill="1" applyBorder="1" applyAlignment="1">
      <alignment horizontal="center"/>
    </xf>
    <xf numFmtId="10" fontId="7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7" fontId="75" fillId="0" borderId="5" xfId="0" applyNumberFormat="1" applyFont="1" applyFill="1" applyBorder="1" applyAlignment="1">
      <alignment horizontal="center"/>
    </xf>
    <xf numFmtId="0" fontId="83" fillId="0" borderId="4" xfId="0" quotePrefix="1" applyFont="1" applyFill="1" applyBorder="1" applyAlignment="1">
      <alignment horizontal="center" wrapText="1"/>
    </xf>
    <xf numFmtId="0" fontId="75" fillId="0" borderId="13" xfId="0" quotePrefix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 wrapText="1"/>
    </xf>
    <xf numFmtId="0" fontId="4" fillId="0" borderId="12" xfId="0" quotePrefix="1" applyFont="1" applyFill="1" applyBorder="1" applyAlignment="1">
      <alignment horizontal="center" wrapText="1"/>
    </xf>
    <xf numFmtId="41" fontId="75" fillId="0" borderId="0" xfId="1" applyNumberFormat="1" applyFont="1" applyFill="1" applyBorder="1"/>
    <xf numFmtId="0" fontId="96" fillId="0" borderId="0" xfId="24280" applyFont="1" applyFill="1" applyAlignment="1">
      <alignment horizontal="center"/>
    </xf>
    <xf numFmtId="8" fontId="0" fillId="0" borderId="0" xfId="0" applyNumberFormat="1"/>
    <xf numFmtId="0" fontId="4" fillId="0" borderId="0" xfId="0" applyFont="1" applyAlignment="1">
      <alignment horizontal="center" wrapText="1"/>
    </xf>
    <xf numFmtId="10" fontId="84" fillId="0" borderId="50" xfId="3" applyNumberFormat="1" applyFont="1" applyFill="1" applyBorder="1" applyAlignment="1">
      <alignment horizontal="center"/>
    </xf>
    <xf numFmtId="10" fontId="84" fillId="0" borderId="53" xfId="3" applyNumberFormat="1" applyFont="1" applyFill="1" applyBorder="1" applyAlignment="1">
      <alignment horizontal="center"/>
    </xf>
    <xf numFmtId="10" fontId="84" fillId="0" borderId="55" xfId="3" applyNumberFormat="1" applyFont="1" applyFill="1" applyBorder="1" applyAlignment="1">
      <alignment horizontal="center"/>
    </xf>
    <xf numFmtId="5" fontId="84" fillId="55" borderId="50" xfId="1" applyNumberFormat="1" applyFont="1" applyFill="1" applyBorder="1" applyAlignment="1">
      <alignment horizontal="center"/>
    </xf>
    <xf numFmtId="5" fontId="84" fillId="55" borderId="53" xfId="1" applyNumberFormat="1" applyFont="1" applyFill="1" applyBorder="1" applyAlignment="1">
      <alignment horizontal="center"/>
    </xf>
    <xf numFmtId="5" fontId="84" fillId="55" borderId="54" xfId="0" applyNumberFormat="1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wrapText="1"/>
    </xf>
    <xf numFmtId="164" fontId="4" fillId="0" borderId="6" xfId="5" applyNumberFormat="1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center"/>
    </xf>
    <xf numFmtId="164" fontId="4" fillId="0" borderId="11" xfId="5" applyNumberFormat="1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0" xfId="57515" applyFont="1" applyBorder="1" applyAlignment="1"/>
    <xf numFmtId="37" fontId="71" fillId="0" borderId="3" xfId="57515" applyFont="1" applyFill="1" applyBorder="1" applyAlignment="1">
      <alignment horizontal="centerContinuous"/>
    </xf>
    <xf numFmtId="37" fontId="71" fillId="0" borderId="4" xfId="57515" applyFont="1" applyFill="1" applyBorder="1" applyAlignment="1">
      <alignment horizontal="centerContinuous"/>
    </xf>
    <xf numFmtId="37" fontId="71" fillId="0" borderId="4" xfId="57515" applyFont="1" applyBorder="1" applyAlignment="1">
      <alignment horizontal="centerContinuous"/>
    </xf>
    <xf numFmtId="37" fontId="71" fillId="0" borderId="5" xfId="57515" applyFont="1" applyBorder="1" applyAlignment="1">
      <alignment horizontal="centerContinuous"/>
    </xf>
    <xf numFmtId="37" fontId="70" fillId="0" borderId="3" xfId="57515" applyFont="1" applyBorder="1"/>
    <xf numFmtId="37" fontId="70" fillId="0" borderId="4" xfId="57515" applyFont="1" applyBorder="1"/>
    <xf numFmtId="43" fontId="72" fillId="0" borderId="4" xfId="11027" applyFont="1" applyBorder="1" applyAlignment="1">
      <alignment horizontal="center"/>
    </xf>
    <xf numFmtId="43" fontId="72" fillId="0" borderId="5" xfId="11027" applyFont="1" applyBorder="1" applyAlignment="1">
      <alignment horizontal="center"/>
    </xf>
    <xf numFmtId="37" fontId="71" fillId="0" borderId="0" xfId="57515" applyFont="1" applyBorder="1" applyAlignment="1">
      <alignment horizontal="center"/>
    </xf>
    <xf numFmtId="0" fontId="96" fillId="0" borderId="38" xfId="0" applyFont="1" applyFill="1" applyBorder="1"/>
    <xf numFmtId="179" fontId="96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42" fontId="96" fillId="0" borderId="0" xfId="0" applyNumberFormat="1" applyFont="1" applyFill="1" applyBorder="1"/>
    <xf numFmtId="167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horizontal="right"/>
    </xf>
    <xf numFmtId="41" fontId="96" fillId="0" borderId="0" xfId="0" applyNumberFormat="1" applyFont="1" applyFill="1" applyBorder="1"/>
    <xf numFmtId="0" fontId="96" fillId="0" borderId="0" xfId="0" applyFont="1" applyFill="1" applyBorder="1" applyAlignment="1"/>
    <xf numFmtId="0" fontId="96" fillId="0" borderId="0" xfId="0" applyNumberFormat="1" applyFont="1" applyFill="1" applyBorder="1" applyAlignment="1">
      <alignment horizontal="left"/>
    </xf>
    <xf numFmtId="0" fontId="96" fillId="0" borderId="0" xfId="0" applyFont="1" applyFill="1" applyBorder="1"/>
    <xf numFmtId="168" fontId="96" fillId="0" borderId="0" xfId="0" applyNumberFormat="1" applyFont="1" applyFill="1" applyBorder="1"/>
    <xf numFmtId="180" fontId="96" fillId="0" borderId="0" xfId="0" applyNumberFormat="1" applyFont="1" applyFill="1" applyBorder="1"/>
    <xf numFmtId="0" fontId="95" fillId="0" borderId="38" xfId="0" applyFont="1" applyFill="1" applyBorder="1"/>
    <xf numFmtId="37" fontId="96" fillId="0" borderId="0" xfId="0" applyNumberFormat="1" applyFont="1" applyFill="1" applyBorder="1"/>
    <xf numFmtId="165" fontId="96" fillId="0" borderId="0" xfId="0" applyNumberFormat="1" applyFont="1" applyFill="1" applyBorder="1"/>
    <xf numFmtId="165" fontId="96" fillId="0" borderId="0" xfId="0" applyNumberFormat="1" applyFont="1" applyFill="1" applyBorder="1" applyAlignment="1">
      <alignment horizontal="right"/>
    </xf>
    <xf numFmtId="37" fontId="96" fillId="0" borderId="0" xfId="0" applyNumberFormat="1" applyFont="1" applyFill="1" applyBorder="1" applyAlignment="1">
      <alignment horizontal="right"/>
    </xf>
    <xf numFmtId="178" fontId="96" fillId="0" borderId="31" xfId="0" applyNumberFormat="1" applyFont="1" applyFill="1" applyBorder="1"/>
    <xf numFmtId="181" fontId="96" fillId="0" borderId="0" xfId="0" applyNumberFormat="1" applyFont="1" applyFill="1" applyBorder="1"/>
    <xf numFmtId="42" fontId="96" fillId="0" borderId="40" xfId="0" applyNumberFormat="1" applyFont="1" applyFill="1" applyBorder="1"/>
    <xf numFmtId="42" fontId="96" fillId="0" borderId="0" xfId="0" applyNumberFormat="1" applyFont="1" applyFill="1" applyBorder="1" applyAlignment="1">
      <alignment horizontal="right"/>
    </xf>
    <xf numFmtId="42" fontId="96" fillId="0" borderId="40" xfId="0" applyNumberFormat="1" applyFont="1" applyFill="1" applyBorder="1" applyAlignment="1">
      <alignment horizontal="right"/>
    </xf>
    <xf numFmtId="10" fontId="95" fillId="0" borderId="41" xfId="45409" applyNumberFormat="1" applyFont="1" applyFill="1" applyBorder="1"/>
    <xf numFmtId="41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Alignment="1">
      <alignment horizontal="right"/>
    </xf>
    <xf numFmtId="0" fontId="97" fillId="0" borderId="0" xfId="0" applyFont="1" applyFill="1"/>
    <xf numFmtId="175" fontId="96" fillId="0" borderId="0" xfId="0" applyNumberFormat="1" applyFont="1" applyFill="1" applyBorder="1"/>
    <xf numFmtId="41" fontId="96" fillId="0" borderId="0" xfId="0" applyNumberFormat="1" applyFont="1" applyFill="1" applyBorder="1" applyAlignment="1">
      <alignment horizontal="center"/>
    </xf>
    <xf numFmtId="0" fontId="96" fillId="0" borderId="38" xfId="0" applyFont="1" applyFill="1" applyBorder="1" applyAlignment="1">
      <alignment horizontal="left"/>
    </xf>
    <xf numFmtId="179" fontId="96" fillId="0" borderId="0" xfId="0" applyNumberFormat="1" applyFont="1" applyFill="1" applyBorder="1" applyAlignment="1" applyProtection="1">
      <alignment horizontal="center"/>
    </xf>
    <xf numFmtId="43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horizontal="center"/>
    </xf>
    <xf numFmtId="42" fontId="96" fillId="0" borderId="35" xfId="0" applyNumberFormat="1" applyFont="1" applyFill="1" applyBorder="1"/>
    <xf numFmtId="42" fontId="96" fillId="0" borderId="35" xfId="0" applyNumberFormat="1" applyFont="1" applyFill="1" applyBorder="1" applyAlignment="1">
      <alignment horizontal="right"/>
    </xf>
    <xf numFmtId="0" fontId="96" fillId="0" borderId="42" xfId="0" applyFont="1" applyFill="1" applyBorder="1"/>
    <xf numFmtId="0" fontId="96" fillId="0" borderId="1" xfId="0" applyFont="1" applyFill="1" applyBorder="1" applyAlignment="1">
      <alignment horizontal="center"/>
    </xf>
    <xf numFmtId="181" fontId="96" fillId="0" borderId="1" xfId="0" applyNumberFormat="1" applyFont="1" applyFill="1" applyBorder="1"/>
    <xf numFmtId="0" fontId="96" fillId="0" borderId="1" xfId="0" applyFont="1" applyFill="1" applyBorder="1" applyAlignment="1">
      <alignment horizontal="right"/>
    </xf>
    <xf numFmtId="37" fontId="96" fillId="0" borderId="1" xfId="0" applyNumberFormat="1" applyFont="1" applyFill="1" applyBorder="1"/>
    <xf numFmtId="0" fontId="96" fillId="0" borderId="1" xfId="0" applyFont="1" applyFill="1" applyBorder="1"/>
    <xf numFmtId="37" fontId="96" fillId="0" borderId="1" xfId="0" applyNumberFormat="1" applyFont="1" applyFill="1" applyBorder="1" applyAlignment="1">
      <alignment horizontal="right"/>
    </xf>
    <xf numFmtId="178" fontId="96" fillId="0" borderId="39" xfId="0" applyNumberFormat="1" applyFont="1" applyFill="1" applyBorder="1"/>
    <xf numFmtId="0" fontId="96" fillId="0" borderId="0" xfId="0" applyFont="1" applyFill="1"/>
    <xf numFmtId="0" fontId="96" fillId="0" borderId="0" xfId="0" applyFont="1" applyFill="1" applyAlignment="1">
      <alignment horizontal="center"/>
    </xf>
    <xf numFmtId="181" fontId="96" fillId="0" borderId="0" xfId="0" applyNumberFormat="1" applyFont="1" applyFill="1"/>
    <xf numFmtId="0" fontId="23" fillId="0" borderId="0" xfId="0" applyFont="1" applyFill="1" applyAlignment="1">
      <alignment horizontal="right"/>
    </xf>
    <xf numFmtId="37" fontId="96" fillId="0" borderId="0" xfId="0" applyNumberFormat="1" applyFont="1" applyFill="1"/>
    <xf numFmtId="0" fontId="37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37" fontId="96" fillId="0" borderId="2" xfId="0" applyNumberFormat="1" applyFont="1" applyFill="1" applyBorder="1"/>
    <xf numFmtId="37" fontId="23" fillId="0" borderId="2" xfId="0" applyNumberFormat="1" applyFont="1" applyFill="1" applyBorder="1" applyAlignment="1">
      <alignment horizontal="right"/>
    </xf>
    <xf numFmtId="178" fontId="96" fillId="0" borderId="0" xfId="0" applyNumberFormat="1" applyFont="1" applyFill="1"/>
    <xf numFmtId="37" fontId="23" fillId="0" borderId="0" xfId="0" applyNumberFormat="1" applyFont="1" applyFill="1" applyAlignment="1">
      <alignment horizontal="right"/>
    </xf>
    <xf numFmtId="4" fontId="96" fillId="0" borderId="0" xfId="0" applyNumberFormat="1" applyFont="1" applyFill="1"/>
    <xf numFmtId="0" fontId="97" fillId="0" borderId="0" xfId="0" applyFont="1" applyFill="1" applyBorder="1"/>
    <xf numFmtId="178" fontId="96" fillId="0" borderId="31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right"/>
    </xf>
    <xf numFmtId="178" fontId="98" fillId="0" borderId="31" xfId="0" applyNumberFormat="1" applyFont="1" applyFill="1" applyBorder="1" applyAlignment="1">
      <alignment horizontal="center"/>
    </xf>
    <xf numFmtId="5" fontId="96" fillId="0" borderId="0" xfId="0" applyNumberFormat="1" applyFont="1" applyFill="1" applyBorder="1"/>
    <xf numFmtId="42" fontId="96" fillId="0" borderId="0" xfId="0" applyNumberFormat="1" applyFont="1" applyFill="1" applyBorder="1" applyAlignment="1">
      <alignment horizontal="center"/>
    </xf>
    <xf numFmtId="166" fontId="96" fillId="0" borderId="1" xfId="0" applyNumberFormat="1" applyFont="1" applyFill="1" applyBorder="1"/>
    <xf numFmtId="41" fontId="96" fillId="0" borderId="1" xfId="0" applyNumberFormat="1" applyFont="1" applyFill="1" applyBorder="1"/>
    <xf numFmtId="41" fontId="96" fillId="0" borderId="1" xfId="0" applyNumberFormat="1" applyFont="1" applyFill="1" applyBorder="1" applyAlignment="1">
      <alignment horizontal="center"/>
    </xf>
    <xf numFmtId="41" fontId="96" fillId="0" borderId="1" xfId="0" applyNumberFormat="1" applyFont="1" applyFill="1" applyBorder="1" applyAlignment="1">
      <alignment horizontal="right"/>
    </xf>
    <xf numFmtId="5" fontId="96" fillId="0" borderId="35" xfId="0" applyNumberFormat="1" applyFont="1" applyFill="1" applyBorder="1"/>
    <xf numFmtId="42" fontId="96" fillId="0" borderId="35" xfId="0" applyNumberFormat="1" applyFont="1" applyFill="1" applyBorder="1" applyAlignment="1">
      <alignment horizontal="center"/>
    </xf>
    <xf numFmtId="10" fontId="95" fillId="0" borderId="43" xfId="45409" applyNumberFormat="1" applyFont="1" applyFill="1" applyBorder="1"/>
    <xf numFmtId="165" fontId="96" fillId="0" borderId="1" xfId="0" applyNumberFormat="1" applyFont="1" applyFill="1" applyBorder="1"/>
    <xf numFmtId="165" fontId="96" fillId="0" borderId="1" xfId="0" applyNumberFormat="1" applyFont="1" applyFill="1" applyBorder="1" applyAlignment="1">
      <alignment horizontal="right"/>
    </xf>
    <xf numFmtId="42" fontId="96" fillId="0" borderId="34" xfId="0" applyNumberFormat="1" applyFont="1" applyFill="1" applyBorder="1"/>
    <xf numFmtId="42" fontId="96" fillId="0" borderId="0" xfId="0" applyNumberFormat="1" applyFont="1" applyFill="1"/>
    <xf numFmtId="42" fontId="96" fillId="0" borderId="0" xfId="0" applyNumberFormat="1" applyFont="1" applyFill="1" applyAlignment="1">
      <alignment horizontal="right"/>
    </xf>
    <xf numFmtId="42" fontId="96" fillId="0" borderId="34" xfId="0" applyNumberFormat="1" applyFont="1" applyFill="1" applyBorder="1" applyAlignment="1">
      <alignment horizontal="right"/>
    </xf>
    <xf numFmtId="37" fontId="96" fillId="0" borderId="0" xfId="0" applyNumberFormat="1" applyFont="1" applyFill="1" applyAlignment="1">
      <alignment horizontal="center"/>
    </xf>
    <xf numFmtId="37" fontId="96" fillId="0" borderId="0" xfId="0" applyNumberFormat="1" applyFont="1" applyFill="1" applyAlignment="1">
      <alignment horizontal="right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 wrapText="1"/>
    </xf>
    <xf numFmtId="0" fontId="96" fillId="0" borderId="0" xfId="0" applyFont="1" applyAlignment="1">
      <alignment horizontal="right" wrapText="1"/>
    </xf>
    <xf numFmtId="0" fontId="96" fillId="0" borderId="0" xfId="0" applyFont="1" applyFill="1" applyAlignment="1">
      <alignment horizontal="left"/>
    </xf>
    <xf numFmtId="166" fontId="79" fillId="0" borderId="34" xfId="12007" applyNumberFormat="1" applyFont="1" applyFill="1" applyBorder="1"/>
    <xf numFmtId="37" fontId="79" fillId="0" borderId="0" xfId="57515" applyFont="1" applyFill="1" applyBorder="1"/>
    <xf numFmtId="166" fontId="79" fillId="54" borderId="34" xfId="12007" applyNumberFormat="1" applyFont="1" applyFill="1" applyBorder="1"/>
    <xf numFmtId="10" fontId="100" fillId="0" borderId="13" xfId="45409" applyNumberFormat="1" applyFont="1" applyFill="1" applyBorder="1" applyAlignment="1">
      <alignment horizontal="center"/>
    </xf>
    <xf numFmtId="6" fontId="78" fillId="0" borderId="0" xfId="0" quotePrefix="1" applyNumberFormat="1" applyFont="1" applyAlignment="1">
      <alignment horizontal="center" vertical="center" textRotation="1" wrapText="1"/>
    </xf>
    <xf numFmtId="6" fontId="78" fillId="0" borderId="0" xfId="0" quotePrefix="1" applyNumberFormat="1" applyFont="1" applyAlignment="1">
      <alignment horizontal="center" vertical="center" wrapText="1"/>
    </xf>
    <xf numFmtId="166" fontId="75" fillId="0" borderId="0" xfId="0" applyNumberFormat="1" applyFont="1" applyFill="1"/>
    <xf numFmtId="17" fontId="85" fillId="0" borderId="3" xfId="0" quotePrefix="1" applyNumberFormat="1" applyFont="1" applyBorder="1" applyAlignment="1">
      <alignment horizontal="center" vertical="center"/>
    </xf>
    <xf numFmtId="17" fontId="85" fillId="0" borderId="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1" fillId="0" borderId="46" xfId="0" applyFont="1" applyFill="1" applyBorder="1" applyAlignment="1">
      <alignment horizontal="center"/>
    </xf>
    <xf numFmtId="0" fontId="81" fillId="0" borderId="47" xfId="0" applyFont="1" applyFill="1" applyBorder="1" applyAlignment="1">
      <alignment horizontal="center"/>
    </xf>
    <xf numFmtId="0" fontId="81" fillId="0" borderId="48" xfId="0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46" xfId="57515" quotePrefix="1" applyFont="1" applyBorder="1" applyAlignment="1">
      <alignment horizontal="center"/>
    </xf>
    <xf numFmtId="37" fontId="71" fillId="0" borderId="47" xfId="57515" applyFont="1" applyBorder="1" applyAlignment="1">
      <alignment horizontal="center"/>
    </xf>
    <xf numFmtId="37" fontId="71" fillId="0" borderId="48" xfId="57515" applyFont="1" applyBorder="1" applyAlignment="1">
      <alignment horizontal="center"/>
    </xf>
    <xf numFmtId="37" fontId="71" fillId="0" borderId="46" xfId="57515" quotePrefix="1" applyFont="1" applyFill="1" applyBorder="1" applyAlignment="1">
      <alignment horizontal="center"/>
    </xf>
    <xf numFmtId="37" fontId="71" fillId="0" borderId="47" xfId="57515" applyFont="1" applyFill="1" applyBorder="1" applyAlignment="1">
      <alignment horizontal="center"/>
    </xf>
    <xf numFmtId="37" fontId="71" fillId="0" borderId="48" xfId="57515" applyFont="1" applyFill="1" applyBorder="1" applyAlignment="1">
      <alignment horizontal="center"/>
    </xf>
    <xf numFmtId="37" fontId="71" fillId="0" borderId="46" xfId="57515" applyFont="1" applyFill="1" applyBorder="1" applyAlignment="1">
      <alignment horizontal="center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 wrapText="1"/>
    </xf>
    <xf numFmtId="0" fontId="96" fillId="0" borderId="0" xfId="0" applyFont="1" applyFill="1" applyAlignment="1">
      <alignment horizontal="left" wrapText="1"/>
    </xf>
    <xf numFmtId="0" fontId="99" fillId="0" borderId="36" xfId="24280" applyFont="1" applyFill="1" applyBorder="1" applyAlignment="1">
      <alignment horizontal="center"/>
    </xf>
    <xf numFmtId="0" fontId="95" fillId="0" borderId="2" xfId="24280" applyFont="1" applyFill="1" applyBorder="1" applyAlignment="1">
      <alignment horizontal="center"/>
    </xf>
    <xf numFmtId="0" fontId="95" fillId="0" borderId="37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/>
    </xf>
    <xf numFmtId="0" fontId="93" fillId="0" borderId="36" xfId="0" applyFont="1" applyFill="1" applyBorder="1" applyAlignment="1">
      <alignment horizontal="center"/>
    </xf>
    <xf numFmtId="0" fontId="93" fillId="0" borderId="2" xfId="0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93" fillId="0" borderId="36" xfId="24280" applyFont="1" applyFill="1" applyBorder="1" applyAlignment="1">
      <alignment horizontal="center"/>
    </xf>
    <xf numFmtId="0" fontId="94" fillId="0" borderId="2" xfId="24280" applyFont="1" applyFill="1" applyBorder="1" applyAlignment="1">
      <alignment horizontal="center"/>
    </xf>
    <xf numFmtId="0" fontId="94" fillId="0" borderId="37" xfId="24280" applyFont="1" applyFill="1" applyBorder="1" applyAlignment="1">
      <alignment horizontal="center"/>
    </xf>
    <xf numFmtId="0" fontId="82" fillId="0" borderId="46" xfId="5" quotePrefix="1" applyFont="1" applyFill="1" applyBorder="1" applyAlignment="1">
      <alignment horizontal="center"/>
    </xf>
    <xf numFmtId="0" fontId="82" fillId="0" borderId="47" xfId="5" quotePrefix="1" applyFont="1" applyFill="1" applyBorder="1" applyAlignment="1">
      <alignment horizontal="center"/>
    </xf>
    <xf numFmtId="0" fontId="82" fillId="0" borderId="48" xfId="5" quotePrefix="1" applyFont="1" applyFill="1" applyBorder="1" applyAlignment="1">
      <alignment horizontal="center"/>
    </xf>
    <xf numFmtId="0" fontId="82" fillId="0" borderId="47" xfId="5" applyFont="1" applyFill="1" applyBorder="1" applyAlignment="1">
      <alignment horizontal="center"/>
    </xf>
    <xf numFmtId="0" fontId="82" fillId="0" borderId="48" xfId="5" applyFont="1" applyFill="1" applyBorder="1" applyAlignment="1">
      <alignment horizontal="center"/>
    </xf>
    <xf numFmtId="0" fontId="5" fillId="0" borderId="46" xfId="5" quotePrefix="1" applyFont="1" applyFill="1" applyBorder="1" applyAlignment="1">
      <alignment horizontal="center"/>
    </xf>
    <xf numFmtId="0" fontId="5" fillId="0" borderId="47" xfId="5" quotePrefix="1" applyFont="1" applyFill="1" applyBorder="1" applyAlignment="1">
      <alignment horizontal="center"/>
    </xf>
    <xf numFmtId="0" fontId="5" fillId="0" borderId="48" xfId="5" quotePrefix="1" applyFont="1" applyFill="1" applyBorder="1" applyAlignment="1">
      <alignment horizontal="center"/>
    </xf>
    <xf numFmtId="0" fontId="90" fillId="0" borderId="50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55" borderId="50" xfId="0" applyFont="1" applyFill="1" applyBorder="1" applyAlignment="1">
      <alignment horizontal="center" vertical="center" wrapText="1"/>
    </xf>
    <xf numFmtId="0" fontId="90" fillId="55" borderId="53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5" borderId="51" xfId="0" applyFont="1" applyFill="1" applyBorder="1" applyAlignment="1">
      <alignment horizontal="center" vertical="center" wrapText="1"/>
    </xf>
    <xf numFmtId="0" fontId="90" fillId="55" borderId="52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0" fontId="90" fillId="0" borderId="55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55" borderId="51" xfId="0" applyFont="1" applyFill="1" applyBorder="1" applyAlignment="1">
      <alignment horizontal="center" wrapText="1"/>
    </xf>
    <xf numFmtId="0" fontId="90" fillId="55" borderId="52" xfId="0" applyFont="1" applyFill="1" applyBorder="1" applyAlignment="1">
      <alignment horizontal="center" wrapText="1"/>
    </xf>
    <xf numFmtId="0" fontId="90" fillId="0" borderId="0" xfId="0" quotePrefix="1" applyFont="1" applyFill="1" applyAlignment="1">
      <alignment horizontal="left"/>
    </xf>
    <xf numFmtId="0" fontId="90" fillId="0" borderId="0" xfId="0" quotePrefix="1" applyFont="1" applyFill="1" applyAlignment="1">
      <alignment horizontal="left" wrapText="1"/>
    </xf>
    <xf numFmtId="0" fontId="90" fillId="0" borderId="0" xfId="0" applyFont="1" applyFill="1" applyAlignment="1">
      <alignment horizontal="left" wrapText="1"/>
    </xf>
    <xf numFmtId="0" fontId="90" fillId="0" borderId="50" xfId="0" quotePrefix="1" applyFont="1" applyFill="1" applyBorder="1" applyAlignment="1">
      <alignment horizontal="center" wrapText="1"/>
    </xf>
    <xf numFmtId="0" fontId="90" fillId="0" borderId="55" xfId="0" applyFont="1" applyFill="1" applyBorder="1" applyAlignment="1">
      <alignment horizontal="center" wrapText="1"/>
    </xf>
    <xf numFmtId="0" fontId="90" fillId="0" borderId="50" xfId="0" quotePrefix="1" applyFont="1" applyFill="1" applyBorder="1" applyAlignment="1">
      <alignment horizontal="center" vertical="center" wrapText="1"/>
    </xf>
    <xf numFmtId="0" fontId="90" fillId="55" borderId="50" xfId="0" quotePrefix="1" applyFont="1" applyFill="1" applyBorder="1" applyAlignment="1">
      <alignment horizontal="center" vertical="center" wrapText="1"/>
    </xf>
    <xf numFmtId="0" fontId="90" fillId="55" borderId="55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 vertical="center"/>
    </xf>
    <xf numFmtId="0" fontId="78" fillId="0" borderId="0" xfId="0" quotePrefix="1" applyFont="1" applyFill="1" applyAlignment="1">
      <alignment horizontal="center" vertical="center"/>
    </xf>
    <xf numFmtId="17" fontId="78" fillId="0" borderId="0" xfId="0" applyNumberFormat="1" applyFont="1" applyFill="1" applyAlignment="1">
      <alignment horizontal="center" vertical="center"/>
    </xf>
    <xf numFmtId="10" fontId="78" fillId="0" borderId="0" xfId="3" applyNumberFormat="1" applyFont="1" applyFill="1" applyAlignment="1">
      <alignment horizontal="center" vertical="center"/>
    </xf>
    <xf numFmtId="184" fontId="78" fillId="0" borderId="0" xfId="0" applyNumberFormat="1" applyFont="1" applyFill="1" applyAlignment="1">
      <alignment horizontal="center" vertical="center"/>
    </xf>
    <xf numFmtId="17" fontId="79" fillId="0" borderId="6" xfId="0" quotePrefix="1" applyNumberFormat="1" applyFont="1" applyFill="1" applyBorder="1" applyAlignment="1">
      <alignment horizontal="center" vertical="center"/>
    </xf>
    <xf numFmtId="10" fontId="78" fillId="0" borderId="5" xfId="3" applyNumberFormat="1" applyFont="1" applyFill="1" applyBorder="1" applyAlignment="1">
      <alignment horizontal="center"/>
    </xf>
    <xf numFmtId="10" fontId="78" fillId="0" borderId="4" xfId="3" applyNumberFormat="1" applyFont="1" applyFill="1" applyBorder="1" applyAlignment="1">
      <alignment horizontal="center"/>
    </xf>
    <xf numFmtId="5" fontId="78" fillId="0" borderId="5" xfId="1" applyNumberFormat="1" applyFont="1" applyFill="1" applyBorder="1"/>
    <xf numFmtId="10" fontId="78" fillId="0" borderId="3" xfId="3" applyNumberFormat="1" applyFont="1" applyFill="1" applyBorder="1" applyAlignment="1">
      <alignment horizontal="center"/>
    </xf>
    <xf numFmtId="10" fontId="78" fillId="0" borderId="7" xfId="3" applyNumberFormat="1" applyFont="1" applyFill="1" applyBorder="1" applyAlignment="1">
      <alignment horizontal="center"/>
    </xf>
    <xf numFmtId="5" fontId="78" fillId="0" borderId="7" xfId="1" applyNumberFormat="1" applyFont="1" applyFill="1" applyBorder="1"/>
    <xf numFmtId="10" fontId="78" fillId="0" borderId="6" xfId="3" applyNumberFormat="1" applyFont="1" applyFill="1" applyBorder="1" applyAlignment="1">
      <alignment horizontal="center"/>
    </xf>
    <xf numFmtId="10" fontId="78" fillId="0" borderId="13" xfId="3" applyNumberFormat="1" applyFont="1" applyFill="1" applyBorder="1" applyAlignment="1">
      <alignment horizontal="center"/>
    </xf>
    <xf numFmtId="10" fontId="78" fillId="0" borderId="12" xfId="3" applyNumberFormat="1" applyFont="1" applyFill="1" applyBorder="1" applyAlignment="1">
      <alignment horizontal="center"/>
    </xf>
    <xf numFmtId="5" fontId="78" fillId="0" borderId="13" xfId="1" applyNumberFormat="1" applyFont="1" applyFill="1" applyBorder="1"/>
    <xf numFmtId="10" fontId="78" fillId="0" borderId="11" xfId="3" applyNumberFormat="1" applyFont="1" applyFill="1" applyBorder="1" applyAlignment="1">
      <alignment horizontal="center"/>
    </xf>
    <xf numFmtId="165" fontId="78" fillId="0" borderId="4" xfId="1" applyNumberFormat="1" applyFont="1" applyFill="1" applyBorder="1"/>
    <xf numFmtId="165" fontId="78" fillId="0" borderId="5" xfId="1" applyNumberFormat="1" applyFont="1" applyFill="1" applyBorder="1"/>
    <xf numFmtId="165" fontId="78" fillId="0" borderId="0" xfId="1" applyNumberFormat="1" applyFont="1" applyFill="1" applyBorder="1"/>
    <xf numFmtId="165" fontId="78" fillId="0" borderId="7" xfId="1" applyNumberFormat="1" applyFont="1" applyFill="1" applyBorder="1"/>
    <xf numFmtId="165" fontId="78" fillId="0" borderId="12" xfId="1" applyNumberFormat="1" applyFont="1" applyFill="1" applyBorder="1"/>
    <xf numFmtId="165" fontId="78" fillId="0" borderId="13" xfId="1" applyNumberFormat="1" applyFont="1" applyFill="1" applyBorder="1"/>
    <xf numFmtId="166" fontId="78" fillId="0" borderId="4" xfId="2" applyNumberFormat="1" applyFont="1" applyFill="1" applyBorder="1"/>
    <xf numFmtId="166" fontId="78" fillId="0" borderId="5" xfId="2" applyNumberFormat="1" applyFont="1" applyFill="1" applyBorder="1"/>
    <xf numFmtId="177" fontId="78" fillId="0" borderId="0" xfId="1" applyNumberFormat="1" applyFont="1" applyFill="1" applyBorder="1"/>
    <xf numFmtId="5" fontId="78" fillId="0" borderId="0" xfId="1" applyNumberFormat="1" applyFont="1" applyFill="1" applyBorder="1"/>
    <xf numFmtId="166" fontId="78" fillId="0" borderId="0" xfId="2" applyNumberFormat="1" applyFont="1" applyFill="1" applyBorder="1"/>
    <xf numFmtId="166" fontId="78" fillId="0" borderId="7" xfId="2" applyNumberFormat="1" applyFont="1" applyFill="1" applyBorder="1"/>
    <xf numFmtId="176" fontId="78" fillId="0" borderId="0" xfId="1" applyNumberFormat="1" applyFont="1" applyFill="1" applyBorder="1"/>
    <xf numFmtId="166" fontId="78" fillId="0" borderId="12" xfId="2" applyNumberFormat="1" applyFont="1" applyFill="1" applyBorder="1"/>
    <xf numFmtId="166" fontId="78" fillId="0" borderId="13" xfId="2" applyNumberFormat="1" applyFont="1" applyFill="1" applyBorder="1"/>
    <xf numFmtId="176" fontId="78" fillId="0" borderId="12" xfId="1" applyNumberFormat="1" applyFont="1" applyFill="1" applyBorder="1"/>
    <xf numFmtId="166" fontId="78" fillId="0" borderId="6" xfId="2" applyNumberFormat="1" applyFont="1" applyFill="1" applyBorder="1"/>
    <xf numFmtId="166" fontId="78" fillId="0" borderId="0" xfId="2" applyNumberFormat="1" applyFont="1" applyFill="1" applyBorder="1" applyAlignment="1">
      <alignment horizontal="center"/>
    </xf>
    <xf numFmtId="166" fontId="78" fillId="0" borderId="7" xfId="2" applyNumberFormat="1" applyFont="1" applyFill="1" applyBorder="1" applyAlignment="1">
      <alignment horizontal="center"/>
    </xf>
    <xf numFmtId="166" fontId="78" fillId="0" borderId="11" xfId="2" applyNumberFormat="1" applyFont="1" applyFill="1" applyBorder="1"/>
    <xf numFmtId="166" fontId="78" fillId="0" borderId="12" xfId="2" quotePrefix="1" applyNumberFormat="1" applyFont="1" applyFill="1" applyBorder="1" applyAlignment="1">
      <alignment horizontal="center"/>
    </xf>
    <xf numFmtId="166" fontId="78" fillId="0" borderId="13" xfId="2" applyNumberFormat="1" applyFont="1" applyFill="1" applyBorder="1" applyAlignment="1">
      <alignment horizontal="center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AG34"/>
  <sheetViews>
    <sheetView tabSelected="1" zoomScaleNormal="100" workbookViewId="0">
      <selection activeCell="A18" sqref="A18:A20"/>
    </sheetView>
  </sheetViews>
  <sheetFormatPr defaultRowHeight="12.75" x14ac:dyDescent="0.2"/>
  <cols>
    <col min="1" max="1" width="41.6640625" bestFit="1" customWidth="1"/>
    <col min="2" max="2" width="13.6640625" style="267" bestFit="1" customWidth="1"/>
    <col min="3" max="3" width="15.33203125" style="267" bestFit="1" customWidth="1"/>
    <col min="4" max="4" width="26.83203125" customWidth="1"/>
    <col min="5" max="5" width="14.1640625" bestFit="1" customWidth="1"/>
    <col min="6" max="6" width="21.1640625" bestFit="1" customWidth="1"/>
    <col min="7" max="7" width="14.1640625" bestFit="1" customWidth="1"/>
    <col min="8" max="8" width="16.83203125" bestFit="1" customWidth="1"/>
    <col min="9" max="9" width="2.83203125" customWidth="1"/>
    <col min="10" max="10" width="16.6640625" bestFit="1" customWidth="1"/>
    <col min="11" max="11" width="19" bestFit="1" customWidth="1"/>
    <col min="12" max="12" width="16" bestFit="1" customWidth="1"/>
    <col min="13" max="13" width="3.1640625" style="248" customWidth="1"/>
    <col min="14" max="14" width="16.6640625" bestFit="1" customWidth="1"/>
    <col min="15" max="15" width="18" bestFit="1" customWidth="1"/>
    <col min="16" max="16" width="19.1640625" bestFit="1" customWidth="1"/>
    <col min="17" max="17" width="18" bestFit="1" customWidth="1"/>
    <col min="18" max="18" width="18" customWidth="1"/>
    <col min="19" max="20" width="15.83203125" bestFit="1" customWidth="1"/>
    <col min="21" max="21" width="20.6640625" bestFit="1" customWidth="1"/>
    <col min="22" max="23" width="17.6640625" bestFit="1" customWidth="1"/>
    <col min="24" max="24" width="3.5" customWidth="1"/>
    <col min="25" max="28" width="20.5" customWidth="1"/>
    <col min="31" max="31" width="20.33203125" customWidth="1"/>
    <col min="32" max="32" width="3.6640625" customWidth="1"/>
    <col min="33" max="33" width="19.6640625" customWidth="1"/>
  </cols>
  <sheetData>
    <row r="2" spans="1:28" x14ac:dyDescent="0.2">
      <c r="A2" s="229" t="s">
        <v>177</v>
      </c>
      <c r="B2" s="599" t="s">
        <v>29</v>
      </c>
      <c r="C2" s="599"/>
      <c r="D2" s="216"/>
      <c r="W2" s="294" t="s">
        <v>29</v>
      </c>
    </row>
    <row r="3" spans="1:28" x14ac:dyDescent="0.2">
      <c r="A3" s="229" t="s">
        <v>178</v>
      </c>
      <c r="B3" s="600" t="s">
        <v>260</v>
      </c>
      <c r="C3" s="600"/>
      <c r="D3" s="217"/>
      <c r="W3" s="294" t="s">
        <v>192</v>
      </c>
    </row>
    <row r="4" spans="1:28" x14ac:dyDescent="0.2">
      <c r="A4" s="229" t="s">
        <v>179</v>
      </c>
      <c r="B4" s="600" t="s">
        <v>99</v>
      </c>
      <c r="C4" s="600"/>
      <c r="D4" s="217"/>
    </row>
    <row r="5" spans="1:28" x14ac:dyDescent="0.2">
      <c r="A5" s="230"/>
      <c r="B5" s="410"/>
      <c r="C5" s="410"/>
    </row>
    <row r="6" spans="1:28" x14ac:dyDescent="0.2">
      <c r="A6" s="229" t="s">
        <v>176</v>
      </c>
      <c r="B6" s="601">
        <v>43040</v>
      </c>
      <c r="C6" s="601"/>
      <c r="D6" s="218"/>
    </row>
    <row r="7" spans="1:28" x14ac:dyDescent="0.2">
      <c r="A7" s="230"/>
      <c r="B7" s="410"/>
      <c r="C7" s="410"/>
    </row>
    <row r="8" spans="1:28" x14ac:dyDescent="0.2">
      <c r="A8" s="231" t="s">
        <v>269</v>
      </c>
      <c r="B8" s="602">
        <v>0.89080000000000004</v>
      </c>
      <c r="C8" s="602"/>
      <c r="D8" s="294"/>
    </row>
    <row r="9" spans="1:28" x14ac:dyDescent="0.2">
      <c r="A9" s="231" t="s">
        <v>270</v>
      </c>
      <c r="B9" s="602">
        <v>0.8911</v>
      </c>
      <c r="C9" s="602"/>
    </row>
    <row r="10" spans="1:28" x14ac:dyDescent="0.2">
      <c r="A10" s="229" t="s">
        <v>180</v>
      </c>
      <c r="B10" s="603">
        <v>9.7000000000000003E-2</v>
      </c>
      <c r="C10" s="603"/>
    </row>
    <row r="11" spans="1:28" x14ac:dyDescent="0.2">
      <c r="A11" s="229" t="s">
        <v>181</v>
      </c>
      <c r="B11" s="603">
        <v>9.7000000000000003E-2</v>
      </c>
      <c r="C11" s="603"/>
    </row>
    <row r="12" spans="1:28" x14ac:dyDescent="0.2">
      <c r="B12" s="410">
        <v>2</v>
      </c>
      <c r="C12" s="410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12</v>
      </c>
      <c r="M12" s="267">
        <v>13</v>
      </c>
      <c r="N12" s="267">
        <v>14</v>
      </c>
      <c r="O12" s="267">
        <v>15</v>
      </c>
      <c r="P12" s="267">
        <v>16</v>
      </c>
      <c r="Q12" s="267">
        <v>17</v>
      </c>
      <c r="R12" s="267">
        <v>18</v>
      </c>
      <c r="S12" s="267">
        <v>19</v>
      </c>
      <c r="T12" s="267">
        <v>20</v>
      </c>
      <c r="U12" s="267">
        <v>21</v>
      </c>
      <c r="V12" s="267">
        <v>22</v>
      </c>
      <c r="W12" s="267">
        <v>23</v>
      </c>
      <c r="X12" s="267">
        <v>24</v>
      </c>
      <c r="Y12" s="267">
        <v>25</v>
      </c>
      <c r="Z12" s="267">
        <v>26</v>
      </c>
      <c r="AA12" s="267">
        <v>27</v>
      </c>
      <c r="AB12" s="267">
        <v>28</v>
      </c>
    </row>
    <row r="13" spans="1:28" ht="13.5" thickBot="1" x14ac:dyDescent="0.25"/>
    <row r="14" spans="1:28" ht="16.5" thickBot="1" x14ac:dyDescent="0.3">
      <c r="A14" s="216"/>
      <c r="B14" s="268"/>
      <c r="C14" s="269"/>
      <c r="D14" s="262"/>
      <c r="E14" s="534" t="s">
        <v>183</v>
      </c>
      <c r="F14" s="535"/>
      <c r="G14" s="535"/>
      <c r="H14" s="536"/>
      <c r="I14" s="282"/>
      <c r="J14" s="534" t="s">
        <v>184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6"/>
      <c r="X14" s="347"/>
      <c r="Y14" s="539" t="s">
        <v>222</v>
      </c>
      <c r="Z14" s="540"/>
      <c r="AA14" s="540"/>
      <c r="AB14" s="541"/>
    </row>
    <row r="15" spans="1:28" ht="13.5" thickBot="1" x14ac:dyDescent="0.25">
      <c r="A15" s="216"/>
      <c r="B15" s="283"/>
      <c r="C15" s="276"/>
      <c r="D15" s="263"/>
      <c r="E15" s="537" t="s">
        <v>173</v>
      </c>
      <c r="F15" s="538"/>
      <c r="G15" s="537" t="s">
        <v>174</v>
      </c>
      <c r="H15" s="538"/>
      <c r="I15" s="281"/>
      <c r="J15" s="531" t="s">
        <v>173</v>
      </c>
      <c r="K15" s="532"/>
      <c r="L15" s="533"/>
      <c r="M15" s="291"/>
      <c r="N15" s="531" t="s">
        <v>174</v>
      </c>
      <c r="O15" s="532"/>
      <c r="P15" s="532"/>
      <c r="Q15" s="532"/>
      <c r="R15" s="532"/>
      <c r="S15" s="532"/>
      <c r="T15" s="532"/>
      <c r="U15" s="532"/>
      <c r="V15" s="532"/>
      <c r="W15" s="533"/>
      <c r="X15" s="347"/>
      <c r="Y15" s="352"/>
      <c r="Z15" s="353"/>
      <c r="AA15" s="353"/>
      <c r="AB15" s="354"/>
    </row>
    <row r="16" spans="1:28" s="267" customFormat="1" ht="51" x14ac:dyDescent="0.2">
      <c r="A16" s="266"/>
      <c r="B16" s="279" t="s">
        <v>0</v>
      </c>
      <c r="C16" s="280" t="s">
        <v>1</v>
      </c>
      <c r="D16" s="284" t="s">
        <v>188</v>
      </c>
      <c r="E16" s="285" t="s">
        <v>2</v>
      </c>
      <c r="F16" s="286" t="s">
        <v>3</v>
      </c>
      <c r="G16" s="285" t="s">
        <v>2</v>
      </c>
      <c r="H16" s="286" t="s">
        <v>3</v>
      </c>
      <c r="I16" s="287"/>
      <c r="J16" s="288" t="s">
        <v>7</v>
      </c>
      <c r="K16" s="289" t="s">
        <v>182</v>
      </c>
      <c r="L16" s="286" t="s">
        <v>20</v>
      </c>
      <c r="M16" s="287"/>
      <c r="N16" s="288" t="s">
        <v>7</v>
      </c>
      <c r="O16" s="289" t="s">
        <v>182</v>
      </c>
      <c r="P16" s="289" t="s">
        <v>20</v>
      </c>
      <c r="Q16" s="288" t="s">
        <v>39</v>
      </c>
      <c r="R16" s="412" t="s">
        <v>240</v>
      </c>
      <c r="S16" s="289" t="s">
        <v>34</v>
      </c>
      <c r="T16" s="290" t="s">
        <v>35</v>
      </c>
      <c r="U16" s="289" t="s">
        <v>17</v>
      </c>
      <c r="V16" s="289" t="s">
        <v>36</v>
      </c>
      <c r="W16" s="286" t="s">
        <v>37</v>
      </c>
      <c r="X16" s="348"/>
      <c r="Y16" s="288" t="s">
        <v>223</v>
      </c>
      <c r="Z16" s="290" t="s">
        <v>224</v>
      </c>
      <c r="AA16" s="355" t="s">
        <v>225</v>
      </c>
      <c r="AB16" s="356" t="s">
        <v>226</v>
      </c>
    </row>
    <row r="17" spans="1:33" ht="39" thickBot="1" x14ac:dyDescent="0.25">
      <c r="A17" s="217"/>
      <c r="B17" s="273"/>
      <c r="C17" s="274"/>
      <c r="D17" s="278" t="s">
        <v>21</v>
      </c>
      <c r="E17" s="277" t="s">
        <v>21</v>
      </c>
      <c r="F17" s="278" t="s">
        <v>21</v>
      </c>
      <c r="G17" s="277" t="s">
        <v>21</v>
      </c>
      <c r="H17" s="278" t="s">
        <v>21</v>
      </c>
      <c r="I17" s="227"/>
      <c r="J17" s="226"/>
      <c r="K17" s="275" t="s">
        <v>13</v>
      </c>
      <c r="L17" s="255" t="s">
        <v>13</v>
      </c>
      <c r="M17" s="227"/>
      <c r="N17" s="226"/>
      <c r="O17" s="275" t="s">
        <v>13</v>
      </c>
      <c r="P17" s="254" t="s">
        <v>13</v>
      </c>
      <c r="Q17" s="414" t="s">
        <v>245</v>
      </c>
      <c r="R17" s="415" t="s">
        <v>246</v>
      </c>
      <c r="S17" s="254" t="s">
        <v>28</v>
      </c>
      <c r="T17" s="254" t="s">
        <v>28</v>
      </c>
      <c r="U17" s="254" t="s">
        <v>28</v>
      </c>
      <c r="V17" s="254" t="s">
        <v>227</v>
      </c>
      <c r="W17" s="413" t="s">
        <v>227</v>
      </c>
      <c r="X17" s="347"/>
      <c r="Y17" s="352"/>
      <c r="Z17" s="353"/>
      <c r="AA17" s="357" t="s">
        <v>227</v>
      </c>
      <c r="AB17" s="358" t="s">
        <v>227</v>
      </c>
      <c r="AE17" s="419" t="s">
        <v>247</v>
      </c>
      <c r="AF17" s="404"/>
      <c r="AG17" s="419" t="s">
        <v>248</v>
      </c>
    </row>
    <row r="18" spans="1:33" x14ac:dyDescent="0.2">
      <c r="A18" s="529" t="s">
        <v>175</v>
      </c>
      <c r="B18" s="270">
        <f>B6</f>
        <v>43040</v>
      </c>
      <c r="C18" s="264">
        <f t="shared" ref="C18:C23" si="0">EDATE(B18,-2)</f>
        <v>42979</v>
      </c>
      <c r="D18" s="605">
        <v>0.87170000000000003</v>
      </c>
      <c r="E18" s="606">
        <v>0.10349999999999999</v>
      </c>
      <c r="F18" s="607">
        <v>1048241353</v>
      </c>
      <c r="G18" s="608">
        <v>0.10349999999999999</v>
      </c>
      <c r="H18" s="607">
        <v>41787102</v>
      </c>
      <c r="I18" s="221"/>
      <c r="J18" s="407">
        <f>'Q1 p3. - ROR (Dec 2017)'!$R31</f>
        <v>0.1042</v>
      </c>
      <c r="K18" s="616">
        <v>1048780703</v>
      </c>
      <c r="L18" s="617">
        <v>4829330.3666666662</v>
      </c>
      <c r="M18" s="221"/>
      <c r="N18" s="407">
        <f>'Q1 p3. - ROR (Dec 2017)'!$R45</f>
        <v>0.1042</v>
      </c>
      <c r="O18" s="622">
        <v>41786965</v>
      </c>
      <c r="P18" s="623">
        <v>88133</v>
      </c>
      <c r="Q18" s="624">
        <v>0</v>
      </c>
      <c r="R18" s="624">
        <v>0</v>
      </c>
      <c r="S18" s="149">
        <v>3.216725186661426E-2</v>
      </c>
      <c r="T18" s="149">
        <v>4.7800000000000002E-2</v>
      </c>
      <c r="U18" s="625">
        <v>8581768</v>
      </c>
      <c r="V18" s="625">
        <v>1338256.1799999997</v>
      </c>
      <c r="W18" s="610">
        <v>2235632.87</v>
      </c>
      <c r="X18" s="350"/>
      <c r="Y18" s="632">
        <v>48800292</v>
      </c>
      <c r="Z18" s="626">
        <v>48812315</v>
      </c>
      <c r="AA18" s="633">
        <v>41825413.51000002</v>
      </c>
      <c r="AB18" s="634">
        <v>48387768.080000013</v>
      </c>
      <c r="AE18" s="418">
        <f>Y18+Z18</f>
        <v>97612607</v>
      </c>
      <c r="AF18" s="418"/>
      <c r="AG18" s="418">
        <f>AA18+AB18</f>
        <v>90213181.590000033</v>
      </c>
    </row>
    <row r="19" spans="1:33" x14ac:dyDescent="0.2">
      <c r="A19" s="530"/>
      <c r="B19" s="271">
        <f>EDATE(B18,1)</f>
        <v>43070</v>
      </c>
      <c r="C19" s="264">
        <f t="shared" si="0"/>
        <v>43009</v>
      </c>
      <c r="D19" s="609">
        <v>0.87939999999999996</v>
      </c>
      <c r="E19" s="149">
        <v>0.10349999999999999</v>
      </c>
      <c r="F19" s="610">
        <v>1046068622</v>
      </c>
      <c r="G19" s="611">
        <v>0.10349999999999999</v>
      </c>
      <c r="H19" s="610">
        <v>54149076</v>
      </c>
      <c r="I19" s="222"/>
      <c r="J19" s="408">
        <f>J18</f>
        <v>0.1042</v>
      </c>
      <c r="K19" s="618">
        <v>1046778708</v>
      </c>
      <c r="L19" s="619">
        <v>4906589.2866666671</v>
      </c>
      <c r="M19" s="222"/>
      <c r="N19" s="408">
        <f>N18</f>
        <v>0.1042</v>
      </c>
      <c r="O19" s="626">
        <v>54008959</v>
      </c>
      <c r="P19" s="627">
        <v>107493</v>
      </c>
      <c r="Q19" s="628">
        <v>0</v>
      </c>
      <c r="R19" s="628">
        <v>0</v>
      </c>
      <c r="S19" s="149">
        <v>3.5799999999999998E-2</v>
      </c>
      <c r="T19" s="149">
        <v>5.28E-2</v>
      </c>
      <c r="U19" s="618">
        <v>8417756</v>
      </c>
      <c r="V19" s="618">
        <v>2053754.2400000005</v>
      </c>
      <c r="W19" s="619">
        <v>2421896.9699999993</v>
      </c>
      <c r="X19" s="349"/>
      <c r="Y19" s="632">
        <v>48846718</v>
      </c>
      <c r="Z19" s="626">
        <v>49134387</v>
      </c>
      <c r="AA19" s="633">
        <v>57590020.57</v>
      </c>
      <c r="AB19" s="634">
        <v>46367387.07</v>
      </c>
      <c r="AE19" s="418">
        <f t="shared" ref="AE19:AE23" si="1">Y19+Z19</f>
        <v>97981105</v>
      </c>
      <c r="AF19" s="418"/>
      <c r="AG19" s="418">
        <f t="shared" ref="AG19:AG23" si="2">AA19+AB19</f>
        <v>103957407.64</v>
      </c>
    </row>
    <row r="20" spans="1:33" x14ac:dyDescent="0.2">
      <c r="A20" s="530"/>
      <c r="B20" s="271">
        <f t="shared" ref="B20:B23" si="3">EDATE(B19,1)*1</f>
        <v>43101</v>
      </c>
      <c r="C20" s="264">
        <f t="shared" si="0"/>
        <v>43040</v>
      </c>
      <c r="D20" s="609">
        <v>0.87039999999999995</v>
      </c>
      <c r="E20" s="149">
        <v>0.10349999999999999</v>
      </c>
      <c r="F20" s="610">
        <v>1044291378</v>
      </c>
      <c r="G20" s="611">
        <v>0.10349999999999999</v>
      </c>
      <c r="H20" s="610">
        <v>64983926</v>
      </c>
      <c r="I20" s="222"/>
      <c r="J20" s="408">
        <f t="shared" ref="J20:J21" si="4">J19</f>
        <v>0.1042</v>
      </c>
      <c r="K20" s="618">
        <v>1045172538</v>
      </c>
      <c r="L20" s="619">
        <f>5204525+17634</f>
        <v>5222159</v>
      </c>
      <c r="M20" s="222"/>
      <c r="N20" s="408">
        <f>N19</f>
        <v>0.1042</v>
      </c>
      <c r="O20" s="626">
        <v>64810333</v>
      </c>
      <c r="P20" s="627">
        <v>110891</v>
      </c>
      <c r="Q20" s="628">
        <v>0</v>
      </c>
      <c r="R20" s="628">
        <v>0</v>
      </c>
      <c r="S20" s="149">
        <v>4.0099999999999997E-2</v>
      </c>
      <c r="T20" s="149">
        <v>5.91E-2</v>
      </c>
      <c r="U20" s="618">
        <v>8075189</v>
      </c>
      <c r="V20" s="618">
        <v>3471143.9800000014</v>
      </c>
      <c r="W20" s="619">
        <v>3172050.9399999995</v>
      </c>
      <c r="X20" s="349"/>
      <c r="Y20" s="632">
        <v>49210499</v>
      </c>
      <c r="Z20" s="626">
        <v>49493504</v>
      </c>
      <c r="AA20" s="633">
        <v>86876906.230000019</v>
      </c>
      <c r="AB20" s="634">
        <v>54481390.859999999</v>
      </c>
      <c r="AE20" s="418">
        <f t="shared" si="1"/>
        <v>98704003</v>
      </c>
      <c r="AF20" s="418"/>
      <c r="AG20" s="418">
        <f t="shared" si="2"/>
        <v>141358297.09000003</v>
      </c>
    </row>
    <row r="21" spans="1:33" ht="15.75" x14ac:dyDescent="0.2">
      <c r="A21" s="604" t="s">
        <v>271</v>
      </c>
      <c r="B21" s="271">
        <f t="shared" si="3"/>
        <v>43132</v>
      </c>
      <c r="C21" s="264">
        <f t="shared" si="0"/>
        <v>43070</v>
      </c>
      <c r="D21" s="609">
        <v>0.88539999999999996</v>
      </c>
      <c r="E21" s="149">
        <v>0.1033</v>
      </c>
      <c r="F21" s="610">
        <v>1124034494</v>
      </c>
      <c r="G21" s="611"/>
      <c r="H21" s="610"/>
      <c r="I21" s="222"/>
      <c r="J21" s="408">
        <f t="shared" si="4"/>
        <v>0.1042</v>
      </c>
      <c r="K21" s="618">
        <v>1124764196</v>
      </c>
      <c r="L21" s="619">
        <f>5150729-17727</f>
        <v>5133002</v>
      </c>
      <c r="M21" s="222"/>
      <c r="N21" s="408">
        <v>0</v>
      </c>
      <c r="O21" s="626"/>
      <c r="P21" s="627"/>
      <c r="Q21" s="628">
        <v>723722</v>
      </c>
      <c r="R21" s="628">
        <v>0</v>
      </c>
      <c r="S21" s="149">
        <v>3.8800000000000001E-2</v>
      </c>
      <c r="T21" s="149">
        <v>5.7099999999999998E-2</v>
      </c>
      <c r="U21" s="618">
        <v>9096715</v>
      </c>
      <c r="V21" s="618">
        <v>2579421.1799999992</v>
      </c>
      <c r="W21" s="619">
        <v>2949218.7999999993</v>
      </c>
      <c r="X21" s="349"/>
      <c r="Y21" s="632">
        <v>49452575</v>
      </c>
      <c r="Z21" s="626">
        <v>49436436</v>
      </c>
      <c r="AA21" s="633">
        <v>66618183.270000018</v>
      </c>
      <c r="AB21" s="634">
        <v>51357611.50999999</v>
      </c>
      <c r="AE21" s="418">
        <f t="shared" si="1"/>
        <v>98889011</v>
      </c>
      <c r="AF21" s="418"/>
      <c r="AG21" s="418">
        <f t="shared" si="2"/>
        <v>117975794.78</v>
      </c>
    </row>
    <row r="22" spans="1:33" ht="20.25" x14ac:dyDescent="0.2">
      <c r="A22" s="251"/>
      <c r="B22" s="271">
        <f t="shared" si="3"/>
        <v>43160</v>
      </c>
      <c r="C22" s="264">
        <f t="shared" si="0"/>
        <v>43101</v>
      </c>
      <c r="D22" s="609">
        <v>0.85899999999999999</v>
      </c>
      <c r="E22" s="149">
        <v>8.8400000000000006E-2</v>
      </c>
      <c r="F22" s="610">
        <v>1135881788</v>
      </c>
      <c r="G22" s="611"/>
      <c r="H22" s="610"/>
      <c r="I22" s="222"/>
      <c r="J22" s="408">
        <f>'Q1 p4. - ROR (Feb 2018)'!R31</f>
        <v>8.8999999999999996E-2</v>
      </c>
      <c r="K22" s="618">
        <v>1137063315</v>
      </c>
      <c r="L22" s="619">
        <f>5340389-26165</f>
        <v>5314224</v>
      </c>
      <c r="M22" s="222"/>
      <c r="N22" s="408">
        <v>0</v>
      </c>
      <c r="O22" s="626"/>
      <c r="P22" s="627"/>
      <c r="Q22" s="628">
        <v>0</v>
      </c>
      <c r="R22" s="628">
        <v>0</v>
      </c>
      <c r="S22" s="149">
        <v>-3.5999999999999999E-3</v>
      </c>
      <c r="T22" s="149">
        <v>-5.4000000000000003E-3</v>
      </c>
      <c r="U22" s="618">
        <v>12214566</v>
      </c>
      <c r="V22" s="618">
        <v>-151515.84</v>
      </c>
      <c r="W22" s="619">
        <v>259490.20999999996</v>
      </c>
      <c r="X22" s="349"/>
      <c r="Y22" s="632">
        <v>51246591</v>
      </c>
      <c r="Z22" s="626">
        <v>49913797</v>
      </c>
      <c r="AA22" s="633">
        <v>53740245.95000001</v>
      </c>
      <c r="AB22" s="634">
        <v>50085406.710000001</v>
      </c>
      <c r="AE22" s="418">
        <f t="shared" si="1"/>
        <v>101160388</v>
      </c>
      <c r="AF22" s="418"/>
      <c r="AG22" s="418">
        <f t="shared" si="2"/>
        <v>103825652.66000001</v>
      </c>
    </row>
    <row r="23" spans="1:33" ht="21" thickBot="1" x14ac:dyDescent="0.25">
      <c r="A23" s="252"/>
      <c r="B23" s="272">
        <f t="shared" si="3"/>
        <v>43191</v>
      </c>
      <c r="C23" s="265">
        <f t="shared" si="0"/>
        <v>43132</v>
      </c>
      <c r="D23" s="612">
        <v>0.872</v>
      </c>
      <c r="E23" s="613">
        <v>8.8400000000000006E-2</v>
      </c>
      <c r="F23" s="614">
        <v>1145990578</v>
      </c>
      <c r="G23" s="615"/>
      <c r="H23" s="614"/>
      <c r="I23" s="223"/>
      <c r="J23" s="409">
        <f t="shared" ref="J23" si="5">J22</f>
        <v>8.8999999999999996E-2</v>
      </c>
      <c r="K23" s="620">
        <v>1145729650</v>
      </c>
      <c r="L23" s="621">
        <f>4762036-28194</f>
        <v>4733842</v>
      </c>
      <c r="M23" s="223"/>
      <c r="N23" s="409">
        <f t="shared" ref="N23" si="6">N22</f>
        <v>0</v>
      </c>
      <c r="O23" s="629"/>
      <c r="P23" s="630"/>
      <c r="Q23" s="631">
        <v>0</v>
      </c>
      <c r="R23" s="631">
        <v>3151</v>
      </c>
      <c r="S23" s="613">
        <v>-1.5699999999999999E-2</v>
      </c>
      <c r="T23" s="613">
        <v>-2.3099999999999999E-2</v>
      </c>
      <c r="U23" s="620">
        <v>13474261</v>
      </c>
      <c r="V23" s="620">
        <v>-797366.80999999971</v>
      </c>
      <c r="W23" s="621">
        <v>-977333.06000000017</v>
      </c>
      <c r="X23" s="349"/>
      <c r="Y23" s="635">
        <v>52275193</v>
      </c>
      <c r="Z23" s="629">
        <v>50391690</v>
      </c>
      <c r="AA23" s="636">
        <v>52125470.160000011</v>
      </c>
      <c r="AB23" s="637">
        <v>48611234.069999993</v>
      </c>
      <c r="AE23" s="418">
        <f t="shared" si="1"/>
        <v>102666883</v>
      </c>
      <c r="AF23" s="418"/>
      <c r="AG23" s="418">
        <f t="shared" si="2"/>
        <v>100736704.23</v>
      </c>
    </row>
    <row r="24" spans="1:33" x14ac:dyDescent="0.2">
      <c r="K24" s="248"/>
      <c r="L24" s="248"/>
      <c r="M24" s="249"/>
    </row>
    <row r="25" spans="1:33" x14ac:dyDescent="0.2">
      <c r="A25" s="253"/>
      <c r="D25" s="292"/>
      <c r="E25" s="292"/>
      <c r="F25" s="368"/>
      <c r="G25" s="292"/>
      <c r="H25" s="369"/>
      <c r="J25" s="295"/>
      <c r="K25" s="367"/>
      <c r="L25" s="295"/>
      <c r="M25" s="296"/>
      <c r="N25" s="295"/>
      <c r="P25" s="295"/>
      <c r="Q25" s="292"/>
      <c r="R25" s="292"/>
      <c r="S25" s="292"/>
      <c r="T25" s="292"/>
      <c r="U25" s="292"/>
      <c r="V25" s="292"/>
      <c r="W25" s="292"/>
    </row>
    <row r="26" spans="1:33" x14ac:dyDescent="0.2">
      <c r="A26" s="253"/>
      <c r="F26" s="368"/>
      <c r="K26" s="367"/>
    </row>
    <row r="27" spans="1:33" x14ac:dyDescent="0.2">
      <c r="A27" s="253"/>
      <c r="F27" s="368"/>
      <c r="K27" s="367"/>
    </row>
    <row r="28" spans="1:33" x14ac:dyDescent="0.2">
      <c r="A28" s="253"/>
      <c r="F28" s="368"/>
      <c r="K28" s="527"/>
    </row>
    <row r="29" spans="1:33" x14ac:dyDescent="0.2">
      <c r="F29" s="368"/>
      <c r="K29" s="527"/>
    </row>
    <row r="30" spans="1:33" x14ac:dyDescent="0.2">
      <c r="F30" s="368"/>
      <c r="K30" s="527"/>
    </row>
    <row r="31" spans="1:33" x14ac:dyDescent="0.2">
      <c r="K31" s="527"/>
    </row>
    <row r="32" spans="1:33" x14ac:dyDescent="0.2">
      <c r="K32" s="527"/>
    </row>
    <row r="33" spans="11:11" x14ac:dyDescent="0.2">
      <c r="K33" s="527"/>
    </row>
    <row r="34" spans="11:11" x14ac:dyDescent="0.2">
      <c r="K34" s="526">
        <f t="shared" ref="K34" si="7">K24-F24</f>
        <v>0</v>
      </c>
    </row>
  </sheetData>
  <mergeCells count="16">
    <mergeCell ref="Y14:AB14"/>
    <mergeCell ref="B2:C2"/>
    <mergeCell ref="B3:C3"/>
    <mergeCell ref="B4:C4"/>
    <mergeCell ref="B6:C6"/>
    <mergeCell ref="E14:H14"/>
    <mergeCell ref="B9:C9"/>
    <mergeCell ref="B10:C10"/>
    <mergeCell ref="B11:C11"/>
    <mergeCell ref="B8:C8"/>
    <mergeCell ref="A18:A20"/>
    <mergeCell ref="N15:W15"/>
    <mergeCell ref="J14:W14"/>
    <mergeCell ref="J15:L15"/>
    <mergeCell ref="E15:F15"/>
    <mergeCell ref="G15:H15"/>
  </mergeCells>
  <dataValidations count="1">
    <dataValidation type="list" allowBlank="1" showInputMessage="1" showErrorMessage="1" sqref="B2:C2">
      <formula1>$W$2:$W$3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AD63"/>
  <sheetViews>
    <sheetView workbookViewId="0">
      <selection activeCell="F55" sqref="F55"/>
    </sheetView>
  </sheetViews>
  <sheetFormatPr defaultRowHeight="12.75" x14ac:dyDescent="0.2"/>
  <cols>
    <col min="1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 x14ac:dyDescent="0.3">
      <c r="A1" s="57" t="str">
        <f>'Input Tab'!B2</f>
        <v>Kentucky Utilities Company</v>
      </c>
      <c r="B1" s="3"/>
      <c r="I1" s="1" t="str">
        <f>'Q2 p.1 - Retail E(m)'!H1</f>
        <v>Attachment to Response to Question No. 2</v>
      </c>
    </row>
    <row r="2" spans="1:27" ht="12.75" customHeight="1" x14ac:dyDescent="0.3">
      <c r="A2" s="57" t="s">
        <v>40</v>
      </c>
      <c r="B2" s="3"/>
      <c r="I2" s="1" t="s">
        <v>187</v>
      </c>
    </row>
    <row r="3" spans="1:27" ht="12.75" customHeight="1" x14ac:dyDescent="0.3">
      <c r="A3" s="58" t="s">
        <v>258</v>
      </c>
      <c r="B3" s="3"/>
      <c r="I3" s="2" t="str">
        <f>'Q2 p.1 - Retail E(m)'!H3</f>
        <v>Rahn</v>
      </c>
    </row>
    <row r="4" spans="1:27" ht="12.75" customHeight="1" thickBot="1" x14ac:dyDescent="0.35">
      <c r="A4" s="3"/>
      <c r="I4" s="2"/>
      <c r="K4"/>
      <c r="U4" s="4"/>
    </row>
    <row r="5" spans="1:27" ht="12.75" customHeight="1" thickBot="1" x14ac:dyDescent="0.25">
      <c r="A5" s="567" t="s">
        <v>102</v>
      </c>
      <c r="B5" s="568"/>
      <c r="C5" s="568"/>
      <c r="D5" s="568"/>
      <c r="E5" s="568"/>
      <c r="F5" s="568"/>
      <c r="G5" s="568"/>
      <c r="H5" s="568"/>
      <c r="I5" s="569"/>
      <c r="K5"/>
      <c r="U5" s="4"/>
    </row>
    <row r="6" spans="1:27" s="5" customFormat="1" x14ac:dyDescent="0.2">
      <c r="A6" s="426">
        <v>-1</v>
      </c>
      <c r="B6" s="196">
        <f t="shared" ref="B6:I6" si="0">+A6-1</f>
        <v>-2</v>
      </c>
      <c r="C6" s="196">
        <f t="shared" si="0"/>
        <v>-3</v>
      </c>
      <c r="D6" s="196">
        <f t="shared" si="0"/>
        <v>-4</v>
      </c>
      <c r="E6" s="196">
        <f t="shared" si="0"/>
        <v>-5</v>
      </c>
      <c r="F6" s="196">
        <f t="shared" si="0"/>
        <v>-6</v>
      </c>
      <c r="G6" s="196">
        <f t="shared" si="0"/>
        <v>-7</v>
      </c>
      <c r="H6" s="196">
        <f t="shared" si="0"/>
        <v>-8</v>
      </c>
      <c r="I6" s="197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8.25" x14ac:dyDescent="0.2">
      <c r="A7" s="427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41</v>
      </c>
      <c r="H7" s="189" t="s">
        <v>42</v>
      </c>
      <c r="I7" s="190" t="s">
        <v>43</v>
      </c>
      <c r="K7"/>
      <c r="U7" s="7"/>
      <c r="V7" s="7"/>
      <c r="W7" s="7"/>
    </row>
    <row r="8" spans="1:27" x14ac:dyDescent="0.2">
      <c r="A8" s="133"/>
      <c r="B8" s="8"/>
      <c r="C8" s="9"/>
      <c r="D8" s="9"/>
      <c r="E8" s="146" t="s">
        <v>9</v>
      </c>
      <c r="F8" s="8"/>
      <c r="G8" s="9" t="s">
        <v>10</v>
      </c>
      <c r="H8" s="8"/>
      <c r="I8" s="139" t="s">
        <v>6</v>
      </c>
      <c r="K8"/>
      <c r="U8" s="7"/>
      <c r="V8" s="7"/>
      <c r="W8" s="7"/>
    </row>
    <row r="9" spans="1:27" x14ac:dyDescent="0.2">
      <c r="A9" s="133"/>
      <c r="B9" s="8"/>
      <c r="C9" s="9"/>
      <c r="D9" s="9"/>
      <c r="E9" s="146"/>
      <c r="F9" s="8"/>
      <c r="G9" s="9"/>
      <c r="H9" s="8"/>
      <c r="I9" s="139"/>
      <c r="K9"/>
      <c r="U9" s="7"/>
      <c r="V9" s="7"/>
      <c r="W9" s="7"/>
    </row>
    <row r="10" spans="1:27" x14ac:dyDescent="0.2">
      <c r="A10" s="428">
        <f>'Q1 p.1 - Rate Base True-up Adj'!A9</f>
        <v>43040</v>
      </c>
      <c r="B10" s="129">
        <f>'Q1 p.1 - Rate Base True-up Adj'!B9</f>
        <v>42979</v>
      </c>
      <c r="C10" s="11">
        <f>'Q1 p.1 - Rate Base True-up Adj'!C9</f>
        <v>0.10349999999999999</v>
      </c>
      <c r="D10" s="12">
        <f>'Q1 p.2 - Rate of Return Adj'!D9</f>
        <v>0.1042</v>
      </c>
      <c r="E10" s="11">
        <f t="shared" ref="E10:E15" si="1">D10-C10</f>
        <v>7.0000000000000617E-4</v>
      </c>
      <c r="F10" s="60">
        <f>'Q1 p.1 - Rate Base True-up Adj'!E9</f>
        <v>1048780703</v>
      </c>
      <c r="G10" s="60">
        <f t="shared" ref="G10:G15" si="2">(E10*F10)/12</f>
        <v>61178.8743416672</v>
      </c>
      <c r="H10" s="11">
        <f>'Input Tab'!D18</f>
        <v>0.87170000000000003</v>
      </c>
      <c r="I10" s="137">
        <f t="shared" ref="I10:I15" si="3">+G10*H10</f>
        <v>53329.624763631298</v>
      </c>
      <c r="K10"/>
      <c r="M10" s="402"/>
      <c r="U10" s="14"/>
      <c r="V10" s="14"/>
      <c r="W10" s="7"/>
    </row>
    <row r="11" spans="1:27" x14ac:dyDescent="0.2">
      <c r="A11" s="428">
        <f>'Q1 p.1 - Rate Base True-up Adj'!A10</f>
        <v>43070</v>
      </c>
      <c r="B11" s="129">
        <f>'Q1 p.1 - Rate Base True-up Adj'!B10</f>
        <v>43009</v>
      </c>
      <c r="C11" s="11">
        <f>'Q1 p.1 - Rate Base True-up Adj'!C10</f>
        <v>0.10349999999999999</v>
      </c>
      <c r="D11" s="12">
        <f>'Q1 p.2 - Rate of Return Adj'!D10</f>
        <v>0.1042</v>
      </c>
      <c r="E11" s="11">
        <f t="shared" si="1"/>
        <v>7.0000000000000617E-4</v>
      </c>
      <c r="F11" s="61">
        <f>'Q1 p.1 - Rate Base True-up Adj'!E10</f>
        <v>1046778708</v>
      </c>
      <c r="G11" s="61">
        <f t="shared" si="2"/>
        <v>61062.091300000531</v>
      </c>
      <c r="H11" s="11">
        <f>'Input Tab'!D19</f>
        <v>0.87939999999999996</v>
      </c>
      <c r="I11" s="191">
        <f t="shared" si="3"/>
        <v>53698.003089220467</v>
      </c>
      <c r="K11"/>
      <c r="M11" s="402"/>
      <c r="U11" s="14"/>
      <c r="V11" s="14"/>
      <c r="W11" s="7"/>
    </row>
    <row r="12" spans="1:27" x14ac:dyDescent="0.2">
      <c r="A12" s="428">
        <f>'Q1 p.1 - Rate Base True-up Adj'!A11</f>
        <v>43101</v>
      </c>
      <c r="B12" s="129">
        <f>'Q1 p.1 - Rate Base True-up Adj'!B11</f>
        <v>43040</v>
      </c>
      <c r="C12" s="11">
        <f>'Q1 p.1 - Rate Base True-up Adj'!C11</f>
        <v>0.10349999999999999</v>
      </c>
      <c r="D12" s="12">
        <f>'Q1 p.2 - Rate of Return Adj'!D11</f>
        <v>0.1042</v>
      </c>
      <c r="E12" s="11">
        <f t="shared" si="1"/>
        <v>7.0000000000000617E-4</v>
      </c>
      <c r="F12" s="61">
        <f>'Q1 p.1 - Rate Base True-up Adj'!E11</f>
        <v>1045172538</v>
      </c>
      <c r="G12" s="61">
        <f t="shared" si="2"/>
        <v>60968.398050000542</v>
      </c>
      <c r="H12" s="11">
        <f>'Input Tab'!D20</f>
        <v>0.87039999999999995</v>
      </c>
      <c r="I12" s="191">
        <f t="shared" si="3"/>
        <v>53066.893662720468</v>
      </c>
      <c r="K12"/>
      <c r="M12" s="402"/>
      <c r="U12" s="14"/>
      <c r="V12" s="14"/>
      <c r="W12" s="7"/>
    </row>
    <row r="13" spans="1:27" x14ac:dyDescent="0.2">
      <c r="A13" s="428">
        <f>'Q1 p.1 - Rate Base True-up Adj'!A12</f>
        <v>43132</v>
      </c>
      <c r="B13" s="129">
        <f>'Q1 p.1 - Rate Base True-up Adj'!B12</f>
        <v>43070</v>
      </c>
      <c r="C13" s="11">
        <f>'Q1 p.1 - Rate Base True-up Adj'!C12</f>
        <v>0.1033</v>
      </c>
      <c r="D13" s="12">
        <f>'Q1 p.2 - Rate of Return Adj'!D12</f>
        <v>0.1042</v>
      </c>
      <c r="E13" s="11">
        <f t="shared" si="1"/>
        <v>8.9999999999999802E-4</v>
      </c>
      <c r="F13" s="61">
        <f>'Q1 p.1 - Rate Base True-up Adj'!E12</f>
        <v>1124764196</v>
      </c>
      <c r="G13" s="61">
        <f t="shared" si="2"/>
        <v>84357.314699999813</v>
      </c>
      <c r="H13" s="11">
        <f>'Input Tab'!D21</f>
        <v>0.88539999999999996</v>
      </c>
      <c r="I13" s="191">
        <f t="shared" si="3"/>
        <v>74689.966435379829</v>
      </c>
      <c r="K13"/>
      <c r="M13" s="402"/>
      <c r="U13" s="14"/>
      <c r="V13" s="14"/>
      <c r="W13" s="7"/>
      <c r="X13" s="16"/>
      <c r="Y13" s="17"/>
      <c r="AA13" s="18"/>
    </row>
    <row r="14" spans="1:27" x14ac:dyDescent="0.2">
      <c r="A14" s="428">
        <f>'Q1 p.1 - Rate Base True-up Adj'!A13</f>
        <v>43160</v>
      </c>
      <c r="B14" s="129">
        <f>'Q1 p.1 - Rate Base True-up Adj'!B13</f>
        <v>43101</v>
      </c>
      <c r="C14" s="11">
        <f>'Q1 p.1 - Rate Base True-up Adj'!C13</f>
        <v>8.8400000000000006E-2</v>
      </c>
      <c r="D14" s="12">
        <f>'Q1 p.2 - Rate of Return Adj'!D13</f>
        <v>8.8999999999999996E-2</v>
      </c>
      <c r="E14" s="11">
        <f t="shared" si="1"/>
        <v>5.9999999999998943E-4</v>
      </c>
      <c r="F14" s="61">
        <f>'Q1 p.1 - Rate Base True-up Adj'!E13</f>
        <v>1137063315</v>
      </c>
      <c r="G14" s="61">
        <f t="shared" si="2"/>
        <v>56853.165749998996</v>
      </c>
      <c r="H14" s="11">
        <f>'Input Tab'!D22</f>
        <v>0.85899999999999999</v>
      </c>
      <c r="I14" s="191">
        <f t="shared" si="3"/>
        <v>48836.869379249139</v>
      </c>
      <c r="K14"/>
      <c r="M14" s="402"/>
      <c r="U14" s="14"/>
      <c r="V14" s="14"/>
      <c r="W14" s="7"/>
      <c r="X14" s="16"/>
      <c r="Y14" s="17"/>
      <c r="AA14" s="18"/>
    </row>
    <row r="15" spans="1:27" x14ac:dyDescent="0.2">
      <c r="A15" s="428">
        <f>'Q1 p.1 - Rate Base True-up Adj'!A14</f>
        <v>43191</v>
      </c>
      <c r="B15" s="129">
        <f>'Q1 p.1 - Rate Base True-up Adj'!B14</f>
        <v>43132</v>
      </c>
      <c r="C15" s="11">
        <f>'Q1 p.1 - Rate Base True-up Adj'!C14</f>
        <v>8.8400000000000006E-2</v>
      </c>
      <c r="D15" s="12">
        <f>'Q1 p.2 - Rate of Return Adj'!D14</f>
        <v>8.8999999999999996E-2</v>
      </c>
      <c r="E15" s="11">
        <f t="shared" si="1"/>
        <v>5.9999999999998943E-4</v>
      </c>
      <c r="F15" s="61">
        <f>'Q1 p.1 - Rate Base True-up Adj'!E14</f>
        <v>1145729650</v>
      </c>
      <c r="G15" s="63">
        <f t="shared" si="2"/>
        <v>57286.482499998994</v>
      </c>
      <c r="H15" s="11">
        <f>'Input Tab'!D23</f>
        <v>0.872</v>
      </c>
      <c r="I15" s="192">
        <f t="shared" si="3"/>
        <v>49953.812739999121</v>
      </c>
      <c r="K15"/>
      <c r="M15" s="402"/>
      <c r="U15" s="14"/>
      <c r="V15" s="14"/>
      <c r="W15" s="7"/>
      <c r="X15" s="16"/>
      <c r="Z15" s="18"/>
    </row>
    <row r="16" spans="1:27" x14ac:dyDescent="0.2">
      <c r="A16" s="429"/>
      <c r="B16" s="10"/>
      <c r="C16" s="8"/>
      <c r="D16" s="8"/>
      <c r="E16" s="8"/>
      <c r="F16" s="8"/>
      <c r="G16" s="60">
        <f>SUM(G10:G15)</f>
        <v>381706.32664166606</v>
      </c>
      <c r="H16" s="8"/>
      <c r="I16" s="137">
        <f>SUM(I10:I15)</f>
        <v>333575.17007020034</v>
      </c>
      <c r="K16"/>
      <c r="U16" s="7"/>
      <c r="V16" s="7"/>
      <c r="W16" s="7"/>
      <c r="Z16" s="18"/>
      <c r="AA16" s="18"/>
    </row>
    <row r="17" spans="1:27" ht="13.5" thickBot="1" x14ac:dyDescent="0.25">
      <c r="A17" s="430"/>
      <c r="B17" s="193"/>
      <c r="C17" s="141"/>
      <c r="D17" s="141"/>
      <c r="E17" s="141"/>
      <c r="F17" s="141"/>
      <c r="G17" s="194"/>
      <c r="H17" s="141"/>
      <c r="I17" s="195"/>
      <c r="K17"/>
      <c r="U17" s="7"/>
      <c r="V17" s="7"/>
      <c r="W17" s="7"/>
      <c r="Z17" s="18"/>
      <c r="AA17" s="18"/>
    </row>
    <row r="18" spans="1:27" ht="13.5" thickBot="1" x14ac:dyDescent="0.25">
      <c r="A18" s="10"/>
      <c r="B18" s="10"/>
      <c r="G18" s="60"/>
      <c r="I18" s="60"/>
      <c r="K18"/>
      <c r="U18" s="7"/>
      <c r="V18" s="7"/>
      <c r="W18" s="7"/>
      <c r="Z18" s="18"/>
      <c r="AA18" s="18"/>
    </row>
    <row r="19" spans="1:27" ht="13.5" thickBot="1" x14ac:dyDescent="0.25">
      <c r="A19" s="567" t="s">
        <v>103</v>
      </c>
      <c r="B19" s="570"/>
      <c r="C19" s="570"/>
      <c r="D19" s="570"/>
      <c r="E19" s="570"/>
      <c r="F19" s="570"/>
      <c r="G19" s="570"/>
      <c r="H19" s="570"/>
      <c r="I19" s="571"/>
      <c r="K19"/>
      <c r="U19" s="7"/>
      <c r="V19" s="7"/>
      <c r="W19" s="7"/>
      <c r="Z19" s="18"/>
      <c r="AA19" s="18"/>
    </row>
    <row r="20" spans="1:27" x14ac:dyDescent="0.2">
      <c r="A20" s="426">
        <v>-1</v>
      </c>
      <c r="B20" s="196">
        <f t="shared" ref="B20" si="4">+A20-1</f>
        <v>-2</v>
      </c>
      <c r="C20" s="196">
        <f t="shared" ref="C20" si="5">+B20-1</f>
        <v>-3</v>
      </c>
      <c r="D20" s="196">
        <f t="shared" ref="D20" si="6">+C20-1</f>
        <v>-4</v>
      </c>
      <c r="E20" s="196">
        <f t="shared" ref="E20" si="7">+D20-1</f>
        <v>-5</v>
      </c>
      <c r="F20" s="196">
        <f t="shared" ref="F20" si="8">+E20-1</f>
        <v>-6</v>
      </c>
      <c r="G20" s="196">
        <f t="shared" ref="G20" si="9">+F20-1</f>
        <v>-7</v>
      </c>
      <c r="H20" s="196">
        <f t="shared" ref="H20" si="10">+G20-1</f>
        <v>-8</v>
      </c>
      <c r="I20" s="197">
        <f t="shared" ref="I20" si="11">+H20-1</f>
        <v>-9</v>
      </c>
      <c r="K20"/>
      <c r="U20" s="7"/>
      <c r="V20" s="7"/>
      <c r="W20" s="7"/>
      <c r="Z20" s="18"/>
      <c r="AA20" s="18"/>
    </row>
    <row r="21" spans="1:27" ht="38.25" x14ac:dyDescent="0.2">
      <c r="A21" s="427" t="s">
        <v>0</v>
      </c>
      <c r="B21" s="20" t="s">
        <v>1</v>
      </c>
      <c r="C21" s="20" t="s">
        <v>2</v>
      </c>
      <c r="D21" s="20" t="s">
        <v>7</v>
      </c>
      <c r="E21" s="20" t="s">
        <v>8</v>
      </c>
      <c r="F21" s="20" t="s">
        <v>14</v>
      </c>
      <c r="G21" s="20" t="s">
        <v>41</v>
      </c>
      <c r="H21" s="189" t="s">
        <v>42</v>
      </c>
      <c r="I21" s="190" t="s">
        <v>43</v>
      </c>
      <c r="K21"/>
      <c r="U21" s="7"/>
      <c r="V21" s="7"/>
      <c r="W21" s="7"/>
      <c r="Z21" s="18"/>
      <c r="AA21" s="18"/>
    </row>
    <row r="22" spans="1:27" x14ac:dyDescent="0.2">
      <c r="A22" s="133"/>
      <c r="B22" s="8"/>
      <c r="C22" s="9"/>
      <c r="D22" s="9"/>
      <c r="E22" s="146" t="s">
        <v>9</v>
      </c>
      <c r="F22" s="8"/>
      <c r="G22" s="9" t="s">
        <v>10</v>
      </c>
      <c r="H22" s="8"/>
      <c r="I22" s="139" t="s">
        <v>6</v>
      </c>
      <c r="K22"/>
      <c r="U22" s="7"/>
      <c r="V22" s="7"/>
      <c r="W22" s="7"/>
      <c r="Z22" s="18"/>
      <c r="AA22" s="18"/>
    </row>
    <row r="23" spans="1:27" x14ac:dyDescent="0.2">
      <c r="A23" s="133"/>
      <c r="B23" s="8"/>
      <c r="C23" s="9"/>
      <c r="D23" s="9"/>
      <c r="E23" s="146"/>
      <c r="F23" s="8"/>
      <c r="G23" s="9"/>
      <c r="H23" s="8"/>
      <c r="I23" s="139"/>
      <c r="K23"/>
      <c r="U23" s="7"/>
      <c r="V23" s="7"/>
      <c r="W23" s="7"/>
      <c r="Z23" s="18"/>
      <c r="AA23" s="18"/>
    </row>
    <row r="24" spans="1:27" x14ac:dyDescent="0.2">
      <c r="A24" s="428">
        <f>'Q1 p.1 - Rate Base True-up Adj'!A22</f>
        <v>43040</v>
      </c>
      <c r="B24" s="129">
        <f>'Q1 p.1 - Rate Base True-up Adj'!B22</f>
        <v>42979</v>
      </c>
      <c r="C24" s="11">
        <f>'Q1 p.1 - Rate Base True-up Adj'!C22</f>
        <v>0.10349999999999999</v>
      </c>
      <c r="D24" s="12">
        <f>'Q1 p.2 - Rate of Return Adj'!D22</f>
        <v>0.1042</v>
      </c>
      <c r="E24" s="11">
        <f>D24-C24</f>
        <v>7.0000000000000617E-4</v>
      </c>
      <c r="F24" s="60">
        <f>'Q1 p.1 - Rate Base True-up Adj'!E22</f>
        <v>41786965</v>
      </c>
      <c r="G24" s="60">
        <f t="shared" ref="G24:G29" si="12">(E24*F24)/12</f>
        <v>2437.5729583333546</v>
      </c>
      <c r="H24" s="11">
        <f>H10</f>
        <v>0.87170000000000003</v>
      </c>
      <c r="I24" s="137">
        <f>+G24*H24</f>
        <v>2124.8323477791851</v>
      </c>
      <c r="K24"/>
      <c r="U24" s="7"/>
      <c r="V24" s="7"/>
      <c r="W24" s="7"/>
      <c r="Z24" s="18"/>
      <c r="AA24" s="18"/>
    </row>
    <row r="25" spans="1:27" x14ac:dyDescent="0.2">
      <c r="A25" s="428">
        <f>'Q1 p.1 - Rate Base True-up Adj'!A23</f>
        <v>43070</v>
      </c>
      <c r="B25" s="129">
        <f>'Q1 p.1 - Rate Base True-up Adj'!B23</f>
        <v>43009</v>
      </c>
      <c r="C25" s="11">
        <f>'Q1 p.1 - Rate Base True-up Adj'!C23</f>
        <v>0.10349999999999999</v>
      </c>
      <c r="D25" s="12">
        <f>'Q1 p.2 - Rate of Return Adj'!D23</f>
        <v>0.1042</v>
      </c>
      <c r="E25" s="11">
        <f t="shared" ref="E25:E29" si="13">D25-C25</f>
        <v>7.0000000000000617E-4</v>
      </c>
      <c r="F25" s="60">
        <f>'Q1 p.1 - Rate Base True-up Adj'!E23</f>
        <v>54008959</v>
      </c>
      <c r="G25" s="61">
        <f t="shared" si="12"/>
        <v>3150.5226083333614</v>
      </c>
      <c r="H25" s="11">
        <f t="shared" ref="H25:H29" si="14">H11</f>
        <v>0.87939999999999996</v>
      </c>
      <c r="I25" s="191">
        <f t="shared" ref="I25:I29" si="15">+G25*H25</f>
        <v>2770.5695817683577</v>
      </c>
      <c r="K25"/>
      <c r="U25" s="7"/>
      <c r="V25" s="7"/>
      <c r="W25" s="7"/>
      <c r="Z25" s="18"/>
      <c r="AA25" s="18"/>
    </row>
    <row r="26" spans="1:27" x14ac:dyDescent="0.2">
      <c r="A26" s="428">
        <f>'Q1 p.1 - Rate Base True-up Adj'!A24</f>
        <v>43101</v>
      </c>
      <c r="B26" s="129">
        <f>'Q1 p.1 - Rate Base True-up Adj'!B24</f>
        <v>43040</v>
      </c>
      <c r="C26" s="11">
        <f>'Q1 p.1 - Rate Base True-up Adj'!C24</f>
        <v>0.10349999999999999</v>
      </c>
      <c r="D26" s="12">
        <f>'Q1 p.2 - Rate of Return Adj'!D24</f>
        <v>0.1042</v>
      </c>
      <c r="E26" s="11">
        <f t="shared" si="13"/>
        <v>7.0000000000000617E-4</v>
      </c>
      <c r="F26" s="60">
        <f>'Q1 p.1 - Rate Base True-up Adj'!E24</f>
        <v>64810333</v>
      </c>
      <c r="G26" s="61">
        <f t="shared" si="12"/>
        <v>3780.6027583333666</v>
      </c>
      <c r="H26" s="11">
        <f t="shared" si="14"/>
        <v>0.87039999999999995</v>
      </c>
      <c r="I26" s="191">
        <f t="shared" si="15"/>
        <v>3290.6366408533622</v>
      </c>
      <c r="K26"/>
      <c r="U26" s="7"/>
      <c r="V26" s="7"/>
      <c r="W26" s="7"/>
      <c r="Z26" s="18"/>
      <c r="AA26" s="18"/>
    </row>
    <row r="27" spans="1:27" x14ac:dyDescent="0.2">
      <c r="A27" s="428">
        <f>'Q1 p.1 - Rate Base True-up Adj'!A25</f>
        <v>43132</v>
      </c>
      <c r="B27" s="129">
        <f>'Q1 p.1 - Rate Base True-up Adj'!B25</f>
        <v>43070</v>
      </c>
      <c r="C27" s="11">
        <f>'Q1 p.1 - Rate Base True-up Adj'!C25</f>
        <v>0</v>
      </c>
      <c r="D27" s="12">
        <f>'Q1 p.2 - Rate of Return Adj'!D25</f>
        <v>0</v>
      </c>
      <c r="E27" s="11">
        <f t="shared" si="13"/>
        <v>0</v>
      </c>
      <c r="F27" s="60">
        <f>'Q1 p.1 - Rate Base True-up Adj'!E25</f>
        <v>0</v>
      </c>
      <c r="G27" s="61">
        <f t="shared" si="12"/>
        <v>0</v>
      </c>
      <c r="H27" s="11">
        <f t="shared" si="14"/>
        <v>0.88539999999999996</v>
      </c>
      <c r="I27" s="191">
        <f t="shared" si="15"/>
        <v>0</v>
      </c>
      <c r="K27"/>
      <c r="U27" s="7"/>
      <c r="V27" s="7"/>
      <c r="W27" s="7"/>
      <c r="Z27" s="18"/>
      <c r="AA27" s="18"/>
    </row>
    <row r="28" spans="1:27" x14ac:dyDescent="0.2">
      <c r="A28" s="428">
        <f>'Q1 p.1 - Rate Base True-up Adj'!A26</f>
        <v>43160</v>
      </c>
      <c r="B28" s="129">
        <f>'Q1 p.1 - Rate Base True-up Adj'!B26</f>
        <v>43101</v>
      </c>
      <c r="C28" s="11">
        <f>'Q1 p.1 - Rate Base True-up Adj'!C26</f>
        <v>0</v>
      </c>
      <c r="D28" s="12">
        <f>'Q1 p.2 - Rate of Return Adj'!D26</f>
        <v>0</v>
      </c>
      <c r="E28" s="11">
        <f t="shared" si="13"/>
        <v>0</v>
      </c>
      <c r="F28" s="60">
        <f>'Q1 p.1 - Rate Base True-up Adj'!E26</f>
        <v>0</v>
      </c>
      <c r="G28" s="61">
        <f t="shared" si="12"/>
        <v>0</v>
      </c>
      <c r="H28" s="11">
        <f t="shared" si="14"/>
        <v>0.85899999999999999</v>
      </c>
      <c r="I28" s="191">
        <f t="shared" si="15"/>
        <v>0</v>
      </c>
      <c r="K28"/>
      <c r="U28" s="7"/>
      <c r="V28" s="7"/>
      <c r="W28" s="7"/>
      <c r="Z28" s="18"/>
      <c r="AA28" s="18"/>
    </row>
    <row r="29" spans="1:27" x14ac:dyDescent="0.2">
      <c r="A29" s="428">
        <f>'Q1 p.1 - Rate Base True-up Adj'!A27</f>
        <v>43191</v>
      </c>
      <c r="B29" s="129">
        <f>'Q1 p.1 - Rate Base True-up Adj'!B27</f>
        <v>43132</v>
      </c>
      <c r="C29" s="11">
        <f>'Q1 p.1 - Rate Base True-up Adj'!C27</f>
        <v>0</v>
      </c>
      <c r="D29" s="12">
        <f>'Q1 p.2 - Rate of Return Adj'!D27</f>
        <v>0</v>
      </c>
      <c r="E29" s="11">
        <f t="shared" si="13"/>
        <v>0</v>
      </c>
      <c r="F29" s="60">
        <f>'Q1 p.1 - Rate Base True-up Adj'!E27</f>
        <v>0</v>
      </c>
      <c r="G29" s="63">
        <f t="shared" si="12"/>
        <v>0</v>
      </c>
      <c r="H29" s="11">
        <f t="shared" si="14"/>
        <v>0.872</v>
      </c>
      <c r="I29" s="192">
        <f t="shared" si="15"/>
        <v>0</v>
      </c>
      <c r="K29"/>
      <c r="U29" s="7"/>
      <c r="V29" s="7"/>
      <c r="W29" s="7"/>
      <c r="Z29" s="18"/>
      <c r="AA29" s="18"/>
    </row>
    <row r="30" spans="1:27" x14ac:dyDescent="0.2">
      <c r="A30" s="429"/>
      <c r="B30" s="10"/>
      <c r="C30" s="8"/>
      <c r="D30" s="8"/>
      <c r="E30" s="8"/>
      <c r="F30" s="8"/>
      <c r="G30" s="60">
        <f>SUM(G24:G29)</f>
        <v>9368.6983250000831</v>
      </c>
      <c r="H30" s="8"/>
      <c r="I30" s="137">
        <f>SUM(I24:I29)</f>
        <v>8186.038570400905</v>
      </c>
      <c r="K30"/>
      <c r="U30" s="7"/>
      <c r="V30" s="7"/>
      <c r="W30" s="7"/>
      <c r="Z30" s="18"/>
      <c r="AA30" s="18"/>
    </row>
    <row r="31" spans="1:27" ht="13.5" thickBot="1" x14ac:dyDescent="0.25">
      <c r="A31" s="140"/>
      <c r="B31" s="141"/>
      <c r="C31" s="141"/>
      <c r="D31" s="141"/>
      <c r="E31" s="141"/>
      <c r="F31" s="141"/>
      <c r="G31" s="141"/>
      <c r="H31" s="141"/>
      <c r="I31" s="143"/>
      <c r="K31"/>
      <c r="U31" s="7"/>
      <c r="V31" s="7"/>
      <c r="W31" s="7"/>
    </row>
    <row r="32" spans="1:27" ht="13.5" thickBot="1" x14ac:dyDescent="0.25">
      <c r="K32"/>
      <c r="U32" s="7"/>
      <c r="V32" s="7"/>
      <c r="W32" s="7"/>
    </row>
    <row r="33" spans="2:30" s="5" customFormat="1" ht="13.5" thickBot="1" x14ac:dyDescent="0.25">
      <c r="B33" s="567" t="s">
        <v>44</v>
      </c>
      <c r="C33" s="568"/>
      <c r="D33" s="568"/>
      <c r="E33" s="568"/>
      <c r="F33" s="568"/>
      <c r="G33" s="569"/>
      <c r="H33" s="6"/>
      <c r="I33" s="1"/>
      <c r="J33" s="19"/>
      <c r="K33"/>
      <c r="L33"/>
      <c r="M33"/>
      <c r="N33"/>
      <c r="O33"/>
      <c r="P33"/>
      <c r="Q33"/>
      <c r="R33"/>
      <c r="S33"/>
      <c r="T33"/>
      <c r="U33" s="19"/>
      <c r="V33" s="9"/>
      <c r="W33" s="9"/>
    </row>
    <row r="34" spans="2:30" x14ac:dyDescent="0.2">
      <c r="B34" s="198">
        <v>-1</v>
      </c>
      <c r="C34" s="187">
        <f t="shared" ref="C34:G34" si="16">+B34-1</f>
        <v>-2</v>
      </c>
      <c r="D34" s="187">
        <f t="shared" si="16"/>
        <v>-3</v>
      </c>
      <c r="E34" s="187">
        <f t="shared" si="16"/>
        <v>-4</v>
      </c>
      <c r="F34" s="187">
        <f t="shared" si="16"/>
        <v>-5</v>
      </c>
      <c r="G34" s="188">
        <f t="shared" si="16"/>
        <v>-6</v>
      </c>
      <c r="L34" s="4"/>
      <c r="M34" s="4"/>
      <c r="U34" s="7"/>
    </row>
    <row r="35" spans="2:30" ht="51" x14ac:dyDescent="0.2">
      <c r="B35" s="199" t="s">
        <v>45</v>
      </c>
      <c r="C35" s="189" t="s">
        <v>46</v>
      </c>
      <c r="D35" s="20" t="s">
        <v>18</v>
      </c>
      <c r="E35" s="189" t="s">
        <v>167</v>
      </c>
      <c r="F35" s="189" t="s">
        <v>168</v>
      </c>
      <c r="G35" s="200" t="s">
        <v>47</v>
      </c>
      <c r="H35" s="5"/>
      <c r="I35" s="64"/>
      <c r="J35" s="7"/>
      <c r="K35"/>
      <c r="U35" s="7"/>
    </row>
    <row r="36" spans="2:30" x14ac:dyDescent="0.2">
      <c r="B36" s="138"/>
      <c r="C36" s="9"/>
      <c r="D36" s="146" t="s">
        <v>48</v>
      </c>
      <c r="E36" s="9"/>
      <c r="F36" s="8"/>
      <c r="G36" s="139"/>
      <c r="H36" s="5"/>
      <c r="I36" s="7"/>
      <c r="J36" s="7"/>
      <c r="K36"/>
      <c r="U36" s="7"/>
    </row>
    <row r="37" spans="2:30" x14ac:dyDescent="0.2">
      <c r="B37" s="201"/>
      <c r="C37" s="9"/>
      <c r="D37" s="9"/>
      <c r="E37" s="8"/>
      <c r="F37" s="8"/>
      <c r="G37" s="135"/>
      <c r="H37" s="59"/>
      <c r="I37" s="21"/>
      <c r="J37" s="19"/>
      <c r="K37"/>
      <c r="U37" s="7"/>
    </row>
    <row r="38" spans="2:30" x14ac:dyDescent="0.2">
      <c r="B38" s="202">
        <f t="shared" ref="B38:C43" si="17">+A10</f>
        <v>43040</v>
      </c>
      <c r="C38" s="130">
        <f t="shared" si="17"/>
        <v>42979</v>
      </c>
      <c r="D38" s="60">
        <f>'Q2 p.2 - Detailed Over-Under'!L10</f>
        <v>-385687.81102179363</v>
      </c>
      <c r="E38" s="60">
        <f t="shared" ref="E38:E43" si="18">-I10</f>
        <v>-53329.624763631298</v>
      </c>
      <c r="F38" s="203">
        <f t="shared" ref="F38:F43" si="19">-I24</f>
        <v>-2124.8323477791851</v>
      </c>
      <c r="G38" s="137">
        <f>D38-E38-F38</f>
        <v>-330233.35391038313</v>
      </c>
      <c r="H38" s="5"/>
      <c r="I38" s="13"/>
      <c r="J38" s="19"/>
      <c r="K38"/>
      <c r="U38" s="7"/>
    </row>
    <row r="39" spans="2:30" x14ac:dyDescent="0.2">
      <c r="B39" s="202">
        <f t="shared" si="17"/>
        <v>43070</v>
      </c>
      <c r="C39" s="130">
        <f t="shared" si="17"/>
        <v>43009</v>
      </c>
      <c r="D39" s="60">
        <f>'Q2 p.2 - Detailed Over-Under'!L11</f>
        <v>78272.858081070706</v>
      </c>
      <c r="E39" s="204">
        <f t="shared" si="18"/>
        <v>-53698.003089220467</v>
      </c>
      <c r="F39" s="203">
        <f t="shared" si="19"/>
        <v>-2770.5695817683577</v>
      </c>
      <c r="G39" s="137">
        <f t="shared" ref="G39:G43" si="20">D39-E39-F39</f>
        <v>134741.43075205953</v>
      </c>
      <c r="H39" s="5"/>
      <c r="I39" s="13"/>
      <c r="J39" s="19"/>
      <c r="K39"/>
      <c r="U39" s="7"/>
    </row>
    <row r="40" spans="2:30" x14ac:dyDescent="0.2">
      <c r="B40" s="202">
        <f t="shared" si="17"/>
        <v>43101</v>
      </c>
      <c r="C40" s="130">
        <f t="shared" si="17"/>
        <v>43040</v>
      </c>
      <c r="D40" s="60">
        <f>'Q2 p.2 - Detailed Over-Under'!L12</f>
        <v>1687276.2605252285</v>
      </c>
      <c r="E40" s="204">
        <f t="shared" si="18"/>
        <v>-53066.893662720468</v>
      </c>
      <c r="F40" s="203">
        <f t="shared" si="19"/>
        <v>-3290.6366408533622</v>
      </c>
      <c r="G40" s="137">
        <f t="shared" si="20"/>
        <v>1743633.7908288022</v>
      </c>
      <c r="H40" s="5"/>
      <c r="I40" s="13"/>
      <c r="J40" s="19"/>
      <c r="K40"/>
      <c r="U40" s="7"/>
    </row>
    <row r="41" spans="2:30" x14ac:dyDescent="0.2">
      <c r="B41" s="202">
        <f t="shared" si="17"/>
        <v>43132</v>
      </c>
      <c r="C41" s="130">
        <f t="shared" si="17"/>
        <v>43070</v>
      </c>
      <c r="D41" s="60">
        <f>'Q2 p.2 - Detailed Over-Under'!L13</f>
        <v>709434.6730148904</v>
      </c>
      <c r="E41" s="204">
        <f t="shared" si="18"/>
        <v>-74689.966435379829</v>
      </c>
      <c r="F41" s="203">
        <f t="shared" si="19"/>
        <v>0</v>
      </c>
      <c r="G41" s="137">
        <f t="shared" si="20"/>
        <v>784124.63945027022</v>
      </c>
      <c r="H41" s="5"/>
      <c r="I41" s="13"/>
      <c r="J41" s="19"/>
      <c r="K41"/>
      <c r="U41" s="7"/>
    </row>
    <row r="42" spans="2:30" x14ac:dyDescent="0.2">
      <c r="B42" s="202">
        <f t="shared" si="17"/>
        <v>43160</v>
      </c>
      <c r="C42" s="130">
        <f t="shared" si="17"/>
        <v>43101</v>
      </c>
      <c r="D42" s="60">
        <f>'Q2 p.2 - Detailed Over-Under'!L14</f>
        <v>513486.32941125147</v>
      </c>
      <c r="E42" s="204">
        <f t="shared" si="18"/>
        <v>-48836.869379249139</v>
      </c>
      <c r="F42" s="203">
        <f t="shared" si="19"/>
        <v>0</v>
      </c>
      <c r="G42" s="137">
        <f t="shared" si="20"/>
        <v>562323.19879050064</v>
      </c>
      <c r="H42" s="5"/>
      <c r="I42" s="13"/>
      <c r="J42" s="19"/>
      <c r="K42"/>
      <c r="U42" s="7"/>
    </row>
    <row r="43" spans="2:30" x14ac:dyDescent="0.2">
      <c r="B43" s="205">
        <f t="shared" si="17"/>
        <v>43191</v>
      </c>
      <c r="C43" s="131">
        <f t="shared" si="17"/>
        <v>43132</v>
      </c>
      <c r="D43" s="65">
        <f>'Q2 p.2 - Detailed Over-Under'!L15</f>
        <v>158684.34956666641</v>
      </c>
      <c r="E43" s="62">
        <f t="shared" si="18"/>
        <v>-49953.812739999121</v>
      </c>
      <c r="F43" s="132">
        <f t="shared" si="19"/>
        <v>0</v>
      </c>
      <c r="G43" s="206">
        <f t="shared" si="20"/>
        <v>208638.16230666553</v>
      </c>
      <c r="H43" s="5"/>
      <c r="I43" s="13"/>
      <c r="J43" s="19"/>
      <c r="K43"/>
      <c r="U43" s="7"/>
    </row>
    <row r="44" spans="2:30" x14ac:dyDescent="0.2">
      <c r="B44" s="133" t="s">
        <v>98</v>
      </c>
      <c r="C44" s="8"/>
      <c r="D44" s="60">
        <f>SUM(D38:D43)</f>
        <v>2761466.6595773138</v>
      </c>
      <c r="E44" s="60">
        <f>SUM(E38:E43)</f>
        <v>-333575.17007020034</v>
      </c>
      <c r="F44" s="60">
        <f>SUM(F38:F43)</f>
        <v>-8186.038570400905</v>
      </c>
      <c r="G44" s="137">
        <f>SUM(G38:G43)</f>
        <v>3103227.8682179153</v>
      </c>
      <c r="H44" s="16"/>
      <c r="I44" s="7"/>
      <c r="J44" s="15"/>
      <c r="K44"/>
      <c r="U44" s="4"/>
      <c r="W44" s="18"/>
      <c r="X44" s="18"/>
      <c r="Y44" s="18"/>
      <c r="AA44" s="23"/>
      <c r="AB44" s="18"/>
      <c r="AC44" s="24"/>
      <c r="AD44" s="16"/>
    </row>
    <row r="45" spans="2:30" ht="13.5" thickBot="1" x14ac:dyDescent="0.25">
      <c r="B45" s="140"/>
      <c r="C45" s="141"/>
      <c r="D45" s="141"/>
      <c r="E45" s="141"/>
      <c r="F45" s="141"/>
      <c r="G45" s="143"/>
      <c r="H45" s="16"/>
      <c r="I45" s="7"/>
      <c r="J45" s="15"/>
      <c r="K45"/>
      <c r="U45" s="4"/>
      <c r="W45" s="18"/>
      <c r="X45" s="18"/>
      <c r="Y45" s="18"/>
      <c r="AA45" s="23"/>
      <c r="AB45" s="18"/>
      <c r="AC45" s="24"/>
      <c r="AD45" s="16"/>
    </row>
    <row r="46" spans="2:30" ht="13.5" thickBot="1" x14ac:dyDescent="0.25">
      <c r="K46"/>
      <c r="U46" s="4"/>
    </row>
    <row r="47" spans="2:30" ht="13.5" thickBot="1" x14ac:dyDescent="0.25">
      <c r="B47" s="572" t="s">
        <v>49</v>
      </c>
      <c r="C47" s="573"/>
      <c r="D47" s="573"/>
      <c r="E47" s="573"/>
      <c r="F47" s="573"/>
      <c r="G47" s="574"/>
      <c r="K47"/>
      <c r="U47" s="4"/>
    </row>
    <row r="48" spans="2:30" x14ac:dyDescent="0.2">
      <c r="B48" s="133"/>
      <c r="C48" s="8"/>
      <c r="D48" s="134"/>
      <c r="E48" s="8"/>
      <c r="F48" s="8"/>
      <c r="G48" s="135"/>
      <c r="I48" s="8"/>
      <c r="K48"/>
      <c r="U48" s="4"/>
    </row>
    <row r="49" spans="2:21" x14ac:dyDescent="0.2">
      <c r="B49" s="133"/>
      <c r="C49" s="8"/>
      <c r="D49" s="136" t="s">
        <v>50</v>
      </c>
      <c r="E49" s="8"/>
      <c r="F49" s="60">
        <f>D44</f>
        <v>2761466.6595773138</v>
      </c>
      <c r="G49" s="135"/>
      <c r="I49" s="8"/>
      <c r="K49"/>
      <c r="U49" s="4"/>
    </row>
    <row r="50" spans="2:21" x14ac:dyDescent="0.2">
      <c r="B50" s="133"/>
      <c r="C50" s="8"/>
      <c r="D50" s="8"/>
      <c r="E50" s="8"/>
      <c r="F50" s="8"/>
      <c r="G50" s="135"/>
      <c r="I50" s="22"/>
      <c r="K50"/>
      <c r="U50" s="4"/>
    </row>
    <row r="51" spans="2:21" x14ac:dyDescent="0.2">
      <c r="B51" s="133"/>
      <c r="C51" s="9"/>
      <c r="D51" s="136" t="s">
        <v>169</v>
      </c>
      <c r="E51" s="60">
        <f>E44</f>
        <v>-333575.17007020034</v>
      </c>
      <c r="F51" s="8"/>
      <c r="G51" s="135"/>
      <c r="I51" s="8"/>
      <c r="K51"/>
      <c r="U51" s="4"/>
    </row>
    <row r="52" spans="2:21" x14ac:dyDescent="0.2">
      <c r="B52" s="133"/>
      <c r="C52" s="9"/>
      <c r="D52" s="136" t="s">
        <v>170</v>
      </c>
      <c r="E52" s="60">
        <f>F44</f>
        <v>-8186.038570400905</v>
      </c>
      <c r="F52" s="8"/>
      <c r="G52" s="135"/>
      <c r="I52" s="8"/>
      <c r="K52"/>
      <c r="U52" s="4"/>
    </row>
    <row r="53" spans="2:21" x14ac:dyDescent="0.2">
      <c r="B53" s="133"/>
      <c r="C53" s="9"/>
      <c r="D53" s="25" t="s">
        <v>47</v>
      </c>
      <c r="E53" s="65">
        <f>G44</f>
        <v>3103227.8682179153</v>
      </c>
      <c r="F53" s="8"/>
      <c r="G53" s="135"/>
      <c r="I53" s="8"/>
      <c r="K53"/>
      <c r="U53" s="4"/>
    </row>
    <row r="54" spans="2:21" x14ac:dyDescent="0.2">
      <c r="B54" s="133"/>
      <c r="C54" s="8"/>
      <c r="D54" s="25"/>
      <c r="E54" s="22"/>
      <c r="F54" s="9"/>
      <c r="G54" s="135"/>
      <c r="I54" s="8"/>
      <c r="K54"/>
      <c r="U54" s="4"/>
    </row>
    <row r="55" spans="2:21" x14ac:dyDescent="0.2">
      <c r="B55" s="133"/>
      <c r="C55" s="8"/>
      <c r="D55" s="25" t="s">
        <v>51</v>
      </c>
      <c r="E55" s="8"/>
      <c r="F55" s="60">
        <f>SUM(E51:E53)</f>
        <v>2761466.6595773138</v>
      </c>
      <c r="G55" s="135"/>
      <c r="I55" s="8"/>
      <c r="K55"/>
      <c r="U55" s="4"/>
    </row>
    <row r="56" spans="2:21" x14ac:dyDescent="0.2">
      <c r="B56" s="133"/>
      <c r="C56" s="8"/>
      <c r="D56" s="25"/>
      <c r="E56" s="22"/>
      <c r="F56" s="8"/>
      <c r="G56" s="135"/>
      <c r="K56"/>
      <c r="U56" s="4"/>
    </row>
    <row r="57" spans="2:21" x14ac:dyDescent="0.2">
      <c r="B57" s="133"/>
      <c r="C57" s="8"/>
      <c r="D57" s="25" t="s">
        <v>52</v>
      </c>
      <c r="E57" s="8"/>
      <c r="F57" s="60">
        <f>+F49-F55</f>
        <v>0</v>
      </c>
      <c r="G57" s="135"/>
      <c r="K57"/>
      <c r="U57" s="4"/>
    </row>
    <row r="58" spans="2:21" ht="13.5" thickBot="1" x14ac:dyDescent="0.25">
      <c r="B58" s="140"/>
      <c r="C58" s="141"/>
      <c r="D58" s="141"/>
      <c r="E58" s="142"/>
      <c r="F58" s="141"/>
      <c r="G58" s="143"/>
      <c r="K58"/>
      <c r="U58" s="4"/>
    </row>
    <row r="59" spans="2:21" x14ac:dyDescent="0.2">
      <c r="K59"/>
      <c r="U59" s="4"/>
    </row>
    <row r="60" spans="2:21" x14ac:dyDescent="0.2">
      <c r="C60" s="8"/>
      <c r="D60" s="8"/>
      <c r="E60" s="26"/>
      <c r="F60" s="8"/>
      <c r="G60" s="8"/>
      <c r="K60"/>
      <c r="U60" s="4"/>
    </row>
    <row r="61" spans="2:21" x14ac:dyDescent="0.2">
      <c r="D61" s="8"/>
      <c r="E61" s="8"/>
      <c r="F61" s="26"/>
      <c r="G61" s="8"/>
      <c r="H61" s="8"/>
    </row>
    <row r="62" spans="2:21" x14ac:dyDescent="0.2">
      <c r="D62" s="8"/>
      <c r="E62" s="8"/>
      <c r="F62" s="26"/>
      <c r="G62" s="8"/>
      <c r="H62" s="8"/>
    </row>
    <row r="63" spans="2:21" x14ac:dyDescent="0.2">
      <c r="D63" s="8"/>
      <c r="E63" s="8"/>
      <c r="F63" s="26"/>
      <c r="G63" s="8"/>
      <c r="H63" s="8"/>
    </row>
  </sheetData>
  <mergeCells count="4">
    <mergeCell ref="A5:I5"/>
    <mergeCell ref="A19:I19"/>
    <mergeCell ref="B33:G33"/>
    <mergeCell ref="B47:G47"/>
  </mergeCells>
  <pageMargins left="1" right="0.75" top="1" bottom="0.55000000000000004" header="0.5" footer="0.5"/>
  <pageSetup scale="6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G48"/>
  <sheetViews>
    <sheetView zoomScaleNormal="100" workbookViewId="0"/>
  </sheetViews>
  <sheetFormatPr defaultRowHeight="15" x14ac:dyDescent="0.25"/>
  <cols>
    <col min="1" max="2" width="13.6640625" style="299" customWidth="1"/>
    <col min="3" max="3" width="19.5" style="299" customWidth="1"/>
    <col min="4" max="4" width="27.1640625" style="299" customWidth="1"/>
    <col min="5" max="8" width="19.5" style="299" customWidth="1"/>
    <col min="9" max="9" width="9.33203125" style="299"/>
    <col min="10" max="10" width="5.33203125" style="299" customWidth="1"/>
    <col min="11" max="11" width="22.6640625" style="299" customWidth="1"/>
    <col min="12" max="12" width="15.83203125" style="299" customWidth="1"/>
    <col min="13" max="13" width="15.6640625" style="299" customWidth="1"/>
    <col min="14" max="14" width="4.1640625" style="299" customWidth="1"/>
    <col min="15" max="15" width="19.83203125" style="299" bestFit="1" customWidth="1"/>
    <col min="16" max="16" width="16.1640625" style="299" customWidth="1"/>
    <col min="17" max="17" width="16.83203125" style="299" customWidth="1"/>
    <col min="18" max="16384" width="9.33203125" style="299"/>
  </cols>
  <sheetData>
    <row r="1" spans="1:33" x14ac:dyDescent="0.25">
      <c r="A1" s="57" t="str">
        <f>'Input Tab'!B2</f>
        <v>Kentucky Utilities Company</v>
      </c>
      <c r="H1" s="1" t="s">
        <v>31</v>
      </c>
    </row>
    <row r="2" spans="1:33" x14ac:dyDescent="0.25">
      <c r="A2" s="58" t="s">
        <v>259</v>
      </c>
      <c r="H2" s="1" t="s">
        <v>238</v>
      </c>
    </row>
    <row r="3" spans="1:33" x14ac:dyDescent="0.25">
      <c r="A3" s="58"/>
      <c r="H3" s="2" t="s">
        <v>99</v>
      </c>
    </row>
    <row r="4" spans="1:33" x14ac:dyDescent="0.25"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297"/>
      <c r="B5" s="297"/>
      <c r="C5" s="298"/>
      <c r="D5" s="298"/>
      <c r="E5" s="298"/>
      <c r="F5" s="298"/>
      <c r="G5" s="298"/>
      <c r="H5" s="29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8" x14ac:dyDescent="0.25">
      <c r="A6" s="575" t="s">
        <v>1</v>
      </c>
      <c r="B6" s="577" t="s">
        <v>0</v>
      </c>
      <c r="C6" s="586" t="s">
        <v>193</v>
      </c>
      <c r="D6" s="587"/>
      <c r="E6" s="588" t="s">
        <v>194</v>
      </c>
      <c r="F6" s="589"/>
      <c r="G6" s="583" t="s">
        <v>195</v>
      </c>
      <c r="H6" s="58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576"/>
      <c r="B7" s="578"/>
      <c r="C7" s="300" t="s">
        <v>196</v>
      </c>
      <c r="D7" s="300" t="s">
        <v>197</v>
      </c>
      <c r="E7" s="301" t="s">
        <v>196</v>
      </c>
      <c r="F7" s="301" t="s">
        <v>197</v>
      </c>
      <c r="G7" s="302" t="s">
        <v>196</v>
      </c>
      <c r="H7" s="300" t="s">
        <v>197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585"/>
      <c r="B8" s="578"/>
      <c r="C8" s="303" t="s">
        <v>198</v>
      </c>
      <c r="D8" s="300" t="s">
        <v>199</v>
      </c>
      <c r="E8" s="301" t="s">
        <v>200</v>
      </c>
      <c r="F8" s="304" t="s">
        <v>201</v>
      </c>
      <c r="G8" s="300" t="s">
        <v>202</v>
      </c>
      <c r="H8" s="305" t="s">
        <v>203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344">
        <f>'Input Tab'!C18</f>
        <v>42979</v>
      </c>
      <c r="B9" s="307">
        <f>EDATE(A9,2)</f>
        <v>43040</v>
      </c>
      <c r="C9" s="320">
        <f>'Input Tab'!Y18</f>
        <v>48800292</v>
      </c>
      <c r="D9" s="320">
        <f>'Input Tab'!Z18</f>
        <v>48812315</v>
      </c>
      <c r="E9" s="359">
        <f>'Input Tab'!AA18</f>
        <v>41825413.51000002</v>
      </c>
      <c r="F9" s="360">
        <f>'Input Tab'!AB18</f>
        <v>48387768.080000013</v>
      </c>
      <c r="G9" s="420">
        <f>ROUND('Input Tab'!S18,4)</f>
        <v>3.2199999999999999E-2</v>
      </c>
      <c r="H9" s="420">
        <f>ROUND('Input Tab'!T18,4)</f>
        <v>4.7800000000000002E-2</v>
      </c>
      <c r="I9" s="40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345">
        <f>'Input Tab'!C19</f>
        <v>43009</v>
      </c>
      <c r="B10" s="308">
        <f t="shared" ref="B10:B14" si="0">EDATE(A10,2)</f>
        <v>43070</v>
      </c>
      <c r="C10" s="325">
        <f>'Input Tab'!Y19</f>
        <v>48846718</v>
      </c>
      <c r="D10" s="325">
        <f>'Input Tab'!Z19</f>
        <v>49134387</v>
      </c>
      <c r="E10" s="361">
        <f>'Input Tab'!AA19</f>
        <v>57590020.57</v>
      </c>
      <c r="F10" s="362">
        <f>'Input Tab'!AB19</f>
        <v>46367387.07</v>
      </c>
      <c r="G10" s="421">
        <f>ROUND('Input Tab'!S19,4)</f>
        <v>3.5799999999999998E-2</v>
      </c>
      <c r="H10" s="421">
        <f>ROUND('Input Tab'!T19,4)</f>
        <v>5.28E-2</v>
      </c>
      <c r="I10" s="40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345">
        <f>'Input Tab'!C20</f>
        <v>43040</v>
      </c>
      <c r="B11" s="308">
        <f t="shared" si="0"/>
        <v>43101</v>
      </c>
      <c r="C11" s="325">
        <f>'Input Tab'!Y20</f>
        <v>49210499</v>
      </c>
      <c r="D11" s="325">
        <f>'Input Tab'!Z20</f>
        <v>49493504</v>
      </c>
      <c r="E11" s="361">
        <f>'Input Tab'!AA20</f>
        <v>86876906.230000019</v>
      </c>
      <c r="F11" s="362">
        <f>'Input Tab'!AB20</f>
        <v>54481390.859999999</v>
      </c>
      <c r="G11" s="421">
        <f>ROUND('Input Tab'!S20,4)</f>
        <v>4.0099999999999997E-2</v>
      </c>
      <c r="H11" s="421">
        <f>ROUND('Input Tab'!T20,4)</f>
        <v>5.91E-2</v>
      </c>
      <c r="I11" s="40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345">
        <f>'Input Tab'!C21</f>
        <v>43070</v>
      </c>
      <c r="B12" s="308">
        <f t="shared" si="0"/>
        <v>43132</v>
      </c>
      <c r="C12" s="325">
        <f>'Input Tab'!Y21</f>
        <v>49452575</v>
      </c>
      <c r="D12" s="325">
        <f>'Input Tab'!Z21</f>
        <v>49436436</v>
      </c>
      <c r="E12" s="361">
        <f>'Input Tab'!AA21</f>
        <v>66618183.270000018</v>
      </c>
      <c r="F12" s="362">
        <f>'Input Tab'!AB21</f>
        <v>51357611.50999999</v>
      </c>
      <c r="G12" s="421">
        <f>ROUND('Input Tab'!S21,4)</f>
        <v>3.8800000000000001E-2</v>
      </c>
      <c r="H12" s="421">
        <f>ROUND('Input Tab'!T21,4)</f>
        <v>5.7099999999999998E-2</v>
      </c>
      <c r="I12" s="406"/>
      <c r="J12" s="40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 s="345">
        <f>'Input Tab'!C22</f>
        <v>43101</v>
      </c>
      <c r="B13" s="308">
        <f t="shared" si="0"/>
        <v>43160</v>
      </c>
      <c r="C13" s="325">
        <f>'Input Tab'!Y22</f>
        <v>51246591</v>
      </c>
      <c r="D13" s="325">
        <f>'Input Tab'!Z22</f>
        <v>49913797</v>
      </c>
      <c r="E13" s="361">
        <f>'Input Tab'!AA22</f>
        <v>53740245.95000001</v>
      </c>
      <c r="F13" s="362">
        <f>'Input Tab'!AB22</f>
        <v>50085406.710000001</v>
      </c>
      <c r="G13" s="421">
        <f>ROUND('Input Tab'!S22,4)</f>
        <v>-3.5999999999999999E-3</v>
      </c>
      <c r="H13" s="421">
        <f>ROUND('Input Tab'!T22,4)</f>
        <v>-5.4000000000000003E-3</v>
      </c>
      <c r="I13" s="40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 s="346">
        <f>'Input Tab'!C23</f>
        <v>43132</v>
      </c>
      <c r="B14" s="311">
        <f t="shared" si="0"/>
        <v>43191</v>
      </c>
      <c r="C14" s="329">
        <f>'Input Tab'!Y23</f>
        <v>52275193</v>
      </c>
      <c r="D14" s="329">
        <f>'Input Tab'!Z23</f>
        <v>50391690</v>
      </c>
      <c r="E14" s="363">
        <f>'Input Tab'!AA23</f>
        <v>52125470.160000011</v>
      </c>
      <c r="F14" s="364">
        <f>'Input Tab'!AB23</f>
        <v>48611234.069999993</v>
      </c>
      <c r="G14" s="422">
        <f>ROUND('Input Tab'!S23,4)</f>
        <v>-1.5699999999999999E-2</v>
      </c>
      <c r="H14" s="422">
        <f>ROUND('Input Tab'!T23,4)</f>
        <v>-2.3099999999999999E-2</v>
      </c>
      <c r="I14" s="40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 s="297"/>
      <c r="B15" s="297"/>
      <c r="C15" s="312"/>
      <c r="D15" s="312"/>
      <c r="E15" s="312"/>
      <c r="F15" s="312"/>
      <c r="G15" s="312"/>
      <c r="H15" s="3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297"/>
      <c r="B16" s="297"/>
      <c r="C16" s="298"/>
      <c r="D16" s="298"/>
      <c r="E16" s="298"/>
      <c r="F16" s="298"/>
      <c r="G16" s="298"/>
      <c r="H16" s="298"/>
      <c r="J16" s="23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5">
      <c r="A17" s="575" t="s">
        <v>1</v>
      </c>
      <c r="B17" s="577" t="s">
        <v>0</v>
      </c>
      <c r="C17" s="579" t="s">
        <v>204</v>
      </c>
      <c r="D17" s="580"/>
      <c r="E17" s="581" t="s">
        <v>205</v>
      </c>
      <c r="F17" s="582"/>
      <c r="G17" s="583" t="s">
        <v>206</v>
      </c>
      <c r="H17" s="58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 s="576"/>
      <c r="B18" s="578"/>
      <c r="C18" s="313" t="s">
        <v>207</v>
      </c>
      <c r="D18" s="314" t="s">
        <v>208</v>
      </c>
      <c r="E18" s="315" t="s">
        <v>209</v>
      </c>
      <c r="F18" s="316" t="s">
        <v>210</v>
      </c>
      <c r="G18" s="317" t="s">
        <v>211</v>
      </c>
      <c r="H18" s="318" t="s">
        <v>212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576"/>
      <c r="B19" s="578"/>
      <c r="C19" s="300" t="s">
        <v>196</v>
      </c>
      <c r="D19" s="300" t="s">
        <v>197</v>
      </c>
      <c r="E19" s="301" t="s">
        <v>196</v>
      </c>
      <c r="F19" s="301" t="s">
        <v>197</v>
      </c>
      <c r="G19" s="302" t="s">
        <v>196</v>
      </c>
      <c r="H19" s="300" t="s">
        <v>197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 s="306">
        <f>A9</f>
        <v>42979</v>
      </c>
      <c r="B20" s="307">
        <f>B9</f>
        <v>43040</v>
      </c>
      <c r="C20" s="319">
        <f t="shared" ref="C20:D25" si="1">C9*G9</f>
        <v>1571369.4024</v>
      </c>
      <c r="D20" s="320">
        <f t="shared" si="1"/>
        <v>2333228.6570000001</v>
      </c>
      <c r="E20" s="321">
        <f t="shared" ref="E20:F25" si="2">E9*G9</f>
        <v>1346778.3150220006</v>
      </c>
      <c r="F20" s="322">
        <f t="shared" si="2"/>
        <v>2312935.3142240006</v>
      </c>
      <c r="G20" s="323">
        <f>E20-C20</f>
        <v>-224591.08737799944</v>
      </c>
      <c r="H20" s="324">
        <f>F20-D20</f>
        <v>-20293.342775999568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 s="309">
        <f t="shared" ref="A21:B25" si="3">A10</f>
        <v>43009</v>
      </c>
      <c r="B21" s="308">
        <f t="shared" si="3"/>
        <v>43070</v>
      </c>
      <c r="C21" s="319">
        <f t="shared" si="1"/>
        <v>1748712.5044</v>
      </c>
      <c r="D21" s="325">
        <f t="shared" si="1"/>
        <v>2594295.6335999998</v>
      </c>
      <c r="E21" s="321">
        <f t="shared" si="2"/>
        <v>2061722.7364059999</v>
      </c>
      <c r="F21" s="326">
        <f t="shared" si="2"/>
        <v>2448198.0372959999</v>
      </c>
      <c r="G21" s="323">
        <f t="shared" ref="G21:H25" si="4">E21-C21</f>
        <v>313010.23200599989</v>
      </c>
      <c r="H21" s="327">
        <f t="shared" si="4"/>
        <v>-146097.59630399989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 s="309">
        <f t="shared" si="3"/>
        <v>43040</v>
      </c>
      <c r="B22" s="308">
        <f t="shared" si="3"/>
        <v>43101</v>
      </c>
      <c r="C22" s="319">
        <f t="shared" si="1"/>
        <v>1973341.0098999999</v>
      </c>
      <c r="D22" s="325">
        <f t="shared" si="1"/>
        <v>2925066.0863999999</v>
      </c>
      <c r="E22" s="321">
        <f t="shared" si="2"/>
        <v>3483763.9398230007</v>
      </c>
      <c r="F22" s="326">
        <f t="shared" si="2"/>
        <v>3219850.1998259998</v>
      </c>
      <c r="G22" s="323">
        <f t="shared" si="4"/>
        <v>1510422.9299230007</v>
      </c>
      <c r="H22" s="327">
        <f t="shared" si="4"/>
        <v>294784.11342599988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309">
        <f t="shared" si="3"/>
        <v>43070</v>
      </c>
      <c r="B23" s="308">
        <f t="shared" si="3"/>
        <v>43132</v>
      </c>
      <c r="C23" s="319">
        <f t="shared" si="1"/>
        <v>1918759.9100000001</v>
      </c>
      <c r="D23" s="325">
        <f t="shared" si="1"/>
        <v>2822820.4956</v>
      </c>
      <c r="E23" s="321">
        <f t="shared" si="2"/>
        <v>2584785.5108760009</v>
      </c>
      <c r="F23" s="326">
        <f t="shared" si="2"/>
        <v>2932519.6172209992</v>
      </c>
      <c r="G23" s="323">
        <f t="shared" si="4"/>
        <v>666025.60087600071</v>
      </c>
      <c r="H23" s="327">
        <f t="shared" si="4"/>
        <v>109699.12162099918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 s="309">
        <f t="shared" si="3"/>
        <v>43101</v>
      </c>
      <c r="B24" s="308">
        <f t="shared" si="3"/>
        <v>43160</v>
      </c>
      <c r="C24" s="319">
        <f t="shared" si="1"/>
        <v>-184487.72759999998</v>
      </c>
      <c r="D24" s="325">
        <f t="shared" si="1"/>
        <v>-269534.50380000001</v>
      </c>
      <c r="E24" s="321">
        <f t="shared" si="2"/>
        <v>-193464.88542000004</v>
      </c>
      <c r="F24" s="326">
        <f t="shared" si="2"/>
        <v>-270461.19623400003</v>
      </c>
      <c r="G24" s="323">
        <f t="shared" si="4"/>
        <v>-8977.1578200000513</v>
      </c>
      <c r="H24" s="327">
        <f t="shared" si="4"/>
        <v>-926.69243400002597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310">
        <f t="shared" si="3"/>
        <v>43132</v>
      </c>
      <c r="B25" s="311">
        <f t="shared" si="3"/>
        <v>43191</v>
      </c>
      <c r="C25" s="328">
        <f t="shared" si="1"/>
        <v>-820720.53009999997</v>
      </c>
      <c r="D25" s="329">
        <f t="shared" si="1"/>
        <v>-1164048.0389999999</v>
      </c>
      <c r="E25" s="330">
        <f t="shared" si="2"/>
        <v>-818369.88151200011</v>
      </c>
      <c r="F25" s="331">
        <f t="shared" si="2"/>
        <v>-1122919.5070169999</v>
      </c>
      <c r="G25" s="332">
        <f t="shared" si="4"/>
        <v>2350.6485879998654</v>
      </c>
      <c r="H25" s="333">
        <f t="shared" si="4"/>
        <v>41128.531982999993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297"/>
      <c r="B26" s="297"/>
      <c r="C26" s="334"/>
      <c r="D26" s="334"/>
      <c r="E26" s="334"/>
      <c r="F26" s="334"/>
      <c r="G26" s="335">
        <f>SUM(G20:G25)</f>
        <v>2258241.1661950019</v>
      </c>
      <c r="H26" s="336">
        <f>SUM(H20:H25)</f>
        <v>278294.13551599957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297"/>
      <c r="B27" s="297"/>
      <c r="C27" s="312"/>
      <c r="D27" s="312"/>
      <c r="E27" s="312"/>
      <c r="F27" s="312"/>
      <c r="G27" s="312"/>
      <c r="H27" s="31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297"/>
      <c r="B28" s="297"/>
      <c r="C28" s="312"/>
      <c r="D28" s="312"/>
      <c r="E28" s="312"/>
      <c r="F28" s="312"/>
      <c r="G28" s="312"/>
      <c r="H28" s="31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575" t="s">
        <v>1</v>
      </c>
      <c r="B29" s="577" t="s">
        <v>0</v>
      </c>
      <c r="C29" s="575" t="s">
        <v>213</v>
      </c>
      <c r="D29" s="593" t="s">
        <v>214</v>
      </c>
      <c r="E29" s="595" t="s">
        <v>215</v>
      </c>
      <c r="F29" s="596" t="s">
        <v>216</v>
      </c>
      <c r="G29" s="337"/>
      <c r="H29" s="31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2.25" customHeight="1" x14ac:dyDescent="0.25">
      <c r="A30" s="576"/>
      <c r="B30" s="578"/>
      <c r="C30" s="576"/>
      <c r="D30" s="594"/>
      <c r="E30" s="585"/>
      <c r="F30" s="597"/>
      <c r="G30" s="337"/>
      <c r="H30" s="31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7.25" customHeight="1" x14ac:dyDescent="0.25">
      <c r="A31" s="576"/>
      <c r="B31" s="578"/>
      <c r="C31" s="300" t="s">
        <v>217</v>
      </c>
      <c r="D31" s="338" t="s">
        <v>218</v>
      </c>
      <c r="E31" s="338" t="s">
        <v>219</v>
      </c>
      <c r="F31" s="339" t="s">
        <v>220</v>
      </c>
      <c r="G31" s="337"/>
      <c r="H31" s="31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306">
        <f>A9</f>
        <v>42979</v>
      </c>
      <c r="B32" s="307">
        <f>B9</f>
        <v>43040</v>
      </c>
      <c r="C32" s="340">
        <f>G20+H20</f>
        <v>-244884.43015399901</v>
      </c>
      <c r="D32" s="324">
        <f>F32-C32-E32</f>
        <v>-196257.8379792051</v>
      </c>
      <c r="E32" s="324">
        <f>'Q1 p.2 - Rate of Return Adj'!I9+'Q1 p.2 - Rate of Return Adj'!I22</f>
        <v>55454.457111410484</v>
      </c>
      <c r="F32" s="423">
        <f>'Q2 p.2 - Detailed Over-Under'!L10</f>
        <v>-385687.81102179363</v>
      </c>
      <c r="G32" s="337"/>
      <c r="H32" s="3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 s="309">
        <f>A10</f>
        <v>43009</v>
      </c>
      <c r="B33" s="308">
        <f>B10</f>
        <v>43070</v>
      </c>
      <c r="C33" s="341">
        <f t="shared" ref="C33:C37" si="5">G21+H21</f>
        <v>166912.635702</v>
      </c>
      <c r="D33" s="327">
        <f t="shared" ref="D33:D37" si="6">F33-C33-E33</f>
        <v>-145108.35029191812</v>
      </c>
      <c r="E33" s="327">
        <f>'Q1 p.2 - Rate of Return Adj'!I10+'Q1 p.2 - Rate of Return Adj'!I23</f>
        <v>56468.572670988826</v>
      </c>
      <c r="F33" s="424">
        <f>'Q2 p.2 - Detailed Over-Under'!L11</f>
        <v>78272.858081070706</v>
      </c>
      <c r="G33" s="337"/>
      <c r="H33" s="31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309">
        <f t="shared" ref="A34:B37" si="7">A11</f>
        <v>43040</v>
      </c>
      <c r="B34" s="308">
        <f t="shared" si="7"/>
        <v>43101</v>
      </c>
      <c r="C34" s="341">
        <f t="shared" si="5"/>
        <v>1805207.0433490006</v>
      </c>
      <c r="D34" s="327">
        <f t="shared" si="6"/>
        <v>-174288.31312734599</v>
      </c>
      <c r="E34" s="327">
        <f>'Q1 p.2 - Rate of Return Adj'!I11+'Q1 p.2 - Rate of Return Adj'!I24</f>
        <v>56357.530303573832</v>
      </c>
      <c r="F34" s="424">
        <f>'Q2 p.2 - Detailed Over-Under'!L12</f>
        <v>1687276.2605252285</v>
      </c>
      <c r="G34" s="337"/>
      <c r="H34" s="3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309">
        <f t="shared" si="7"/>
        <v>43070</v>
      </c>
      <c r="B35" s="308">
        <f t="shared" si="7"/>
        <v>43132</v>
      </c>
      <c r="C35" s="341">
        <f t="shared" si="5"/>
        <v>775724.72249699989</v>
      </c>
      <c r="D35" s="327">
        <f t="shared" si="6"/>
        <v>-140980.01591748931</v>
      </c>
      <c r="E35" s="327">
        <f>'Q1 p.2 - Rate of Return Adj'!I12+'Q1 p.2 - Rate of Return Adj'!I25</f>
        <v>74689.966435379829</v>
      </c>
      <c r="F35" s="424">
        <f>'Q2 p.2 - Detailed Over-Under'!L13</f>
        <v>709434.6730148904</v>
      </c>
      <c r="G35" s="337"/>
      <c r="H35" s="31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 s="309">
        <f t="shared" si="7"/>
        <v>43101</v>
      </c>
      <c r="B36" s="308">
        <f t="shared" si="7"/>
        <v>43160</v>
      </c>
      <c r="C36" s="341">
        <f t="shared" si="5"/>
        <v>-9903.8502540000773</v>
      </c>
      <c r="D36" s="327">
        <f t="shared" si="6"/>
        <v>474553.31028600235</v>
      </c>
      <c r="E36" s="327">
        <f>'Q1 p.2 - Rate of Return Adj'!I13+'Q1 p.2 - Rate of Return Adj'!I26</f>
        <v>48836.869379249139</v>
      </c>
      <c r="F36" s="424">
        <f>'Q2 p.2 - Detailed Over-Under'!L14</f>
        <v>513486.32941125147</v>
      </c>
      <c r="G36" s="337"/>
      <c r="H36" s="31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A37" s="310">
        <f t="shared" si="7"/>
        <v>43132</v>
      </c>
      <c r="B37" s="311">
        <f t="shared" si="7"/>
        <v>43191</v>
      </c>
      <c r="C37" s="342">
        <f t="shared" si="5"/>
        <v>43479.180570999859</v>
      </c>
      <c r="D37" s="333">
        <f t="shared" si="6"/>
        <v>65251.35625566743</v>
      </c>
      <c r="E37" s="327">
        <f>'Q1 p.2 - Rate of Return Adj'!I14+'Q1 p.2 - Rate of Return Adj'!I27</f>
        <v>49953.812739999121</v>
      </c>
      <c r="F37" s="424">
        <f>'Q2 p.2 - Detailed Over-Under'!L15</f>
        <v>158684.34956666641</v>
      </c>
      <c r="G37" s="337"/>
      <c r="H37" s="31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A38" s="297"/>
      <c r="B38" s="297"/>
      <c r="C38" s="336">
        <f>G26+H26</f>
        <v>2536535.3017110014</v>
      </c>
      <c r="D38" s="336">
        <f>SUM(D32:D37)</f>
        <v>-116829.85077428873</v>
      </c>
      <c r="E38" s="335">
        <f>SUM(E32:E37)</f>
        <v>341761.20864060125</v>
      </c>
      <c r="F38" s="425">
        <f>SUM(F32:F37)</f>
        <v>2761466.6595773138</v>
      </c>
      <c r="G38" s="337"/>
      <c r="H38" s="31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C39" s="34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5">
      <c r="A41" s="297" t="s">
        <v>221</v>
      </c>
      <c r="B41" s="297"/>
      <c r="C41" s="297"/>
      <c r="D41" s="297"/>
      <c r="E41" s="297"/>
      <c r="F41" s="297"/>
      <c r="G41" s="297"/>
      <c r="H41" s="297"/>
      <c r="I41" s="29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598" t="s">
        <v>254</v>
      </c>
      <c r="B42" s="598"/>
      <c r="C42" s="598"/>
      <c r="D42" s="598"/>
      <c r="E42" s="598"/>
      <c r="F42" s="598"/>
      <c r="G42" s="598"/>
      <c r="H42" s="598"/>
      <c r="I42" s="29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5">
      <c r="A43" s="598" t="s">
        <v>281</v>
      </c>
      <c r="B43" s="598"/>
      <c r="C43" s="598"/>
      <c r="D43" s="598"/>
      <c r="E43" s="598"/>
      <c r="F43" s="598"/>
      <c r="G43" s="598"/>
      <c r="H43" s="598"/>
      <c r="I43" s="297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6.5" customHeight="1" x14ac:dyDescent="0.25">
      <c r="A44" s="591" t="s">
        <v>280</v>
      </c>
      <c r="B44" s="592"/>
      <c r="C44" s="592"/>
      <c r="D44" s="592"/>
      <c r="E44" s="592"/>
      <c r="F44" s="592"/>
      <c r="G44" s="592"/>
      <c r="H44" s="592"/>
      <c r="I44" s="297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29.25" customHeight="1" x14ac:dyDescent="0.25">
      <c r="A45" s="591" t="s">
        <v>275</v>
      </c>
      <c r="B45" s="591"/>
      <c r="C45" s="591"/>
      <c r="D45" s="591"/>
      <c r="E45" s="591"/>
      <c r="F45" s="591"/>
      <c r="G45" s="591"/>
      <c r="H45" s="591"/>
      <c r="I45" s="297"/>
    </row>
    <row r="46" spans="1:33" ht="17.25" customHeight="1" x14ac:dyDescent="0.25">
      <c r="A46" s="590" t="s">
        <v>279</v>
      </c>
      <c r="B46" s="590"/>
      <c r="C46" s="590"/>
      <c r="D46" s="590"/>
      <c r="E46" s="590"/>
      <c r="F46" s="590"/>
      <c r="G46" s="590"/>
      <c r="H46" s="590"/>
      <c r="I46" s="297"/>
    </row>
    <row r="47" spans="1:33" x14ac:dyDescent="0.25">
      <c r="A47" s="590" t="s">
        <v>278</v>
      </c>
      <c r="B47" s="590"/>
      <c r="C47" s="590"/>
      <c r="D47" s="590"/>
      <c r="E47" s="590"/>
      <c r="F47" s="590"/>
      <c r="G47" s="590"/>
      <c r="H47" s="590"/>
      <c r="I47" s="297"/>
    </row>
    <row r="48" spans="1:33" x14ac:dyDescent="0.25">
      <c r="A48" s="297"/>
      <c r="B48" s="297"/>
      <c r="C48" s="297"/>
      <c r="D48" s="297"/>
      <c r="E48" s="297"/>
      <c r="F48" s="297"/>
      <c r="G48" s="297"/>
      <c r="H48" s="297"/>
      <c r="I48" s="297"/>
    </row>
  </sheetData>
  <mergeCells count="22">
    <mergeCell ref="A46:H46"/>
    <mergeCell ref="A47:H47"/>
    <mergeCell ref="A44:H44"/>
    <mergeCell ref="A45:H45"/>
    <mergeCell ref="A29:A31"/>
    <mergeCell ref="B29:B31"/>
    <mergeCell ref="C29:C30"/>
    <mergeCell ref="D29:D30"/>
    <mergeCell ref="E29:E30"/>
    <mergeCell ref="F29:F30"/>
    <mergeCell ref="A42:H42"/>
    <mergeCell ref="A43:H43"/>
    <mergeCell ref="A6:A8"/>
    <mergeCell ref="B6:B8"/>
    <mergeCell ref="C6:D6"/>
    <mergeCell ref="E6:F6"/>
    <mergeCell ref="G6:H6"/>
    <mergeCell ref="A17:A19"/>
    <mergeCell ref="B17:B19"/>
    <mergeCell ref="C17:D17"/>
    <mergeCell ref="E17:F17"/>
    <mergeCell ref="G17:H17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A1:AK37"/>
  <sheetViews>
    <sheetView zoomScaleNormal="100" workbookViewId="0">
      <selection activeCell="G38" sqref="G38"/>
    </sheetView>
  </sheetViews>
  <sheetFormatPr defaultRowHeight="12.75" x14ac:dyDescent="0.2"/>
  <cols>
    <col min="1" max="3" width="16.83203125" style="67" customWidth="1"/>
    <col min="4" max="4" width="17.83203125" style="67" bestFit="1" customWidth="1"/>
    <col min="5" max="6" width="17.33203125" style="67" customWidth="1"/>
    <col min="7" max="7" width="19.5" style="67" customWidth="1"/>
    <col min="8" max="8" width="21.83203125" style="67" customWidth="1"/>
    <col min="9" max="9" width="19.5" style="67" customWidth="1"/>
    <col min="10" max="10" width="5" style="67" customWidth="1"/>
    <col min="12" max="12" width="14.6640625" customWidth="1"/>
    <col min="13" max="13" width="21.83203125" customWidth="1"/>
    <col min="21" max="21" width="24" style="67" customWidth="1"/>
    <col min="22" max="22" width="36.1640625" style="67" customWidth="1"/>
    <col min="23" max="23" width="10.83203125" style="67" customWidth="1"/>
    <col min="24" max="24" width="14.6640625" style="67" customWidth="1"/>
    <col min="25" max="25" width="16" style="67" customWidth="1"/>
    <col min="26" max="26" width="17.6640625" style="67" customWidth="1"/>
    <col min="27" max="28" width="13" style="67" customWidth="1"/>
    <col min="29" max="29" width="17" style="67" customWidth="1"/>
    <col min="30" max="30" width="10.33203125" style="67" customWidth="1"/>
    <col min="31" max="31" width="17.5" style="67" bestFit="1" customWidth="1"/>
    <col min="32" max="32" width="15.83203125" style="67" customWidth="1"/>
    <col min="33" max="33" width="19.6640625" style="67" customWidth="1"/>
    <col min="34" max="34" width="4.5" style="67" customWidth="1"/>
    <col min="35" max="35" width="20.33203125" style="69" customWidth="1"/>
    <col min="36" max="36" width="16.5" style="67" bestFit="1" customWidth="1"/>
    <col min="37" max="38" width="16.83203125" style="67" bestFit="1" customWidth="1"/>
    <col min="39" max="39" width="13.1640625" style="67" bestFit="1" customWidth="1"/>
    <col min="40" max="40" width="16" style="67" bestFit="1" customWidth="1"/>
    <col min="41" max="41" width="14.6640625" style="67" bestFit="1" customWidth="1"/>
    <col min="42" max="42" width="15.5" style="67" bestFit="1" customWidth="1"/>
    <col min="43" max="43" width="14.6640625" style="67" bestFit="1" customWidth="1"/>
    <col min="44" max="44" width="11.83203125" style="67" bestFit="1" customWidth="1"/>
    <col min="45" max="16384" width="9.33203125" style="67"/>
  </cols>
  <sheetData>
    <row r="1" spans="1:37" x14ac:dyDescent="0.2">
      <c r="A1" s="66" t="str">
        <f>'Input Tab'!B2</f>
        <v>Kentucky Utilities Company</v>
      </c>
      <c r="I1" s="68" t="s">
        <v>30</v>
      </c>
      <c r="AD1" s="66"/>
    </row>
    <row r="2" spans="1:37" x14ac:dyDescent="0.2">
      <c r="A2" s="71" t="s">
        <v>255</v>
      </c>
      <c r="B2" s="256"/>
      <c r="I2" s="68" t="s">
        <v>249</v>
      </c>
      <c r="AD2" s="66"/>
    </row>
    <row r="3" spans="1:37" x14ac:dyDescent="0.2">
      <c r="A3" s="66" t="s">
        <v>23</v>
      </c>
      <c r="I3" s="70" t="str">
        <f>'Input Tab'!B3</f>
        <v>Rahn/Neal</v>
      </c>
      <c r="AD3" s="66"/>
    </row>
    <row r="4" spans="1:37" ht="13.5" thickBot="1" x14ac:dyDescent="0.25">
      <c r="A4" s="66"/>
      <c r="U4" s="70"/>
      <c r="W4" s="71"/>
      <c r="AD4" s="66"/>
      <c r="AG4" s="70"/>
    </row>
    <row r="5" spans="1:37" ht="13.5" thickBot="1" x14ac:dyDescent="0.25">
      <c r="A5" s="542" t="s">
        <v>102</v>
      </c>
      <c r="B5" s="543"/>
      <c r="C5" s="543"/>
      <c r="D5" s="543"/>
      <c r="E5" s="543"/>
      <c r="F5" s="543"/>
      <c r="G5" s="543"/>
      <c r="H5" s="543"/>
      <c r="I5" s="544"/>
      <c r="U5" s="70"/>
      <c r="W5" s="71"/>
      <c r="AD5" s="66"/>
      <c r="AG5" s="70"/>
    </row>
    <row r="6" spans="1:37" x14ac:dyDescent="0.2">
      <c r="A6" s="122">
        <v>-1</v>
      </c>
      <c r="B6" s="123">
        <f t="shared" ref="B6:I6" si="0">A6-1</f>
        <v>-2</v>
      </c>
      <c r="C6" s="123">
        <f t="shared" si="0"/>
        <v>-3</v>
      </c>
      <c r="D6" s="123">
        <f t="shared" si="0"/>
        <v>-4</v>
      </c>
      <c r="E6" s="123">
        <f t="shared" si="0"/>
        <v>-5</v>
      </c>
      <c r="F6" s="123">
        <f t="shared" si="0"/>
        <v>-6</v>
      </c>
      <c r="G6" s="123">
        <f t="shared" si="0"/>
        <v>-7</v>
      </c>
      <c r="H6" s="123">
        <f t="shared" si="0"/>
        <v>-8</v>
      </c>
      <c r="I6" s="124">
        <f t="shared" si="0"/>
        <v>-9</v>
      </c>
      <c r="U6" s="69"/>
      <c r="AI6" s="67"/>
    </row>
    <row r="7" spans="1:37" s="72" customFormat="1" ht="38.25" x14ac:dyDescent="0.2">
      <c r="A7" s="209" t="s">
        <v>0</v>
      </c>
      <c r="B7" s="210" t="s">
        <v>1</v>
      </c>
      <c r="C7" s="210" t="s">
        <v>2</v>
      </c>
      <c r="D7" s="210" t="s">
        <v>3</v>
      </c>
      <c r="E7" s="210" t="s">
        <v>19</v>
      </c>
      <c r="F7" s="210" t="s">
        <v>4</v>
      </c>
      <c r="G7" s="210" t="s">
        <v>5</v>
      </c>
      <c r="H7" s="210" t="s">
        <v>22</v>
      </c>
      <c r="I7" s="213" t="s">
        <v>32</v>
      </c>
      <c r="J7" s="214"/>
      <c r="U7" s="73"/>
    </row>
    <row r="8" spans="1:37" x14ac:dyDescent="0.2">
      <c r="A8" s="74"/>
      <c r="B8" s="75"/>
      <c r="C8" s="117"/>
      <c r="D8" s="117"/>
      <c r="E8" s="117"/>
      <c r="F8" s="80" t="s">
        <v>104</v>
      </c>
      <c r="G8" s="80" t="s">
        <v>105</v>
      </c>
      <c r="H8" s="77"/>
      <c r="I8" s="78" t="s">
        <v>6</v>
      </c>
      <c r="U8" s="69"/>
      <c r="AI8" s="67"/>
    </row>
    <row r="9" spans="1:37" x14ac:dyDescent="0.2">
      <c r="A9" s="127">
        <f>EDATE('Input Tab'!B18,0)*1</f>
        <v>43040</v>
      </c>
      <c r="B9" s="128">
        <f t="shared" ref="B9:B14" si="1">EDATE(A9,-2)</f>
        <v>42979</v>
      </c>
      <c r="C9" s="90">
        <f>'Input Tab'!E18</f>
        <v>0.10349999999999999</v>
      </c>
      <c r="D9" s="219">
        <f>'Input Tab'!F18</f>
        <v>1048241353</v>
      </c>
      <c r="E9" s="83">
        <f>'Input Tab'!K18</f>
        <v>1048780703</v>
      </c>
      <c r="F9" s="101">
        <f t="shared" ref="F9:F14" si="2">(E9-D9)</f>
        <v>539350</v>
      </c>
      <c r="G9" s="258">
        <f t="shared" ref="G9:G14" si="3">(C9*F9)/12</f>
        <v>4651.8937500000002</v>
      </c>
      <c r="H9" s="90">
        <f>'Input Tab'!D18</f>
        <v>0.87170000000000003</v>
      </c>
      <c r="I9" s="260">
        <f t="shared" ref="I9:I14" si="4">G9*H9</f>
        <v>4055.0557818750003</v>
      </c>
      <c r="M9" s="405"/>
      <c r="U9"/>
      <c r="V9"/>
      <c r="W9" s="93"/>
      <c r="X9" s="93"/>
      <c r="Y9" s="93"/>
      <c r="Z9" s="93"/>
      <c r="AA9" s="93"/>
      <c r="AB9" s="93"/>
      <c r="AC9" s="93"/>
      <c r="AD9" s="93"/>
      <c r="AI9" s="67"/>
    </row>
    <row r="10" spans="1:37" x14ac:dyDescent="0.2">
      <c r="A10" s="127">
        <f>EDATE('Input Tab'!B19,0)*1</f>
        <v>43070</v>
      </c>
      <c r="B10" s="128">
        <f t="shared" si="1"/>
        <v>43009</v>
      </c>
      <c r="C10" s="90">
        <f>'Input Tab'!E19</f>
        <v>0.10349999999999999</v>
      </c>
      <c r="D10" s="220">
        <f>'Input Tab'!F19</f>
        <v>1046068622</v>
      </c>
      <c r="E10" s="83">
        <f>'Input Tab'!K19</f>
        <v>1046778708</v>
      </c>
      <c r="F10" s="101">
        <f t="shared" si="2"/>
        <v>710086</v>
      </c>
      <c r="G10" s="258">
        <f t="shared" si="3"/>
        <v>6124.4917500000001</v>
      </c>
      <c r="H10" s="90">
        <f>'Input Tab'!D19</f>
        <v>0.87939999999999996</v>
      </c>
      <c r="I10" s="260">
        <f t="shared" si="4"/>
        <v>5385.87804495</v>
      </c>
      <c r="M10" s="405"/>
      <c r="U10"/>
      <c r="V10"/>
      <c r="W10" s="93"/>
      <c r="X10" s="93"/>
      <c r="Y10" s="93"/>
      <c r="Z10" s="93"/>
      <c r="AA10" s="93"/>
      <c r="AB10" s="93"/>
      <c r="AC10" s="93"/>
      <c r="AD10" s="93"/>
      <c r="AI10" s="67"/>
    </row>
    <row r="11" spans="1:37" x14ac:dyDescent="0.2">
      <c r="A11" s="127">
        <f>EDATE('Input Tab'!B20,0)*1</f>
        <v>43101</v>
      </c>
      <c r="B11" s="128">
        <f t="shared" si="1"/>
        <v>43040</v>
      </c>
      <c r="C11" s="90">
        <f>'Input Tab'!E20</f>
        <v>0.10349999999999999</v>
      </c>
      <c r="D11" s="220">
        <f>'Input Tab'!F20</f>
        <v>1044291378</v>
      </c>
      <c r="E11" s="83">
        <f>'Input Tab'!K20</f>
        <v>1045172538</v>
      </c>
      <c r="F11" s="101">
        <f t="shared" si="2"/>
        <v>881160</v>
      </c>
      <c r="G11" s="258">
        <f t="shared" si="3"/>
        <v>7600.0050000000001</v>
      </c>
      <c r="H11" s="90">
        <f>'Input Tab'!D20</f>
        <v>0.87039999999999995</v>
      </c>
      <c r="I11" s="260">
        <f t="shared" si="4"/>
        <v>6615.0443519999999</v>
      </c>
      <c r="M11" s="405"/>
      <c r="U11"/>
      <c r="V11"/>
      <c r="W11" s="93"/>
      <c r="X11" s="93"/>
      <c r="Y11" s="93"/>
      <c r="Z11" s="93"/>
      <c r="AA11" s="93"/>
      <c r="AB11" s="93"/>
      <c r="AC11" s="93"/>
      <c r="AD11" s="93"/>
      <c r="AI11" s="67"/>
    </row>
    <row r="12" spans="1:37" x14ac:dyDescent="0.2">
      <c r="A12" s="127">
        <f>EDATE('Input Tab'!B21,0)*1</f>
        <v>43132</v>
      </c>
      <c r="B12" s="128">
        <f t="shared" si="1"/>
        <v>43070</v>
      </c>
      <c r="C12" s="90">
        <f>'Input Tab'!E21</f>
        <v>0.1033</v>
      </c>
      <c r="D12" s="220">
        <f>'Input Tab'!F21</f>
        <v>1124034494</v>
      </c>
      <c r="E12" s="83">
        <f>'Input Tab'!K21</f>
        <v>1124764196</v>
      </c>
      <c r="F12" s="101">
        <f t="shared" si="2"/>
        <v>729702</v>
      </c>
      <c r="G12" s="258">
        <f t="shared" si="3"/>
        <v>6281.5180499999997</v>
      </c>
      <c r="H12" s="90">
        <f>'Input Tab'!D21</f>
        <v>0.88539999999999996</v>
      </c>
      <c r="I12" s="260">
        <f t="shared" si="4"/>
        <v>5561.6560814699997</v>
      </c>
      <c r="M12" s="405"/>
      <c r="U12"/>
      <c r="V12"/>
      <c r="W12" s="93"/>
      <c r="X12" s="93"/>
      <c r="Y12" s="93"/>
      <c r="Z12" s="93"/>
      <c r="AA12" s="93"/>
      <c r="AB12" s="93"/>
      <c r="AC12" s="93"/>
      <c r="AD12" s="93"/>
      <c r="AI12" s="67"/>
    </row>
    <row r="13" spans="1:37" x14ac:dyDescent="0.2">
      <c r="A13" s="127">
        <f>EDATE('Input Tab'!B22,0)*1</f>
        <v>43160</v>
      </c>
      <c r="B13" s="128">
        <f t="shared" si="1"/>
        <v>43101</v>
      </c>
      <c r="C13" s="90">
        <f>'Input Tab'!E22</f>
        <v>8.8400000000000006E-2</v>
      </c>
      <c r="D13" s="220">
        <f>'Input Tab'!F22</f>
        <v>1135881788</v>
      </c>
      <c r="E13" s="83">
        <f>'Input Tab'!K22</f>
        <v>1137063315</v>
      </c>
      <c r="F13" s="101">
        <f t="shared" si="2"/>
        <v>1181527</v>
      </c>
      <c r="G13" s="258">
        <f t="shared" si="3"/>
        <v>8703.9155666666684</v>
      </c>
      <c r="H13" s="90">
        <f>'Input Tab'!D22</f>
        <v>0.85899999999999999</v>
      </c>
      <c r="I13" s="260">
        <f t="shared" si="4"/>
        <v>7476.6634717666684</v>
      </c>
      <c r="M13" s="405"/>
      <c r="U13" s="69"/>
      <c r="V13"/>
      <c r="W13" s="108"/>
      <c r="AI13" s="67"/>
    </row>
    <row r="14" spans="1:37" x14ac:dyDescent="0.2">
      <c r="A14" s="127">
        <f>EDATE('Input Tab'!B23,0)*1</f>
        <v>43191</v>
      </c>
      <c r="B14" s="128">
        <f t="shared" si="1"/>
        <v>43132</v>
      </c>
      <c r="C14" s="90">
        <f>'Input Tab'!E23</f>
        <v>8.8400000000000006E-2</v>
      </c>
      <c r="D14" s="220">
        <f>'Input Tab'!F23</f>
        <v>1145990578</v>
      </c>
      <c r="E14" s="83">
        <f>'Input Tab'!K23</f>
        <v>1145729650</v>
      </c>
      <c r="F14" s="101">
        <f t="shared" si="2"/>
        <v>-260928</v>
      </c>
      <c r="G14" s="259">
        <f t="shared" si="3"/>
        <v>-1922.1696000000002</v>
      </c>
      <c r="H14" s="90">
        <f>'Input Tab'!D23</f>
        <v>0.872</v>
      </c>
      <c r="I14" s="261">
        <f t="shared" si="4"/>
        <v>-1676.1318912000002</v>
      </c>
      <c r="M14" s="405"/>
      <c r="U14" s="69"/>
      <c r="V14"/>
      <c r="W14" s="108"/>
      <c r="AI14" s="67"/>
    </row>
    <row r="15" spans="1:37" x14ac:dyDescent="0.2">
      <c r="A15" s="147"/>
      <c r="B15" s="95"/>
      <c r="C15" s="90"/>
      <c r="D15" s="100"/>
      <c r="E15" s="88"/>
      <c r="F15" s="88"/>
      <c r="G15" s="257">
        <f>SUM(G9:G14)</f>
        <v>31439.654516666669</v>
      </c>
      <c r="H15" s="90"/>
      <c r="I15" s="260">
        <f>SUM(I9:I14)</f>
        <v>27418.165840861668</v>
      </c>
      <c r="U15" s="69"/>
      <c r="V15"/>
      <c r="W15" s="108"/>
      <c r="AI15" s="67"/>
    </row>
    <row r="16" spans="1:37" ht="13.5" thickBot="1" x14ac:dyDescent="0.25">
      <c r="A16" s="148"/>
      <c r="B16" s="111"/>
      <c r="C16" s="111"/>
      <c r="D16" s="111"/>
      <c r="E16" s="111"/>
      <c r="F16" s="111"/>
      <c r="G16" s="111"/>
      <c r="H16" s="111"/>
      <c r="I16" s="112"/>
      <c r="U16" s="10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3.5" thickBot="1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U17" s="10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3.5" thickBot="1" x14ac:dyDescent="0.25">
      <c r="A18" s="542" t="s">
        <v>103</v>
      </c>
      <c r="B18" s="543"/>
      <c r="C18" s="543"/>
      <c r="D18" s="543"/>
      <c r="E18" s="543"/>
      <c r="F18" s="543"/>
      <c r="G18" s="543"/>
      <c r="H18" s="543"/>
      <c r="I18" s="54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122">
        <v>-1</v>
      </c>
      <c r="B19" s="123">
        <f t="shared" ref="B19:I19" si="5">A19-1</f>
        <v>-2</v>
      </c>
      <c r="C19" s="123">
        <f t="shared" si="5"/>
        <v>-3</v>
      </c>
      <c r="D19" s="123">
        <f t="shared" si="5"/>
        <v>-4</v>
      </c>
      <c r="E19" s="123">
        <f t="shared" si="5"/>
        <v>-5</v>
      </c>
      <c r="F19" s="123">
        <f t="shared" si="5"/>
        <v>-6</v>
      </c>
      <c r="G19" s="123">
        <f t="shared" si="5"/>
        <v>-7</v>
      </c>
      <c r="H19" s="123">
        <f t="shared" si="5"/>
        <v>-8</v>
      </c>
      <c r="I19" s="124">
        <f t="shared" si="5"/>
        <v>-9</v>
      </c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38.25" x14ac:dyDescent="0.2">
      <c r="A20" s="209" t="s">
        <v>0</v>
      </c>
      <c r="B20" s="210" t="s">
        <v>1</v>
      </c>
      <c r="C20" s="210" t="s">
        <v>2</v>
      </c>
      <c r="D20" s="210" t="s">
        <v>3</v>
      </c>
      <c r="E20" s="210" t="s">
        <v>19</v>
      </c>
      <c r="F20" s="210" t="s">
        <v>4</v>
      </c>
      <c r="G20" s="210" t="s">
        <v>5</v>
      </c>
      <c r="H20" s="210" t="s">
        <v>22</v>
      </c>
      <c r="I20" s="213" t="s">
        <v>32</v>
      </c>
      <c r="J20" s="215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2">
      <c r="A21" s="74"/>
      <c r="B21" s="75"/>
      <c r="C21" s="117"/>
      <c r="D21" s="117"/>
      <c r="E21" s="117"/>
      <c r="F21" s="80" t="s">
        <v>104</v>
      </c>
      <c r="G21" s="80" t="s">
        <v>105</v>
      </c>
      <c r="H21" s="77"/>
      <c r="I21" s="78" t="s">
        <v>6</v>
      </c>
      <c r="M21" s="405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127">
        <f t="shared" ref="A22:A27" si="6">A9</f>
        <v>43040</v>
      </c>
      <c r="B22" s="128">
        <f t="shared" ref="B22:B27" si="7">EDATE(A22,-2)</f>
        <v>42979</v>
      </c>
      <c r="C22" s="90">
        <f>'Input Tab'!G18</f>
        <v>0.10349999999999999</v>
      </c>
      <c r="D22" s="224">
        <f>'Input Tab'!H18</f>
        <v>41787102</v>
      </c>
      <c r="E22" s="84">
        <f>'Input Tab'!O18</f>
        <v>41786965</v>
      </c>
      <c r="F22" s="101">
        <f t="shared" ref="F22:F27" si="8">E22-D22</f>
        <v>-137</v>
      </c>
      <c r="G22" s="101">
        <f t="shared" ref="G22:G27" si="9">(C22*F22)/12</f>
        <v>-1.1816249999999999</v>
      </c>
      <c r="H22" s="90">
        <f t="shared" ref="H22:H27" si="10">H9</f>
        <v>0.87170000000000003</v>
      </c>
      <c r="I22" s="103">
        <f t="shared" ref="I22:I27" si="11">G22*H22</f>
        <v>-1.0300225125</v>
      </c>
      <c r="M22" s="405"/>
      <c r="U22" s="69"/>
      <c r="AI22" s="67"/>
    </row>
    <row r="23" spans="1:37" x14ac:dyDescent="0.2">
      <c r="A23" s="127">
        <f t="shared" si="6"/>
        <v>43070</v>
      </c>
      <c r="B23" s="128">
        <f t="shared" si="7"/>
        <v>43009</v>
      </c>
      <c r="C23" s="90">
        <f>'Input Tab'!G19</f>
        <v>0.10349999999999999</v>
      </c>
      <c r="D23" s="225">
        <f>'Input Tab'!H19</f>
        <v>54149076</v>
      </c>
      <c r="E23" s="84">
        <f>'Input Tab'!O19</f>
        <v>54008959</v>
      </c>
      <c r="F23" s="101">
        <f t="shared" si="8"/>
        <v>-140117</v>
      </c>
      <c r="G23" s="101">
        <f t="shared" si="9"/>
        <v>-1208.5091249999998</v>
      </c>
      <c r="H23" s="90">
        <f t="shared" si="10"/>
        <v>0.87939999999999996</v>
      </c>
      <c r="I23" s="103">
        <f t="shared" si="11"/>
        <v>-1062.7629245249998</v>
      </c>
      <c r="M23" s="405"/>
      <c r="U23" s="69"/>
      <c r="AI23" s="67"/>
    </row>
    <row r="24" spans="1:37" x14ac:dyDescent="0.2">
      <c r="A24" s="127">
        <f t="shared" si="6"/>
        <v>43101</v>
      </c>
      <c r="B24" s="128">
        <f t="shared" si="7"/>
        <v>43040</v>
      </c>
      <c r="C24" s="90">
        <f>'Input Tab'!G20</f>
        <v>0.10349999999999999</v>
      </c>
      <c r="D24" s="225">
        <f>'Input Tab'!H20</f>
        <v>64983926</v>
      </c>
      <c r="E24" s="84">
        <f>'Input Tab'!O20</f>
        <v>64810333</v>
      </c>
      <c r="F24" s="101">
        <f t="shared" si="8"/>
        <v>-173593</v>
      </c>
      <c r="G24" s="101">
        <f t="shared" si="9"/>
        <v>-1497.2396249999999</v>
      </c>
      <c r="H24" s="90">
        <f t="shared" si="10"/>
        <v>0.87039999999999995</v>
      </c>
      <c r="I24" s="103">
        <f t="shared" si="11"/>
        <v>-1303.1973695999998</v>
      </c>
      <c r="M24" s="405"/>
      <c r="U24" s="69"/>
      <c r="AI24" s="67"/>
    </row>
    <row r="25" spans="1:37" x14ac:dyDescent="0.2">
      <c r="A25" s="127">
        <f t="shared" si="6"/>
        <v>43132</v>
      </c>
      <c r="B25" s="128">
        <f t="shared" si="7"/>
        <v>43070</v>
      </c>
      <c r="C25" s="90">
        <f>'Input Tab'!G21</f>
        <v>0</v>
      </c>
      <c r="D25" s="225">
        <f>'Input Tab'!H21</f>
        <v>0</v>
      </c>
      <c r="E25" s="84">
        <f>'Input Tab'!O21</f>
        <v>0</v>
      </c>
      <c r="F25" s="101">
        <f t="shared" si="8"/>
        <v>0</v>
      </c>
      <c r="G25" s="101">
        <f t="shared" si="9"/>
        <v>0</v>
      </c>
      <c r="H25" s="90">
        <f t="shared" si="10"/>
        <v>0.88539999999999996</v>
      </c>
      <c r="I25" s="103">
        <f t="shared" si="11"/>
        <v>0</v>
      </c>
      <c r="M25" s="405"/>
      <c r="U25" s="69"/>
      <c r="AI25" s="67"/>
    </row>
    <row r="26" spans="1:37" x14ac:dyDescent="0.2">
      <c r="A26" s="127">
        <f t="shared" si="6"/>
        <v>43160</v>
      </c>
      <c r="B26" s="128">
        <f t="shared" si="7"/>
        <v>43101</v>
      </c>
      <c r="C26" s="90">
        <f>'Input Tab'!G22</f>
        <v>0</v>
      </c>
      <c r="D26" s="225">
        <f>'Input Tab'!H22</f>
        <v>0</v>
      </c>
      <c r="E26" s="84">
        <f>'Input Tab'!O22</f>
        <v>0</v>
      </c>
      <c r="F26" s="101">
        <f t="shared" si="8"/>
        <v>0</v>
      </c>
      <c r="G26" s="101">
        <f t="shared" si="9"/>
        <v>0</v>
      </c>
      <c r="H26" s="90">
        <f t="shared" si="10"/>
        <v>0.85899999999999999</v>
      </c>
      <c r="I26" s="103">
        <f t="shared" si="11"/>
        <v>0</v>
      </c>
      <c r="M26" s="405"/>
      <c r="U26" s="69"/>
      <c r="AI26" s="67"/>
    </row>
    <row r="27" spans="1:37" x14ac:dyDescent="0.2">
      <c r="A27" s="127">
        <f t="shared" si="6"/>
        <v>43191</v>
      </c>
      <c r="B27" s="128">
        <f t="shared" si="7"/>
        <v>43132</v>
      </c>
      <c r="C27" s="90">
        <f>'Input Tab'!G23</f>
        <v>0</v>
      </c>
      <c r="D27" s="225">
        <f>'Input Tab'!H23</f>
        <v>0</v>
      </c>
      <c r="E27" s="84">
        <f>'Input Tab'!O23</f>
        <v>0</v>
      </c>
      <c r="F27" s="101">
        <f t="shared" si="8"/>
        <v>0</v>
      </c>
      <c r="G27" s="118">
        <f t="shared" si="9"/>
        <v>0</v>
      </c>
      <c r="H27" s="90">
        <f t="shared" si="10"/>
        <v>0.872</v>
      </c>
      <c r="I27" s="119">
        <f t="shared" si="11"/>
        <v>0</v>
      </c>
      <c r="U27" s="69"/>
      <c r="AI27" s="67"/>
    </row>
    <row r="28" spans="1:37" x14ac:dyDescent="0.2">
      <c r="A28" s="94"/>
      <c r="B28" s="95"/>
      <c r="C28" s="149"/>
      <c r="D28" s="90"/>
      <c r="E28" s="100"/>
      <c r="F28" s="88"/>
      <c r="G28" s="101">
        <f>SUM(G22:G27)</f>
        <v>-2706.9303749999999</v>
      </c>
      <c r="H28" s="101"/>
      <c r="I28" s="103">
        <f>SUM(I22:I27)</f>
        <v>-2366.9903166374997</v>
      </c>
      <c r="J28"/>
      <c r="W28" s="69"/>
      <c r="AI28" s="67"/>
    </row>
    <row r="29" spans="1:37" ht="13.5" thickBot="1" x14ac:dyDescent="0.25">
      <c r="A29" s="110"/>
      <c r="B29" s="111"/>
      <c r="C29" s="111"/>
      <c r="D29" s="111"/>
      <c r="E29" s="111"/>
      <c r="F29" s="111"/>
      <c r="G29" s="111"/>
      <c r="H29" s="111"/>
      <c r="I29" s="112"/>
      <c r="J29"/>
      <c r="W29" s="69"/>
      <c r="AI29" s="67"/>
    </row>
    <row r="30" spans="1:37" x14ac:dyDescent="0.2">
      <c r="J30"/>
    </row>
    <row r="32" spans="1:37" x14ac:dyDescent="0.2">
      <c r="D32" s="69"/>
      <c r="E32" s="528"/>
    </row>
    <row r="33" spans="4:5" x14ac:dyDescent="0.2">
      <c r="D33" s="69"/>
      <c r="E33" s="528"/>
    </row>
    <row r="34" spans="4:5" x14ac:dyDescent="0.2">
      <c r="D34" s="69"/>
      <c r="E34" s="528"/>
    </row>
    <row r="35" spans="4:5" x14ac:dyDescent="0.2">
      <c r="D35" s="69"/>
      <c r="E35" s="528"/>
    </row>
    <row r="36" spans="4:5" x14ac:dyDescent="0.2">
      <c r="D36" s="69"/>
      <c r="E36" s="528"/>
    </row>
    <row r="37" spans="4:5" x14ac:dyDescent="0.2">
      <c r="D37" s="69"/>
      <c r="E37" s="528"/>
    </row>
  </sheetData>
  <mergeCells count="2">
    <mergeCell ref="A5:I5"/>
    <mergeCell ref="A18:I18"/>
  </mergeCells>
  <phoneticPr fontId="6" type="noConversion"/>
  <printOptions horizontalCentered="1"/>
  <pageMargins left="0.25" right="0.25" top="0.75" bottom="0.5" header="0.5" footer="0.5"/>
  <pageSetup scale="69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  <pageSetUpPr fitToPage="1"/>
  </sheetPr>
  <dimension ref="A1:J30"/>
  <sheetViews>
    <sheetView zoomScaleNormal="100" workbookViewId="0">
      <selection activeCell="I20" sqref="I20"/>
    </sheetView>
  </sheetViews>
  <sheetFormatPr defaultRowHeight="12.75" x14ac:dyDescent="0.2"/>
  <cols>
    <col min="1" max="3" width="16.83203125" style="67" customWidth="1"/>
    <col min="4" max="4" width="17.1640625" style="67" customWidth="1"/>
    <col min="5" max="5" width="16.5" style="67" customWidth="1"/>
    <col min="6" max="9" width="16.83203125" style="67" customWidth="1"/>
    <col min="10" max="10" width="5.6640625" style="67" customWidth="1"/>
    <col min="11" max="11" width="16.83203125" customWidth="1"/>
    <col min="12" max="12" width="16" customWidth="1"/>
    <col min="13" max="13" width="16.6640625" customWidth="1"/>
  </cols>
  <sheetData>
    <row r="1" spans="1:10" x14ac:dyDescent="0.2">
      <c r="A1" s="66" t="str">
        <f>'Q1 p.1 - Rate Base True-up Adj'!A1</f>
        <v>Kentucky Utilities Company</v>
      </c>
      <c r="I1" s="68" t="str">
        <f>'Q1 p.1 - Rate Base True-up Adj'!I1</f>
        <v>Attachment to Response to Question No. 1</v>
      </c>
    </row>
    <row r="2" spans="1:10" x14ac:dyDescent="0.2">
      <c r="A2" s="71" t="s">
        <v>256</v>
      </c>
      <c r="I2" s="68" t="s">
        <v>250</v>
      </c>
    </row>
    <row r="3" spans="1:10" x14ac:dyDescent="0.2">
      <c r="A3" s="66" t="str">
        <f>'Q1 p.1 - Rate Base True-up Adj'!A3</f>
        <v xml:space="preserve">Impact on Calculated E(m) </v>
      </c>
      <c r="I3" s="70" t="str">
        <f>'Q1 p.1 - Rate Base True-up Adj'!I3</f>
        <v>Rahn/Neal</v>
      </c>
    </row>
    <row r="4" spans="1:10" ht="13.5" thickBot="1" x14ac:dyDescent="0.25">
      <c r="D4" s="70"/>
      <c r="F4" s="66"/>
    </row>
    <row r="5" spans="1:10" ht="13.5" thickBot="1" x14ac:dyDescent="0.25">
      <c r="A5" s="542" t="s">
        <v>102</v>
      </c>
      <c r="B5" s="543"/>
      <c r="C5" s="543"/>
      <c r="D5" s="543"/>
      <c r="E5" s="543"/>
      <c r="F5" s="543"/>
      <c r="G5" s="543"/>
      <c r="H5" s="543"/>
      <c r="I5" s="544"/>
    </row>
    <row r="6" spans="1:10" x14ac:dyDescent="0.2">
      <c r="A6" s="125">
        <v>-1</v>
      </c>
      <c r="B6" s="126">
        <f t="shared" ref="B6:I6" si="0">A6-1</f>
        <v>-2</v>
      </c>
      <c r="C6" s="126">
        <f t="shared" si="0"/>
        <v>-3</v>
      </c>
      <c r="D6" s="126">
        <f t="shared" si="0"/>
        <v>-4</v>
      </c>
      <c r="E6" s="126">
        <f t="shared" si="0"/>
        <v>-5</v>
      </c>
      <c r="F6" s="126">
        <f t="shared" si="0"/>
        <v>-6</v>
      </c>
      <c r="G6" s="126">
        <f t="shared" si="0"/>
        <v>-7</v>
      </c>
      <c r="H6" s="126">
        <f t="shared" si="0"/>
        <v>-8</v>
      </c>
      <c r="I6" s="124">
        <f t="shared" si="0"/>
        <v>-9</v>
      </c>
    </row>
    <row r="7" spans="1:10" ht="38.25" x14ac:dyDescent="0.2">
      <c r="A7" s="209" t="s">
        <v>0</v>
      </c>
      <c r="B7" s="210" t="s">
        <v>1</v>
      </c>
      <c r="C7" s="210" t="s">
        <v>2</v>
      </c>
      <c r="D7" s="210" t="s">
        <v>7</v>
      </c>
      <c r="E7" s="210" t="s">
        <v>8</v>
      </c>
      <c r="F7" s="210" t="s">
        <v>14</v>
      </c>
      <c r="G7" s="210" t="s">
        <v>5</v>
      </c>
      <c r="H7" s="210" t="s">
        <v>22</v>
      </c>
      <c r="I7" s="213" t="s">
        <v>32</v>
      </c>
      <c r="J7" s="72"/>
    </row>
    <row r="8" spans="1:10" x14ac:dyDescent="0.2">
      <c r="A8" s="74"/>
      <c r="B8" s="75"/>
      <c r="C8" s="117"/>
      <c r="D8" s="117"/>
      <c r="E8" s="80" t="s">
        <v>9</v>
      </c>
      <c r="F8" s="117"/>
      <c r="G8" s="80" t="s">
        <v>10</v>
      </c>
      <c r="H8" s="77"/>
      <c r="I8" s="78" t="s">
        <v>6</v>
      </c>
    </row>
    <row r="9" spans="1:10" x14ac:dyDescent="0.2">
      <c r="A9" s="127">
        <f>'Q1 p.1 - Rate Base True-up Adj'!A9</f>
        <v>43040</v>
      </c>
      <c r="B9" s="128">
        <f>'Q1 p.1 - Rate Base True-up Adj'!B9</f>
        <v>42979</v>
      </c>
      <c r="C9" s="90">
        <f>'Input Tab'!E18</f>
        <v>0.10349999999999999</v>
      </c>
      <c r="D9" s="90">
        <f>'Input Tab'!J18</f>
        <v>0.1042</v>
      </c>
      <c r="E9" s="90">
        <f t="shared" ref="E9:E14" si="1">D9-C9</f>
        <v>7.0000000000000617E-4</v>
      </c>
      <c r="F9" s="84">
        <f>'Input Tab'!K18</f>
        <v>1048780703</v>
      </c>
      <c r="G9" s="107">
        <f t="shared" ref="G9:G14" si="2">(E9*F9)/12</f>
        <v>61178.8743416672</v>
      </c>
      <c r="H9" s="86">
        <f>'Input Tab'!D18</f>
        <v>0.87170000000000003</v>
      </c>
      <c r="I9" s="115">
        <f t="shared" ref="I9:I14" si="3">H9*G9</f>
        <v>53329.624763631298</v>
      </c>
    </row>
    <row r="10" spans="1:10" x14ac:dyDescent="0.2">
      <c r="A10" s="127">
        <f>'Q1 p.1 - Rate Base True-up Adj'!A10</f>
        <v>43070</v>
      </c>
      <c r="B10" s="128">
        <f>'Q1 p.1 - Rate Base True-up Adj'!B10</f>
        <v>43009</v>
      </c>
      <c r="C10" s="90">
        <f>'Input Tab'!E19</f>
        <v>0.10349999999999999</v>
      </c>
      <c r="D10" s="90">
        <f>'Input Tab'!J19</f>
        <v>0.1042</v>
      </c>
      <c r="E10" s="90">
        <f t="shared" si="1"/>
        <v>7.0000000000000617E-4</v>
      </c>
      <c r="F10" s="84">
        <f>'Input Tab'!K19</f>
        <v>1046778708</v>
      </c>
      <c r="G10" s="96">
        <f t="shared" si="2"/>
        <v>61062.091300000531</v>
      </c>
      <c r="H10" s="86">
        <f>'Input Tab'!D19</f>
        <v>0.87939999999999996</v>
      </c>
      <c r="I10" s="115">
        <f t="shared" si="3"/>
        <v>53698.003089220467</v>
      </c>
    </row>
    <row r="11" spans="1:10" x14ac:dyDescent="0.2">
      <c r="A11" s="127">
        <f>'Q1 p.1 - Rate Base True-up Adj'!A11</f>
        <v>43101</v>
      </c>
      <c r="B11" s="128">
        <f>'Q1 p.1 - Rate Base True-up Adj'!B11</f>
        <v>43040</v>
      </c>
      <c r="C11" s="90">
        <f>'Input Tab'!E20</f>
        <v>0.10349999999999999</v>
      </c>
      <c r="D11" s="90">
        <f>'Input Tab'!J20</f>
        <v>0.1042</v>
      </c>
      <c r="E11" s="90">
        <f t="shared" si="1"/>
        <v>7.0000000000000617E-4</v>
      </c>
      <c r="F11" s="84">
        <f>'Input Tab'!K20</f>
        <v>1045172538</v>
      </c>
      <c r="G11" s="96">
        <f t="shared" si="2"/>
        <v>60968.398050000542</v>
      </c>
      <c r="H11" s="86">
        <f>'Input Tab'!D20</f>
        <v>0.87039999999999995</v>
      </c>
      <c r="I11" s="115">
        <f t="shared" si="3"/>
        <v>53066.893662720468</v>
      </c>
    </row>
    <row r="12" spans="1:10" x14ac:dyDescent="0.2">
      <c r="A12" s="127">
        <f>'Q1 p.1 - Rate Base True-up Adj'!A12</f>
        <v>43132</v>
      </c>
      <c r="B12" s="128">
        <f>'Q1 p.1 - Rate Base True-up Adj'!B12</f>
        <v>43070</v>
      </c>
      <c r="C12" s="90">
        <f>'Input Tab'!E21</f>
        <v>0.1033</v>
      </c>
      <c r="D12" s="90">
        <f>'Input Tab'!J21</f>
        <v>0.1042</v>
      </c>
      <c r="E12" s="90">
        <f t="shared" si="1"/>
        <v>8.9999999999999802E-4</v>
      </c>
      <c r="F12" s="84">
        <f>'Input Tab'!K21</f>
        <v>1124764196</v>
      </c>
      <c r="G12" s="96">
        <f t="shared" si="2"/>
        <v>84357.314699999813</v>
      </c>
      <c r="H12" s="86">
        <f>'Input Tab'!D21</f>
        <v>0.88539999999999996</v>
      </c>
      <c r="I12" s="115">
        <f t="shared" si="3"/>
        <v>74689.966435379829</v>
      </c>
    </row>
    <row r="13" spans="1:10" x14ac:dyDescent="0.2">
      <c r="A13" s="127">
        <f>'Q1 p.1 - Rate Base True-up Adj'!A13</f>
        <v>43160</v>
      </c>
      <c r="B13" s="128">
        <f>'Q1 p.1 - Rate Base True-up Adj'!B13</f>
        <v>43101</v>
      </c>
      <c r="C13" s="90">
        <f>'Input Tab'!E22</f>
        <v>8.8400000000000006E-2</v>
      </c>
      <c r="D13" s="90">
        <f>'Input Tab'!J22</f>
        <v>8.8999999999999996E-2</v>
      </c>
      <c r="E13" s="90">
        <f t="shared" si="1"/>
        <v>5.9999999999998943E-4</v>
      </c>
      <c r="F13" s="84">
        <f>'Input Tab'!K22</f>
        <v>1137063315</v>
      </c>
      <c r="G13" s="96">
        <f t="shared" si="2"/>
        <v>56853.165749998996</v>
      </c>
      <c r="H13" s="86">
        <f>'Input Tab'!D22</f>
        <v>0.85899999999999999</v>
      </c>
      <c r="I13" s="115">
        <f t="shared" si="3"/>
        <v>48836.869379249139</v>
      </c>
    </row>
    <row r="14" spans="1:10" x14ac:dyDescent="0.2">
      <c r="A14" s="127">
        <f>'Q1 p.1 - Rate Base True-up Adj'!A14</f>
        <v>43191</v>
      </c>
      <c r="B14" s="128">
        <f>'Q1 p.1 - Rate Base True-up Adj'!B14</f>
        <v>43132</v>
      </c>
      <c r="C14" s="90">
        <f>'Input Tab'!E23</f>
        <v>8.8400000000000006E-2</v>
      </c>
      <c r="D14" s="90">
        <f>'Input Tab'!J23</f>
        <v>8.8999999999999996E-2</v>
      </c>
      <c r="E14" s="90">
        <f t="shared" si="1"/>
        <v>5.9999999999998943E-4</v>
      </c>
      <c r="F14" s="84">
        <f>'Input Tab'!K23</f>
        <v>1145729650</v>
      </c>
      <c r="G14" s="99">
        <f t="shared" si="2"/>
        <v>57286.482499998994</v>
      </c>
      <c r="H14" s="86">
        <f>'Input Tab'!D23</f>
        <v>0.872</v>
      </c>
      <c r="I14" s="121">
        <f t="shared" si="3"/>
        <v>49953.812739999121</v>
      </c>
    </row>
    <row r="15" spans="1:10" x14ac:dyDescent="0.2">
      <c r="A15" s="94"/>
      <c r="B15" s="95"/>
      <c r="C15" s="102"/>
      <c r="D15" s="102"/>
      <c r="E15" s="102"/>
      <c r="F15" s="102"/>
      <c r="G15" s="101">
        <f>SUM(G9:G14)</f>
        <v>381706.32664166606</v>
      </c>
      <c r="H15" s="102"/>
      <c r="I15" s="103">
        <f>SUM(I9:I14)</f>
        <v>333575.17007020034</v>
      </c>
    </row>
    <row r="16" spans="1:10" ht="13.5" thickBot="1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10" ht="13.5" thickBot="1" x14ac:dyDescent="0.25">
      <c r="A17" s="102"/>
      <c r="B17" s="102"/>
      <c r="C17" s="102"/>
      <c r="D17" s="102"/>
      <c r="F17" s="102"/>
      <c r="G17" s="102"/>
      <c r="H17" s="102"/>
      <c r="I17" s="102"/>
      <c r="J17" s="102"/>
    </row>
    <row r="18" spans="1:10" ht="13.5" thickBot="1" x14ac:dyDescent="0.25">
      <c r="A18" s="542" t="s">
        <v>103</v>
      </c>
      <c r="B18" s="543"/>
      <c r="C18" s="543"/>
      <c r="D18" s="543"/>
      <c r="E18" s="543"/>
      <c r="F18" s="543"/>
      <c r="G18" s="543"/>
      <c r="H18" s="543"/>
      <c r="I18" s="544"/>
    </row>
    <row r="19" spans="1:10" x14ac:dyDescent="0.2">
      <c r="A19" s="122">
        <v>-1</v>
      </c>
      <c r="B19" s="123">
        <f t="shared" ref="B19:I19" si="4">A19-1</f>
        <v>-2</v>
      </c>
      <c r="C19" s="123">
        <f t="shared" si="4"/>
        <v>-3</v>
      </c>
      <c r="D19" s="123">
        <f t="shared" si="4"/>
        <v>-4</v>
      </c>
      <c r="E19" s="123">
        <f t="shared" si="4"/>
        <v>-5</v>
      </c>
      <c r="F19" s="123">
        <f t="shared" si="4"/>
        <v>-6</v>
      </c>
      <c r="G19" s="123">
        <f t="shared" si="4"/>
        <v>-7</v>
      </c>
      <c r="H19" s="123">
        <f t="shared" si="4"/>
        <v>-8</v>
      </c>
      <c r="I19" s="124">
        <f t="shared" si="4"/>
        <v>-9</v>
      </c>
    </row>
    <row r="20" spans="1:10" ht="38.25" x14ac:dyDescent="0.2">
      <c r="A20" s="209" t="s">
        <v>0</v>
      </c>
      <c r="B20" s="210" t="s">
        <v>1</v>
      </c>
      <c r="C20" s="210" t="s">
        <v>2</v>
      </c>
      <c r="D20" s="210" t="s">
        <v>7</v>
      </c>
      <c r="E20" s="210" t="s">
        <v>8</v>
      </c>
      <c r="F20" s="210" t="s">
        <v>14</v>
      </c>
      <c r="G20" s="210" t="s">
        <v>5</v>
      </c>
      <c r="H20" s="210" t="s">
        <v>22</v>
      </c>
      <c r="I20" s="213" t="s">
        <v>32</v>
      </c>
    </row>
    <row r="21" spans="1:10" x14ac:dyDescent="0.2">
      <c r="A21" s="74"/>
      <c r="B21" s="75"/>
      <c r="C21" s="117"/>
      <c r="D21" s="117"/>
      <c r="E21" s="80" t="s">
        <v>9</v>
      </c>
      <c r="F21" s="117"/>
      <c r="G21" s="80" t="s">
        <v>10</v>
      </c>
      <c r="H21" s="77"/>
      <c r="I21" s="78" t="s">
        <v>6</v>
      </c>
    </row>
    <row r="22" spans="1:10" x14ac:dyDescent="0.2">
      <c r="A22" s="127">
        <f>'Q1 p.1 - Rate Base True-up Adj'!A22</f>
        <v>43040</v>
      </c>
      <c r="B22" s="128">
        <f>'Q1 p.1 - Rate Base True-up Adj'!B22</f>
        <v>42979</v>
      </c>
      <c r="C22" s="90">
        <f>'Input Tab'!G18</f>
        <v>0.10349999999999999</v>
      </c>
      <c r="D22" s="90">
        <f>'Input Tab'!N18</f>
        <v>0.1042</v>
      </c>
      <c r="E22" s="90">
        <f t="shared" ref="E22:E27" si="5">D22-C22</f>
        <v>7.0000000000000617E-4</v>
      </c>
      <c r="F22" s="84">
        <f>'Input Tab'!O18</f>
        <v>41786965</v>
      </c>
      <c r="G22" s="107">
        <f t="shared" ref="G22:G27" si="6">E22*F22/12</f>
        <v>2437.5729583333546</v>
      </c>
      <c r="H22" s="86">
        <f>'Input Tab'!D18</f>
        <v>0.87170000000000003</v>
      </c>
      <c r="I22" s="115">
        <f t="shared" ref="I22:I27" si="7">G22*H22</f>
        <v>2124.8323477791851</v>
      </c>
    </row>
    <row r="23" spans="1:10" x14ac:dyDescent="0.2">
      <c r="A23" s="127">
        <f>'Q1 p.1 - Rate Base True-up Adj'!A23</f>
        <v>43070</v>
      </c>
      <c r="B23" s="128">
        <f>'Q1 p.1 - Rate Base True-up Adj'!B23</f>
        <v>43009</v>
      </c>
      <c r="C23" s="90">
        <f>'Input Tab'!G19</f>
        <v>0.10349999999999999</v>
      </c>
      <c r="D23" s="90">
        <f>'Input Tab'!N19</f>
        <v>0.1042</v>
      </c>
      <c r="E23" s="90">
        <f t="shared" si="5"/>
        <v>7.0000000000000617E-4</v>
      </c>
      <c r="F23" s="84">
        <f>'Input Tab'!O19</f>
        <v>54008959</v>
      </c>
      <c r="G23" s="107">
        <f t="shared" si="6"/>
        <v>3150.5226083333614</v>
      </c>
      <c r="H23" s="86">
        <f>'Input Tab'!D19</f>
        <v>0.87939999999999996</v>
      </c>
      <c r="I23" s="115">
        <f t="shared" si="7"/>
        <v>2770.5695817683577</v>
      </c>
    </row>
    <row r="24" spans="1:10" x14ac:dyDescent="0.2">
      <c r="A24" s="127">
        <f>'Q1 p.1 - Rate Base True-up Adj'!A24</f>
        <v>43101</v>
      </c>
      <c r="B24" s="128">
        <f>'Q1 p.1 - Rate Base True-up Adj'!B24</f>
        <v>43040</v>
      </c>
      <c r="C24" s="90">
        <f>'Input Tab'!G20</f>
        <v>0.10349999999999999</v>
      </c>
      <c r="D24" s="90">
        <f>'Input Tab'!N20</f>
        <v>0.1042</v>
      </c>
      <c r="E24" s="90">
        <f t="shared" si="5"/>
        <v>7.0000000000000617E-4</v>
      </c>
      <c r="F24" s="84">
        <f>'Input Tab'!O20</f>
        <v>64810333</v>
      </c>
      <c r="G24" s="107">
        <f t="shared" si="6"/>
        <v>3780.6027583333666</v>
      </c>
      <c r="H24" s="86">
        <f>'Input Tab'!D20</f>
        <v>0.87039999999999995</v>
      </c>
      <c r="I24" s="115">
        <f t="shared" si="7"/>
        <v>3290.6366408533622</v>
      </c>
    </row>
    <row r="25" spans="1:10" x14ac:dyDescent="0.2">
      <c r="A25" s="127">
        <f>'Q1 p.1 - Rate Base True-up Adj'!A25</f>
        <v>43132</v>
      </c>
      <c r="B25" s="128">
        <f>'Q1 p.1 - Rate Base True-up Adj'!B25</f>
        <v>43070</v>
      </c>
      <c r="C25" s="90">
        <f>'Input Tab'!G21</f>
        <v>0</v>
      </c>
      <c r="D25" s="90">
        <f>'Input Tab'!N21</f>
        <v>0</v>
      </c>
      <c r="E25" s="90">
        <f t="shared" si="5"/>
        <v>0</v>
      </c>
      <c r="F25" s="84">
        <f>'Input Tab'!O21</f>
        <v>0</v>
      </c>
      <c r="G25" s="107">
        <f t="shared" si="6"/>
        <v>0</v>
      </c>
      <c r="H25" s="86">
        <f>'Input Tab'!D21</f>
        <v>0.88539999999999996</v>
      </c>
      <c r="I25" s="115">
        <f t="shared" si="7"/>
        <v>0</v>
      </c>
    </row>
    <row r="26" spans="1:10" x14ac:dyDescent="0.2">
      <c r="A26" s="127">
        <f>'Q1 p.1 - Rate Base True-up Adj'!A26</f>
        <v>43160</v>
      </c>
      <c r="B26" s="128">
        <f>'Q1 p.1 - Rate Base True-up Adj'!B26</f>
        <v>43101</v>
      </c>
      <c r="C26" s="90">
        <f>'Input Tab'!G22</f>
        <v>0</v>
      </c>
      <c r="D26" s="90">
        <f>'Input Tab'!N22</f>
        <v>0</v>
      </c>
      <c r="E26" s="90">
        <f t="shared" si="5"/>
        <v>0</v>
      </c>
      <c r="F26" s="84">
        <f>'Input Tab'!O22</f>
        <v>0</v>
      </c>
      <c r="G26" s="107">
        <f t="shared" si="6"/>
        <v>0</v>
      </c>
      <c r="H26" s="86">
        <f>'Input Tab'!D22</f>
        <v>0.85899999999999999</v>
      </c>
      <c r="I26" s="115">
        <f t="shared" si="7"/>
        <v>0</v>
      </c>
    </row>
    <row r="27" spans="1:10" x14ac:dyDescent="0.2">
      <c r="A27" s="127">
        <f>'Q1 p.1 - Rate Base True-up Adj'!A27</f>
        <v>43191</v>
      </c>
      <c r="B27" s="128">
        <f>'Q1 p.1 - Rate Base True-up Adj'!B27</f>
        <v>43132</v>
      </c>
      <c r="C27" s="90">
        <f>'Input Tab'!G23</f>
        <v>0</v>
      </c>
      <c r="D27" s="90">
        <f>'Input Tab'!N23</f>
        <v>0</v>
      </c>
      <c r="E27" s="90">
        <f t="shared" si="5"/>
        <v>0</v>
      </c>
      <c r="F27" s="84">
        <f>'Input Tab'!O23</f>
        <v>0</v>
      </c>
      <c r="G27" s="120">
        <f t="shared" si="6"/>
        <v>0</v>
      </c>
      <c r="H27" s="86">
        <f>'Input Tab'!D23</f>
        <v>0.872</v>
      </c>
      <c r="I27" s="121">
        <f t="shared" si="7"/>
        <v>0</v>
      </c>
    </row>
    <row r="28" spans="1:10" x14ac:dyDescent="0.2">
      <c r="A28" s="94"/>
      <c r="B28" s="95"/>
      <c r="D28" s="102"/>
      <c r="E28" s="102"/>
      <c r="F28" s="102"/>
      <c r="G28" s="101">
        <f>SUM(G22:G27)</f>
        <v>9368.6983250000831</v>
      </c>
      <c r="H28" s="102"/>
      <c r="I28" s="103">
        <f>SUM(I22:I27)</f>
        <v>8186.038570400905</v>
      </c>
    </row>
    <row r="29" spans="1:10" ht="13.5" thickBot="1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10" x14ac:dyDescent="0.2">
      <c r="A30"/>
    </row>
  </sheetData>
  <mergeCells count="2">
    <mergeCell ref="A5:I5"/>
    <mergeCell ref="A18:I18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opLeftCell="A7" zoomScaleNormal="100" workbookViewId="0">
      <selection activeCell="C12" sqref="C12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8.66406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22.1640625" style="28" customWidth="1"/>
    <col min="15" max="15" width="2.6640625" style="28" customWidth="1"/>
    <col min="16" max="16" width="22.1640625" style="28" customWidth="1"/>
    <col min="17" max="17" width="2.1640625" style="28" customWidth="1"/>
    <col min="18" max="18" width="22.1640625" style="28" customWidth="1"/>
    <col min="19" max="20" width="2.1640625" style="28" customWidth="1"/>
    <col min="21" max="21" width="22.1640625" style="28" customWidth="1"/>
    <col min="22" max="22" width="2.6640625" style="28" customWidth="1"/>
    <col min="23" max="23" width="21.33203125" style="28" customWidth="1"/>
    <col min="24" max="24" width="2.83203125" style="28" customWidth="1"/>
    <col min="25" max="25" width="19.1640625" style="28" customWidth="1"/>
    <col min="26" max="26" width="3.33203125" style="28" customWidth="1"/>
    <col min="27" max="27" width="21.1640625" style="28" customWidth="1"/>
    <col min="28" max="16384" width="20.83203125" style="28"/>
  </cols>
  <sheetData>
    <row r="1" spans="1:23" x14ac:dyDescent="0.25">
      <c r="A1" s="66" t="str">
        <f>'Input Tab'!B2</f>
        <v>Kentucky Utilities Company</v>
      </c>
      <c r="R1" s="68" t="s">
        <v>30</v>
      </c>
    </row>
    <row r="2" spans="1:23" x14ac:dyDescent="0.25">
      <c r="A2" s="66" t="s">
        <v>171</v>
      </c>
      <c r="R2" s="68" t="s">
        <v>251</v>
      </c>
    </row>
    <row r="3" spans="1:23" x14ac:dyDescent="0.25">
      <c r="A3" s="351" t="s">
        <v>272</v>
      </c>
      <c r="R3" s="70" t="str">
        <f>'Q1 p.2 - Rate of Return Adj'!I3</f>
        <v>Rahn/Neal</v>
      </c>
    </row>
    <row r="4" spans="1:23" ht="16.5" thickBot="1" x14ac:dyDescent="0.3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</row>
    <row r="5" spans="1:23" ht="16.5" thickBot="1" x14ac:dyDescent="0.3">
      <c r="A5" s="546" t="s">
        <v>172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8"/>
    </row>
    <row r="6" spans="1:23" x14ac:dyDescent="0.25">
      <c r="A6" s="18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176"/>
    </row>
    <row r="7" spans="1:23" x14ac:dyDescent="0.25">
      <c r="A7" s="158"/>
      <c r="B7" s="44"/>
      <c r="L7" s="34" t="s">
        <v>53</v>
      </c>
      <c r="R7" s="152"/>
      <c r="T7" s="34"/>
      <c r="V7" s="33"/>
      <c r="W7" s="33"/>
    </row>
    <row r="8" spans="1:23" x14ac:dyDescent="0.25">
      <c r="A8" s="158"/>
      <c r="B8" s="44"/>
      <c r="C8" s="34"/>
      <c r="D8" s="34"/>
      <c r="E8" s="34"/>
      <c r="H8" s="34"/>
      <c r="I8" s="34"/>
      <c r="J8" s="34"/>
      <c r="K8" s="34"/>
      <c r="L8" s="34" t="s">
        <v>54</v>
      </c>
      <c r="M8" s="34"/>
      <c r="N8" s="34" t="s">
        <v>55</v>
      </c>
      <c r="Q8" s="34"/>
      <c r="R8" s="153" t="s">
        <v>56</v>
      </c>
    </row>
    <row r="9" spans="1:23" x14ac:dyDescent="0.25">
      <c r="A9" s="158"/>
      <c r="B9" s="44"/>
      <c r="C9" s="34"/>
      <c r="D9" s="34"/>
      <c r="E9" s="34"/>
      <c r="F9" s="34"/>
      <c r="H9" s="34"/>
      <c r="I9" s="34"/>
      <c r="J9" s="34" t="s">
        <v>57</v>
      </c>
      <c r="K9" s="34"/>
      <c r="L9" s="34" t="s">
        <v>58</v>
      </c>
      <c r="M9" s="34"/>
      <c r="N9" s="34" t="s">
        <v>59</v>
      </c>
      <c r="O9" s="34"/>
      <c r="P9" s="34" t="s">
        <v>60</v>
      </c>
      <c r="Q9" s="34"/>
      <c r="R9" s="153" t="s">
        <v>60</v>
      </c>
    </row>
    <row r="10" spans="1:23" x14ac:dyDescent="0.25">
      <c r="A10" s="158"/>
      <c r="C10" s="34" t="s">
        <v>61</v>
      </c>
      <c r="D10" s="34"/>
      <c r="E10" s="34"/>
      <c r="F10" s="34" t="s">
        <v>62</v>
      </c>
      <c r="H10" s="34"/>
      <c r="I10" s="34"/>
      <c r="J10" s="34" t="s">
        <v>63</v>
      </c>
      <c r="K10" s="34"/>
      <c r="L10" s="34" t="s">
        <v>64</v>
      </c>
      <c r="M10" s="34"/>
      <c r="N10" s="34" t="s">
        <v>64</v>
      </c>
      <c r="O10" s="34"/>
      <c r="P10" s="34" t="s">
        <v>65</v>
      </c>
      <c r="Q10" s="34"/>
      <c r="R10" s="153" t="s">
        <v>64</v>
      </c>
    </row>
    <row r="11" spans="1:23" x14ac:dyDescent="0.25">
      <c r="A11" s="150"/>
      <c r="C11" s="43" t="s">
        <v>276</v>
      </c>
      <c r="D11" s="34"/>
      <c r="E11" s="34"/>
      <c r="F11" s="34" t="s">
        <v>66</v>
      </c>
      <c r="H11" s="34" t="s">
        <v>67</v>
      </c>
      <c r="I11" s="34"/>
      <c r="J11" s="156" t="s">
        <v>68</v>
      </c>
      <c r="K11" s="34"/>
      <c r="L11" s="156" t="s">
        <v>69</v>
      </c>
      <c r="M11" s="34"/>
      <c r="N11" s="167" t="s">
        <v>70</v>
      </c>
      <c r="O11" s="34"/>
      <c r="P11" s="34" t="s">
        <v>71</v>
      </c>
      <c r="Q11" s="34"/>
      <c r="R11" s="168" t="s">
        <v>72</v>
      </c>
    </row>
    <row r="12" spans="1:23" ht="30" customHeight="1" x14ac:dyDescent="0.25">
      <c r="A12" s="150"/>
      <c r="C12" s="35">
        <v>-1</v>
      </c>
      <c r="D12" s="34"/>
      <c r="E12" s="34"/>
      <c r="F12" s="35">
        <v>-2</v>
      </c>
      <c r="H12" s="35">
        <v>-3</v>
      </c>
      <c r="I12" s="34"/>
      <c r="J12" s="36">
        <v>-4</v>
      </c>
      <c r="K12" s="34"/>
      <c r="L12" s="36">
        <v>-5</v>
      </c>
      <c r="M12" s="34"/>
      <c r="N12" s="35">
        <v>-6</v>
      </c>
      <c r="O12" s="34"/>
      <c r="P12" s="35">
        <v>-7</v>
      </c>
      <c r="Q12" s="34"/>
      <c r="R12" s="159">
        <v>-8</v>
      </c>
    </row>
    <row r="13" spans="1:23" ht="30" customHeight="1" x14ac:dyDescent="0.25">
      <c r="A13" s="160" t="s">
        <v>73</v>
      </c>
      <c r="B13" s="28" t="s">
        <v>74</v>
      </c>
      <c r="C13" s="37">
        <f>ROUND('Q1 p.5 - ECC (Dec 2017)'!E67,0)</f>
        <v>4052428</v>
      </c>
      <c r="D13" s="169" t="s">
        <v>75</v>
      </c>
      <c r="F13" s="46">
        <f>ROUND(C13/$C$16,4)</f>
        <v>8.0000000000000004E-4</v>
      </c>
      <c r="H13" s="179">
        <v>0</v>
      </c>
      <c r="J13" s="37">
        <f>ROUND(F13*J16,0)</f>
        <v>-343</v>
      </c>
      <c r="L13" s="37">
        <f>SUM(H13:J13)</f>
        <v>-343</v>
      </c>
      <c r="N13" s="37">
        <f>+C13+L13</f>
        <v>4052085</v>
      </c>
      <c r="P13" s="232">
        <f>'Input Tab'!B8</f>
        <v>0.89080000000000004</v>
      </c>
      <c r="R13" s="170">
        <f>ROUND(+N13*P13,0)</f>
        <v>3609597</v>
      </c>
    </row>
    <row r="14" spans="1:23" ht="30" customHeight="1" x14ac:dyDescent="0.25">
      <c r="A14" s="160" t="s">
        <v>76</v>
      </c>
      <c r="B14" s="28" t="s">
        <v>77</v>
      </c>
      <c r="C14" s="38">
        <f>ROUND('Q1 p.5 - ECC (Dec 2017)'!E51,0)</f>
        <v>2342122347</v>
      </c>
      <c r="D14" s="169" t="s">
        <v>75</v>
      </c>
      <c r="F14" s="46">
        <f>ROUND(C14/$C$16,4)</f>
        <v>0.45960000000000001</v>
      </c>
      <c r="H14" s="180">
        <v>0</v>
      </c>
      <c r="J14" s="38">
        <f>ROUND(F14*J16,0)</f>
        <v>-197037</v>
      </c>
      <c r="L14" s="37">
        <f>SUM(H14:J14)</f>
        <v>-197037</v>
      </c>
      <c r="N14" s="38">
        <f>+C14+L14</f>
        <v>2341925310</v>
      </c>
      <c r="P14" s="172">
        <f>+P13</f>
        <v>0.89080000000000004</v>
      </c>
      <c r="R14" s="173">
        <f>ROUND(+N14*P14,0)</f>
        <v>2086187066</v>
      </c>
    </row>
    <row r="15" spans="1:23" ht="30" customHeight="1" x14ac:dyDescent="0.25">
      <c r="A15" s="160" t="s">
        <v>78</v>
      </c>
      <c r="B15" s="28" t="s">
        <v>79</v>
      </c>
      <c r="C15" s="523">
        <v>2749496925</v>
      </c>
      <c r="F15" s="49">
        <f>ROUND(1-F13-F14,4)</f>
        <v>0.53959999999999997</v>
      </c>
      <c r="H15" s="171">
        <v>0</v>
      </c>
      <c r="J15" s="171">
        <f>J16-J13-J14</f>
        <v>-231334</v>
      </c>
      <c r="L15" s="37">
        <f>SUM(H15:J15)</f>
        <v>-231334</v>
      </c>
      <c r="N15" s="38">
        <f>+C15+L15</f>
        <v>2749265591</v>
      </c>
      <c r="P15" s="172">
        <f>+P13</f>
        <v>0.89080000000000004</v>
      </c>
      <c r="R15" s="173">
        <f>ROUND(+N15*P15,0)</f>
        <v>2449045788</v>
      </c>
    </row>
    <row r="16" spans="1:23" ht="31.5" customHeight="1" thickBot="1" x14ac:dyDescent="0.3">
      <c r="A16" s="160" t="s">
        <v>80</v>
      </c>
      <c r="B16" s="28" t="s">
        <v>81</v>
      </c>
      <c r="C16" s="39">
        <f>SUM(C13:C15)</f>
        <v>5095671700</v>
      </c>
      <c r="F16" s="40">
        <f>SUM(F13:F15)</f>
        <v>1</v>
      </c>
      <c r="H16" s="39">
        <f>SUM(H13:H15)</f>
        <v>0</v>
      </c>
      <c r="J16" s="524">
        <v>-428714</v>
      </c>
      <c r="L16" s="228">
        <f>SUM(L13:L15)</f>
        <v>-428714</v>
      </c>
      <c r="N16" s="41">
        <f>SUM(N13:N15)</f>
        <v>5095242986</v>
      </c>
      <c r="R16" s="174">
        <f>SUM(R13:R15)</f>
        <v>4538842451</v>
      </c>
      <c r="S16" s="27"/>
    </row>
    <row r="17" spans="1:28" ht="17.25" thickTop="1" thickBot="1" x14ac:dyDescent="0.3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T17" s="27"/>
    </row>
    <row r="18" spans="1:28" ht="16.5" thickBot="1" x14ac:dyDescent="0.3"/>
    <row r="19" spans="1:28" ht="16.5" thickBot="1" x14ac:dyDescent="0.3">
      <c r="A19" s="549" t="s">
        <v>109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1"/>
      <c r="S19" s="29"/>
      <c r="T19" s="30"/>
      <c r="U19" s="30"/>
      <c r="V19" s="30"/>
      <c r="W19" s="30"/>
      <c r="X19" s="31"/>
      <c r="Y19" s="31"/>
      <c r="Z19" s="31"/>
      <c r="AA19" s="31"/>
    </row>
    <row r="20" spans="1:28" x14ac:dyDescent="0.25">
      <c r="A20" s="433"/>
      <c r="B20" s="434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6"/>
      <c r="S20" s="29"/>
      <c r="T20" s="30"/>
      <c r="U20" s="30"/>
      <c r="V20" s="30"/>
      <c r="W20" s="30"/>
      <c r="X20" s="31"/>
      <c r="Y20" s="31"/>
      <c r="Z20" s="31"/>
      <c r="AA20" s="31"/>
    </row>
    <row r="21" spans="1:28" ht="18" x14ac:dyDescent="0.4">
      <c r="A21" s="150"/>
      <c r="C21" s="42"/>
      <c r="D21" s="42"/>
      <c r="E21" s="42"/>
      <c r="F21" s="42"/>
      <c r="G21" s="42"/>
      <c r="H21" s="151"/>
      <c r="I21" s="42"/>
      <c r="J21" s="151"/>
      <c r="K21" s="42"/>
      <c r="L21" s="151" t="s">
        <v>82</v>
      </c>
      <c r="M21" s="42"/>
      <c r="N21" s="42"/>
      <c r="O21" s="42"/>
      <c r="R21" s="152"/>
      <c r="S21" s="27"/>
      <c r="X21" s="27"/>
      <c r="AB21" s="34"/>
    </row>
    <row r="22" spans="1:28" ht="18" x14ac:dyDescent="0.4">
      <c r="A22" s="150"/>
      <c r="C22" s="42"/>
      <c r="D22" s="42"/>
      <c r="E22" s="42"/>
      <c r="F22" s="42"/>
      <c r="G22" s="42"/>
      <c r="H22" s="151"/>
      <c r="I22" s="42"/>
      <c r="J22" s="151"/>
      <c r="K22" s="42"/>
      <c r="L22" s="34" t="s">
        <v>56</v>
      </c>
      <c r="M22" s="42"/>
      <c r="P22" s="34"/>
      <c r="Q22" s="34"/>
      <c r="R22" s="153" t="s">
        <v>83</v>
      </c>
      <c r="X22" s="27"/>
      <c r="AB22" s="34"/>
    </row>
    <row r="23" spans="1:28" x14ac:dyDescent="0.25">
      <c r="A23" s="150"/>
      <c r="C23" s="34" t="s">
        <v>56</v>
      </c>
      <c r="H23" s="151" t="s">
        <v>84</v>
      </c>
      <c r="J23" s="154" t="s">
        <v>85</v>
      </c>
      <c r="L23" s="34" t="s">
        <v>60</v>
      </c>
      <c r="N23" s="34" t="s">
        <v>82</v>
      </c>
      <c r="P23" s="34" t="s">
        <v>86</v>
      </c>
      <c r="Q23" s="34"/>
      <c r="R23" s="153" t="s">
        <v>87</v>
      </c>
      <c r="X23" s="27"/>
      <c r="AA23" s="34"/>
      <c r="AB23" s="34"/>
    </row>
    <row r="24" spans="1:28" ht="18" x14ac:dyDescent="0.4">
      <c r="A24" s="150"/>
      <c r="C24" s="34" t="s">
        <v>60</v>
      </c>
      <c r="D24" s="42"/>
      <c r="E24" s="42"/>
      <c r="F24" s="34" t="s">
        <v>62</v>
      </c>
      <c r="H24" s="34" t="s">
        <v>88</v>
      </c>
      <c r="J24" s="154" t="s">
        <v>65</v>
      </c>
      <c r="L24" s="34" t="s">
        <v>64</v>
      </c>
      <c r="M24" s="42"/>
      <c r="N24" s="34" t="s">
        <v>62</v>
      </c>
      <c r="P24" s="34" t="s">
        <v>83</v>
      </c>
      <c r="Q24" s="34"/>
      <c r="R24" s="153" t="s">
        <v>89</v>
      </c>
      <c r="X24" s="42"/>
      <c r="AA24" s="34"/>
      <c r="AB24" s="43"/>
    </row>
    <row r="25" spans="1:28" x14ac:dyDescent="0.25">
      <c r="A25" s="155"/>
      <c r="B25" s="44"/>
      <c r="C25" s="34" t="s">
        <v>64</v>
      </c>
      <c r="F25" s="34" t="s">
        <v>66</v>
      </c>
      <c r="H25" s="156" t="s">
        <v>90</v>
      </c>
      <c r="J25" s="156" t="s">
        <v>91</v>
      </c>
      <c r="L25" s="156" t="s">
        <v>92</v>
      </c>
      <c r="N25" s="34" t="s">
        <v>66</v>
      </c>
      <c r="P25" s="34" t="s">
        <v>93</v>
      </c>
      <c r="Q25" s="34"/>
      <c r="R25" s="157" t="s">
        <v>94</v>
      </c>
      <c r="X25" s="34"/>
      <c r="AA25" s="34"/>
      <c r="AB25" s="43"/>
    </row>
    <row r="26" spans="1:28" x14ac:dyDescent="0.25">
      <c r="A26" s="158"/>
      <c r="B26" s="44"/>
      <c r="C26" s="35">
        <v>-8</v>
      </c>
      <c r="D26" s="34"/>
      <c r="E26" s="34"/>
      <c r="F26" s="35">
        <v>-9</v>
      </c>
      <c r="H26" s="35">
        <v>-10</v>
      </c>
      <c r="J26" s="36">
        <v>-11</v>
      </c>
      <c r="L26" s="35">
        <v>-12</v>
      </c>
      <c r="M26" s="34"/>
      <c r="N26" s="35">
        <v>-13</v>
      </c>
      <c r="P26" s="35">
        <v>-14</v>
      </c>
      <c r="Q26" s="34"/>
      <c r="R26" s="159">
        <v>-15</v>
      </c>
      <c r="X26" s="34"/>
      <c r="AA26" s="34"/>
      <c r="AB26" s="34"/>
    </row>
    <row r="27" spans="1:28" ht="30" customHeight="1" x14ac:dyDescent="0.25">
      <c r="A27" s="160" t="s">
        <v>73</v>
      </c>
      <c r="B27" s="28" t="s">
        <v>74</v>
      </c>
      <c r="C27" s="37">
        <f>R13</f>
        <v>3609597</v>
      </c>
      <c r="D27" s="38"/>
      <c r="F27" s="46">
        <f>ROUND(+C27/$C$30,4)</f>
        <v>8.0000000000000004E-4</v>
      </c>
      <c r="H27" s="37">
        <f>ROUND(+F27*$H$30,0)</f>
        <v>-801032</v>
      </c>
      <c r="J27" s="37">
        <f>ROUND(+F27*$J$30,0)</f>
        <v>-4141</v>
      </c>
      <c r="L27" s="45">
        <f>+C27+H27+J27</f>
        <v>2804424</v>
      </c>
      <c r="M27" s="34"/>
      <c r="N27" s="46">
        <f>ROUND(+L27/$L$30,4)</f>
        <v>8.0000000000000004E-4</v>
      </c>
      <c r="O27" s="47"/>
      <c r="P27" s="161">
        <v>1.1599999999999999E-2</v>
      </c>
      <c r="Q27" s="47"/>
      <c r="R27" s="162">
        <f>ROUND(+$N$27*$P$27,4)</f>
        <v>0</v>
      </c>
      <c r="X27" s="34"/>
      <c r="AA27" s="48"/>
      <c r="AB27" s="49"/>
    </row>
    <row r="28" spans="1:28" ht="30" customHeight="1" x14ac:dyDescent="0.25">
      <c r="A28" s="160" t="s">
        <v>76</v>
      </c>
      <c r="B28" s="28" t="s">
        <v>77</v>
      </c>
      <c r="C28" s="37">
        <f t="shared" ref="C28:C30" si="0">R14</f>
        <v>2086187066</v>
      </c>
      <c r="D28" s="38"/>
      <c r="F28" s="46">
        <f>ROUND(+C28/$C$30,4)</f>
        <v>0.45960000000000001</v>
      </c>
      <c r="H28" s="38">
        <f>ROUND(+F28*$H$30,0)</f>
        <v>-460192850</v>
      </c>
      <c r="J28" s="38">
        <f>ROUND(+F28*$J$30,0)</f>
        <v>-2378962</v>
      </c>
      <c r="L28" s="51">
        <f>+C28+H28+J28</f>
        <v>1623615254</v>
      </c>
      <c r="M28" s="34"/>
      <c r="N28" s="46">
        <f>ROUND(+L28/$L$30,4)</f>
        <v>0.45960000000000001</v>
      </c>
      <c r="O28" s="47"/>
      <c r="P28" s="161">
        <v>4.1099999999999998E-2</v>
      </c>
      <c r="Q28" s="47"/>
      <c r="R28" s="162">
        <f>ROUND(+$N$28*$P$28,4)</f>
        <v>1.89E-2</v>
      </c>
      <c r="U28" s="50"/>
      <c r="V28" s="50"/>
      <c r="W28" s="50"/>
      <c r="X28" s="50"/>
      <c r="Z28" s="50"/>
      <c r="AA28" s="48"/>
      <c r="AB28" s="49"/>
    </row>
    <row r="29" spans="1:28" ht="30" customHeight="1" x14ac:dyDescent="0.25">
      <c r="A29" s="160" t="s">
        <v>78</v>
      </c>
      <c r="B29" s="28" t="s">
        <v>79</v>
      </c>
      <c r="C29" s="370">
        <f t="shared" si="0"/>
        <v>2449045788</v>
      </c>
      <c r="D29" s="38"/>
      <c r="F29" s="46">
        <f>ROUND(1-F27-F28,4)</f>
        <v>0.53959999999999997</v>
      </c>
      <c r="H29" s="38">
        <f>+H30-H27-H28</f>
        <v>-540296045</v>
      </c>
      <c r="J29" s="38">
        <f>+J30-J27-J28</f>
        <v>-2793054</v>
      </c>
      <c r="L29" s="51">
        <f>+C29+H29+J29</f>
        <v>1905956689</v>
      </c>
      <c r="N29" s="46">
        <f>ROUND(1-N27-N28,4)</f>
        <v>0.53959999999999997</v>
      </c>
      <c r="O29" s="47"/>
      <c r="P29" s="232">
        <v>9.7000000000000003E-2</v>
      </c>
      <c r="Q29" s="47"/>
      <c r="R29" s="162">
        <f>ROUND(+$N$29*$P$29,4)</f>
        <v>5.2299999999999999E-2</v>
      </c>
      <c r="AA29" s="52"/>
      <c r="AB29" s="49"/>
    </row>
    <row r="30" spans="1:28" ht="30" customHeight="1" thickBot="1" x14ac:dyDescent="0.3">
      <c r="A30" s="160" t="s">
        <v>80</v>
      </c>
      <c r="B30" s="28" t="s">
        <v>81</v>
      </c>
      <c r="C30" s="41">
        <f t="shared" si="0"/>
        <v>4538842451</v>
      </c>
      <c r="D30" s="38"/>
      <c r="F30" s="53">
        <f>SUM(F27:F29)</f>
        <v>1</v>
      </c>
      <c r="H30" s="522">
        <v>-1001289927</v>
      </c>
      <c r="J30" s="522">
        <v>-5176157</v>
      </c>
      <c r="L30" s="41">
        <f>SUM(L27:L29)</f>
        <v>3532376367</v>
      </c>
      <c r="N30" s="53">
        <f>SUM(N27:N29)</f>
        <v>1</v>
      </c>
      <c r="P30" s="49"/>
      <c r="R30" s="163">
        <f>ROUND(SUM(R27:R29),4)</f>
        <v>7.1199999999999999E-2</v>
      </c>
      <c r="AB30" s="49"/>
    </row>
    <row r="31" spans="1:28" ht="35.1" customHeight="1" thickTop="1" thickBot="1" x14ac:dyDescent="0.3">
      <c r="A31" s="207" t="s">
        <v>95</v>
      </c>
      <c r="B31" s="165" t="s">
        <v>96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08">
        <f>ROUND(R30+(R30-R28-R27)*(38.666%/(1-38.666%)),4)</f>
        <v>0.1042</v>
      </c>
    </row>
    <row r="32" spans="1:28" ht="16.5" thickBot="1" x14ac:dyDescent="0.3">
      <c r="A32" s="175"/>
      <c r="B32" s="175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2"/>
      <c r="Y32" s="432"/>
      <c r="Z32" s="432"/>
      <c r="AA32" s="432"/>
    </row>
    <row r="33" spans="1:28" ht="18.75" thickBot="1" x14ac:dyDescent="0.45">
      <c r="A33" s="552" t="s">
        <v>110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1"/>
      <c r="S33" s="32"/>
      <c r="T33" s="32"/>
      <c r="U33" s="32"/>
      <c r="V33" s="32"/>
      <c r="W33" s="32"/>
      <c r="X33" s="27"/>
    </row>
    <row r="34" spans="1:28" ht="18" x14ac:dyDescent="0.4">
      <c r="A34" s="437"/>
      <c r="B34" s="438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40"/>
      <c r="S34" s="32"/>
      <c r="T34" s="32"/>
      <c r="U34" s="32"/>
      <c r="V34" s="32"/>
      <c r="W34" s="32"/>
      <c r="X34" s="27"/>
    </row>
    <row r="35" spans="1:28" ht="18" x14ac:dyDescent="0.4">
      <c r="A35" s="150"/>
      <c r="C35" s="42"/>
      <c r="D35" s="42"/>
      <c r="E35" s="42"/>
      <c r="F35" s="42"/>
      <c r="G35" s="42"/>
      <c r="H35" s="151"/>
      <c r="I35" s="42"/>
      <c r="J35" s="151"/>
      <c r="K35" s="42"/>
      <c r="L35" s="151" t="s">
        <v>82</v>
      </c>
      <c r="M35" s="42"/>
      <c r="N35" s="42"/>
      <c r="O35" s="42"/>
      <c r="R35" s="152"/>
      <c r="S35" s="27"/>
      <c r="X35" s="27"/>
      <c r="AB35" s="34"/>
    </row>
    <row r="36" spans="1:28" ht="18" x14ac:dyDescent="0.4">
      <c r="A36" s="150"/>
      <c r="C36" s="42"/>
      <c r="D36" s="42"/>
      <c r="E36" s="42"/>
      <c r="F36" s="42"/>
      <c r="G36" s="42"/>
      <c r="H36" s="151"/>
      <c r="I36" s="42"/>
      <c r="J36" s="151"/>
      <c r="K36" s="42"/>
      <c r="L36" s="34" t="s">
        <v>56</v>
      </c>
      <c r="M36" s="42"/>
      <c r="P36" s="34"/>
      <c r="Q36" s="34"/>
      <c r="R36" s="153" t="s">
        <v>83</v>
      </c>
      <c r="X36" s="27"/>
      <c r="AB36" s="34"/>
    </row>
    <row r="37" spans="1:28" x14ac:dyDescent="0.25">
      <c r="A37" s="150"/>
      <c r="C37" s="34" t="s">
        <v>56</v>
      </c>
      <c r="H37" s="151" t="s">
        <v>84</v>
      </c>
      <c r="J37" s="154" t="s">
        <v>85</v>
      </c>
      <c r="L37" s="34" t="s">
        <v>60</v>
      </c>
      <c r="N37" s="34" t="s">
        <v>82</v>
      </c>
      <c r="P37" s="34" t="s">
        <v>86</v>
      </c>
      <c r="Q37" s="34"/>
      <c r="R37" s="153" t="s">
        <v>87</v>
      </c>
      <c r="X37" s="27"/>
      <c r="AA37" s="34"/>
      <c r="AB37" s="34"/>
    </row>
    <row r="38" spans="1:28" ht="18" x14ac:dyDescent="0.4">
      <c r="A38" s="150"/>
      <c r="C38" s="34" t="s">
        <v>60</v>
      </c>
      <c r="D38" s="42"/>
      <c r="E38" s="42"/>
      <c r="F38" s="34" t="s">
        <v>62</v>
      </c>
      <c r="H38" s="34" t="s">
        <v>88</v>
      </c>
      <c r="J38" s="154" t="s">
        <v>65</v>
      </c>
      <c r="L38" s="34" t="s">
        <v>64</v>
      </c>
      <c r="M38" s="42"/>
      <c r="N38" s="34" t="s">
        <v>62</v>
      </c>
      <c r="P38" s="34" t="s">
        <v>83</v>
      </c>
      <c r="Q38" s="34"/>
      <c r="R38" s="153" t="s">
        <v>89</v>
      </c>
      <c r="X38" s="42"/>
      <c r="AA38" s="34"/>
      <c r="AB38" s="43"/>
    </row>
    <row r="39" spans="1:28" x14ac:dyDescent="0.25">
      <c r="A39" s="155"/>
      <c r="B39" s="44"/>
      <c r="C39" s="34" t="s">
        <v>64</v>
      </c>
      <c r="F39" s="34" t="s">
        <v>66</v>
      </c>
      <c r="H39" s="156" t="s">
        <v>90</v>
      </c>
      <c r="J39" s="156" t="s">
        <v>91</v>
      </c>
      <c r="L39" s="156" t="s">
        <v>92</v>
      </c>
      <c r="N39" s="34" t="s">
        <v>66</v>
      </c>
      <c r="P39" s="34" t="s">
        <v>93</v>
      </c>
      <c r="Q39" s="34"/>
      <c r="R39" s="157" t="s">
        <v>94</v>
      </c>
      <c r="X39" s="34"/>
      <c r="AA39" s="34"/>
      <c r="AB39" s="43"/>
    </row>
    <row r="40" spans="1:28" x14ac:dyDescent="0.25">
      <c r="A40" s="158"/>
      <c r="B40" s="44"/>
      <c r="C40" s="34">
        <v>-8</v>
      </c>
      <c r="D40" s="34"/>
      <c r="E40" s="34"/>
      <c r="F40" s="34">
        <v>-9</v>
      </c>
      <c r="H40" s="34">
        <v>-10</v>
      </c>
      <c r="J40" s="154">
        <v>-11</v>
      </c>
      <c r="L40" s="34">
        <v>-12</v>
      </c>
      <c r="M40" s="34"/>
      <c r="N40" s="34">
        <v>-13</v>
      </c>
      <c r="P40" s="34">
        <v>-14</v>
      </c>
      <c r="Q40" s="34"/>
      <c r="R40" s="153">
        <v>-15</v>
      </c>
      <c r="X40" s="34"/>
      <c r="AA40" s="34"/>
      <c r="AB40" s="34"/>
    </row>
    <row r="41" spans="1:28" ht="30" customHeight="1" x14ac:dyDescent="0.25">
      <c r="A41" s="160" t="s">
        <v>73</v>
      </c>
      <c r="B41" s="28" t="s">
        <v>74</v>
      </c>
      <c r="C41" s="37">
        <f>+R13</f>
        <v>3609597</v>
      </c>
      <c r="D41" s="38"/>
      <c r="F41" s="46">
        <f>ROUND(+C41/$C$44,4)</f>
        <v>8.0000000000000004E-4</v>
      </c>
      <c r="H41" s="37">
        <f>ROUND(+F41*$H$44,0)</f>
        <v>-801032</v>
      </c>
      <c r="J41" s="37">
        <f>ROUND(+F41*$J$44,0)</f>
        <v>-4141</v>
      </c>
      <c r="L41" s="45">
        <f>+C41+H41+J41</f>
        <v>2804424</v>
      </c>
      <c r="M41" s="34"/>
      <c r="N41" s="46">
        <f>ROUND(+L41/$L$44,4)</f>
        <v>8.0000000000000004E-4</v>
      </c>
      <c r="O41" s="47"/>
      <c r="P41" s="161">
        <f>P27</f>
        <v>1.1599999999999999E-2</v>
      </c>
      <c r="Q41" s="47"/>
      <c r="R41" s="162">
        <f>ROUND(+$N$41*$P$41,4)</f>
        <v>0</v>
      </c>
      <c r="X41" s="34"/>
      <c r="AA41" s="48"/>
      <c r="AB41" s="49"/>
    </row>
    <row r="42" spans="1:28" ht="30" customHeight="1" x14ac:dyDescent="0.25">
      <c r="A42" s="160" t="s">
        <v>76</v>
      </c>
      <c r="B42" s="28" t="s">
        <v>77</v>
      </c>
      <c r="C42" s="38">
        <f>+R14</f>
        <v>2086187066</v>
      </c>
      <c r="D42" s="38"/>
      <c r="F42" s="46">
        <f>ROUND(+C42/$C$44,4)</f>
        <v>0.45960000000000001</v>
      </c>
      <c r="H42" s="38">
        <f>ROUND(+F42*$H$44,0)</f>
        <v>-460192850</v>
      </c>
      <c r="J42" s="38">
        <f>ROUND(+F42*$J$44,0)</f>
        <v>-2378962</v>
      </c>
      <c r="L42" s="51">
        <f>+C42+H42+J42</f>
        <v>1623615254</v>
      </c>
      <c r="M42" s="34"/>
      <c r="N42" s="46">
        <f>ROUND(+L42/$L$44,4)</f>
        <v>0.45960000000000001</v>
      </c>
      <c r="O42" s="47"/>
      <c r="P42" s="161">
        <f t="shared" ref="P42" si="1">P28</f>
        <v>4.1099999999999998E-2</v>
      </c>
      <c r="Q42" s="47"/>
      <c r="R42" s="162">
        <f>ROUND(+$N$42*$P$42,4)</f>
        <v>1.89E-2</v>
      </c>
      <c r="U42" s="50"/>
      <c r="V42" s="50"/>
      <c r="W42" s="50"/>
      <c r="X42" s="50"/>
      <c r="Z42" s="50"/>
      <c r="AA42" s="48"/>
      <c r="AB42" s="49"/>
    </row>
    <row r="43" spans="1:28" ht="30" customHeight="1" x14ac:dyDescent="0.25">
      <c r="A43" s="160" t="s">
        <v>78</v>
      </c>
      <c r="B43" s="28" t="s">
        <v>79</v>
      </c>
      <c r="C43" s="181">
        <f>+R15</f>
        <v>2449045788</v>
      </c>
      <c r="D43" s="38"/>
      <c r="F43" s="182">
        <f>ROUND(1-F41-F42,4)</f>
        <v>0.53959999999999997</v>
      </c>
      <c r="H43" s="181">
        <f>+H44-H41-H42</f>
        <v>-540296045</v>
      </c>
      <c r="J43" s="181">
        <f>+J44-J41-J42</f>
        <v>-2793054</v>
      </c>
      <c r="L43" s="183">
        <f>+C43+H43+J43</f>
        <v>1905956689</v>
      </c>
      <c r="N43" s="182">
        <f>ROUND(1-N41-N42,4)</f>
        <v>0.53959999999999997</v>
      </c>
      <c r="O43" s="47"/>
      <c r="P43" s="161">
        <v>9.7000000000000003E-2</v>
      </c>
      <c r="Q43" s="47"/>
      <c r="R43" s="184">
        <f>ROUND(+$N$43*$P$43,4)</f>
        <v>5.2299999999999999E-2</v>
      </c>
      <c r="AA43" s="52"/>
      <c r="AB43" s="49"/>
    </row>
    <row r="44" spans="1:28" ht="30" customHeight="1" thickBot="1" x14ac:dyDescent="0.3">
      <c r="A44" s="160" t="s">
        <v>80</v>
      </c>
      <c r="B44" s="28" t="s">
        <v>81</v>
      </c>
      <c r="C44" s="41">
        <f>SUM(C41:C43)</f>
        <v>4538842451</v>
      </c>
      <c r="D44" s="38"/>
      <c r="F44" s="53">
        <f>SUM(F41:F43)</f>
        <v>1</v>
      </c>
      <c r="H44" s="41">
        <f>H30</f>
        <v>-1001289927</v>
      </c>
      <c r="J44" s="41">
        <f>J30</f>
        <v>-5176157</v>
      </c>
      <c r="L44" s="41">
        <f>SUM(L41:L43)</f>
        <v>3532376367</v>
      </c>
      <c r="N44" s="53">
        <f>SUM(N41:N43)</f>
        <v>1</v>
      </c>
      <c r="P44" s="49"/>
      <c r="R44" s="185">
        <f>ROUND(SUM(R41:R43),4)</f>
        <v>7.1199999999999999E-2</v>
      </c>
      <c r="AB44" s="49"/>
    </row>
    <row r="45" spans="1:28" ht="35.1" customHeight="1" thickTop="1" thickBot="1" x14ac:dyDescent="0.3">
      <c r="A45" s="207" t="s">
        <v>95</v>
      </c>
      <c r="B45" s="165" t="s">
        <v>96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208">
        <f>ROUND(R44+(R44-R42-R41)*(38.666%/(1-38.666%)),4)</f>
        <v>0.1042</v>
      </c>
    </row>
    <row r="47" spans="1:28" x14ac:dyDescent="0.25">
      <c r="A47" s="28" t="s">
        <v>75</v>
      </c>
      <c r="B47" s="177" t="s">
        <v>97</v>
      </c>
    </row>
    <row r="50" spans="12:16" x14ac:dyDescent="0.25">
      <c r="L50" s="54"/>
      <c r="N50" s="55"/>
      <c r="P50" s="56"/>
    </row>
    <row r="51" spans="12:16" x14ac:dyDescent="0.25">
      <c r="L51" s="54"/>
      <c r="N51" s="55"/>
    </row>
  </sheetData>
  <mergeCells count="4">
    <mergeCell ref="A4:R4"/>
    <mergeCell ref="A5:R5"/>
    <mergeCell ref="A19:R19"/>
    <mergeCell ref="A33:R33"/>
  </mergeCells>
  <pageMargins left="0.7" right="0.7" top="0.75" bottom="0.75" header="0.3" footer="0.3"/>
  <pageSetup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zoomScaleNormal="100" workbookViewId="0">
      <selection activeCell="C12" sqref="C12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8.66406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22.1640625" style="28" customWidth="1"/>
    <col min="15" max="15" width="2.6640625" style="28" customWidth="1"/>
    <col min="16" max="16" width="22.1640625" style="28" customWidth="1"/>
    <col min="17" max="17" width="2.1640625" style="28" customWidth="1"/>
    <col min="18" max="18" width="22.1640625" style="28" customWidth="1"/>
    <col min="19" max="20" width="2.1640625" style="28" customWidth="1"/>
    <col min="21" max="21" width="22.1640625" style="28" customWidth="1"/>
    <col min="22" max="22" width="2.6640625" style="28" customWidth="1"/>
    <col min="23" max="23" width="21.33203125" style="28" customWidth="1"/>
    <col min="24" max="24" width="2.83203125" style="28" customWidth="1"/>
    <col min="25" max="25" width="19.1640625" style="28" customWidth="1"/>
    <col min="26" max="26" width="3.33203125" style="28" customWidth="1"/>
    <col min="27" max="27" width="21.1640625" style="28" customWidth="1"/>
    <col min="28" max="16384" width="20.83203125" style="28"/>
  </cols>
  <sheetData>
    <row r="1" spans="1:23" x14ac:dyDescent="0.25">
      <c r="A1" s="66" t="str">
        <f>'Input Tab'!B2</f>
        <v>Kentucky Utilities Company</v>
      </c>
      <c r="R1" s="68" t="s">
        <v>30</v>
      </c>
    </row>
    <row r="2" spans="1:23" x14ac:dyDescent="0.25">
      <c r="A2" s="66" t="s">
        <v>171</v>
      </c>
      <c r="R2" s="68" t="s">
        <v>274</v>
      </c>
    </row>
    <row r="3" spans="1:23" x14ac:dyDescent="0.25">
      <c r="A3" s="351" t="s">
        <v>273</v>
      </c>
      <c r="R3" s="70" t="str">
        <f>'Q1 p.2 - Rate of Return Adj'!I3</f>
        <v>Rahn/Neal</v>
      </c>
    </row>
    <row r="4" spans="1:23" ht="16.5" thickBot="1" x14ac:dyDescent="0.3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</row>
    <row r="5" spans="1:23" ht="16.5" thickBot="1" x14ac:dyDescent="0.3">
      <c r="A5" s="546" t="s">
        <v>172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8"/>
    </row>
    <row r="6" spans="1:23" x14ac:dyDescent="0.25">
      <c r="A6" s="186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176"/>
    </row>
    <row r="7" spans="1:23" x14ac:dyDescent="0.25">
      <c r="A7" s="158"/>
      <c r="B7" s="44"/>
      <c r="L7" s="34" t="s">
        <v>53</v>
      </c>
      <c r="R7" s="152"/>
      <c r="T7" s="34"/>
      <c r="V7" s="33"/>
      <c r="W7" s="33"/>
    </row>
    <row r="8" spans="1:23" x14ac:dyDescent="0.25">
      <c r="A8" s="158"/>
      <c r="B8" s="44"/>
      <c r="C8" s="34"/>
      <c r="D8" s="34"/>
      <c r="E8" s="34"/>
      <c r="H8" s="34"/>
      <c r="I8" s="34"/>
      <c r="J8" s="34"/>
      <c r="K8" s="34"/>
      <c r="L8" s="34" t="s">
        <v>54</v>
      </c>
      <c r="M8" s="34"/>
      <c r="N8" s="34" t="s">
        <v>55</v>
      </c>
      <c r="Q8" s="34"/>
      <c r="R8" s="153" t="s">
        <v>56</v>
      </c>
    </row>
    <row r="9" spans="1:23" x14ac:dyDescent="0.25">
      <c r="A9" s="158"/>
      <c r="B9" s="44"/>
      <c r="C9" s="34"/>
      <c r="D9" s="34"/>
      <c r="E9" s="34"/>
      <c r="F9" s="34"/>
      <c r="H9" s="34"/>
      <c r="I9" s="34"/>
      <c r="J9" s="34" t="s">
        <v>57</v>
      </c>
      <c r="K9" s="34"/>
      <c r="L9" s="34" t="s">
        <v>58</v>
      </c>
      <c r="M9" s="34"/>
      <c r="N9" s="34" t="s">
        <v>59</v>
      </c>
      <c r="O9" s="34"/>
      <c r="P9" s="34" t="s">
        <v>60</v>
      </c>
      <c r="Q9" s="34"/>
      <c r="R9" s="153" t="s">
        <v>60</v>
      </c>
    </row>
    <row r="10" spans="1:23" x14ac:dyDescent="0.25">
      <c r="A10" s="158"/>
      <c r="C10" s="34" t="s">
        <v>61</v>
      </c>
      <c r="D10" s="34"/>
      <c r="E10" s="34"/>
      <c r="F10" s="34" t="s">
        <v>62</v>
      </c>
      <c r="H10" s="34"/>
      <c r="I10" s="34"/>
      <c r="J10" s="34" t="s">
        <v>63</v>
      </c>
      <c r="K10" s="34"/>
      <c r="L10" s="34" t="s">
        <v>64</v>
      </c>
      <c r="M10" s="34"/>
      <c r="N10" s="34" t="s">
        <v>64</v>
      </c>
      <c r="O10" s="34"/>
      <c r="P10" s="34" t="s">
        <v>65</v>
      </c>
      <c r="Q10" s="34"/>
      <c r="R10" s="153" t="s">
        <v>64</v>
      </c>
    </row>
    <row r="11" spans="1:23" x14ac:dyDescent="0.25">
      <c r="A11" s="150"/>
      <c r="C11" s="43" t="s">
        <v>277</v>
      </c>
      <c r="D11" s="34"/>
      <c r="E11" s="34"/>
      <c r="F11" s="34" t="s">
        <v>66</v>
      </c>
      <c r="H11" s="34" t="s">
        <v>67</v>
      </c>
      <c r="I11" s="34"/>
      <c r="J11" s="156" t="s">
        <v>68</v>
      </c>
      <c r="K11" s="34"/>
      <c r="L11" s="156" t="s">
        <v>69</v>
      </c>
      <c r="M11" s="34"/>
      <c r="N11" s="167" t="s">
        <v>70</v>
      </c>
      <c r="O11" s="34"/>
      <c r="P11" s="34" t="s">
        <v>71</v>
      </c>
      <c r="Q11" s="34"/>
      <c r="R11" s="168" t="s">
        <v>72</v>
      </c>
    </row>
    <row r="12" spans="1:23" ht="30" customHeight="1" x14ac:dyDescent="0.25">
      <c r="A12" s="150"/>
      <c r="C12" s="35">
        <v>-1</v>
      </c>
      <c r="D12" s="34"/>
      <c r="E12" s="34"/>
      <c r="F12" s="35">
        <v>-2</v>
      </c>
      <c r="H12" s="35">
        <v>-3</v>
      </c>
      <c r="I12" s="34"/>
      <c r="J12" s="36">
        <v>-4</v>
      </c>
      <c r="K12" s="34"/>
      <c r="L12" s="36">
        <v>-5</v>
      </c>
      <c r="M12" s="34"/>
      <c r="N12" s="35">
        <v>-6</v>
      </c>
      <c r="O12" s="34"/>
      <c r="P12" s="35">
        <v>-7</v>
      </c>
      <c r="Q12" s="34"/>
      <c r="R12" s="159">
        <v>-8</v>
      </c>
    </row>
    <row r="13" spans="1:23" ht="30" customHeight="1" x14ac:dyDescent="0.25">
      <c r="A13" s="160" t="s">
        <v>73</v>
      </c>
      <c r="B13" s="28" t="s">
        <v>74</v>
      </c>
      <c r="C13" s="37">
        <f>'Q1 p.6 - ECC (Feb 2018)'!E67</f>
        <v>25558350.559999999</v>
      </c>
      <c r="D13" s="169" t="s">
        <v>75</v>
      </c>
      <c r="F13" s="46">
        <f>ROUND(C13/$C$16,4)</f>
        <v>4.8999999999999998E-3</v>
      </c>
      <c r="H13" s="179">
        <v>0</v>
      </c>
      <c r="J13" s="37">
        <f>F13*J16</f>
        <v>-2100.6985999999997</v>
      </c>
      <c r="L13" s="37">
        <f>SUM(H13:J13)</f>
        <v>-2100.6985999999997</v>
      </c>
      <c r="N13" s="37">
        <f>+C13+L13</f>
        <v>25556249.861399997</v>
      </c>
      <c r="P13" s="232">
        <f>'Input Tab'!B9</f>
        <v>0.8911</v>
      </c>
      <c r="R13" s="170">
        <f>ROUND(+N13*P13,0)</f>
        <v>22773174</v>
      </c>
    </row>
    <row r="14" spans="1:23" ht="30" customHeight="1" x14ac:dyDescent="0.25">
      <c r="A14" s="160" t="s">
        <v>76</v>
      </c>
      <c r="B14" s="28" t="s">
        <v>77</v>
      </c>
      <c r="C14" s="38">
        <f>'Q1 p.6 - ECC (Feb 2018)'!E51</f>
        <v>2342167125.2014284</v>
      </c>
      <c r="D14" s="169" t="s">
        <v>75</v>
      </c>
      <c r="F14" s="46">
        <f>ROUND(C14/$C$16,4)</f>
        <v>0.45200000000000001</v>
      </c>
      <c r="H14" s="180">
        <v>0</v>
      </c>
      <c r="J14" s="38">
        <f>F14*J16</f>
        <v>-193778.728</v>
      </c>
      <c r="L14" s="37">
        <f>SUM(H14:J14)</f>
        <v>-193778.728</v>
      </c>
      <c r="N14" s="38">
        <f>+C14+L14</f>
        <v>2341973346.4734282</v>
      </c>
      <c r="P14" s="172">
        <f>+P13</f>
        <v>0.8911</v>
      </c>
      <c r="R14" s="173">
        <f>ROUND(+N14*P14,0)</f>
        <v>2086932449</v>
      </c>
    </row>
    <row r="15" spans="1:23" ht="30" customHeight="1" x14ac:dyDescent="0.25">
      <c r="A15" s="160" t="s">
        <v>78</v>
      </c>
      <c r="B15" s="28" t="s">
        <v>79</v>
      </c>
      <c r="C15" s="523">
        <v>2814302318</v>
      </c>
      <c r="F15" s="49">
        <f>ROUND(1-F13-F14,4)</f>
        <v>0.54310000000000003</v>
      </c>
      <c r="H15" s="171">
        <v>0</v>
      </c>
      <c r="J15" s="171">
        <f>J16-J13-J14</f>
        <v>-232834.57339999999</v>
      </c>
      <c r="L15" s="37">
        <f>SUM(H15:J15)</f>
        <v>-232834.57339999999</v>
      </c>
      <c r="N15" s="38">
        <f>+C15+L15</f>
        <v>2814069483.4266</v>
      </c>
      <c r="P15" s="172">
        <f>+P13</f>
        <v>0.8911</v>
      </c>
      <c r="R15" s="173">
        <f>ROUND(+N15*P15,0)</f>
        <v>2507617317</v>
      </c>
    </row>
    <row r="16" spans="1:23" ht="31.5" customHeight="1" thickBot="1" x14ac:dyDescent="0.3">
      <c r="A16" s="160" t="s">
        <v>80</v>
      </c>
      <c r="B16" s="28" t="s">
        <v>81</v>
      </c>
      <c r="C16" s="39">
        <f>SUM(C13:C15)</f>
        <v>5182027793.7614288</v>
      </c>
      <c r="F16" s="40">
        <f>SUM(F13:F15)</f>
        <v>1</v>
      </c>
      <c r="H16" s="39">
        <f>SUM(H13:H15)</f>
        <v>0</v>
      </c>
      <c r="J16" s="524">
        <v>-428714</v>
      </c>
      <c r="L16" s="228">
        <f>SUM(L13:L15)</f>
        <v>-428714</v>
      </c>
      <c r="N16" s="41">
        <f>SUM(N13:N15)</f>
        <v>5181599079.7614288</v>
      </c>
      <c r="R16" s="174">
        <f>SUM(R13:R15)</f>
        <v>4617322940</v>
      </c>
      <c r="S16" s="27"/>
    </row>
    <row r="17" spans="1:28" ht="17.25" thickTop="1" thickBot="1" x14ac:dyDescent="0.3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T17" s="27"/>
    </row>
    <row r="18" spans="1:28" ht="16.5" thickBot="1" x14ac:dyDescent="0.3"/>
    <row r="19" spans="1:28" ht="16.5" thickBot="1" x14ac:dyDescent="0.3">
      <c r="A19" s="549" t="s">
        <v>109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1"/>
      <c r="S19" s="29"/>
      <c r="T19" s="30"/>
      <c r="U19" s="30"/>
      <c r="V19" s="30"/>
      <c r="W19" s="30"/>
      <c r="X19" s="31"/>
      <c r="Y19" s="31"/>
      <c r="Z19" s="31"/>
      <c r="AA19" s="31"/>
    </row>
    <row r="20" spans="1:28" x14ac:dyDescent="0.25">
      <c r="A20" s="433"/>
      <c r="B20" s="434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6"/>
      <c r="S20" s="29"/>
      <c r="T20" s="30"/>
      <c r="U20" s="30"/>
      <c r="V20" s="30"/>
      <c r="W20" s="30"/>
      <c r="X20" s="31"/>
      <c r="Y20" s="31"/>
      <c r="Z20" s="31"/>
      <c r="AA20" s="31"/>
    </row>
    <row r="21" spans="1:28" ht="18" x14ac:dyDescent="0.4">
      <c r="A21" s="150"/>
      <c r="C21" s="42"/>
      <c r="D21" s="42"/>
      <c r="E21" s="42"/>
      <c r="F21" s="42"/>
      <c r="G21" s="42"/>
      <c r="H21" s="151"/>
      <c r="I21" s="42"/>
      <c r="J21" s="151"/>
      <c r="K21" s="42"/>
      <c r="L21" s="151" t="s">
        <v>82</v>
      </c>
      <c r="M21" s="42"/>
      <c r="N21" s="42"/>
      <c r="O21" s="42"/>
      <c r="R21" s="152"/>
      <c r="S21" s="27"/>
      <c r="X21" s="27"/>
      <c r="AB21" s="34"/>
    </row>
    <row r="22" spans="1:28" ht="18" x14ac:dyDescent="0.4">
      <c r="A22" s="150"/>
      <c r="C22" s="42"/>
      <c r="D22" s="42"/>
      <c r="E22" s="42"/>
      <c r="F22" s="42"/>
      <c r="G22" s="42"/>
      <c r="H22" s="151"/>
      <c r="I22" s="42"/>
      <c r="J22" s="151"/>
      <c r="K22" s="42"/>
      <c r="L22" s="34" t="s">
        <v>56</v>
      </c>
      <c r="M22" s="42"/>
      <c r="P22" s="34"/>
      <c r="Q22" s="34"/>
      <c r="R22" s="153" t="s">
        <v>83</v>
      </c>
      <c r="X22" s="27"/>
      <c r="AB22" s="34"/>
    </row>
    <row r="23" spans="1:28" x14ac:dyDescent="0.25">
      <c r="A23" s="150"/>
      <c r="C23" s="34" t="s">
        <v>56</v>
      </c>
      <c r="H23" s="151" t="s">
        <v>84</v>
      </c>
      <c r="J23" s="154" t="s">
        <v>85</v>
      </c>
      <c r="L23" s="34" t="s">
        <v>60</v>
      </c>
      <c r="N23" s="34" t="s">
        <v>82</v>
      </c>
      <c r="P23" s="34" t="s">
        <v>86</v>
      </c>
      <c r="Q23" s="34"/>
      <c r="R23" s="153" t="s">
        <v>87</v>
      </c>
      <c r="X23" s="27"/>
      <c r="AA23" s="34"/>
      <c r="AB23" s="34"/>
    </row>
    <row r="24" spans="1:28" ht="18" x14ac:dyDescent="0.4">
      <c r="A24" s="150"/>
      <c r="C24" s="34" t="s">
        <v>60</v>
      </c>
      <c r="D24" s="42"/>
      <c r="E24" s="42"/>
      <c r="F24" s="34" t="s">
        <v>62</v>
      </c>
      <c r="H24" s="34" t="s">
        <v>88</v>
      </c>
      <c r="J24" s="154" t="s">
        <v>65</v>
      </c>
      <c r="L24" s="34" t="s">
        <v>64</v>
      </c>
      <c r="M24" s="42"/>
      <c r="N24" s="34" t="s">
        <v>62</v>
      </c>
      <c r="P24" s="34" t="s">
        <v>83</v>
      </c>
      <c r="Q24" s="34"/>
      <c r="R24" s="153" t="s">
        <v>89</v>
      </c>
      <c r="X24" s="42"/>
      <c r="AA24" s="34"/>
      <c r="AB24" s="43"/>
    </row>
    <row r="25" spans="1:28" x14ac:dyDescent="0.25">
      <c r="A25" s="155"/>
      <c r="B25" s="44"/>
      <c r="C25" s="34" t="s">
        <v>64</v>
      </c>
      <c r="F25" s="34" t="s">
        <v>66</v>
      </c>
      <c r="H25" s="156" t="s">
        <v>90</v>
      </c>
      <c r="J25" s="156" t="s">
        <v>91</v>
      </c>
      <c r="L25" s="156" t="s">
        <v>92</v>
      </c>
      <c r="N25" s="34" t="s">
        <v>66</v>
      </c>
      <c r="P25" s="34" t="s">
        <v>93</v>
      </c>
      <c r="Q25" s="34"/>
      <c r="R25" s="157" t="s">
        <v>94</v>
      </c>
      <c r="X25" s="34"/>
      <c r="AA25" s="34"/>
      <c r="AB25" s="43"/>
    </row>
    <row r="26" spans="1:28" x14ac:dyDescent="0.25">
      <c r="A26" s="158"/>
      <c r="B26" s="44"/>
      <c r="C26" s="35">
        <v>-8</v>
      </c>
      <c r="D26" s="34"/>
      <c r="E26" s="34"/>
      <c r="F26" s="35">
        <v>-9</v>
      </c>
      <c r="H26" s="35">
        <v>-10</v>
      </c>
      <c r="J26" s="36">
        <v>-11</v>
      </c>
      <c r="L26" s="35">
        <v>-12</v>
      </c>
      <c r="M26" s="34"/>
      <c r="N26" s="35">
        <v>-13</v>
      </c>
      <c r="P26" s="35">
        <v>-14</v>
      </c>
      <c r="Q26" s="34"/>
      <c r="R26" s="159">
        <v>-15</v>
      </c>
      <c r="X26" s="34"/>
      <c r="AA26" s="34"/>
      <c r="AB26" s="34"/>
    </row>
    <row r="27" spans="1:28" ht="30" customHeight="1" x14ac:dyDescent="0.25">
      <c r="A27" s="160" t="s">
        <v>73</v>
      </c>
      <c r="B27" s="28" t="s">
        <v>74</v>
      </c>
      <c r="C27" s="37">
        <f>R13</f>
        <v>22773174</v>
      </c>
      <c r="D27" s="38"/>
      <c r="F27" s="46">
        <f>ROUND(+C27/$C$30,4)</f>
        <v>4.8999999999999998E-3</v>
      </c>
      <c r="H27" s="37">
        <f>ROUND(+F27*$H$30,0)</f>
        <v>-5003842</v>
      </c>
      <c r="J27" s="37">
        <f>ROUND(+F27*$J$30,0)</f>
        <v>-24598</v>
      </c>
      <c r="L27" s="45">
        <f>+C27+H27+J27</f>
        <v>17744734</v>
      </c>
      <c r="M27" s="34"/>
      <c r="N27" s="46">
        <f>ROUND(+L27/$L$30,4)</f>
        <v>4.8999999999999998E-3</v>
      </c>
      <c r="O27" s="47"/>
      <c r="P27" s="161">
        <f>'Q1 p.6 - ECC (Feb 2018)'!R67</f>
        <v>1.84E-2</v>
      </c>
      <c r="Q27" s="47"/>
      <c r="R27" s="162">
        <f>ROUND(+$N$27*$P$27,4)</f>
        <v>1E-4</v>
      </c>
      <c r="X27" s="34"/>
      <c r="AA27" s="48"/>
      <c r="AB27" s="49"/>
    </row>
    <row r="28" spans="1:28" ht="30" customHeight="1" x14ac:dyDescent="0.25">
      <c r="A28" s="160" t="s">
        <v>76</v>
      </c>
      <c r="B28" s="28" t="s">
        <v>77</v>
      </c>
      <c r="C28" s="37">
        <f t="shared" ref="C28:C30" si="0">R14</f>
        <v>2086932449</v>
      </c>
      <c r="D28" s="38"/>
      <c r="F28" s="46">
        <f>ROUND(+C28/$C$30,4)</f>
        <v>0.45200000000000001</v>
      </c>
      <c r="H28" s="38">
        <f>ROUND(+F28*$H$30,0)</f>
        <v>-461578876</v>
      </c>
      <c r="J28" s="38">
        <f>ROUND(+F28*$J$30,0)</f>
        <v>-2268995</v>
      </c>
      <c r="L28" s="51">
        <f>+C28+H28+J28</f>
        <v>1623084578</v>
      </c>
      <c r="M28" s="34"/>
      <c r="N28" s="46">
        <f>ROUND(+L28/$L$30,4)</f>
        <v>0.45200000000000001</v>
      </c>
      <c r="O28" s="47"/>
      <c r="P28" s="161">
        <f>'Q1 p.6 - ECC (Feb 2018)'!R51</f>
        <v>4.1399999999999999E-2</v>
      </c>
      <c r="Q28" s="47"/>
      <c r="R28" s="162">
        <f>ROUND(+$N$28*$P$28,4)</f>
        <v>1.8700000000000001E-2</v>
      </c>
      <c r="U28" s="50"/>
      <c r="V28" s="50"/>
      <c r="W28" s="50"/>
      <c r="X28" s="50"/>
      <c r="Z28" s="50"/>
      <c r="AA28" s="48"/>
      <c r="AB28" s="49"/>
    </row>
    <row r="29" spans="1:28" ht="30" customHeight="1" x14ac:dyDescent="0.25">
      <c r="A29" s="160" t="s">
        <v>78</v>
      </c>
      <c r="B29" s="28" t="s">
        <v>79</v>
      </c>
      <c r="C29" s="370">
        <f t="shared" si="0"/>
        <v>2507617317</v>
      </c>
      <c r="D29" s="38"/>
      <c r="F29" s="46">
        <f>ROUND(1-F27-F28,4)</f>
        <v>0.54310000000000003</v>
      </c>
      <c r="H29" s="38">
        <f>+H30-H27-H28</f>
        <v>-554609486</v>
      </c>
      <c r="J29" s="38">
        <f>+J30-J27-J28</f>
        <v>-2726307</v>
      </c>
      <c r="L29" s="51">
        <f>+C29+H29+J29</f>
        <v>1950281524</v>
      </c>
      <c r="N29" s="46">
        <f>ROUND(1-N27-N28,4)</f>
        <v>0.54310000000000003</v>
      </c>
      <c r="O29" s="47"/>
      <c r="P29" s="232">
        <f>'Input Tab'!B10</f>
        <v>9.7000000000000003E-2</v>
      </c>
      <c r="Q29" s="47"/>
      <c r="R29" s="162">
        <f>ROUND(+$N$29*$P$29,4)</f>
        <v>5.2699999999999997E-2</v>
      </c>
      <c r="AA29" s="52"/>
      <c r="AB29" s="49"/>
    </row>
    <row r="30" spans="1:28" ht="30" customHeight="1" thickBot="1" x14ac:dyDescent="0.3">
      <c r="A30" s="160" t="s">
        <v>80</v>
      </c>
      <c r="B30" s="28" t="s">
        <v>81</v>
      </c>
      <c r="C30" s="41">
        <f t="shared" si="0"/>
        <v>4617322940</v>
      </c>
      <c r="D30" s="38"/>
      <c r="F30" s="53">
        <f>SUM(F27:F29)</f>
        <v>1</v>
      </c>
      <c r="H30" s="522">
        <v>-1021192204</v>
      </c>
      <c r="J30" s="522">
        <v>-5019900</v>
      </c>
      <c r="L30" s="41">
        <f>SUM(L27:L29)</f>
        <v>3591110836</v>
      </c>
      <c r="N30" s="53">
        <f>SUM(N27:N29)</f>
        <v>1</v>
      </c>
      <c r="P30" s="49"/>
      <c r="R30" s="163">
        <f>ROUND(SUM(R27:R29),4)</f>
        <v>7.1499999999999994E-2</v>
      </c>
      <c r="AB30" s="49"/>
    </row>
    <row r="31" spans="1:28" ht="35.1" customHeight="1" thickTop="1" thickBot="1" x14ac:dyDescent="0.3">
      <c r="A31" s="207" t="s">
        <v>95</v>
      </c>
      <c r="B31" s="165" t="s">
        <v>96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525">
        <f>ROUND(R30+(R30-R28-R27)*(24.95%/(1-24.95%)),4)</f>
        <v>8.8999999999999996E-2</v>
      </c>
    </row>
    <row r="32" spans="1:28" ht="16.5" thickBot="1" x14ac:dyDescent="0.3">
      <c r="A32" s="175"/>
      <c r="B32" s="175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32"/>
      <c r="Y32" s="432"/>
      <c r="Z32" s="432"/>
      <c r="AA32" s="432"/>
    </row>
    <row r="33" spans="1:28" ht="18.75" thickBot="1" x14ac:dyDescent="0.45">
      <c r="A33" s="552" t="s">
        <v>110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1"/>
      <c r="S33" s="32"/>
      <c r="T33" s="32"/>
      <c r="U33" s="32"/>
      <c r="V33" s="32"/>
      <c r="W33" s="32"/>
      <c r="X33" s="27"/>
    </row>
    <row r="34" spans="1:28" ht="18" x14ac:dyDescent="0.4">
      <c r="A34" s="437"/>
      <c r="B34" s="438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40"/>
      <c r="S34" s="32"/>
      <c r="T34" s="32"/>
      <c r="U34" s="32"/>
      <c r="V34" s="32"/>
      <c r="W34" s="32"/>
      <c r="X34" s="27"/>
    </row>
    <row r="35" spans="1:28" ht="18" x14ac:dyDescent="0.4">
      <c r="A35" s="150"/>
      <c r="C35" s="42"/>
      <c r="D35" s="42"/>
      <c r="E35" s="42"/>
      <c r="F35" s="42"/>
      <c r="G35" s="42"/>
      <c r="H35" s="151"/>
      <c r="I35" s="42"/>
      <c r="J35" s="151"/>
      <c r="K35" s="42"/>
      <c r="L35" s="151" t="s">
        <v>82</v>
      </c>
      <c r="M35" s="42"/>
      <c r="N35" s="42"/>
      <c r="O35" s="42"/>
      <c r="R35" s="152"/>
      <c r="S35" s="27"/>
      <c r="X35" s="27"/>
      <c r="AB35" s="34"/>
    </row>
    <row r="36" spans="1:28" ht="18" x14ac:dyDescent="0.4">
      <c r="A36" s="150"/>
      <c r="C36" s="42"/>
      <c r="D36" s="42"/>
      <c r="E36" s="42"/>
      <c r="F36" s="42"/>
      <c r="G36" s="42"/>
      <c r="H36" s="151"/>
      <c r="I36" s="42"/>
      <c r="J36" s="151"/>
      <c r="K36" s="42"/>
      <c r="L36" s="34" t="s">
        <v>56</v>
      </c>
      <c r="M36" s="42"/>
      <c r="P36" s="34"/>
      <c r="Q36" s="34"/>
      <c r="R36" s="153" t="s">
        <v>83</v>
      </c>
      <c r="X36" s="27"/>
      <c r="AB36" s="34"/>
    </row>
    <row r="37" spans="1:28" x14ac:dyDescent="0.25">
      <c r="A37" s="150"/>
      <c r="C37" s="34" t="s">
        <v>56</v>
      </c>
      <c r="H37" s="151" t="s">
        <v>84</v>
      </c>
      <c r="J37" s="154" t="s">
        <v>85</v>
      </c>
      <c r="L37" s="34" t="s">
        <v>60</v>
      </c>
      <c r="N37" s="34" t="s">
        <v>82</v>
      </c>
      <c r="P37" s="34" t="s">
        <v>86</v>
      </c>
      <c r="Q37" s="34"/>
      <c r="R37" s="153" t="s">
        <v>87</v>
      </c>
      <c r="X37" s="27"/>
      <c r="AA37" s="34"/>
      <c r="AB37" s="34"/>
    </row>
    <row r="38" spans="1:28" ht="18" x14ac:dyDescent="0.4">
      <c r="A38" s="150"/>
      <c r="C38" s="34" t="s">
        <v>60</v>
      </c>
      <c r="D38" s="42"/>
      <c r="E38" s="42"/>
      <c r="F38" s="34" t="s">
        <v>62</v>
      </c>
      <c r="H38" s="34" t="s">
        <v>88</v>
      </c>
      <c r="J38" s="154" t="s">
        <v>65</v>
      </c>
      <c r="L38" s="34" t="s">
        <v>64</v>
      </c>
      <c r="M38" s="42"/>
      <c r="N38" s="34" t="s">
        <v>62</v>
      </c>
      <c r="P38" s="34" t="s">
        <v>83</v>
      </c>
      <c r="Q38" s="34"/>
      <c r="R38" s="153" t="s">
        <v>89</v>
      </c>
      <c r="X38" s="42"/>
      <c r="AA38" s="34"/>
      <c r="AB38" s="43"/>
    </row>
    <row r="39" spans="1:28" x14ac:dyDescent="0.25">
      <c r="A39" s="155"/>
      <c r="B39" s="44"/>
      <c r="C39" s="34" t="s">
        <v>64</v>
      </c>
      <c r="F39" s="34" t="s">
        <v>66</v>
      </c>
      <c r="H39" s="156" t="s">
        <v>90</v>
      </c>
      <c r="J39" s="156" t="s">
        <v>91</v>
      </c>
      <c r="L39" s="156" t="s">
        <v>92</v>
      </c>
      <c r="N39" s="34" t="s">
        <v>66</v>
      </c>
      <c r="P39" s="34" t="s">
        <v>93</v>
      </c>
      <c r="Q39" s="34"/>
      <c r="R39" s="157" t="s">
        <v>94</v>
      </c>
      <c r="X39" s="34"/>
      <c r="AA39" s="34"/>
      <c r="AB39" s="43"/>
    </row>
    <row r="40" spans="1:28" x14ac:dyDescent="0.25">
      <c r="A40" s="158"/>
      <c r="B40" s="44"/>
      <c r="C40" s="34">
        <v>-8</v>
      </c>
      <c r="D40" s="34"/>
      <c r="E40" s="34"/>
      <c r="F40" s="34">
        <v>-9</v>
      </c>
      <c r="H40" s="34">
        <v>-10</v>
      </c>
      <c r="J40" s="154">
        <v>-11</v>
      </c>
      <c r="L40" s="34">
        <v>-12</v>
      </c>
      <c r="M40" s="34"/>
      <c r="N40" s="34">
        <v>-13</v>
      </c>
      <c r="P40" s="34">
        <v>-14</v>
      </c>
      <c r="Q40" s="34"/>
      <c r="R40" s="153">
        <v>-15</v>
      </c>
      <c r="X40" s="34"/>
      <c r="AA40" s="34"/>
      <c r="AB40" s="34"/>
    </row>
    <row r="41" spans="1:28" ht="30" customHeight="1" x14ac:dyDescent="0.25">
      <c r="A41" s="160" t="s">
        <v>73</v>
      </c>
      <c r="B41" s="28" t="s">
        <v>74</v>
      </c>
      <c r="C41" s="37">
        <f>+R13</f>
        <v>22773174</v>
      </c>
      <c r="D41" s="38"/>
      <c r="F41" s="46">
        <f>ROUND(+C41/$C$44,4)</f>
        <v>4.8999999999999998E-3</v>
      </c>
      <c r="H41" s="37">
        <f>ROUND(+F41*$H$44,0)</f>
        <v>-5003842</v>
      </c>
      <c r="J41" s="37">
        <f>ROUND(+F41*$J$44,0)</f>
        <v>-24598</v>
      </c>
      <c r="L41" s="45">
        <f>+C41+H41+J41</f>
        <v>17744734</v>
      </c>
      <c r="M41" s="34"/>
      <c r="N41" s="46">
        <f>ROUND(+L41/$L$44,4)</f>
        <v>4.8999999999999998E-3</v>
      </c>
      <c r="O41" s="47"/>
      <c r="P41" s="161">
        <f>P27</f>
        <v>1.84E-2</v>
      </c>
      <c r="Q41" s="47"/>
      <c r="R41" s="162">
        <f>ROUND(+$N$41*$P$41,4)</f>
        <v>1E-4</v>
      </c>
      <c r="X41" s="34"/>
      <c r="AA41" s="48"/>
      <c r="AB41" s="49"/>
    </row>
    <row r="42" spans="1:28" ht="30" customHeight="1" x14ac:dyDescent="0.25">
      <c r="A42" s="160" t="s">
        <v>76</v>
      </c>
      <c r="B42" s="28" t="s">
        <v>77</v>
      </c>
      <c r="C42" s="38">
        <f>+R14</f>
        <v>2086932449</v>
      </c>
      <c r="D42" s="38"/>
      <c r="F42" s="46">
        <f>ROUND(+C42/$C$44,4)</f>
        <v>0.45200000000000001</v>
      </c>
      <c r="H42" s="38">
        <f>ROUND(+F42*$H$44,0)</f>
        <v>-461578876</v>
      </c>
      <c r="J42" s="38">
        <f>ROUND(+F42*$J$44,0)</f>
        <v>-2268995</v>
      </c>
      <c r="L42" s="51">
        <f>+C42+H42+J42</f>
        <v>1623084578</v>
      </c>
      <c r="M42" s="34"/>
      <c r="N42" s="46">
        <f>ROUND(+L42/$L$44,4)</f>
        <v>0.45200000000000001</v>
      </c>
      <c r="O42" s="47"/>
      <c r="P42" s="161">
        <f t="shared" ref="P42" si="1">P28</f>
        <v>4.1399999999999999E-2</v>
      </c>
      <c r="Q42" s="47"/>
      <c r="R42" s="162">
        <f>ROUND(+$N$42*$P$42,4)</f>
        <v>1.8700000000000001E-2</v>
      </c>
      <c r="U42" s="50"/>
      <c r="V42" s="50"/>
      <c r="W42" s="50"/>
      <c r="X42" s="50"/>
      <c r="Z42" s="50"/>
      <c r="AA42" s="48"/>
      <c r="AB42" s="49"/>
    </row>
    <row r="43" spans="1:28" ht="30" customHeight="1" x14ac:dyDescent="0.25">
      <c r="A43" s="160" t="s">
        <v>78</v>
      </c>
      <c r="B43" s="28" t="s">
        <v>79</v>
      </c>
      <c r="C43" s="181">
        <f>+R15</f>
        <v>2507617317</v>
      </c>
      <c r="D43" s="38"/>
      <c r="F43" s="182">
        <f>ROUND(1-F41-F42,4)</f>
        <v>0.54310000000000003</v>
      </c>
      <c r="H43" s="181">
        <f>+H44-H41-H42</f>
        <v>-554609486</v>
      </c>
      <c r="J43" s="181">
        <f>+J44-J41-J42</f>
        <v>-2726307</v>
      </c>
      <c r="L43" s="183">
        <f>+C43+H43+J43</f>
        <v>1950281524</v>
      </c>
      <c r="N43" s="182">
        <f>ROUND(1-N41-N42,4)</f>
        <v>0.54310000000000003</v>
      </c>
      <c r="O43" s="47"/>
      <c r="P43" s="161">
        <f>'Input Tab'!B11</f>
        <v>9.7000000000000003E-2</v>
      </c>
      <c r="Q43" s="47"/>
      <c r="R43" s="184">
        <f>ROUND(+$N$43*$P$43,4)</f>
        <v>5.2699999999999997E-2</v>
      </c>
      <c r="AA43" s="52"/>
      <c r="AB43" s="49"/>
    </row>
    <row r="44" spans="1:28" ht="30" customHeight="1" thickBot="1" x14ac:dyDescent="0.3">
      <c r="A44" s="160" t="s">
        <v>80</v>
      </c>
      <c r="B44" s="28" t="s">
        <v>81</v>
      </c>
      <c r="C44" s="41">
        <f>SUM(C41:C43)</f>
        <v>4617322940</v>
      </c>
      <c r="D44" s="38"/>
      <c r="F44" s="53">
        <f>SUM(F41:F43)</f>
        <v>1</v>
      </c>
      <c r="H44" s="41">
        <f>H30</f>
        <v>-1021192204</v>
      </c>
      <c r="J44" s="41">
        <f>J30</f>
        <v>-5019900</v>
      </c>
      <c r="L44" s="41">
        <f>SUM(L41:L43)</f>
        <v>3591110836</v>
      </c>
      <c r="N44" s="53">
        <f>SUM(N41:N43)</f>
        <v>1</v>
      </c>
      <c r="P44" s="49"/>
      <c r="R44" s="185">
        <f>ROUND(SUM(R41:R43),4)</f>
        <v>7.1499999999999994E-2</v>
      </c>
      <c r="AB44" s="49"/>
    </row>
    <row r="45" spans="1:28" ht="35.1" customHeight="1" thickTop="1" thickBot="1" x14ac:dyDescent="0.3">
      <c r="A45" s="207" t="s">
        <v>95</v>
      </c>
      <c r="B45" s="165" t="s">
        <v>96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525">
        <f>ROUND(R44+(R44-R42-R41)*(24.95%/(1-24.95%)),4)</f>
        <v>8.8999999999999996E-2</v>
      </c>
    </row>
    <row r="47" spans="1:28" x14ac:dyDescent="0.25">
      <c r="A47" s="28" t="s">
        <v>75</v>
      </c>
      <c r="B47" s="177" t="s">
        <v>97</v>
      </c>
    </row>
    <row r="50" spans="12:16" x14ac:dyDescent="0.25">
      <c r="L50" s="54"/>
      <c r="N50" s="55"/>
      <c r="P50" s="56"/>
    </row>
    <row r="51" spans="12:16" x14ac:dyDescent="0.25">
      <c r="L51" s="54"/>
      <c r="N51" s="55"/>
    </row>
  </sheetData>
  <mergeCells count="4">
    <mergeCell ref="A4:R4"/>
    <mergeCell ref="A5:R5"/>
    <mergeCell ref="A19:R19"/>
    <mergeCell ref="A33:R33"/>
  </mergeCells>
  <pageMargins left="0.7" right="0.7" top="0.75" bottom="0.75" header="0.3" footer="0.3"/>
  <pageSetup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view="pageBreakPreview" zoomScale="60" zoomScaleNormal="90" workbookViewId="0"/>
  </sheetViews>
  <sheetFormatPr defaultColWidth="11.33203125" defaultRowHeight="15" x14ac:dyDescent="0.2"/>
  <cols>
    <col min="1" max="1" width="57.33203125" style="390" customWidth="1"/>
    <col min="2" max="2" width="18.5" style="391" customWidth="1"/>
    <col min="3" max="3" width="14.83203125" style="390" bestFit="1" customWidth="1"/>
    <col min="4" max="4" width="6.5" style="389" customWidth="1"/>
    <col min="5" max="5" width="26.1640625" style="390" customWidth="1"/>
    <col min="6" max="6" width="6.5" style="390" customWidth="1"/>
    <col min="7" max="7" width="21" style="390" customWidth="1"/>
    <col min="8" max="8" width="6.5" style="389" customWidth="1"/>
    <col min="9" max="9" width="19.6640625" style="390" customWidth="1"/>
    <col min="10" max="10" width="6.5" style="389" customWidth="1"/>
    <col min="11" max="11" width="5.83203125" style="390" customWidth="1"/>
    <col min="12" max="12" width="18.6640625" style="390" customWidth="1"/>
    <col min="13" max="13" width="6.5" style="389" customWidth="1"/>
    <col min="14" max="14" width="19.33203125" style="390" customWidth="1"/>
    <col min="15" max="15" width="6.6640625" style="390" bestFit="1" customWidth="1"/>
    <col min="16" max="16" width="20.33203125" style="390" bestFit="1" customWidth="1"/>
    <col min="17" max="17" width="1.1640625" style="390" customWidth="1"/>
    <col min="18" max="18" width="18" style="392" bestFit="1" customWidth="1"/>
    <col min="19" max="19" width="21.33203125" style="390" bestFit="1" customWidth="1"/>
    <col min="20" max="16384" width="11.33203125" style="390"/>
  </cols>
  <sheetData>
    <row r="1" spans="1:18" ht="15.75" x14ac:dyDescent="0.25">
      <c r="A1" s="66" t="str">
        <f>'Input Tab'!B2</f>
        <v>Kentucky Utilities Company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8" t="s">
        <v>30</v>
      </c>
    </row>
    <row r="2" spans="1:18" ht="15.75" x14ac:dyDescent="0.25">
      <c r="A2" s="71" t="s">
        <v>190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8" t="s">
        <v>252</v>
      </c>
    </row>
    <row r="3" spans="1:18" ht="15.75" x14ac:dyDescent="0.25">
      <c r="A3" s="365" t="s">
        <v>267</v>
      </c>
      <c r="B3" s="28"/>
      <c r="C3" s="28"/>
      <c r="D3" s="28"/>
      <c r="E3" s="28"/>
      <c r="F3" s="25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70" t="str">
        <f>'Q1 p.2 - Rate of Return Adj'!I3</f>
        <v>Rahn/Neal</v>
      </c>
    </row>
    <row r="4" spans="1:18" ht="15.75" x14ac:dyDescent="0.25">
      <c r="A4" s="293" t="s">
        <v>191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1:18" x14ac:dyDescent="0.2">
      <c r="B5" s="417"/>
    </row>
    <row r="6" spans="1:18" s="397" customFormat="1" ht="15.75" x14ac:dyDescent="0.25">
      <c r="A6" s="556" t="s">
        <v>237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1:18" ht="15.75" x14ac:dyDescent="0.25">
      <c r="A7" s="371"/>
      <c r="B7" s="372"/>
      <c r="C7" s="373"/>
      <c r="D7" s="378"/>
      <c r="E7" s="373"/>
      <c r="F7" s="373"/>
      <c r="G7" s="373"/>
      <c r="H7" s="378"/>
      <c r="I7" s="373"/>
      <c r="J7" s="378"/>
      <c r="K7" s="373"/>
      <c r="L7" s="373"/>
      <c r="M7" s="378"/>
      <c r="N7" s="373"/>
      <c r="O7" s="373"/>
      <c r="P7" s="373"/>
      <c r="Q7" s="373"/>
      <c r="R7" s="376"/>
    </row>
    <row r="8" spans="1:18" x14ac:dyDescent="0.2">
      <c r="A8" s="377"/>
      <c r="B8" s="372"/>
      <c r="C8" s="373"/>
      <c r="D8" s="378"/>
      <c r="E8" s="373"/>
      <c r="F8" s="373"/>
      <c r="G8" s="559" t="s">
        <v>111</v>
      </c>
      <c r="H8" s="559"/>
      <c r="I8" s="559"/>
      <c r="J8" s="559"/>
      <c r="K8" s="559"/>
      <c r="L8" s="559"/>
      <c r="M8" s="559"/>
      <c r="N8" s="559"/>
      <c r="O8" s="559"/>
      <c r="P8" s="559"/>
      <c r="Q8" s="372"/>
      <c r="R8" s="379"/>
    </row>
    <row r="9" spans="1:18" x14ac:dyDescent="0.2">
      <c r="A9" s="380"/>
      <c r="B9" s="372"/>
      <c r="C9" s="373"/>
      <c r="D9" s="378"/>
      <c r="E9" s="373"/>
      <c r="F9" s="373"/>
      <c r="G9" s="373"/>
      <c r="H9" s="378"/>
      <c r="I9" s="372" t="s">
        <v>112</v>
      </c>
      <c r="J9" s="378"/>
      <c r="K9" s="372"/>
      <c r="L9" s="372" t="s">
        <v>113</v>
      </c>
      <c r="M9" s="378"/>
      <c r="N9" s="372" t="s">
        <v>114</v>
      </c>
      <c r="O9" s="373"/>
      <c r="P9" s="372"/>
      <c r="Q9" s="372"/>
      <c r="R9" s="379" t="s">
        <v>115</v>
      </c>
    </row>
    <row r="10" spans="1:18" ht="30" x14ac:dyDescent="0.2">
      <c r="A10" s="380"/>
      <c r="B10" s="381" t="s">
        <v>116</v>
      </c>
      <c r="C10" s="381" t="s">
        <v>93</v>
      </c>
      <c r="D10" s="378"/>
      <c r="E10" s="381" t="s">
        <v>117</v>
      </c>
      <c r="F10" s="373"/>
      <c r="G10" s="382" t="s">
        <v>118</v>
      </c>
      <c r="H10" s="378"/>
      <c r="I10" s="383" t="s">
        <v>229</v>
      </c>
      <c r="J10" s="378"/>
      <c r="K10" s="372"/>
      <c r="L10" s="383" t="s">
        <v>119</v>
      </c>
      <c r="M10" s="384"/>
      <c r="N10" s="382" t="s">
        <v>120</v>
      </c>
      <c r="O10" s="373"/>
      <c r="P10" s="382" t="s">
        <v>121</v>
      </c>
      <c r="Q10" s="372"/>
      <c r="R10" s="385" t="s">
        <v>122</v>
      </c>
    </row>
    <row r="11" spans="1:18" ht="15.75" x14ac:dyDescent="0.25">
      <c r="A11" s="454" t="s">
        <v>123</v>
      </c>
      <c r="B11" s="443"/>
      <c r="C11" s="453"/>
      <c r="D11" s="447"/>
      <c r="E11" s="455"/>
      <c r="F11" s="447"/>
      <c r="G11" s="455"/>
      <c r="H11" s="447"/>
      <c r="I11" s="456"/>
      <c r="J11" s="457"/>
      <c r="K11" s="457"/>
      <c r="L11" s="455"/>
      <c r="M11" s="458"/>
      <c r="N11" s="455"/>
      <c r="O11" s="455"/>
      <c r="P11" s="455"/>
      <c r="Q11" s="451"/>
      <c r="R11" s="459"/>
    </row>
    <row r="12" spans="1:18" ht="17.25" customHeight="1" x14ac:dyDescent="0.2">
      <c r="A12" s="442" t="s">
        <v>124</v>
      </c>
      <c r="B12" s="443">
        <v>45047</v>
      </c>
      <c r="C12" s="386">
        <v>1.0149999999999999E-2</v>
      </c>
      <c r="D12" s="444" t="s">
        <v>125</v>
      </c>
      <c r="E12" s="445">
        <v>12900000</v>
      </c>
      <c r="F12" s="446"/>
      <c r="G12" s="445">
        <f t="shared" ref="G12:G21" si="0">ROUND(C12*E12,0)</f>
        <v>130935</v>
      </c>
      <c r="H12" s="447"/>
      <c r="I12" s="448">
        <v>10718.972950819678</v>
      </c>
      <c r="J12" s="449"/>
      <c r="K12" s="449"/>
      <c r="L12" s="445">
        <v>35867.353278688519</v>
      </c>
      <c r="M12" s="449"/>
      <c r="N12" s="445">
        <v>97783.76715</v>
      </c>
      <c r="O12" s="450" t="s">
        <v>126</v>
      </c>
      <c r="P12" s="445">
        <f t="shared" ref="P12:P23" si="1">G12+I12+L12+N12</f>
        <v>275305.09337950824</v>
      </c>
      <c r="Q12" s="451"/>
      <c r="R12" s="387">
        <f t="shared" ref="R12:R22" si="2">ROUND((P12/E12),4)</f>
        <v>2.1299999999999999E-2</v>
      </c>
    </row>
    <row r="13" spans="1:18" ht="17.25" customHeight="1" x14ac:dyDescent="0.2">
      <c r="A13" s="442" t="s">
        <v>127</v>
      </c>
      <c r="B13" s="443">
        <v>11720</v>
      </c>
      <c r="C13" s="452">
        <v>1.008E-2</v>
      </c>
      <c r="D13" s="444" t="s">
        <v>125</v>
      </c>
      <c r="E13" s="448">
        <v>20930000</v>
      </c>
      <c r="F13" s="447"/>
      <c r="G13" s="448">
        <f t="shared" si="0"/>
        <v>210974</v>
      </c>
      <c r="H13" s="447"/>
      <c r="I13" s="448">
        <v>4004.4688524590142</v>
      </c>
      <c r="J13" s="449"/>
      <c r="K13" s="449"/>
      <c r="L13" s="448">
        <v>36277.709016393426</v>
      </c>
      <c r="M13" s="449"/>
      <c r="N13" s="448">
        <v>20930</v>
      </c>
      <c r="O13" s="451" t="s">
        <v>126</v>
      </c>
      <c r="P13" s="448">
        <f t="shared" si="1"/>
        <v>272186.17786885245</v>
      </c>
      <c r="Q13" s="451"/>
      <c r="R13" s="387">
        <f t="shared" si="2"/>
        <v>1.2999999999999999E-2</v>
      </c>
    </row>
    <row r="14" spans="1:18" ht="17.25" customHeight="1" x14ac:dyDescent="0.2">
      <c r="A14" s="442" t="s">
        <v>128</v>
      </c>
      <c r="B14" s="443">
        <v>11720</v>
      </c>
      <c r="C14" s="452">
        <v>1.008E-2</v>
      </c>
      <c r="D14" s="444" t="s">
        <v>125</v>
      </c>
      <c r="E14" s="448">
        <v>2400000</v>
      </c>
      <c r="F14" s="447"/>
      <c r="G14" s="448">
        <f t="shared" si="0"/>
        <v>24192</v>
      </c>
      <c r="H14" s="447"/>
      <c r="I14" s="448">
        <v>2771.9356557376959</v>
      </c>
      <c r="J14" s="449"/>
      <c r="K14" s="449"/>
      <c r="L14" s="448">
        <v>4153.1315573770498</v>
      </c>
      <c r="M14" s="449"/>
      <c r="N14" s="448">
        <v>2400</v>
      </c>
      <c r="O14" s="451" t="s">
        <v>126</v>
      </c>
      <c r="P14" s="448">
        <f t="shared" si="1"/>
        <v>33517.067213114744</v>
      </c>
      <c r="Q14" s="451"/>
      <c r="R14" s="387">
        <f t="shared" si="2"/>
        <v>1.4E-2</v>
      </c>
    </row>
    <row r="15" spans="1:18" ht="17.25" customHeight="1" x14ac:dyDescent="0.2">
      <c r="A15" s="442" t="s">
        <v>129</v>
      </c>
      <c r="B15" s="443">
        <v>11720</v>
      </c>
      <c r="C15" s="452">
        <v>1.008E-2</v>
      </c>
      <c r="D15" s="444" t="s">
        <v>125</v>
      </c>
      <c r="E15" s="448">
        <v>2400000</v>
      </c>
      <c r="F15" s="447"/>
      <c r="G15" s="448">
        <f t="shared" si="0"/>
        <v>24192</v>
      </c>
      <c r="H15" s="447"/>
      <c r="I15" s="448">
        <v>1114.1475409835982</v>
      </c>
      <c r="J15" s="449"/>
      <c r="K15" s="449"/>
      <c r="L15" s="448">
        <v>12896.467213114745</v>
      </c>
      <c r="M15" s="449"/>
      <c r="N15" s="448">
        <v>2400</v>
      </c>
      <c r="O15" s="451" t="s">
        <v>126</v>
      </c>
      <c r="P15" s="448">
        <f t="shared" si="1"/>
        <v>40602.614754098344</v>
      </c>
      <c r="Q15" s="451"/>
      <c r="R15" s="387">
        <f t="shared" si="2"/>
        <v>1.6899999999999998E-2</v>
      </c>
    </row>
    <row r="16" spans="1:18" ht="17.25" customHeight="1" x14ac:dyDescent="0.2">
      <c r="A16" s="442" t="s">
        <v>130</v>
      </c>
      <c r="B16" s="443">
        <v>11720</v>
      </c>
      <c r="C16" s="452">
        <v>9.6430000000000005E-3</v>
      </c>
      <c r="D16" s="444" t="s">
        <v>125</v>
      </c>
      <c r="E16" s="448">
        <v>7400000</v>
      </c>
      <c r="F16" s="447"/>
      <c r="G16" s="448">
        <f t="shared" si="0"/>
        <v>71358</v>
      </c>
      <c r="H16" s="447"/>
      <c r="I16" s="448">
        <v>3100.9741803278675</v>
      </c>
      <c r="J16" s="449"/>
      <c r="K16" s="449"/>
      <c r="L16" s="448">
        <v>12745.740163934483</v>
      </c>
      <c r="M16" s="449"/>
      <c r="N16" s="448">
        <v>7400</v>
      </c>
      <c r="O16" s="451" t="s">
        <v>126</v>
      </c>
      <c r="P16" s="448">
        <f t="shared" si="1"/>
        <v>94604.714344262349</v>
      </c>
      <c r="Q16" s="451"/>
      <c r="R16" s="387">
        <f t="shared" si="2"/>
        <v>1.2800000000000001E-2</v>
      </c>
    </row>
    <row r="17" spans="1:21" ht="17.25" customHeight="1" x14ac:dyDescent="0.2">
      <c r="A17" s="442" t="s">
        <v>131</v>
      </c>
      <c r="B17" s="443">
        <v>49218</v>
      </c>
      <c r="C17" s="452">
        <v>1.021E-2</v>
      </c>
      <c r="D17" s="444" t="s">
        <v>125</v>
      </c>
      <c r="E17" s="448">
        <v>50000000</v>
      </c>
      <c r="F17" s="447"/>
      <c r="G17" s="448">
        <f t="shared" si="0"/>
        <v>510500</v>
      </c>
      <c r="H17" s="447"/>
      <c r="I17" s="448">
        <v>9411.4950819672595</v>
      </c>
      <c r="J17" s="449"/>
      <c r="K17" s="449"/>
      <c r="L17" s="448">
        <v>94880.04467213116</v>
      </c>
      <c r="M17" s="449"/>
      <c r="N17" s="448">
        <v>380609.58904999995</v>
      </c>
      <c r="O17" s="451" t="s">
        <v>126</v>
      </c>
      <c r="P17" s="448">
        <f t="shared" si="1"/>
        <v>995401.12880409835</v>
      </c>
      <c r="Q17" s="451"/>
      <c r="R17" s="387">
        <f t="shared" si="2"/>
        <v>1.9900000000000001E-2</v>
      </c>
    </row>
    <row r="18" spans="1:21" ht="17.25" customHeight="1" x14ac:dyDescent="0.2">
      <c r="A18" s="442" t="s">
        <v>132</v>
      </c>
      <c r="B18" s="443">
        <v>49218</v>
      </c>
      <c r="C18" s="452">
        <v>1.0189999999999999E-2</v>
      </c>
      <c r="D18" s="444" t="s">
        <v>125</v>
      </c>
      <c r="E18" s="448">
        <v>54000000</v>
      </c>
      <c r="F18" s="447"/>
      <c r="G18" s="448">
        <f>ROUND(C18*E18,0)</f>
        <v>550260</v>
      </c>
      <c r="H18" s="447"/>
      <c r="I18" s="448">
        <v>44048.88811475406</v>
      </c>
      <c r="J18" s="449"/>
      <c r="K18" s="449"/>
      <c r="L18" s="448">
        <v>13232.3868852459</v>
      </c>
      <c r="M18" s="449"/>
      <c r="N18" s="448">
        <v>411491.09591000003</v>
      </c>
      <c r="O18" s="451" t="s">
        <v>126</v>
      </c>
      <c r="P18" s="448">
        <f t="shared" si="1"/>
        <v>1019032.3709100001</v>
      </c>
      <c r="Q18" s="451"/>
      <c r="R18" s="387">
        <f t="shared" si="2"/>
        <v>1.89E-2</v>
      </c>
    </row>
    <row r="19" spans="1:21" ht="17.25" customHeight="1" x14ac:dyDescent="0.2">
      <c r="A19" s="442" t="s">
        <v>133</v>
      </c>
      <c r="B19" s="443">
        <v>46054</v>
      </c>
      <c r="C19" s="452">
        <v>5.7500000000000002E-2</v>
      </c>
      <c r="D19" s="444"/>
      <c r="E19" s="448">
        <v>17875000</v>
      </c>
      <c r="F19" s="447"/>
      <c r="G19" s="448">
        <f t="shared" si="0"/>
        <v>1027813</v>
      </c>
      <c r="H19" s="447"/>
      <c r="I19" s="448">
        <v>10929.865163934399</v>
      </c>
      <c r="J19" s="449"/>
      <c r="K19" s="449"/>
      <c r="L19" s="448">
        <v>22390.147131147554</v>
      </c>
      <c r="M19" s="447"/>
      <c r="N19" s="448">
        <v>0</v>
      </c>
      <c r="O19" s="451"/>
      <c r="P19" s="448">
        <f t="shared" si="1"/>
        <v>1061133.012295082</v>
      </c>
      <c r="Q19" s="451"/>
      <c r="R19" s="387">
        <f t="shared" si="2"/>
        <v>5.9400000000000001E-2</v>
      </c>
    </row>
    <row r="20" spans="1:21" ht="17.25" customHeight="1" x14ac:dyDescent="0.2">
      <c r="A20" s="442" t="s">
        <v>134</v>
      </c>
      <c r="B20" s="443">
        <v>50100</v>
      </c>
      <c r="C20" s="452">
        <v>0.06</v>
      </c>
      <c r="D20" s="444"/>
      <c r="E20" s="448">
        <v>8927000</v>
      </c>
      <c r="F20" s="447"/>
      <c r="G20" s="448">
        <f t="shared" si="0"/>
        <v>535620</v>
      </c>
      <c r="H20" s="447"/>
      <c r="I20" s="448">
        <v>5267.7877049180188</v>
      </c>
      <c r="J20" s="449"/>
      <c r="K20" s="449"/>
      <c r="L20" s="448">
        <v>10797.238524590164</v>
      </c>
      <c r="M20" s="447"/>
      <c r="N20" s="448">
        <v>0</v>
      </c>
      <c r="O20" s="451"/>
      <c r="P20" s="448">
        <f t="shared" si="1"/>
        <v>551685.02622950822</v>
      </c>
      <c r="Q20" s="451"/>
      <c r="R20" s="387">
        <f t="shared" si="2"/>
        <v>6.1800000000000001E-2</v>
      </c>
    </row>
    <row r="21" spans="1:21" ht="17.25" customHeight="1" x14ac:dyDescent="0.2">
      <c r="A21" s="442" t="s">
        <v>135</v>
      </c>
      <c r="B21" s="443">
        <v>11720</v>
      </c>
      <c r="C21" s="452">
        <v>1.027E-2</v>
      </c>
      <c r="D21" s="444" t="s">
        <v>125</v>
      </c>
      <c r="E21" s="448">
        <v>77947405</v>
      </c>
      <c r="F21" s="447"/>
      <c r="G21" s="448">
        <f t="shared" si="0"/>
        <v>800520</v>
      </c>
      <c r="H21" s="447"/>
      <c r="I21" s="448">
        <v>32203.321721311342</v>
      </c>
      <c r="J21" s="449"/>
      <c r="K21" s="449"/>
      <c r="L21" s="448">
        <v>91156.74549180326</v>
      </c>
      <c r="M21" s="449"/>
      <c r="N21" s="448">
        <v>593975.24271499994</v>
      </c>
      <c r="O21" s="451" t="s">
        <v>126</v>
      </c>
      <c r="P21" s="448">
        <f t="shared" si="1"/>
        <v>1517855.3099281145</v>
      </c>
      <c r="Q21" s="451"/>
      <c r="R21" s="387">
        <f t="shared" si="2"/>
        <v>1.95E-2</v>
      </c>
    </row>
    <row r="22" spans="1:21" ht="17.25" customHeight="1" x14ac:dyDescent="0.2">
      <c r="A22" s="442" t="s">
        <v>136</v>
      </c>
      <c r="B22" s="443">
        <v>15585</v>
      </c>
      <c r="C22" s="452">
        <v>1.0500000000000001E-2</v>
      </c>
      <c r="D22" s="444"/>
      <c r="E22" s="448">
        <v>96000000</v>
      </c>
      <c r="F22" s="447"/>
      <c r="G22" s="448">
        <f>ROUND(C22*E22,0)</f>
        <v>1008000</v>
      </c>
      <c r="H22" s="447"/>
      <c r="I22" s="448">
        <v>262086.06598360665</v>
      </c>
      <c r="J22" s="449"/>
      <c r="K22" s="449"/>
      <c r="L22" s="448">
        <v>160690.14303278687</v>
      </c>
      <c r="M22" s="449"/>
      <c r="N22" s="448"/>
      <c r="O22" s="451"/>
      <c r="P22" s="448">
        <f t="shared" si="1"/>
        <v>1430776.2090163936</v>
      </c>
      <c r="Q22" s="451"/>
      <c r="R22" s="387">
        <f t="shared" si="2"/>
        <v>1.49E-2</v>
      </c>
    </row>
    <row r="23" spans="1:21" ht="17.25" customHeight="1" x14ac:dyDescent="0.2">
      <c r="A23" s="442" t="s">
        <v>137</v>
      </c>
      <c r="B23" s="443"/>
      <c r="C23" s="453"/>
      <c r="D23" s="447"/>
      <c r="E23" s="448">
        <v>0</v>
      </c>
      <c r="F23" s="447"/>
      <c r="G23" s="448">
        <v>0</v>
      </c>
      <c r="H23" s="447"/>
      <c r="I23" s="448">
        <v>0</v>
      </c>
      <c r="J23" s="449"/>
      <c r="K23" s="449"/>
      <c r="L23" s="448">
        <v>5821.301229508198</v>
      </c>
      <c r="M23" s="447"/>
      <c r="N23" s="448"/>
      <c r="O23" s="451"/>
      <c r="P23" s="448">
        <f t="shared" si="1"/>
        <v>5821.301229508198</v>
      </c>
      <c r="Q23" s="451"/>
      <c r="R23" s="387"/>
    </row>
    <row r="24" spans="1:21" ht="17.25" customHeight="1" thickBot="1" x14ac:dyDescent="0.25">
      <c r="A24" s="442"/>
      <c r="B24" s="443"/>
      <c r="C24" s="453"/>
      <c r="D24" s="447"/>
      <c r="E24" s="448"/>
      <c r="F24" s="447"/>
      <c r="G24" s="448"/>
      <c r="H24" s="447"/>
      <c r="I24" s="448"/>
      <c r="J24" s="447"/>
      <c r="K24" s="447"/>
      <c r="L24" s="448"/>
      <c r="M24" s="447"/>
      <c r="N24" s="448"/>
      <c r="O24" s="451"/>
      <c r="P24" s="448"/>
      <c r="Q24" s="451"/>
      <c r="R24" s="387"/>
    </row>
    <row r="25" spans="1:21" ht="16.5" thickBot="1" x14ac:dyDescent="0.3">
      <c r="A25" s="454" t="s">
        <v>138</v>
      </c>
      <c r="B25" s="388"/>
      <c r="C25" s="460"/>
      <c r="D25" s="447"/>
      <c r="E25" s="461">
        <f>SUM(E12:E24)</f>
        <v>350779405</v>
      </c>
      <c r="F25" s="462"/>
      <c r="G25" s="461">
        <f>SUM(G12:G24)</f>
        <v>4894364</v>
      </c>
      <c r="H25" s="462"/>
      <c r="I25" s="461">
        <f>SUM(I12:I24)</f>
        <v>385657.9229508196</v>
      </c>
      <c r="J25" s="462"/>
      <c r="K25" s="462"/>
      <c r="L25" s="461">
        <f>SUM(L12:L24)</f>
        <v>500908.40819672128</v>
      </c>
      <c r="M25" s="463"/>
      <c r="N25" s="461">
        <f>SUM(N12:N24)</f>
        <v>1516989.6948249999</v>
      </c>
      <c r="O25" s="445"/>
      <c r="P25" s="461">
        <f>SUM(P12:P24)</f>
        <v>7297920.0259725414</v>
      </c>
      <c r="Q25" s="451"/>
      <c r="R25" s="464">
        <f>ROUND(+P25/E25,4)</f>
        <v>2.0799999999999999E-2</v>
      </c>
      <c r="U25" s="398"/>
    </row>
    <row r="26" spans="1:21" ht="30" customHeight="1" x14ac:dyDescent="0.25">
      <c r="A26" s="454" t="s">
        <v>139</v>
      </c>
      <c r="B26" s="443"/>
      <c r="C26" s="453"/>
      <c r="D26" s="447"/>
      <c r="E26" s="448"/>
      <c r="F26" s="447"/>
      <c r="G26" s="448"/>
      <c r="H26" s="447"/>
      <c r="I26" s="448"/>
      <c r="J26" s="457"/>
      <c r="K26" s="457"/>
      <c r="L26" s="448"/>
      <c r="M26" s="465"/>
      <c r="N26" s="448"/>
      <c r="O26" s="451"/>
      <c r="P26" s="448"/>
      <c r="Q26" s="451"/>
      <c r="R26" s="387"/>
    </row>
    <row r="27" spans="1:21" ht="17.25" customHeight="1" x14ac:dyDescent="0.2">
      <c r="A27" s="442" t="s">
        <v>140</v>
      </c>
      <c r="B27" s="443">
        <v>44136</v>
      </c>
      <c r="C27" s="452">
        <v>3.2500000000000001E-2</v>
      </c>
      <c r="D27" s="447"/>
      <c r="E27" s="448">
        <v>500000000</v>
      </c>
      <c r="F27" s="466"/>
      <c r="G27" s="448">
        <f>ROUND(C27*E27,0)</f>
        <v>16250000</v>
      </c>
      <c r="H27" s="447"/>
      <c r="I27" s="448">
        <v>419930.43565573788</v>
      </c>
      <c r="J27" s="457" t="s">
        <v>141</v>
      </c>
      <c r="K27" s="457"/>
      <c r="L27" s="448"/>
      <c r="M27" s="465"/>
      <c r="N27" s="448"/>
      <c r="O27" s="451"/>
      <c r="P27" s="448">
        <f t="shared" ref="P27:P39" si="3">G27+I27+L27+N27</f>
        <v>16669930.435655737</v>
      </c>
      <c r="Q27" s="451"/>
      <c r="R27" s="387">
        <f t="shared" ref="R27:R32" si="4">ROUND((P27/E27),4)</f>
        <v>3.3300000000000003E-2</v>
      </c>
    </row>
    <row r="28" spans="1:21" ht="17.25" customHeight="1" x14ac:dyDescent="0.2">
      <c r="A28" s="442" t="s">
        <v>142</v>
      </c>
      <c r="B28" s="443">
        <v>44136</v>
      </c>
      <c r="C28" s="452">
        <v>3.2500000000000001E-2</v>
      </c>
      <c r="D28" s="447"/>
      <c r="E28" s="448">
        <v>-569493.67799999996</v>
      </c>
      <c r="F28" s="466"/>
      <c r="G28" s="448"/>
      <c r="H28" s="447"/>
      <c r="I28" s="448">
        <v>189623.39385245903</v>
      </c>
      <c r="J28" s="457" t="s">
        <v>141</v>
      </c>
      <c r="K28" s="457"/>
      <c r="L28" s="448"/>
      <c r="M28" s="465"/>
      <c r="N28" s="448"/>
      <c r="O28" s="451"/>
      <c r="P28" s="448">
        <f t="shared" si="3"/>
        <v>189623.39385245903</v>
      </c>
      <c r="Q28" s="451"/>
      <c r="R28" s="387">
        <f t="shared" si="4"/>
        <v>-0.33300000000000002</v>
      </c>
    </row>
    <row r="29" spans="1:21" ht="17.25" customHeight="1" x14ac:dyDescent="0.2">
      <c r="A29" s="442" t="s">
        <v>143</v>
      </c>
      <c r="B29" s="443">
        <v>51441</v>
      </c>
      <c r="C29" s="452">
        <v>5.1249999999999997E-2</v>
      </c>
      <c r="D29" s="447"/>
      <c r="E29" s="448">
        <v>750000000</v>
      </c>
      <c r="F29" s="466"/>
      <c r="G29" s="448">
        <f>ROUND(C29*E29,0)</f>
        <v>38437500</v>
      </c>
      <c r="H29" s="447"/>
      <c r="I29" s="448">
        <v>249786.55327868965</v>
      </c>
      <c r="J29" s="457" t="s">
        <v>141</v>
      </c>
      <c r="K29" s="457"/>
      <c r="L29" s="448"/>
      <c r="M29" s="465"/>
      <c r="N29" s="448"/>
      <c r="O29" s="451"/>
      <c r="P29" s="448">
        <f t="shared" si="3"/>
        <v>38687286.553278692</v>
      </c>
      <c r="Q29" s="451"/>
      <c r="R29" s="387">
        <f t="shared" si="4"/>
        <v>5.16E-2</v>
      </c>
    </row>
    <row r="30" spans="1:21" ht="17.25" customHeight="1" x14ac:dyDescent="0.2">
      <c r="A30" s="442" t="s">
        <v>142</v>
      </c>
      <c r="B30" s="443">
        <v>51441</v>
      </c>
      <c r="C30" s="452">
        <v>5.1249999999999997E-2</v>
      </c>
      <c r="D30" s="447"/>
      <c r="E30" s="448">
        <v>-6247351.2760000005</v>
      </c>
      <c r="F30" s="466"/>
      <c r="G30" s="448"/>
      <c r="H30" s="447"/>
      <c r="I30" s="448">
        <v>271423.51393442624</v>
      </c>
      <c r="J30" s="457" t="s">
        <v>141</v>
      </c>
      <c r="K30" s="457"/>
      <c r="L30" s="448"/>
      <c r="M30" s="465"/>
      <c r="N30" s="448"/>
      <c r="O30" s="451"/>
      <c r="P30" s="448">
        <f t="shared" si="3"/>
        <v>271423.51393442624</v>
      </c>
      <c r="Q30" s="451"/>
      <c r="R30" s="387">
        <f t="shared" si="4"/>
        <v>-4.3400000000000001E-2</v>
      </c>
    </row>
    <row r="31" spans="1:21" ht="17.25" customHeight="1" x14ac:dyDescent="0.2">
      <c r="A31" s="442" t="s">
        <v>144</v>
      </c>
      <c r="B31" s="443">
        <v>52550</v>
      </c>
      <c r="C31" s="452">
        <v>4.65E-2</v>
      </c>
      <c r="D31" s="447"/>
      <c r="E31" s="448">
        <v>250000000</v>
      </c>
      <c r="F31" s="467"/>
      <c r="G31" s="448">
        <f>ROUND(C31*E31,0)</f>
        <v>11625000</v>
      </c>
      <c r="H31" s="447"/>
      <c r="I31" s="448">
        <v>92245.253278687349</v>
      </c>
      <c r="J31" s="457" t="s">
        <v>141</v>
      </c>
      <c r="K31" s="457"/>
      <c r="L31" s="448"/>
      <c r="M31" s="465"/>
      <c r="N31" s="448"/>
      <c r="O31" s="451"/>
      <c r="P31" s="448">
        <f t="shared" si="3"/>
        <v>11717245.253278688</v>
      </c>
      <c r="Q31" s="451"/>
      <c r="R31" s="387">
        <f t="shared" si="4"/>
        <v>4.6899999999999997E-2</v>
      </c>
    </row>
    <row r="32" spans="1:21" ht="17.25" customHeight="1" x14ac:dyDescent="0.2">
      <c r="A32" s="442" t="s">
        <v>142</v>
      </c>
      <c r="B32" s="443">
        <v>52550</v>
      </c>
      <c r="C32" s="452">
        <v>4.65E-2</v>
      </c>
      <c r="D32" s="447"/>
      <c r="E32" s="448">
        <v>-1562179.23</v>
      </c>
      <c r="F32" s="447"/>
      <c r="G32" s="448"/>
      <c r="H32" s="447"/>
      <c r="I32" s="448">
        <v>59956.186475409835</v>
      </c>
      <c r="J32" s="457" t="s">
        <v>141</v>
      </c>
      <c r="K32" s="457"/>
      <c r="L32" s="448"/>
      <c r="M32" s="465"/>
      <c r="N32" s="448"/>
      <c r="O32" s="451"/>
      <c r="P32" s="448">
        <f t="shared" si="3"/>
        <v>59956.186475409835</v>
      </c>
      <c r="Q32" s="451"/>
      <c r="R32" s="387">
        <f t="shared" si="4"/>
        <v>-3.8399999999999997E-2</v>
      </c>
    </row>
    <row r="33" spans="1:21" ht="17.25" customHeight="1" x14ac:dyDescent="0.2">
      <c r="A33" s="442" t="s">
        <v>145</v>
      </c>
      <c r="B33" s="443">
        <v>52550</v>
      </c>
      <c r="C33" s="452"/>
      <c r="D33" s="447"/>
      <c r="E33" s="448"/>
      <c r="F33" s="449"/>
      <c r="G33" s="448">
        <v>-1433703.934016393</v>
      </c>
      <c r="H33" s="447"/>
      <c r="I33" s="448"/>
      <c r="J33" s="457"/>
      <c r="K33" s="457"/>
      <c r="L33" s="448"/>
      <c r="M33" s="465"/>
      <c r="N33" s="448"/>
      <c r="O33" s="451"/>
      <c r="P33" s="448">
        <f t="shared" si="3"/>
        <v>-1433703.934016393</v>
      </c>
      <c r="Q33" s="451"/>
      <c r="R33" s="387">
        <v>-3.3320000000000002E-2</v>
      </c>
    </row>
    <row r="34" spans="1:21" ht="17.25" customHeight="1" x14ac:dyDescent="0.2">
      <c r="A34" s="442" t="s">
        <v>146</v>
      </c>
      <c r="B34" s="443">
        <v>45931</v>
      </c>
      <c r="C34" s="452">
        <v>3.3000000000000002E-2</v>
      </c>
      <c r="D34" s="447"/>
      <c r="E34" s="448">
        <v>250000000</v>
      </c>
      <c r="F34" s="449"/>
      <c r="G34" s="448">
        <f>ROUND(C34*E34,0)</f>
        <v>8250000</v>
      </c>
      <c r="H34" s="447"/>
      <c r="I34" s="448">
        <v>201425.01065573739</v>
      </c>
      <c r="J34" s="457" t="s">
        <v>141</v>
      </c>
      <c r="K34" s="457"/>
      <c r="L34" s="448"/>
      <c r="M34" s="465"/>
      <c r="N34" s="448"/>
      <c r="O34" s="451"/>
      <c r="P34" s="448">
        <f t="shared" si="3"/>
        <v>8451425.0106557366</v>
      </c>
      <c r="Q34" s="451"/>
      <c r="R34" s="387">
        <f>ROUND((P34/E34),4)</f>
        <v>3.3799999999999997E-2</v>
      </c>
    </row>
    <row r="35" spans="1:21" ht="17.25" customHeight="1" x14ac:dyDescent="0.2">
      <c r="A35" s="442" t="s">
        <v>142</v>
      </c>
      <c r="B35" s="443">
        <v>45931</v>
      </c>
      <c r="C35" s="452">
        <v>3.3000000000000002E-2</v>
      </c>
      <c r="D35" s="447"/>
      <c r="E35" s="448">
        <v>-85012.034000000014</v>
      </c>
      <c r="F35" s="449"/>
      <c r="G35" s="448"/>
      <c r="H35" s="447"/>
      <c r="I35" s="448">
        <v>10732.34631147541</v>
      </c>
      <c r="J35" s="457" t="s">
        <v>141</v>
      </c>
      <c r="K35" s="457"/>
      <c r="L35" s="448"/>
      <c r="M35" s="465"/>
      <c r="N35" s="448"/>
      <c r="O35" s="451"/>
      <c r="P35" s="448">
        <f t="shared" si="3"/>
        <v>10732.34631147541</v>
      </c>
      <c r="Q35" s="451"/>
      <c r="R35" s="387">
        <f>ROUND((P35/E35),4)</f>
        <v>-0.12620000000000001</v>
      </c>
    </row>
    <row r="36" spans="1:21" ht="17.25" customHeight="1" x14ac:dyDescent="0.2">
      <c r="A36" s="442" t="s">
        <v>147</v>
      </c>
      <c r="B36" s="443">
        <v>45931</v>
      </c>
      <c r="C36" s="452"/>
      <c r="D36" s="447"/>
      <c r="E36" s="448"/>
      <c r="F36" s="449"/>
      <c r="G36" s="448">
        <v>1405379.6946721307</v>
      </c>
      <c r="H36" s="447"/>
      <c r="I36" s="448"/>
      <c r="J36" s="457"/>
      <c r="K36" s="457"/>
      <c r="L36" s="448"/>
      <c r="M36" s="465"/>
      <c r="N36" s="448"/>
      <c r="O36" s="451"/>
      <c r="P36" s="448">
        <f t="shared" si="3"/>
        <v>1405379.6946721307</v>
      </c>
      <c r="Q36" s="451"/>
      <c r="R36" s="387">
        <v>9.9839999999999998E-2</v>
      </c>
    </row>
    <row r="37" spans="1:21" ht="17.25" customHeight="1" x14ac:dyDescent="0.2">
      <c r="A37" s="442" t="s">
        <v>148</v>
      </c>
      <c r="B37" s="443">
        <v>53236</v>
      </c>
      <c r="C37" s="452">
        <v>4.3749999999999997E-2</v>
      </c>
      <c r="D37" s="447"/>
      <c r="E37" s="448">
        <v>250000000</v>
      </c>
      <c r="F37" s="449"/>
      <c r="G37" s="448">
        <f>ROUND(C37*E37,0)</f>
        <v>10937500</v>
      </c>
      <c r="H37" s="447"/>
      <c r="I37" s="448">
        <v>85849.106967213505</v>
      </c>
      <c r="J37" s="457" t="s">
        <v>141</v>
      </c>
      <c r="K37" s="457"/>
      <c r="L37" s="448"/>
      <c r="M37" s="465"/>
      <c r="N37" s="448"/>
      <c r="O37" s="451"/>
      <c r="P37" s="448">
        <f t="shared" si="3"/>
        <v>11023349.106967213</v>
      </c>
      <c r="Q37" s="451"/>
      <c r="R37" s="387">
        <f>ROUND((P37/E37),4)</f>
        <v>4.41E-2</v>
      </c>
    </row>
    <row r="38" spans="1:21" ht="17.25" customHeight="1" x14ac:dyDescent="0.2">
      <c r="A38" s="442" t="s">
        <v>142</v>
      </c>
      <c r="B38" s="443">
        <v>53236</v>
      </c>
      <c r="C38" s="452">
        <v>4.3749999999999997E-2</v>
      </c>
      <c r="D38" s="447"/>
      <c r="E38" s="448">
        <v>-193021.75999999998</v>
      </c>
      <c r="F38" s="449"/>
      <c r="G38" s="448"/>
      <c r="H38" s="447"/>
      <c r="I38" s="448">
        <v>6909.7192622950806</v>
      </c>
      <c r="J38" s="457" t="s">
        <v>141</v>
      </c>
      <c r="K38" s="457"/>
      <c r="L38" s="448"/>
      <c r="M38" s="465"/>
      <c r="N38" s="448"/>
      <c r="O38" s="451"/>
      <c r="P38" s="448">
        <f t="shared" si="3"/>
        <v>6909.7192622950806</v>
      </c>
      <c r="Q38" s="451"/>
      <c r="R38" s="387">
        <f>ROUND((P38/E38),4)</f>
        <v>-3.5799999999999998E-2</v>
      </c>
    </row>
    <row r="39" spans="1:21" ht="17.25" customHeight="1" x14ac:dyDescent="0.2">
      <c r="A39" s="442" t="s">
        <v>147</v>
      </c>
      <c r="B39" s="443">
        <v>53236</v>
      </c>
      <c r="C39" s="453"/>
      <c r="D39" s="447"/>
      <c r="E39" s="448"/>
      <c r="F39" s="449"/>
      <c r="G39" s="448">
        <v>986056.23606557306</v>
      </c>
      <c r="H39" s="447"/>
      <c r="I39" s="448"/>
      <c r="J39" s="457"/>
      <c r="K39" s="457"/>
      <c r="L39" s="448"/>
      <c r="M39" s="465"/>
      <c r="N39" s="448"/>
      <c r="O39" s="451"/>
      <c r="P39" s="448">
        <f t="shared" si="3"/>
        <v>986056.23606557306</v>
      </c>
      <c r="Q39" s="451"/>
      <c r="R39" s="387">
        <v>3.3300000000000003E-2</v>
      </c>
    </row>
    <row r="40" spans="1:21" ht="17.25" customHeight="1" x14ac:dyDescent="0.2">
      <c r="A40" s="442"/>
      <c r="B40" s="443"/>
      <c r="C40" s="452"/>
      <c r="D40" s="447"/>
      <c r="E40" s="448"/>
      <c r="F40" s="447"/>
      <c r="G40" s="448"/>
      <c r="H40" s="447"/>
      <c r="I40" s="448"/>
      <c r="J40" s="457"/>
      <c r="K40" s="457"/>
      <c r="L40" s="448"/>
      <c r="M40" s="465"/>
      <c r="N40" s="448"/>
      <c r="O40" s="451"/>
      <c r="P40" s="448"/>
      <c r="Q40" s="451"/>
      <c r="R40" s="387"/>
    </row>
    <row r="41" spans="1:21" ht="17.25" customHeight="1" thickBot="1" x14ac:dyDescent="0.25">
      <c r="A41" s="442"/>
      <c r="B41" s="443"/>
      <c r="C41" s="452"/>
      <c r="D41" s="447"/>
      <c r="E41" s="448"/>
      <c r="F41" s="447"/>
      <c r="G41" s="448"/>
      <c r="H41" s="447"/>
      <c r="I41" s="448"/>
      <c r="J41" s="457"/>
      <c r="K41" s="457"/>
      <c r="L41" s="448"/>
      <c r="M41" s="465"/>
      <c r="N41" s="448"/>
      <c r="O41" s="451"/>
      <c r="P41" s="448"/>
      <c r="Q41" s="451"/>
      <c r="R41" s="387"/>
    </row>
    <row r="42" spans="1:21" ht="17.25" customHeight="1" thickBot="1" x14ac:dyDescent="0.3">
      <c r="A42" s="454" t="s">
        <v>152</v>
      </c>
      <c r="B42" s="388"/>
      <c r="C42" s="460"/>
      <c r="D42" s="447"/>
      <c r="E42" s="461">
        <f>SUM(E27:E41)</f>
        <v>1991342942.0220001</v>
      </c>
      <c r="F42" s="462"/>
      <c r="G42" s="461">
        <f>SUM(G27:G41)</f>
        <v>86457731.996721312</v>
      </c>
      <c r="H42" s="462"/>
      <c r="I42" s="461">
        <f>SUM(I27:I41)</f>
        <v>1587881.5196721316</v>
      </c>
      <c r="J42" s="462"/>
      <c r="K42" s="462"/>
      <c r="L42" s="461">
        <f>SUM(L27:L41)</f>
        <v>0</v>
      </c>
      <c r="M42" s="463"/>
      <c r="N42" s="461">
        <f>SUM(N27:N41)</f>
        <v>0</v>
      </c>
      <c r="O42" s="445"/>
      <c r="P42" s="461">
        <f>SUM(P27:P41)</f>
        <v>88045613.516393453</v>
      </c>
      <c r="Q42" s="451"/>
      <c r="R42" s="464">
        <f>ROUND(+P42/E42,4)</f>
        <v>4.4200000000000003E-2</v>
      </c>
    </row>
    <row r="43" spans="1:21" ht="17.25" customHeight="1" x14ac:dyDescent="0.2">
      <c r="A43" s="442"/>
      <c r="B43" s="388"/>
      <c r="C43" s="460"/>
      <c r="D43" s="447"/>
      <c r="E43" s="456"/>
      <c r="F43" s="457"/>
      <c r="G43" s="456"/>
      <c r="H43" s="447"/>
      <c r="I43" s="456"/>
      <c r="J43" s="457"/>
      <c r="K43" s="457"/>
      <c r="L43" s="455"/>
      <c r="M43" s="458"/>
      <c r="N43" s="455"/>
      <c r="O43" s="451"/>
      <c r="P43" s="455"/>
      <c r="Q43" s="451"/>
      <c r="R43" s="387"/>
    </row>
    <row r="44" spans="1:21" ht="15.75" x14ac:dyDescent="0.25">
      <c r="A44" s="454" t="s">
        <v>261</v>
      </c>
      <c r="B44" s="388"/>
      <c r="C44" s="460"/>
      <c r="D44" s="447"/>
      <c r="E44" s="456"/>
      <c r="F44" s="457"/>
      <c r="G44" s="456"/>
      <c r="H44" s="447"/>
      <c r="I44" s="456"/>
      <c r="J44" s="457"/>
      <c r="K44" s="457"/>
      <c r="L44" s="455"/>
      <c r="M44" s="458"/>
      <c r="N44" s="455"/>
      <c r="O44" s="451"/>
      <c r="P44" s="455"/>
      <c r="Q44" s="451"/>
      <c r="R44" s="387"/>
      <c r="U44" s="398"/>
    </row>
    <row r="45" spans="1:21" x14ac:dyDescent="0.2">
      <c r="A45" s="442" t="s">
        <v>149</v>
      </c>
      <c r="B45" s="443">
        <v>44588</v>
      </c>
      <c r="C45" s="468"/>
      <c r="D45" s="447"/>
      <c r="E45" s="448"/>
      <c r="F45" s="447"/>
      <c r="G45" s="448"/>
      <c r="H45" s="447"/>
      <c r="I45" s="469">
        <v>455062.91229508223</v>
      </c>
      <c r="J45" s="447">
        <v>2</v>
      </c>
      <c r="K45" s="447"/>
      <c r="L45" s="448">
        <v>29770.776229508177</v>
      </c>
      <c r="M45" s="449"/>
      <c r="N45" s="448">
        <v>405555.55555555556</v>
      </c>
      <c r="O45" s="451" t="s">
        <v>150</v>
      </c>
      <c r="P45" s="448">
        <f>G45+I45+L45+N45</f>
        <v>890389.24408014596</v>
      </c>
      <c r="Q45" s="451"/>
      <c r="R45" s="387">
        <f>ROUND((P45/29611403),4)</f>
        <v>3.0099999999999998E-2</v>
      </c>
      <c r="S45" s="399"/>
      <c r="T45" s="400"/>
    </row>
    <row r="46" spans="1:21" x14ac:dyDescent="0.2">
      <c r="A46" s="470" t="s">
        <v>151</v>
      </c>
      <c r="B46" s="471">
        <v>44105</v>
      </c>
      <c r="C46" s="468"/>
      <c r="D46" s="447"/>
      <c r="E46" s="448"/>
      <c r="F46" s="447"/>
      <c r="G46" s="448"/>
      <c r="H46" s="447"/>
      <c r="I46" s="469">
        <v>216761.08401639346</v>
      </c>
      <c r="J46" s="447">
        <v>3</v>
      </c>
      <c r="K46" s="447"/>
      <c r="L46" s="448">
        <v>25557.299999999996</v>
      </c>
      <c r="M46" s="447"/>
      <c r="N46" s="448"/>
      <c r="O46" s="451"/>
      <c r="P46" s="448">
        <f>G46+I46+L46+N46</f>
        <v>242318.38401639345</v>
      </c>
      <c r="Q46" s="451"/>
      <c r="R46" s="387">
        <f>ROUND((P46/29611403),4)</f>
        <v>8.2000000000000007E-3</v>
      </c>
    </row>
    <row r="47" spans="1:21" x14ac:dyDescent="0.2">
      <c r="A47" s="442" t="s">
        <v>153</v>
      </c>
      <c r="B47" s="443"/>
      <c r="C47" s="452"/>
      <c r="D47" s="447"/>
      <c r="E47" s="445">
        <v>0</v>
      </c>
      <c r="F47" s="462"/>
      <c r="G47" s="445">
        <v>0</v>
      </c>
      <c r="H47" s="462"/>
      <c r="I47" s="445">
        <v>0</v>
      </c>
      <c r="J47" s="462"/>
      <c r="K47" s="462"/>
      <c r="L47" s="445">
        <v>0</v>
      </c>
      <c r="M47" s="462"/>
      <c r="N47" s="445">
        <v>0</v>
      </c>
      <c r="O47" s="445"/>
      <c r="P47" s="445">
        <f>SUM(G47,I47,N47)</f>
        <v>0</v>
      </c>
      <c r="Q47" s="451"/>
      <c r="R47" s="387"/>
    </row>
    <row r="48" spans="1:21" ht="15.75" thickBot="1" x14ac:dyDescent="0.25">
      <c r="A48" s="442"/>
      <c r="B48" s="443"/>
      <c r="C48" s="452"/>
      <c r="D48" s="447"/>
      <c r="E48" s="448"/>
      <c r="F48" s="447"/>
      <c r="G48" s="455"/>
      <c r="H48" s="447"/>
      <c r="I48" s="448">
        <v>0</v>
      </c>
      <c r="J48" s="472"/>
      <c r="K48" s="472"/>
      <c r="L48" s="448">
        <v>0</v>
      </c>
      <c r="M48" s="465"/>
      <c r="N48" s="448">
        <v>0</v>
      </c>
      <c r="O48" s="451"/>
      <c r="P48" s="448">
        <f>SUM(G48,I48,N48)</f>
        <v>0</v>
      </c>
      <c r="Q48" s="451"/>
      <c r="R48" s="387"/>
    </row>
    <row r="49" spans="1:20" ht="16.5" thickBot="1" x14ac:dyDescent="0.3">
      <c r="A49" s="454" t="s">
        <v>262</v>
      </c>
      <c r="B49" s="443"/>
      <c r="C49" s="453"/>
      <c r="D49" s="447"/>
      <c r="E49" s="461">
        <f>SUM(E45:E48)</f>
        <v>0</v>
      </c>
      <c r="F49" s="462"/>
      <c r="G49" s="461">
        <f>SUM(G45:G48)</f>
        <v>0</v>
      </c>
      <c r="H49" s="462"/>
      <c r="I49" s="461">
        <f>SUM(I45:I48)</f>
        <v>671823.99631147576</v>
      </c>
      <c r="J49" s="462"/>
      <c r="K49" s="462"/>
      <c r="L49" s="461">
        <f>SUM(L45:L48)</f>
        <v>55328.076229508173</v>
      </c>
      <c r="M49" s="463"/>
      <c r="N49" s="461">
        <f>SUM(N45:N48)</f>
        <v>405555.55555555556</v>
      </c>
      <c r="O49" s="445"/>
      <c r="P49" s="461">
        <f>SUM(P45:P48)</f>
        <v>1132707.6280965395</v>
      </c>
      <c r="Q49" s="451"/>
      <c r="R49" s="464">
        <f>ROUND(+P49/E51,4)</f>
        <v>5.0000000000000001E-4</v>
      </c>
    </row>
    <row r="50" spans="1:20" ht="15.75" thickBot="1" x14ac:dyDescent="0.25">
      <c r="A50" s="442"/>
      <c r="B50" s="473"/>
      <c r="C50" s="460"/>
      <c r="D50" s="447"/>
      <c r="E50" s="455"/>
      <c r="F50" s="447"/>
      <c r="G50" s="455"/>
      <c r="H50" s="447"/>
      <c r="I50" s="456"/>
      <c r="J50" s="457"/>
      <c r="K50" s="457"/>
      <c r="L50" s="455"/>
      <c r="M50" s="458"/>
      <c r="N50" s="455"/>
      <c r="O50" s="455"/>
      <c r="P50" s="455"/>
      <c r="Q50" s="451"/>
      <c r="R50" s="387"/>
      <c r="T50" s="393"/>
    </row>
    <row r="51" spans="1:20" ht="16.5" thickBot="1" x14ac:dyDescent="0.3">
      <c r="A51" s="442"/>
      <c r="B51" s="473"/>
      <c r="C51" s="460" t="s">
        <v>121</v>
      </c>
      <c r="D51" s="447"/>
      <c r="E51" s="474">
        <f>E25+E42+E49</f>
        <v>2342122347.0220003</v>
      </c>
      <c r="F51" s="445"/>
      <c r="G51" s="474">
        <f>G25+G42+G49</f>
        <v>91352095.996721312</v>
      </c>
      <c r="H51" s="462"/>
      <c r="I51" s="474">
        <f>I25+I42+I49</f>
        <v>2645363.4389344268</v>
      </c>
      <c r="J51" s="462"/>
      <c r="K51" s="462"/>
      <c r="L51" s="474">
        <f>L25+L42+L49</f>
        <v>556236.48442622949</v>
      </c>
      <c r="M51" s="475"/>
      <c r="N51" s="474">
        <f>N25+N42+N49</f>
        <v>1922545.2503805554</v>
      </c>
      <c r="O51" s="445"/>
      <c r="P51" s="474">
        <f>P25+P42+P49</f>
        <v>96476241.170462534</v>
      </c>
      <c r="Q51" s="451"/>
      <c r="R51" s="464">
        <f>IFERROR(ROUND(P51/E51,4),0)</f>
        <v>4.1200000000000001E-2</v>
      </c>
    </row>
    <row r="52" spans="1:20" ht="15.75" thickTop="1" x14ac:dyDescent="0.2">
      <c r="A52" s="476"/>
      <c r="B52" s="477"/>
      <c r="C52" s="478"/>
      <c r="D52" s="479"/>
      <c r="E52" s="480"/>
      <c r="F52" s="481"/>
      <c r="G52" s="480"/>
      <c r="H52" s="479"/>
      <c r="I52" s="480"/>
      <c r="J52" s="482"/>
      <c r="K52" s="458"/>
      <c r="L52" s="473"/>
      <c r="M52" s="447"/>
      <c r="N52" s="480"/>
      <c r="O52" s="480"/>
      <c r="P52" s="480"/>
      <c r="Q52" s="481"/>
      <c r="R52" s="483"/>
    </row>
    <row r="53" spans="1:20" x14ac:dyDescent="0.2">
      <c r="A53" s="484"/>
      <c r="B53" s="485"/>
      <c r="C53" s="486"/>
      <c r="D53" s="487"/>
      <c r="E53" s="488"/>
      <c r="F53" s="467"/>
      <c r="G53" s="488"/>
      <c r="H53" s="489"/>
      <c r="I53" s="488"/>
      <c r="J53" s="490"/>
      <c r="K53" s="490"/>
      <c r="L53" s="491"/>
      <c r="M53" s="492"/>
      <c r="N53" s="488"/>
      <c r="O53" s="488"/>
      <c r="P53" s="488"/>
      <c r="Q53" s="484"/>
      <c r="R53" s="493"/>
    </row>
    <row r="54" spans="1:20" x14ac:dyDescent="0.2">
      <c r="A54" s="484"/>
      <c r="B54" s="485"/>
      <c r="C54" s="486"/>
      <c r="D54" s="487"/>
      <c r="E54" s="488"/>
      <c r="F54" s="467"/>
      <c r="G54" s="488"/>
      <c r="H54" s="489"/>
      <c r="I54" s="488"/>
      <c r="J54" s="490"/>
      <c r="K54" s="490"/>
      <c r="L54" s="488"/>
      <c r="M54" s="494"/>
      <c r="N54" s="488"/>
      <c r="O54" s="488"/>
      <c r="P54" s="488"/>
      <c r="Q54" s="484"/>
      <c r="R54" s="493"/>
    </row>
    <row r="55" spans="1:20" x14ac:dyDescent="0.2">
      <c r="A55" s="495"/>
      <c r="B55" s="485"/>
      <c r="C55" s="486"/>
      <c r="D55" s="487"/>
      <c r="E55" s="488"/>
      <c r="F55" s="467"/>
      <c r="G55" s="488"/>
      <c r="H55" s="489"/>
      <c r="I55" s="488"/>
      <c r="J55" s="494"/>
      <c r="K55" s="494"/>
      <c r="L55" s="488"/>
      <c r="M55" s="494"/>
      <c r="N55" s="488"/>
      <c r="O55" s="488"/>
      <c r="P55" s="488"/>
      <c r="Q55" s="484"/>
      <c r="R55" s="493"/>
    </row>
    <row r="56" spans="1:20" s="401" customFormat="1" x14ac:dyDescent="0.2">
      <c r="A56" s="484"/>
      <c r="B56" s="485"/>
      <c r="C56" s="486"/>
      <c r="D56" s="487"/>
      <c r="E56" s="488"/>
      <c r="F56" s="467"/>
      <c r="G56" s="488"/>
      <c r="H56" s="487"/>
      <c r="I56" s="488"/>
      <c r="J56" s="494"/>
      <c r="K56" s="494"/>
      <c r="L56" s="488"/>
      <c r="M56" s="494"/>
      <c r="N56" s="488"/>
      <c r="O56" s="488"/>
      <c r="P56" s="488"/>
      <c r="Q56" s="484"/>
      <c r="R56" s="493"/>
    </row>
    <row r="57" spans="1:20" ht="20.25" x14ac:dyDescent="0.3">
      <c r="A57" s="560" t="s">
        <v>154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2"/>
    </row>
    <row r="58" spans="1:20" x14ac:dyDescent="0.2">
      <c r="A58" s="442"/>
      <c r="B58" s="473"/>
      <c r="C58" s="451"/>
      <c r="D58" s="490"/>
      <c r="E58" s="451"/>
      <c r="F58" s="496"/>
      <c r="G58" s="451"/>
      <c r="H58" s="490"/>
      <c r="I58" s="451"/>
      <c r="J58" s="490"/>
      <c r="K58" s="490"/>
      <c r="L58" s="451"/>
      <c r="M58" s="490"/>
      <c r="N58" s="451"/>
      <c r="O58" s="451"/>
      <c r="P58" s="451"/>
      <c r="Q58" s="451"/>
      <c r="R58" s="459"/>
    </row>
    <row r="59" spans="1:20" x14ac:dyDescent="0.2">
      <c r="A59" s="442"/>
      <c r="B59" s="473"/>
      <c r="C59" s="451"/>
      <c r="D59" s="447"/>
      <c r="E59" s="451"/>
      <c r="F59" s="451"/>
      <c r="G59" s="563" t="s">
        <v>111</v>
      </c>
      <c r="H59" s="563"/>
      <c r="I59" s="563"/>
      <c r="J59" s="563"/>
      <c r="K59" s="563"/>
      <c r="L59" s="563"/>
      <c r="M59" s="563"/>
      <c r="N59" s="563"/>
      <c r="O59" s="563"/>
      <c r="P59" s="563"/>
      <c r="Q59" s="451"/>
      <c r="R59" s="459"/>
    </row>
    <row r="60" spans="1:20" x14ac:dyDescent="0.2">
      <c r="A60" s="442"/>
      <c r="B60" s="473"/>
      <c r="C60" s="451"/>
      <c r="D60" s="447"/>
      <c r="E60" s="451"/>
      <c r="F60" s="451"/>
      <c r="G60" s="451"/>
      <c r="H60" s="447"/>
      <c r="I60" s="451"/>
      <c r="J60" s="447"/>
      <c r="K60" s="447"/>
      <c r="L60" s="451"/>
      <c r="M60" s="447"/>
      <c r="N60" s="451"/>
      <c r="O60" s="451"/>
      <c r="P60" s="451"/>
      <c r="Q60" s="451"/>
      <c r="R60" s="497" t="s">
        <v>115</v>
      </c>
    </row>
    <row r="61" spans="1:20" x14ac:dyDescent="0.2">
      <c r="A61" s="442"/>
      <c r="B61" s="473" t="s">
        <v>155</v>
      </c>
      <c r="C61" s="498" t="s">
        <v>230</v>
      </c>
      <c r="D61" s="447"/>
      <c r="E61" s="498" t="s">
        <v>231</v>
      </c>
      <c r="F61" s="451"/>
      <c r="G61" s="498" t="s">
        <v>232</v>
      </c>
      <c r="H61" s="447"/>
      <c r="I61" s="498" t="s">
        <v>233</v>
      </c>
      <c r="J61" s="447"/>
      <c r="K61" s="447"/>
      <c r="L61" s="498" t="s">
        <v>234</v>
      </c>
      <c r="M61" s="499"/>
      <c r="N61" s="498" t="s">
        <v>156</v>
      </c>
      <c r="O61" s="473"/>
      <c r="P61" s="498" t="s">
        <v>235</v>
      </c>
      <c r="Q61" s="451"/>
      <c r="R61" s="500" t="s">
        <v>236</v>
      </c>
    </row>
    <row r="62" spans="1:20" x14ac:dyDescent="0.2">
      <c r="A62" s="442"/>
      <c r="B62" s="473"/>
      <c r="C62" s="451"/>
      <c r="D62" s="447"/>
      <c r="E62" s="451"/>
      <c r="F62" s="451"/>
      <c r="G62" s="451"/>
      <c r="H62" s="447"/>
      <c r="I62" s="451"/>
      <c r="J62" s="447"/>
      <c r="K62" s="447"/>
      <c r="L62" s="451"/>
      <c r="M62" s="447"/>
      <c r="N62" s="451"/>
      <c r="O62" s="451"/>
      <c r="P62" s="451"/>
      <c r="Q62" s="451"/>
      <c r="R62" s="459"/>
    </row>
    <row r="63" spans="1:20" x14ac:dyDescent="0.2">
      <c r="A63" s="442" t="s">
        <v>157</v>
      </c>
      <c r="B63" s="473" t="s">
        <v>158</v>
      </c>
      <c r="C63" s="453">
        <v>1.4710000000000001E-2</v>
      </c>
      <c r="D63" s="444" t="s">
        <v>125</v>
      </c>
      <c r="E63" s="501">
        <v>0</v>
      </c>
      <c r="F63" s="445"/>
      <c r="G63" s="445">
        <f>ROUND(C63*E63,0)</f>
        <v>0</v>
      </c>
      <c r="H63" s="462"/>
      <c r="I63" s="502">
        <v>0</v>
      </c>
      <c r="J63" s="462"/>
      <c r="K63" s="462"/>
      <c r="L63" s="502">
        <v>0</v>
      </c>
      <c r="M63" s="462"/>
      <c r="N63" s="502">
        <v>0</v>
      </c>
      <c r="O63" s="445"/>
      <c r="P63" s="445">
        <f>SUM(G63:N63)</f>
        <v>0</v>
      </c>
      <c r="Q63" s="451"/>
      <c r="R63" s="387">
        <f>IF(E63=0,0,(ROUND((P63/E63),4)))</f>
        <v>0</v>
      </c>
    </row>
    <row r="64" spans="1:20" x14ac:dyDescent="0.2">
      <c r="A64" s="442" t="s">
        <v>159</v>
      </c>
      <c r="B64" s="473"/>
      <c r="C64" s="453"/>
      <c r="D64" s="447"/>
      <c r="E64" s="448">
        <v>0</v>
      </c>
      <c r="F64" s="445"/>
      <c r="G64" s="448">
        <f>ROUND(C64*E64,0)</f>
        <v>0</v>
      </c>
      <c r="H64" s="462"/>
      <c r="I64" s="469">
        <v>0</v>
      </c>
      <c r="J64" s="462"/>
      <c r="K64" s="462"/>
      <c r="L64" s="469">
        <v>0</v>
      </c>
      <c r="M64" s="465"/>
      <c r="N64" s="469">
        <v>0</v>
      </c>
      <c r="O64" s="445"/>
      <c r="P64" s="448">
        <f>SUM(G64:N64)</f>
        <v>0</v>
      </c>
      <c r="Q64" s="451"/>
      <c r="R64" s="387">
        <f>IF(E64=0,0,(ROUND((P64/E64),4)))</f>
        <v>0</v>
      </c>
    </row>
    <row r="65" spans="1:18" x14ac:dyDescent="0.2">
      <c r="A65" s="442" t="s">
        <v>160</v>
      </c>
      <c r="B65" s="473" t="s">
        <v>161</v>
      </c>
      <c r="C65" s="453">
        <v>1.9997999999999998E-2</v>
      </c>
      <c r="D65" s="447"/>
      <c r="E65" s="503">
        <v>4052428.28</v>
      </c>
      <c r="F65" s="451"/>
      <c r="G65" s="504">
        <f>E65*C65</f>
        <v>81040.460743439995</v>
      </c>
      <c r="H65" s="447"/>
      <c r="I65" s="505">
        <v>0</v>
      </c>
      <c r="J65" s="447"/>
      <c r="K65" s="447"/>
      <c r="L65" s="505">
        <v>0</v>
      </c>
      <c r="M65" s="506"/>
      <c r="N65" s="505">
        <v>0</v>
      </c>
      <c r="O65" s="451"/>
      <c r="P65" s="504">
        <f>SUM(G65:N65)</f>
        <v>81040.460743439995</v>
      </c>
      <c r="Q65" s="451"/>
      <c r="R65" s="394">
        <f>IF(E65=0,0,(ROUND((P65/E65),4)))</f>
        <v>0.02</v>
      </c>
    </row>
    <row r="66" spans="1:18" ht="15.75" thickBot="1" x14ac:dyDescent="0.25">
      <c r="A66" s="442"/>
      <c r="B66" s="473"/>
      <c r="C66" s="451"/>
      <c r="D66" s="447"/>
      <c r="E66" s="456"/>
      <c r="F66" s="451"/>
      <c r="G66" s="456"/>
      <c r="H66" s="447"/>
      <c r="I66" s="451"/>
      <c r="J66" s="447"/>
      <c r="K66" s="447"/>
      <c r="L66" s="456"/>
      <c r="M66" s="457"/>
      <c r="N66" s="456"/>
      <c r="O66" s="451"/>
      <c r="P66" s="456"/>
      <c r="Q66" s="451"/>
      <c r="R66" s="387"/>
    </row>
    <row r="67" spans="1:18" ht="16.5" thickBot="1" x14ac:dyDescent="0.3">
      <c r="A67" s="442"/>
      <c r="B67" s="473"/>
      <c r="C67" s="451" t="s">
        <v>121</v>
      </c>
      <c r="D67" s="447"/>
      <c r="E67" s="507">
        <f>SUM(E63:E66)</f>
        <v>4052428.28</v>
      </c>
      <c r="F67" s="445"/>
      <c r="G67" s="474">
        <f>SUM(G63:G66)</f>
        <v>81040.460743439995</v>
      </c>
      <c r="H67" s="462"/>
      <c r="I67" s="508">
        <f>SUM(I65:I66)</f>
        <v>0</v>
      </c>
      <c r="J67" s="462"/>
      <c r="K67" s="462"/>
      <c r="L67" s="508">
        <f>SUM(L65:L66)</f>
        <v>0</v>
      </c>
      <c r="M67" s="475"/>
      <c r="N67" s="508">
        <f>SUM(N65:N66)</f>
        <v>0</v>
      </c>
      <c r="O67" s="445"/>
      <c r="P67" s="474">
        <f>SUM(P63:P66)</f>
        <v>81040.460743439995</v>
      </c>
      <c r="Q67" s="451"/>
      <c r="R67" s="509">
        <f>IFERROR(ROUND(P67/E67,4),0)</f>
        <v>0.02</v>
      </c>
    </row>
    <row r="68" spans="1:18" ht="15.75" thickTop="1" x14ac:dyDescent="0.2">
      <c r="A68" s="476"/>
      <c r="B68" s="477"/>
      <c r="C68" s="481"/>
      <c r="D68" s="479"/>
      <c r="E68" s="481"/>
      <c r="F68" s="481"/>
      <c r="G68" s="510"/>
      <c r="H68" s="479"/>
      <c r="I68" s="481"/>
      <c r="J68" s="479"/>
      <c r="K68" s="479"/>
      <c r="L68" s="510"/>
      <c r="M68" s="511"/>
      <c r="N68" s="510"/>
      <c r="O68" s="481"/>
      <c r="P68" s="481"/>
      <c r="Q68" s="481"/>
      <c r="R68" s="394"/>
    </row>
    <row r="69" spans="1:18" ht="15.75" thickBot="1" x14ac:dyDescent="0.25">
      <c r="A69" s="484"/>
      <c r="B69" s="485"/>
      <c r="C69" s="486"/>
      <c r="D69" s="466"/>
      <c r="E69" s="488"/>
      <c r="F69" s="484"/>
      <c r="G69" s="488"/>
      <c r="H69" s="466"/>
      <c r="I69" s="484"/>
      <c r="J69" s="466"/>
      <c r="K69" s="466"/>
      <c r="L69" s="484"/>
      <c r="M69" s="466"/>
      <c r="N69" s="484"/>
      <c r="O69" s="484"/>
      <c r="P69" s="488"/>
      <c r="Q69" s="484"/>
      <c r="R69" s="395"/>
    </row>
    <row r="70" spans="1:18" ht="16.5" thickBot="1" x14ac:dyDescent="0.3">
      <c r="A70" s="484" t="s">
        <v>162</v>
      </c>
      <c r="B70" s="485"/>
      <c r="C70" s="486"/>
      <c r="D70" s="466"/>
      <c r="E70" s="512">
        <f>E51+E67</f>
        <v>2346174775.3020005</v>
      </c>
      <c r="F70" s="513"/>
      <c r="G70" s="512">
        <f>G51+G67</f>
        <v>91433136.457464755</v>
      </c>
      <c r="H70" s="514"/>
      <c r="I70" s="512">
        <f>I51+I67</f>
        <v>2645363.4389344268</v>
      </c>
      <c r="J70" s="514"/>
      <c r="K70" s="514"/>
      <c r="L70" s="512">
        <f>L51+L67</f>
        <v>556236.48442622949</v>
      </c>
      <c r="M70" s="515"/>
      <c r="N70" s="512">
        <f>N51+N67</f>
        <v>1922545.2503805554</v>
      </c>
      <c r="O70" s="513"/>
      <c r="P70" s="512">
        <f>P51+P67</f>
        <v>96557281.631205976</v>
      </c>
      <c r="Q70" s="484"/>
      <c r="R70" s="509">
        <f>IFERROR(ROUND(P70/E70,4),0)</f>
        <v>4.1200000000000001E-2</v>
      </c>
    </row>
    <row r="71" spans="1:18" ht="16.5" thickTop="1" x14ac:dyDescent="0.25">
      <c r="A71" s="484"/>
      <c r="B71" s="485"/>
      <c r="C71" s="486"/>
      <c r="D71" s="466"/>
      <c r="E71" s="488"/>
      <c r="F71" s="484"/>
      <c r="G71" s="488"/>
      <c r="H71" s="466"/>
      <c r="I71" s="484"/>
      <c r="J71" s="466"/>
      <c r="K71" s="466"/>
      <c r="L71" s="484"/>
      <c r="M71" s="466"/>
      <c r="N71" s="484"/>
      <c r="O71" s="484"/>
      <c r="P71" s="488"/>
      <c r="Q71" s="484"/>
      <c r="R71" s="396"/>
    </row>
    <row r="72" spans="1:18" x14ac:dyDescent="0.2">
      <c r="A72" s="484" t="s">
        <v>163</v>
      </c>
      <c r="B72" s="485"/>
      <c r="C72" s="486"/>
      <c r="D72" s="466"/>
      <c r="E72" s="488"/>
      <c r="F72" s="484"/>
      <c r="G72" s="488"/>
      <c r="H72" s="466"/>
      <c r="I72" s="484"/>
      <c r="J72" s="466"/>
      <c r="K72" s="466"/>
      <c r="L72" s="484"/>
      <c r="M72" s="466"/>
      <c r="N72" s="484"/>
      <c r="O72" s="484"/>
      <c r="P72" s="516"/>
      <c r="Q72" s="484"/>
      <c r="R72" s="395"/>
    </row>
    <row r="73" spans="1:18" x14ac:dyDescent="0.2">
      <c r="A73" s="484" t="s">
        <v>164</v>
      </c>
      <c r="B73" s="485"/>
      <c r="C73" s="484"/>
      <c r="D73" s="466"/>
      <c r="E73" s="484"/>
      <c r="F73" s="484"/>
      <c r="G73" s="484"/>
      <c r="H73" s="466"/>
      <c r="I73" s="484"/>
      <c r="J73" s="466"/>
      <c r="K73" s="466"/>
      <c r="L73" s="484"/>
      <c r="M73" s="466"/>
      <c r="N73" s="484"/>
      <c r="O73" s="484"/>
      <c r="P73" s="484"/>
      <c r="Q73" s="484"/>
      <c r="R73" s="395"/>
    </row>
    <row r="74" spans="1:18" ht="15" customHeight="1" x14ac:dyDescent="0.2">
      <c r="A74" s="484"/>
      <c r="B74" s="485"/>
      <c r="C74" s="484"/>
      <c r="D74" s="466"/>
      <c r="E74" s="484"/>
      <c r="F74" s="484"/>
      <c r="G74" s="484"/>
      <c r="H74" s="466"/>
      <c r="I74" s="484"/>
      <c r="J74" s="466"/>
      <c r="K74" s="466"/>
      <c r="L74" s="484"/>
      <c r="M74" s="466"/>
      <c r="N74" s="484"/>
      <c r="O74" s="484"/>
      <c r="P74" s="484"/>
      <c r="Q74" s="484"/>
      <c r="R74" s="493"/>
    </row>
    <row r="75" spans="1:18" x14ac:dyDescent="0.2">
      <c r="A75" s="553" t="s">
        <v>263</v>
      </c>
      <c r="B75" s="554"/>
      <c r="C75" s="554"/>
      <c r="D75" s="554"/>
      <c r="E75" s="554"/>
      <c r="F75" s="484"/>
      <c r="G75" s="488"/>
      <c r="H75" s="466"/>
      <c r="I75" s="485"/>
      <c r="J75" s="466"/>
      <c r="K75" s="466"/>
      <c r="L75" s="516"/>
      <c r="M75" s="517"/>
      <c r="N75" s="516"/>
      <c r="O75" s="484"/>
      <c r="P75" s="485"/>
      <c r="Q75" s="484"/>
      <c r="R75" s="493"/>
    </row>
    <row r="76" spans="1:18" x14ac:dyDescent="0.2">
      <c r="A76" s="555" t="s">
        <v>266</v>
      </c>
      <c r="B76" s="555"/>
      <c r="C76" s="555"/>
      <c r="D76" s="555"/>
      <c r="E76" s="555"/>
      <c r="F76" s="555"/>
      <c r="G76" s="555"/>
      <c r="H76" s="466"/>
      <c r="I76" s="484"/>
      <c r="J76" s="466"/>
      <c r="K76" s="466"/>
      <c r="L76" s="488"/>
      <c r="M76" s="517"/>
      <c r="N76" s="488"/>
      <c r="O76" s="488"/>
      <c r="P76" s="484"/>
      <c r="Q76" s="484"/>
      <c r="R76" s="493"/>
    </row>
    <row r="77" spans="1:18" x14ac:dyDescent="0.2">
      <c r="A77" s="518"/>
      <c r="B77" s="519"/>
      <c r="C77" s="519"/>
      <c r="D77" s="520"/>
      <c r="E77" s="519"/>
      <c r="F77" s="484"/>
      <c r="G77" s="484"/>
      <c r="H77" s="466"/>
      <c r="I77" s="484"/>
      <c r="J77" s="466"/>
      <c r="K77" s="466"/>
      <c r="L77" s="488"/>
      <c r="M77" s="517"/>
      <c r="N77" s="488"/>
      <c r="O77" s="488"/>
      <c r="P77" s="484"/>
      <c r="Q77" s="484"/>
      <c r="R77" s="493"/>
    </row>
    <row r="78" spans="1:18" x14ac:dyDescent="0.2">
      <c r="A78" s="555" t="s">
        <v>265</v>
      </c>
      <c r="B78" s="555"/>
      <c r="C78" s="555"/>
      <c r="D78" s="555"/>
      <c r="E78" s="555"/>
      <c r="F78" s="555"/>
      <c r="G78" s="555"/>
      <c r="H78" s="466"/>
      <c r="I78" s="484"/>
      <c r="J78" s="466"/>
      <c r="K78" s="466"/>
      <c r="L78" s="488"/>
      <c r="M78" s="517"/>
      <c r="N78" s="488"/>
      <c r="O78" s="488"/>
      <c r="P78" s="484"/>
      <c r="Q78" s="484"/>
      <c r="R78" s="493"/>
    </row>
  </sheetData>
  <mergeCells count="7">
    <mergeCell ref="A75:E75"/>
    <mergeCell ref="A76:G76"/>
    <mergeCell ref="A78:G78"/>
    <mergeCell ref="A6:R6"/>
    <mergeCell ref="G8:P8"/>
    <mergeCell ref="A57:R57"/>
    <mergeCell ref="G59:P59"/>
  </mergeCells>
  <pageMargins left="0.7" right="0.7" top="0.75" bottom="0.75" header="0.3" footer="0.3"/>
  <pageSetup scale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85"/>
  <sheetViews>
    <sheetView zoomScaleNormal="100" workbookViewId="0"/>
  </sheetViews>
  <sheetFormatPr defaultColWidth="11.33203125" defaultRowHeight="15.75" x14ac:dyDescent="0.25"/>
  <cols>
    <col min="1" max="1" width="53.83203125" style="237" customWidth="1"/>
    <col min="2" max="2" width="12.6640625" style="243" customWidth="1"/>
    <col min="3" max="3" width="16.5" style="244" customWidth="1"/>
    <col min="4" max="4" width="3.5" style="237" customWidth="1"/>
    <col min="5" max="5" width="22.1640625" style="244" bestFit="1" customWidth="1"/>
    <col min="6" max="6" width="3" style="237" customWidth="1"/>
    <col min="7" max="7" width="21.33203125" style="239" bestFit="1" customWidth="1"/>
    <col min="8" max="8" width="2.33203125" style="237" customWidth="1"/>
    <col min="9" max="9" width="29.83203125" style="244" bestFit="1" customWidth="1"/>
    <col min="10" max="10" width="6.5" style="237" customWidth="1"/>
    <col min="11" max="11" width="7" style="244" customWidth="1"/>
    <col min="12" max="12" width="21.6640625" style="237" bestFit="1" customWidth="1"/>
    <col min="13" max="13" width="3.83203125" style="237" customWidth="1"/>
    <col min="14" max="14" width="19.1640625" style="244" bestFit="1" customWidth="1"/>
    <col min="15" max="15" width="6.6640625" style="237" customWidth="1"/>
    <col min="16" max="16" width="18.33203125" style="237" bestFit="1" customWidth="1"/>
    <col min="17" max="17" width="3.83203125" style="237" customWidth="1"/>
    <col min="18" max="18" width="14.6640625" style="237" bestFit="1" customWidth="1"/>
    <col min="19" max="19" width="14.5" style="245" bestFit="1" customWidth="1"/>
    <col min="20" max="20" width="21.33203125" style="237" bestFit="1" customWidth="1"/>
    <col min="21" max="16384" width="11.33203125" style="237"/>
  </cols>
  <sheetData>
    <row r="1" spans="1:19" s="234" customFormat="1" x14ac:dyDescent="0.25">
      <c r="A1" s="66" t="str">
        <f>'Input Tab'!B2</f>
        <v>Kentucky Utilities Company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8" t="s">
        <v>30</v>
      </c>
    </row>
    <row r="2" spans="1:19" s="234" customFormat="1" x14ac:dyDescent="0.25">
      <c r="A2" s="71" t="s">
        <v>190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8" t="s">
        <v>253</v>
      </c>
    </row>
    <row r="3" spans="1:19" s="234" customFormat="1" x14ac:dyDescent="0.25">
      <c r="A3" s="365" t="s">
        <v>268</v>
      </c>
      <c r="B3" s="28"/>
      <c r="C3" s="28"/>
      <c r="D3" s="28"/>
      <c r="E3" s="28"/>
      <c r="F3" s="25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70" t="str">
        <f>'Q1 p.2 - Rate of Return Adj'!I3</f>
        <v>Rahn/Neal</v>
      </c>
    </row>
    <row r="4" spans="1:19" s="236" customFormat="1" x14ac:dyDescent="0.25">
      <c r="A4" s="293" t="s">
        <v>191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x14ac:dyDescent="0.2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/>
    </row>
    <row r="6" spans="1:19" ht="20.25" x14ac:dyDescent="0.3">
      <c r="A6" s="564" t="s">
        <v>228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6"/>
      <c r="S6"/>
    </row>
    <row r="7" spans="1:19" x14ac:dyDescent="0.25">
      <c r="A7" s="371"/>
      <c r="B7" s="372"/>
      <c r="C7" s="373"/>
      <c r="D7" s="374"/>
      <c r="E7" s="373"/>
      <c r="F7" s="375"/>
      <c r="G7" s="373"/>
      <c r="H7" s="374"/>
      <c r="I7" s="373"/>
      <c r="J7" s="374"/>
      <c r="K7" s="373"/>
      <c r="L7" s="373"/>
      <c r="M7" s="374"/>
      <c r="N7" s="373"/>
      <c r="O7" s="373"/>
      <c r="P7" s="373"/>
      <c r="Q7" s="373"/>
      <c r="R7" s="376"/>
      <c r="S7"/>
    </row>
    <row r="8" spans="1:19" x14ac:dyDescent="0.25">
      <c r="A8" s="377"/>
      <c r="B8" s="372"/>
      <c r="C8" s="373"/>
      <c r="D8" s="378"/>
      <c r="E8" s="373"/>
      <c r="F8" s="373"/>
      <c r="G8" s="559" t="s">
        <v>111</v>
      </c>
      <c r="H8" s="559"/>
      <c r="I8" s="559"/>
      <c r="J8" s="559"/>
      <c r="K8" s="559"/>
      <c r="L8" s="559"/>
      <c r="M8" s="559"/>
      <c r="N8" s="559"/>
      <c r="O8" s="559"/>
      <c r="P8" s="559"/>
      <c r="Q8" s="372"/>
      <c r="R8" s="379"/>
      <c r="S8"/>
    </row>
    <row r="9" spans="1:19" ht="17.25" customHeight="1" x14ac:dyDescent="0.25">
      <c r="A9" s="380"/>
      <c r="B9" s="372"/>
      <c r="C9" s="373"/>
      <c r="D9" s="378"/>
      <c r="E9" s="373"/>
      <c r="F9" s="373"/>
      <c r="G9" s="373"/>
      <c r="H9" s="378"/>
      <c r="I9" s="372" t="s">
        <v>112</v>
      </c>
      <c r="J9" s="378"/>
      <c r="K9" s="372"/>
      <c r="L9" s="372" t="s">
        <v>113</v>
      </c>
      <c r="M9" s="378"/>
      <c r="N9" s="372" t="s">
        <v>114</v>
      </c>
      <c r="O9" s="373"/>
      <c r="P9" s="372"/>
      <c r="Q9" s="372"/>
      <c r="R9" s="379" t="s">
        <v>115</v>
      </c>
      <c r="S9"/>
    </row>
    <row r="10" spans="1:19" ht="17.25" customHeight="1" x14ac:dyDescent="0.25">
      <c r="A10" s="380"/>
      <c r="B10" s="381" t="s">
        <v>116</v>
      </c>
      <c r="C10" s="381" t="s">
        <v>93</v>
      </c>
      <c r="D10" s="378"/>
      <c r="E10" s="381" t="s">
        <v>117</v>
      </c>
      <c r="F10" s="373"/>
      <c r="G10" s="382" t="s">
        <v>118</v>
      </c>
      <c r="H10" s="378"/>
      <c r="I10" s="383" t="s">
        <v>229</v>
      </c>
      <c r="J10" s="378"/>
      <c r="K10" s="372"/>
      <c r="L10" s="383" t="s">
        <v>119</v>
      </c>
      <c r="M10" s="384"/>
      <c r="N10" s="382" t="s">
        <v>120</v>
      </c>
      <c r="O10" s="373"/>
      <c r="P10" s="382" t="s">
        <v>121</v>
      </c>
      <c r="Q10" s="372"/>
      <c r="R10" s="385" t="s">
        <v>122</v>
      </c>
      <c r="S10"/>
    </row>
    <row r="11" spans="1:19" ht="17.25" customHeight="1" x14ac:dyDescent="0.25">
      <c r="A11" s="454" t="s">
        <v>123</v>
      </c>
      <c r="B11" s="443"/>
      <c r="C11" s="453"/>
      <c r="D11" s="447"/>
      <c r="E11" s="455"/>
      <c r="F11" s="447"/>
      <c r="G11" s="455"/>
      <c r="H11" s="447"/>
      <c r="I11" s="456"/>
      <c r="J11" s="457"/>
      <c r="K11" s="457"/>
      <c r="L11" s="455"/>
      <c r="M11" s="458"/>
      <c r="N11" s="455"/>
      <c r="O11" s="455"/>
      <c r="P11" s="455"/>
      <c r="Q11" s="451"/>
      <c r="R11" s="459"/>
      <c r="S11"/>
    </row>
    <row r="12" spans="1:19" ht="17.25" customHeight="1" x14ac:dyDescent="0.25">
      <c r="A12" s="442" t="s">
        <v>124</v>
      </c>
      <c r="B12" s="443">
        <v>45047</v>
      </c>
      <c r="C12" s="386">
        <v>1.0919999999999999E-2</v>
      </c>
      <c r="D12" s="444" t="s">
        <v>125</v>
      </c>
      <c r="E12" s="445">
        <v>12900000</v>
      </c>
      <c r="F12" s="446"/>
      <c r="G12" s="445">
        <f t="shared" ref="G12:G21" si="0">ROUND(C12*E12,0)</f>
        <v>140868</v>
      </c>
      <c r="H12" s="447"/>
      <c r="I12" s="448">
        <v>10711.156906077344</v>
      </c>
      <c r="J12" s="449"/>
      <c r="K12" s="449"/>
      <c r="L12" s="445">
        <v>35867.34005524862</v>
      </c>
      <c r="M12" s="449"/>
      <c r="N12" s="445">
        <v>97783.767149999985</v>
      </c>
      <c r="O12" s="450" t="s">
        <v>126</v>
      </c>
      <c r="P12" s="445">
        <f t="shared" ref="P12:P23" si="1">G12+I12+L12+N12</f>
        <v>285230.26411132596</v>
      </c>
      <c r="Q12" s="451"/>
      <c r="R12" s="387">
        <f t="shared" ref="R12:R22" si="2">ROUND((P12/E12),5)</f>
        <v>2.2110000000000001E-2</v>
      </c>
      <c r="S12"/>
    </row>
    <row r="13" spans="1:19" ht="17.25" customHeight="1" x14ac:dyDescent="0.25">
      <c r="A13" s="442" t="s">
        <v>127</v>
      </c>
      <c r="B13" s="443">
        <v>11720</v>
      </c>
      <c r="C13" s="452">
        <v>1.0869999999999999E-2</v>
      </c>
      <c r="D13" s="444" t="s">
        <v>125</v>
      </c>
      <c r="E13" s="448">
        <v>20930000</v>
      </c>
      <c r="F13" s="447"/>
      <c r="G13" s="448">
        <f t="shared" si="0"/>
        <v>227509</v>
      </c>
      <c r="H13" s="447"/>
      <c r="I13" s="448">
        <v>4005.7237569060703</v>
      </c>
      <c r="J13" s="449"/>
      <c r="K13" s="449"/>
      <c r="L13" s="448">
        <v>36277.712983425394</v>
      </c>
      <c r="M13" s="449"/>
      <c r="N13" s="448">
        <v>20930</v>
      </c>
      <c r="O13" s="451" t="s">
        <v>126</v>
      </c>
      <c r="P13" s="448">
        <f t="shared" si="1"/>
        <v>288722.43674033147</v>
      </c>
      <c r="Q13" s="451"/>
      <c r="R13" s="387">
        <f t="shared" si="2"/>
        <v>1.379E-2</v>
      </c>
      <c r="S13"/>
    </row>
    <row r="14" spans="1:19" ht="17.25" customHeight="1" x14ac:dyDescent="0.25">
      <c r="A14" s="442" t="s">
        <v>128</v>
      </c>
      <c r="B14" s="443">
        <v>11720</v>
      </c>
      <c r="C14" s="452">
        <v>1.0869999999999999E-2</v>
      </c>
      <c r="D14" s="444" t="s">
        <v>125</v>
      </c>
      <c r="E14" s="448">
        <v>2400000</v>
      </c>
      <c r="F14" s="447"/>
      <c r="G14" s="448">
        <f t="shared" si="0"/>
        <v>26088</v>
      </c>
      <c r="H14" s="447"/>
      <c r="I14" s="448">
        <v>2762.0820441988985</v>
      </c>
      <c r="J14" s="449"/>
      <c r="K14" s="449"/>
      <c r="L14" s="448">
        <v>4153.1151933701658</v>
      </c>
      <c r="M14" s="449"/>
      <c r="N14" s="448">
        <v>2400</v>
      </c>
      <c r="O14" s="451" t="s">
        <v>126</v>
      </c>
      <c r="P14" s="448">
        <f t="shared" si="1"/>
        <v>35403.197237569068</v>
      </c>
      <c r="Q14" s="451"/>
      <c r="R14" s="387">
        <f t="shared" si="2"/>
        <v>1.4749999999999999E-2</v>
      </c>
      <c r="S14"/>
    </row>
    <row r="15" spans="1:19" ht="17.25" customHeight="1" x14ac:dyDescent="0.25">
      <c r="A15" s="442" t="s">
        <v>129</v>
      </c>
      <c r="B15" s="443">
        <v>11720</v>
      </c>
      <c r="C15" s="452">
        <v>1.0869999999999999E-2</v>
      </c>
      <c r="D15" s="444" t="s">
        <v>125</v>
      </c>
      <c r="E15" s="448">
        <v>2400000</v>
      </c>
      <c r="F15" s="447"/>
      <c r="G15" s="448">
        <f t="shared" si="0"/>
        <v>26088</v>
      </c>
      <c r="H15" s="447"/>
      <c r="I15" s="448">
        <v>1110.1848066298278</v>
      </c>
      <c r="J15" s="449"/>
      <c r="K15" s="449"/>
      <c r="L15" s="448">
        <v>12896.47845303867</v>
      </c>
      <c r="M15" s="449"/>
      <c r="N15" s="448">
        <v>2400</v>
      </c>
      <c r="O15" s="451" t="s">
        <v>126</v>
      </c>
      <c r="P15" s="448">
        <f t="shared" si="1"/>
        <v>42494.663259668494</v>
      </c>
      <c r="Q15" s="451"/>
      <c r="R15" s="387">
        <f t="shared" si="2"/>
        <v>1.771E-2</v>
      </c>
      <c r="S15"/>
    </row>
    <row r="16" spans="1:19" ht="17.25" customHeight="1" x14ac:dyDescent="0.25">
      <c r="A16" s="442" t="s">
        <v>130</v>
      </c>
      <c r="B16" s="443">
        <v>11720</v>
      </c>
      <c r="C16" s="452">
        <v>1.057E-2</v>
      </c>
      <c r="D16" s="444" t="s">
        <v>125</v>
      </c>
      <c r="E16" s="448">
        <v>7400000</v>
      </c>
      <c r="F16" s="447"/>
      <c r="G16" s="448">
        <f t="shared" si="0"/>
        <v>78218</v>
      </c>
      <c r="H16" s="447"/>
      <c r="I16" s="448">
        <v>3122.8472375690685</v>
      </c>
      <c r="J16" s="449"/>
      <c r="K16" s="449"/>
      <c r="L16" s="448">
        <v>12745.739502762486</v>
      </c>
      <c r="M16" s="449"/>
      <c r="N16" s="448">
        <v>7400</v>
      </c>
      <c r="O16" s="451" t="s">
        <v>126</v>
      </c>
      <c r="P16" s="448">
        <f t="shared" si="1"/>
        <v>101486.58674033155</v>
      </c>
      <c r="Q16" s="451"/>
      <c r="R16" s="387">
        <f t="shared" si="2"/>
        <v>1.371E-2</v>
      </c>
      <c r="S16"/>
    </row>
    <row r="17" spans="1:22" ht="17.25" customHeight="1" x14ac:dyDescent="0.25">
      <c r="A17" s="442" t="s">
        <v>131</v>
      </c>
      <c r="B17" s="443">
        <v>49218</v>
      </c>
      <c r="C17" s="452">
        <v>1.0970000000000001E-2</v>
      </c>
      <c r="D17" s="444" t="s">
        <v>125</v>
      </c>
      <c r="E17" s="448">
        <v>50000000</v>
      </c>
      <c r="F17" s="447"/>
      <c r="G17" s="448">
        <f t="shared" si="0"/>
        <v>548500</v>
      </c>
      <c r="H17" s="447"/>
      <c r="I17" s="448">
        <v>9319.8817679558251</v>
      </c>
      <c r="J17" s="449"/>
      <c r="K17" s="449"/>
      <c r="L17" s="448">
        <v>94880.035911602215</v>
      </c>
      <c r="M17" s="449"/>
      <c r="N17" s="448">
        <v>380609.58905000007</v>
      </c>
      <c r="O17" s="451" t="s">
        <v>126</v>
      </c>
      <c r="P17" s="448">
        <f t="shared" si="1"/>
        <v>1033309.5067295581</v>
      </c>
      <c r="Q17" s="451"/>
      <c r="R17" s="387">
        <f t="shared" si="2"/>
        <v>2.0670000000000001E-2</v>
      </c>
      <c r="S17"/>
    </row>
    <row r="18" spans="1:22" ht="17.25" customHeight="1" x14ac:dyDescent="0.25">
      <c r="A18" s="442" t="s">
        <v>132</v>
      </c>
      <c r="B18" s="443">
        <v>49218</v>
      </c>
      <c r="C18" s="452">
        <v>1.102E-2</v>
      </c>
      <c r="D18" s="444" t="s">
        <v>125</v>
      </c>
      <c r="E18" s="448">
        <v>54000000</v>
      </c>
      <c r="F18" s="447"/>
      <c r="G18" s="448">
        <f>ROUND(C18*E18,0)</f>
        <v>595080</v>
      </c>
      <c r="H18" s="447"/>
      <c r="I18" s="448">
        <v>43589.65110497229</v>
      </c>
      <c r="J18" s="449"/>
      <c r="K18" s="449"/>
      <c r="L18" s="448">
        <v>13232.379281767955</v>
      </c>
      <c r="M18" s="449"/>
      <c r="N18" s="448">
        <v>411491.09590999997</v>
      </c>
      <c r="O18" s="451" t="s">
        <v>126</v>
      </c>
      <c r="P18" s="448">
        <f t="shared" si="1"/>
        <v>1063393.1262967403</v>
      </c>
      <c r="Q18" s="451"/>
      <c r="R18" s="387">
        <f t="shared" si="2"/>
        <v>1.9689999999999999E-2</v>
      </c>
      <c r="S18"/>
    </row>
    <row r="19" spans="1:22" ht="17.25" customHeight="1" x14ac:dyDescent="0.25">
      <c r="A19" s="442" t="s">
        <v>133</v>
      </c>
      <c r="B19" s="443">
        <v>46054</v>
      </c>
      <c r="C19" s="452">
        <v>5.7500000000000002E-2</v>
      </c>
      <c r="D19" s="444"/>
      <c r="E19" s="448">
        <v>17875000</v>
      </c>
      <c r="F19" s="447"/>
      <c r="G19" s="448">
        <f t="shared" si="0"/>
        <v>1027813</v>
      </c>
      <c r="H19" s="447"/>
      <c r="I19" s="448">
        <v>10929.874585635327</v>
      </c>
      <c r="J19" s="449"/>
      <c r="K19" s="449"/>
      <c r="L19" s="448">
        <v>22390.148618784548</v>
      </c>
      <c r="M19" s="447"/>
      <c r="N19" s="448">
        <v>0</v>
      </c>
      <c r="O19" s="451"/>
      <c r="P19" s="448">
        <f t="shared" si="1"/>
        <v>1061133.02320442</v>
      </c>
      <c r="Q19" s="451"/>
      <c r="R19" s="387">
        <f t="shared" si="2"/>
        <v>5.9360000000000003E-2</v>
      </c>
      <c r="S19"/>
    </row>
    <row r="20" spans="1:22" ht="17.25" customHeight="1" x14ac:dyDescent="0.25">
      <c r="A20" s="442" t="s">
        <v>134</v>
      </c>
      <c r="B20" s="443">
        <v>50100</v>
      </c>
      <c r="C20" s="452">
        <v>0.06</v>
      </c>
      <c r="D20" s="444"/>
      <c r="E20" s="448">
        <v>8927000</v>
      </c>
      <c r="F20" s="447"/>
      <c r="G20" s="448">
        <f t="shared" si="0"/>
        <v>535620</v>
      </c>
      <c r="H20" s="447"/>
      <c r="I20" s="448">
        <v>5267.7767955801191</v>
      </c>
      <c r="J20" s="449"/>
      <c r="K20" s="449"/>
      <c r="L20" s="448">
        <v>10797.244475138121</v>
      </c>
      <c r="M20" s="447"/>
      <c r="N20" s="448">
        <v>0</v>
      </c>
      <c r="O20" s="451"/>
      <c r="P20" s="448">
        <f t="shared" si="1"/>
        <v>551685.02127071831</v>
      </c>
      <c r="Q20" s="451"/>
      <c r="R20" s="387">
        <f t="shared" si="2"/>
        <v>6.1800000000000001E-2</v>
      </c>
      <c r="S20"/>
    </row>
    <row r="21" spans="1:22" ht="17.25" customHeight="1" x14ac:dyDescent="0.25">
      <c r="A21" s="442" t="s">
        <v>135</v>
      </c>
      <c r="B21" s="443">
        <v>11720</v>
      </c>
      <c r="C21" s="452">
        <v>1.106E-2</v>
      </c>
      <c r="D21" s="444" t="s">
        <v>125</v>
      </c>
      <c r="E21" s="448">
        <v>77947405</v>
      </c>
      <c r="F21" s="447"/>
      <c r="G21" s="448">
        <f t="shared" si="0"/>
        <v>862098</v>
      </c>
      <c r="H21" s="447"/>
      <c r="I21" s="448">
        <v>31927.316298342543</v>
      </c>
      <c r="J21" s="449"/>
      <c r="K21" s="449"/>
      <c r="L21" s="448">
        <v>91156.77375690607</v>
      </c>
      <c r="M21" s="449"/>
      <c r="N21" s="448">
        <v>593975.24271499994</v>
      </c>
      <c r="O21" s="451" t="s">
        <v>126</v>
      </c>
      <c r="P21" s="448">
        <f t="shared" si="1"/>
        <v>1579157.3327702484</v>
      </c>
      <c r="Q21" s="451"/>
      <c r="R21" s="387">
        <f t="shared" si="2"/>
        <v>2.026E-2</v>
      </c>
      <c r="S21"/>
    </row>
    <row r="22" spans="1:22" x14ac:dyDescent="0.25">
      <c r="A22" s="442" t="s">
        <v>136</v>
      </c>
      <c r="B22" s="443">
        <v>15585</v>
      </c>
      <c r="C22" s="452">
        <v>1.0500000000000001E-2</v>
      </c>
      <c r="D22" s="444"/>
      <c r="E22" s="448">
        <v>96000000</v>
      </c>
      <c r="F22" s="447"/>
      <c r="G22" s="448">
        <f>ROUND(C22*E22,0)</f>
        <v>1008000</v>
      </c>
      <c r="H22" s="447"/>
      <c r="I22" s="448">
        <v>268744.94254143664</v>
      </c>
      <c r="J22" s="449"/>
      <c r="K22" s="449"/>
      <c r="L22" s="448">
        <v>160690.1408839779</v>
      </c>
      <c r="M22" s="449"/>
      <c r="N22" s="448"/>
      <c r="O22" s="451"/>
      <c r="P22" s="448">
        <f t="shared" si="1"/>
        <v>1437435.0834254147</v>
      </c>
      <c r="Q22" s="451"/>
      <c r="R22" s="387">
        <f t="shared" si="2"/>
        <v>1.4970000000000001E-2</v>
      </c>
      <c r="S22"/>
      <c r="V22" s="238"/>
    </row>
    <row r="23" spans="1:22" ht="30" customHeight="1" x14ac:dyDescent="0.25">
      <c r="A23" s="442" t="s">
        <v>137</v>
      </c>
      <c r="B23" s="443"/>
      <c r="C23" s="453"/>
      <c r="D23" s="447"/>
      <c r="E23" s="448">
        <v>0</v>
      </c>
      <c r="F23" s="447"/>
      <c r="G23" s="448">
        <v>0</v>
      </c>
      <c r="H23" s="447"/>
      <c r="I23" s="448">
        <v>0</v>
      </c>
      <c r="J23" s="449"/>
      <c r="K23" s="449"/>
      <c r="L23" s="448">
        <v>5821.3063535911597</v>
      </c>
      <c r="M23" s="447"/>
      <c r="N23" s="448"/>
      <c r="O23" s="451"/>
      <c r="P23" s="448">
        <f t="shared" si="1"/>
        <v>5821.3063535911597</v>
      </c>
      <c r="Q23" s="451"/>
      <c r="R23" s="387"/>
      <c r="S23"/>
    </row>
    <row r="24" spans="1:22" ht="17.25" customHeight="1" thickBot="1" x14ac:dyDescent="0.3">
      <c r="A24" s="442"/>
      <c r="B24" s="443"/>
      <c r="C24" s="453"/>
      <c r="D24" s="447"/>
      <c r="E24" s="448"/>
      <c r="F24" s="447"/>
      <c r="G24" s="448"/>
      <c r="H24" s="447"/>
      <c r="I24" s="448"/>
      <c r="J24" s="447"/>
      <c r="K24" s="447"/>
      <c r="L24" s="448"/>
      <c r="M24" s="447"/>
      <c r="N24" s="448"/>
      <c r="O24" s="451"/>
      <c r="P24" s="448"/>
      <c r="Q24" s="451"/>
      <c r="R24" s="387"/>
      <c r="S24"/>
    </row>
    <row r="25" spans="1:22" ht="17.25" customHeight="1" thickBot="1" x14ac:dyDescent="0.3">
      <c r="A25" s="454" t="s">
        <v>138</v>
      </c>
      <c r="B25" s="388"/>
      <c r="C25" s="460"/>
      <c r="D25" s="447"/>
      <c r="E25" s="461">
        <f>SUM(E12:E24)</f>
        <v>350779405</v>
      </c>
      <c r="F25" s="462"/>
      <c r="G25" s="461">
        <f>SUM(G12:G24)</f>
        <v>5075882</v>
      </c>
      <c r="H25" s="462"/>
      <c r="I25" s="461">
        <f>SUM(I12:I24)</f>
        <v>391491.43784530397</v>
      </c>
      <c r="J25" s="462"/>
      <c r="K25" s="462"/>
      <c r="L25" s="461">
        <f>SUM(L12:L24)</f>
        <v>500908.41546961328</v>
      </c>
      <c r="M25" s="463"/>
      <c r="N25" s="461">
        <f>SUM(N12:N24)</f>
        <v>1516989.6948249999</v>
      </c>
      <c r="O25" s="445"/>
      <c r="P25" s="461">
        <f>SUM(P12:P24)</f>
        <v>7485271.5481399177</v>
      </c>
      <c r="Q25" s="451"/>
      <c r="R25" s="464">
        <f>ROUND(+P25/E25,4)</f>
        <v>2.1299999999999999E-2</v>
      </c>
      <c r="S25"/>
    </row>
    <row r="26" spans="1:22" ht="17.25" customHeight="1" x14ac:dyDescent="0.25">
      <c r="A26" s="454" t="s">
        <v>139</v>
      </c>
      <c r="B26" s="443"/>
      <c r="C26" s="453"/>
      <c r="D26" s="447"/>
      <c r="E26" s="448"/>
      <c r="F26" s="447"/>
      <c r="G26" s="448"/>
      <c r="H26" s="447"/>
      <c r="I26" s="448"/>
      <c r="J26" s="457"/>
      <c r="K26" s="457"/>
      <c r="L26" s="448"/>
      <c r="M26" s="465"/>
      <c r="N26" s="448"/>
      <c r="O26" s="451"/>
      <c r="P26" s="448"/>
      <c r="Q26" s="451"/>
      <c r="R26" s="387"/>
      <c r="S26"/>
    </row>
    <row r="27" spans="1:22" ht="17.25" customHeight="1" x14ac:dyDescent="0.25">
      <c r="A27" s="442" t="s">
        <v>140</v>
      </c>
      <c r="B27" s="443">
        <v>44136</v>
      </c>
      <c r="C27" s="452">
        <v>3.2500000000000001E-2</v>
      </c>
      <c r="D27" s="447"/>
      <c r="E27" s="448">
        <v>500000000</v>
      </c>
      <c r="F27" s="466"/>
      <c r="G27" s="448">
        <f>ROUND(C27*E27,0)</f>
        <v>16250000</v>
      </c>
      <c r="H27" s="447"/>
      <c r="I27" s="448">
        <v>419930.42292817717</v>
      </c>
      <c r="J27" s="457" t="s">
        <v>141</v>
      </c>
      <c r="K27" s="457"/>
      <c r="L27" s="448"/>
      <c r="M27" s="465"/>
      <c r="N27" s="448"/>
      <c r="O27" s="451"/>
      <c r="P27" s="448">
        <f t="shared" ref="P27:P39" si="3">G27+I27+L27+N27</f>
        <v>16669930.422928177</v>
      </c>
      <c r="Q27" s="451"/>
      <c r="R27" s="387">
        <f t="shared" ref="R27:R32" si="4">ROUND((P27/E27),4)</f>
        <v>3.3300000000000003E-2</v>
      </c>
      <c r="S27"/>
    </row>
    <row r="28" spans="1:22" ht="17.25" customHeight="1" x14ac:dyDescent="0.25">
      <c r="A28" s="442" t="s">
        <v>142</v>
      </c>
      <c r="B28" s="443">
        <v>44136</v>
      </c>
      <c r="C28" s="452">
        <v>3.2500000000000001E-2</v>
      </c>
      <c r="D28" s="447"/>
      <c r="E28" s="448">
        <v>-553730.07142857148</v>
      </c>
      <c r="F28" s="466"/>
      <c r="G28" s="448"/>
      <c r="H28" s="447"/>
      <c r="I28" s="448">
        <v>189623.40856353598</v>
      </c>
      <c r="J28" s="457" t="s">
        <v>141</v>
      </c>
      <c r="K28" s="457"/>
      <c r="L28" s="448"/>
      <c r="M28" s="465"/>
      <c r="N28" s="448"/>
      <c r="O28" s="451"/>
      <c r="P28" s="448">
        <f t="shared" si="3"/>
        <v>189623.40856353598</v>
      </c>
      <c r="Q28" s="451"/>
      <c r="R28" s="387">
        <f t="shared" si="4"/>
        <v>-0.34239999999999998</v>
      </c>
      <c r="S28"/>
    </row>
    <row r="29" spans="1:22" ht="17.25" customHeight="1" x14ac:dyDescent="0.25">
      <c r="A29" s="442" t="s">
        <v>143</v>
      </c>
      <c r="B29" s="443">
        <v>51441</v>
      </c>
      <c r="C29" s="452">
        <v>5.1249999999999997E-2</v>
      </c>
      <c r="D29" s="447"/>
      <c r="E29" s="448">
        <v>750000000</v>
      </c>
      <c r="F29" s="466"/>
      <c r="G29" s="448">
        <f>ROUND(C29*E29,0)</f>
        <v>38437500</v>
      </c>
      <c r="H29" s="447"/>
      <c r="I29" s="448">
        <v>249786.56022099525</v>
      </c>
      <c r="J29" s="457" t="s">
        <v>141</v>
      </c>
      <c r="K29" s="457"/>
      <c r="L29" s="448"/>
      <c r="M29" s="465"/>
      <c r="N29" s="448"/>
      <c r="O29" s="451"/>
      <c r="P29" s="448">
        <f t="shared" si="3"/>
        <v>38687286.560220994</v>
      </c>
      <c r="Q29" s="451"/>
      <c r="R29" s="387">
        <f t="shared" si="4"/>
        <v>5.16E-2</v>
      </c>
      <c r="S29"/>
    </row>
    <row r="30" spans="1:22" ht="17.25" customHeight="1" x14ac:dyDescent="0.25">
      <c r="A30" s="442" t="s">
        <v>142</v>
      </c>
      <c r="B30" s="443">
        <v>51441</v>
      </c>
      <c r="C30" s="452">
        <v>5.1249999999999997E-2</v>
      </c>
      <c r="D30" s="447"/>
      <c r="E30" s="448">
        <v>-6224787.5357142854</v>
      </c>
      <c r="F30" s="466"/>
      <c r="G30" s="448"/>
      <c r="H30" s="447"/>
      <c r="I30" s="448">
        <v>271423.51823204418</v>
      </c>
      <c r="J30" s="457" t="s">
        <v>141</v>
      </c>
      <c r="K30" s="457"/>
      <c r="L30" s="448"/>
      <c r="M30" s="465"/>
      <c r="N30" s="448"/>
      <c r="O30" s="451"/>
      <c r="P30" s="448">
        <f t="shared" si="3"/>
        <v>271423.51823204418</v>
      </c>
      <c r="Q30" s="451"/>
      <c r="R30" s="387">
        <f t="shared" si="4"/>
        <v>-4.36E-2</v>
      </c>
      <c r="S30"/>
    </row>
    <row r="31" spans="1:22" ht="17.25" customHeight="1" x14ac:dyDescent="0.25">
      <c r="A31" s="442" t="s">
        <v>144</v>
      </c>
      <c r="B31" s="443">
        <v>52550</v>
      </c>
      <c r="C31" s="452">
        <v>4.65E-2</v>
      </c>
      <c r="D31" s="447"/>
      <c r="E31" s="448">
        <v>250000000</v>
      </c>
      <c r="F31" s="467"/>
      <c r="G31" s="448">
        <f>ROUND(C31*E31,0)</f>
        <v>11625000</v>
      </c>
      <c r="H31" s="447"/>
      <c r="I31" s="448">
        <v>92245.260220994212</v>
      </c>
      <c r="J31" s="457" t="s">
        <v>141</v>
      </c>
      <c r="K31" s="457"/>
      <c r="L31" s="448"/>
      <c r="M31" s="465"/>
      <c r="N31" s="448"/>
      <c r="O31" s="451"/>
      <c r="P31" s="448">
        <f t="shared" si="3"/>
        <v>11717245.260220993</v>
      </c>
      <c r="Q31" s="451"/>
      <c r="R31" s="387">
        <f t="shared" si="4"/>
        <v>4.6899999999999997E-2</v>
      </c>
      <c r="S31"/>
    </row>
    <row r="32" spans="1:22" ht="17.25" customHeight="1" x14ac:dyDescent="0.25">
      <c r="A32" s="442" t="s">
        <v>142</v>
      </c>
      <c r="B32" s="443">
        <v>52550</v>
      </c>
      <c r="C32" s="452">
        <v>4.65E-2</v>
      </c>
      <c r="D32" s="447"/>
      <c r="E32" s="448">
        <v>-1557195.0042857141</v>
      </c>
      <c r="F32" s="447"/>
      <c r="G32" s="448"/>
      <c r="H32" s="447"/>
      <c r="I32" s="448">
        <v>59956.190607734818</v>
      </c>
      <c r="J32" s="457" t="s">
        <v>141</v>
      </c>
      <c r="K32" s="457"/>
      <c r="L32" s="448"/>
      <c r="M32" s="465"/>
      <c r="N32" s="448"/>
      <c r="O32" s="451"/>
      <c r="P32" s="448">
        <f t="shared" si="3"/>
        <v>59956.190607734818</v>
      </c>
      <c r="Q32" s="451"/>
      <c r="R32" s="387">
        <f t="shared" si="4"/>
        <v>-3.85E-2</v>
      </c>
      <c r="S32"/>
    </row>
    <row r="33" spans="1:22" ht="17.25" customHeight="1" x14ac:dyDescent="0.25">
      <c r="A33" s="442" t="s">
        <v>145</v>
      </c>
      <c r="B33" s="443">
        <v>52550</v>
      </c>
      <c r="C33" s="452"/>
      <c r="D33" s="447"/>
      <c r="E33" s="448"/>
      <c r="F33" s="449"/>
      <c r="G33" s="448">
        <v>-1433703.9279005523</v>
      </c>
      <c r="H33" s="447"/>
      <c r="I33" s="448"/>
      <c r="J33" s="457"/>
      <c r="K33" s="457"/>
      <c r="L33" s="448"/>
      <c r="M33" s="465"/>
      <c r="N33" s="448"/>
      <c r="O33" s="451"/>
      <c r="P33" s="448">
        <f t="shared" si="3"/>
        <v>-1433703.9279005523</v>
      </c>
      <c r="Q33" s="451"/>
      <c r="R33" s="387">
        <v>-3.3320000000000002E-2</v>
      </c>
      <c r="S33"/>
    </row>
    <row r="34" spans="1:22" ht="17.25" customHeight="1" x14ac:dyDescent="0.25">
      <c r="A34" s="442" t="s">
        <v>146</v>
      </c>
      <c r="B34" s="443">
        <v>45931</v>
      </c>
      <c r="C34" s="452">
        <v>3.3000000000000002E-2</v>
      </c>
      <c r="D34" s="447"/>
      <c r="E34" s="448">
        <v>250000000</v>
      </c>
      <c r="F34" s="449"/>
      <c r="G34" s="448">
        <f>ROUND(C34*E34,0)</f>
        <v>8250000</v>
      </c>
      <c r="H34" s="447"/>
      <c r="I34" s="448">
        <v>201425.00801104974</v>
      </c>
      <c r="J34" s="457" t="s">
        <v>141</v>
      </c>
      <c r="K34" s="457"/>
      <c r="L34" s="448"/>
      <c r="M34" s="465"/>
      <c r="N34" s="448"/>
      <c r="O34" s="451"/>
      <c r="P34" s="448">
        <f t="shared" si="3"/>
        <v>8451425.0080110505</v>
      </c>
      <c r="Q34" s="451"/>
      <c r="R34" s="387">
        <f>ROUND((P34/E34),4)</f>
        <v>3.3799999999999997E-2</v>
      </c>
      <c r="S34"/>
    </row>
    <row r="35" spans="1:22" ht="17.25" customHeight="1" x14ac:dyDescent="0.25">
      <c r="A35" s="442" t="s">
        <v>142</v>
      </c>
      <c r="B35" s="443">
        <v>45931</v>
      </c>
      <c r="C35" s="452">
        <v>3.3000000000000002E-2</v>
      </c>
      <c r="D35" s="447"/>
      <c r="E35" s="448">
        <v>-84119.841428571424</v>
      </c>
      <c r="F35" s="449"/>
      <c r="G35" s="448"/>
      <c r="H35" s="447"/>
      <c r="I35" s="448">
        <v>10732.351104972377</v>
      </c>
      <c r="J35" s="457" t="s">
        <v>141</v>
      </c>
      <c r="K35" s="457"/>
      <c r="L35" s="448"/>
      <c r="M35" s="465"/>
      <c r="N35" s="448"/>
      <c r="O35" s="451"/>
      <c r="P35" s="448">
        <f t="shared" si="3"/>
        <v>10732.351104972377</v>
      </c>
      <c r="Q35" s="451"/>
      <c r="R35" s="387">
        <f>ROUND((P35/E35),4)</f>
        <v>-0.12759999999999999</v>
      </c>
      <c r="S35"/>
    </row>
    <row r="36" spans="1:22" ht="17.25" customHeight="1" x14ac:dyDescent="0.25">
      <c r="A36" s="442" t="s">
        <v>147</v>
      </c>
      <c r="B36" s="443">
        <v>45931</v>
      </c>
      <c r="C36" s="452"/>
      <c r="D36" s="447"/>
      <c r="E36" s="448"/>
      <c r="F36" s="449"/>
      <c r="G36" s="448">
        <v>1405379.6859116019</v>
      </c>
      <c r="H36" s="447"/>
      <c r="I36" s="448"/>
      <c r="J36" s="457"/>
      <c r="K36" s="457"/>
      <c r="L36" s="448"/>
      <c r="M36" s="465"/>
      <c r="N36" s="448"/>
      <c r="O36" s="451"/>
      <c r="P36" s="448">
        <f t="shared" si="3"/>
        <v>1405379.6859116019</v>
      </c>
      <c r="Q36" s="451"/>
      <c r="R36" s="387">
        <v>9.9839999999999998E-2</v>
      </c>
      <c r="S36"/>
    </row>
    <row r="37" spans="1:22" ht="17.25" customHeight="1" x14ac:dyDescent="0.25">
      <c r="A37" s="442" t="s">
        <v>148</v>
      </c>
      <c r="B37" s="443">
        <v>53236</v>
      </c>
      <c r="C37" s="452">
        <v>4.3749999999999997E-2</v>
      </c>
      <c r="D37" s="447"/>
      <c r="E37" s="448">
        <v>250000000</v>
      </c>
      <c r="F37" s="449"/>
      <c r="G37" s="448">
        <f>ROUND(C37*E37,0)</f>
        <v>10937500</v>
      </c>
      <c r="H37" s="447"/>
      <c r="I37" s="448">
        <v>85849.129281768779</v>
      </c>
      <c r="J37" s="457" t="s">
        <v>141</v>
      </c>
      <c r="K37" s="457"/>
      <c r="L37" s="448"/>
      <c r="M37" s="465"/>
      <c r="N37" s="448"/>
      <c r="O37" s="451"/>
      <c r="P37" s="448">
        <f t="shared" si="3"/>
        <v>11023349.129281769</v>
      </c>
      <c r="Q37" s="451"/>
      <c r="R37" s="387">
        <f>ROUND((P37/E37),4)</f>
        <v>4.41E-2</v>
      </c>
      <c r="S37"/>
    </row>
    <row r="38" spans="1:22" ht="17.25" customHeight="1" x14ac:dyDescent="0.25">
      <c r="A38" s="442" t="s">
        <v>142</v>
      </c>
      <c r="B38" s="443">
        <v>53236</v>
      </c>
      <c r="C38" s="452">
        <v>4.3749999999999997E-2</v>
      </c>
      <c r="D38" s="447"/>
      <c r="E38" s="448">
        <v>-192447.34571428574</v>
      </c>
      <c r="F38" s="449"/>
      <c r="G38" s="448"/>
      <c r="H38" s="447"/>
      <c r="I38" s="448">
        <v>6909.732320441989</v>
      </c>
      <c r="J38" s="457" t="s">
        <v>141</v>
      </c>
      <c r="K38" s="457"/>
      <c r="L38" s="448"/>
      <c r="M38" s="465"/>
      <c r="N38" s="448"/>
      <c r="O38" s="451"/>
      <c r="P38" s="448">
        <f t="shared" si="3"/>
        <v>6909.732320441989</v>
      </c>
      <c r="Q38" s="451"/>
      <c r="R38" s="387">
        <f>ROUND((P38/E38),4)</f>
        <v>-3.5900000000000001E-2</v>
      </c>
      <c r="S38"/>
    </row>
    <row r="39" spans="1:22" ht="17.25" customHeight="1" x14ac:dyDescent="0.25">
      <c r="A39" s="442" t="s">
        <v>147</v>
      </c>
      <c r="B39" s="443">
        <v>53236</v>
      </c>
      <c r="C39" s="453"/>
      <c r="D39" s="447"/>
      <c r="E39" s="448"/>
      <c r="F39" s="449"/>
      <c r="G39" s="448">
        <v>986056.21160220949</v>
      </c>
      <c r="H39" s="447"/>
      <c r="I39" s="448"/>
      <c r="J39" s="457"/>
      <c r="K39" s="457"/>
      <c r="L39" s="448"/>
      <c r="M39" s="465"/>
      <c r="N39" s="448"/>
      <c r="O39" s="451"/>
      <c r="P39" s="448">
        <f t="shared" si="3"/>
        <v>986056.21160220949</v>
      </c>
      <c r="Q39" s="451"/>
      <c r="R39" s="387">
        <v>3.3300000000000003E-2</v>
      </c>
      <c r="S39"/>
    </row>
    <row r="40" spans="1:22" ht="17.25" customHeight="1" x14ac:dyDescent="0.25">
      <c r="A40" s="442"/>
      <c r="B40" s="443"/>
      <c r="C40" s="452"/>
      <c r="D40" s="447"/>
      <c r="E40" s="448"/>
      <c r="F40" s="447"/>
      <c r="G40" s="448"/>
      <c r="H40" s="447"/>
      <c r="I40" s="448"/>
      <c r="J40" s="457"/>
      <c r="K40" s="457"/>
      <c r="L40" s="448"/>
      <c r="M40" s="465"/>
      <c r="N40" s="448"/>
      <c r="O40" s="451"/>
      <c r="P40" s="448"/>
      <c r="Q40" s="451"/>
      <c r="R40" s="387"/>
      <c r="S40"/>
    </row>
    <row r="41" spans="1:22" ht="16.5" thickBot="1" x14ac:dyDescent="0.3">
      <c r="A41" s="442"/>
      <c r="B41" s="443"/>
      <c r="C41" s="452"/>
      <c r="D41" s="447"/>
      <c r="E41" s="448"/>
      <c r="F41" s="447"/>
      <c r="G41" s="448"/>
      <c r="H41" s="447"/>
      <c r="I41" s="448"/>
      <c r="J41" s="457"/>
      <c r="K41" s="457"/>
      <c r="L41" s="448"/>
      <c r="M41" s="465"/>
      <c r="N41" s="448"/>
      <c r="O41" s="451"/>
      <c r="P41" s="448"/>
      <c r="Q41" s="451"/>
      <c r="R41" s="387"/>
      <c r="S41"/>
      <c r="V41" s="238"/>
    </row>
    <row r="42" spans="1:22" ht="16.5" thickBot="1" x14ac:dyDescent="0.3">
      <c r="A42" s="454" t="s">
        <v>152</v>
      </c>
      <c r="B42" s="388"/>
      <c r="C42" s="460"/>
      <c r="D42" s="447"/>
      <c r="E42" s="461">
        <f>SUM(E27:E41)</f>
        <v>1991387720.2014284</v>
      </c>
      <c r="F42" s="462"/>
      <c r="G42" s="461">
        <f>SUM(G27:G41)</f>
        <v>86457731.969613254</v>
      </c>
      <c r="H42" s="462"/>
      <c r="I42" s="461">
        <f>SUM(I27:I41)</f>
        <v>1587881.5814917148</v>
      </c>
      <c r="J42" s="462"/>
      <c r="K42" s="462"/>
      <c r="L42" s="461">
        <f>SUM(L27:L41)</f>
        <v>0</v>
      </c>
      <c r="M42" s="463"/>
      <c r="N42" s="461">
        <f>SUM(N27:N41)</f>
        <v>0</v>
      </c>
      <c r="O42" s="445"/>
      <c r="P42" s="461">
        <f>SUM(P27:P41)</f>
        <v>88045613.551104993</v>
      </c>
      <c r="Q42" s="451"/>
      <c r="R42" s="464">
        <f>ROUND(+P42/E42,4)</f>
        <v>4.4200000000000003E-2</v>
      </c>
      <c r="S42"/>
      <c r="T42" s="240"/>
      <c r="U42" s="241"/>
    </row>
    <row r="43" spans="1:22" x14ac:dyDescent="0.25">
      <c r="A43" s="442"/>
      <c r="B43" s="388"/>
      <c r="C43" s="460"/>
      <c r="D43" s="447"/>
      <c r="E43" s="456"/>
      <c r="F43" s="457"/>
      <c r="G43" s="456"/>
      <c r="H43" s="447"/>
      <c r="I43" s="456"/>
      <c r="J43" s="457"/>
      <c r="K43" s="457"/>
      <c r="L43" s="455"/>
      <c r="M43" s="458"/>
      <c r="N43" s="455"/>
      <c r="O43" s="451"/>
      <c r="P43" s="455"/>
      <c r="Q43" s="451"/>
      <c r="R43" s="387"/>
      <c r="S43"/>
    </row>
    <row r="44" spans="1:22" x14ac:dyDescent="0.25">
      <c r="A44" s="454" t="s">
        <v>261</v>
      </c>
      <c r="B44" s="388"/>
      <c r="C44" s="460"/>
      <c r="D44" s="447"/>
      <c r="E44" s="456"/>
      <c r="F44" s="457"/>
      <c r="G44" s="456"/>
      <c r="H44" s="447"/>
      <c r="I44" s="456"/>
      <c r="J44" s="457"/>
      <c r="K44" s="457"/>
      <c r="L44" s="455"/>
      <c r="M44" s="458"/>
      <c r="N44" s="455"/>
      <c r="O44" s="451"/>
      <c r="P44" s="455"/>
      <c r="Q44" s="451"/>
      <c r="R44" s="387"/>
      <c r="S44"/>
    </row>
    <row r="45" spans="1:22" x14ac:dyDescent="0.25">
      <c r="A45" s="442" t="s">
        <v>149</v>
      </c>
      <c r="B45" s="443">
        <v>44588</v>
      </c>
      <c r="C45" s="468"/>
      <c r="D45" s="447"/>
      <c r="E45" s="448"/>
      <c r="F45" s="447"/>
      <c r="G45" s="448"/>
      <c r="H45" s="447"/>
      <c r="I45" s="469">
        <v>802813.92050852627</v>
      </c>
      <c r="J45" s="447">
        <v>2</v>
      </c>
      <c r="K45" s="447"/>
      <c r="L45" s="448">
        <v>29770.791436464078</v>
      </c>
      <c r="M45" s="449"/>
      <c r="N45" s="448">
        <v>405555.55555555556</v>
      </c>
      <c r="O45" s="451" t="s">
        <v>150</v>
      </c>
      <c r="P45" s="448">
        <f>G45+I45+L45+N45</f>
        <v>1238140.2675005458</v>
      </c>
      <c r="Q45" s="451"/>
      <c r="R45" s="387">
        <f>ROUND((P45/29611403),4)</f>
        <v>4.1799999999999997E-2</v>
      </c>
      <c r="S45"/>
    </row>
    <row r="46" spans="1:22" x14ac:dyDescent="0.25">
      <c r="A46" s="470" t="s">
        <v>151</v>
      </c>
      <c r="B46" s="471">
        <v>44105</v>
      </c>
      <c r="C46" s="468"/>
      <c r="D46" s="447"/>
      <c r="E46" s="448"/>
      <c r="F46" s="447"/>
      <c r="G46" s="448"/>
      <c r="H46" s="447"/>
      <c r="I46" s="469">
        <v>203870.18535911606</v>
      </c>
      <c r="J46" s="447">
        <v>3</v>
      </c>
      <c r="K46" s="447"/>
      <c r="L46" s="448">
        <v>17226.467403314917</v>
      </c>
      <c r="M46" s="447"/>
      <c r="N46" s="448"/>
      <c r="O46" s="451"/>
      <c r="P46" s="448">
        <f>G46+I46+L46+N46</f>
        <v>221096.65276243098</v>
      </c>
      <c r="Q46" s="451"/>
      <c r="R46" s="387">
        <f>ROUND((P46/29611403),4)</f>
        <v>7.4999999999999997E-3</v>
      </c>
      <c r="S46"/>
    </row>
    <row r="47" spans="1:22" x14ac:dyDescent="0.25">
      <c r="A47" s="442" t="s">
        <v>153</v>
      </c>
      <c r="B47" s="443"/>
      <c r="C47" s="452"/>
      <c r="D47" s="447"/>
      <c r="E47" s="445">
        <v>0</v>
      </c>
      <c r="F47" s="462"/>
      <c r="G47" s="445">
        <v>0</v>
      </c>
      <c r="H47" s="462"/>
      <c r="I47" s="445">
        <v>0</v>
      </c>
      <c r="J47" s="462"/>
      <c r="K47" s="462"/>
      <c r="L47" s="445">
        <v>0</v>
      </c>
      <c r="M47" s="462"/>
      <c r="N47" s="445">
        <v>0</v>
      </c>
      <c r="O47" s="445"/>
      <c r="P47" s="445">
        <f>SUM(G47,I47,N47)</f>
        <v>0</v>
      </c>
      <c r="Q47" s="451"/>
      <c r="R47" s="387"/>
      <c r="S47"/>
      <c r="U47" s="242"/>
    </row>
    <row r="48" spans="1:22" ht="16.5" thickBot="1" x14ac:dyDescent="0.3">
      <c r="A48" s="442"/>
      <c r="B48" s="443"/>
      <c r="C48" s="452"/>
      <c r="D48" s="447"/>
      <c r="E48" s="448"/>
      <c r="F48" s="447"/>
      <c r="G48" s="455"/>
      <c r="H48" s="447"/>
      <c r="I48" s="448">
        <v>0</v>
      </c>
      <c r="J48" s="472"/>
      <c r="K48" s="472"/>
      <c r="L48" s="448">
        <v>0</v>
      </c>
      <c r="M48" s="465"/>
      <c r="N48" s="448">
        <v>0</v>
      </c>
      <c r="O48" s="451"/>
      <c r="P48" s="448">
        <f>SUM(G48,I48,N48)</f>
        <v>0</v>
      </c>
      <c r="Q48" s="451"/>
      <c r="R48" s="387"/>
      <c r="S48"/>
    </row>
    <row r="49" spans="1:19" ht="16.5" thickBot="1" x14ac:dyDescent="0.3">
      <c r="A49" s="454" t="s">
        <v>262</v>
      </c>
      <c r="B49" s="443"/>
      <c r="C49" s="453"/>
      <c r="D49" s="447"/>
      <c r="E49" s="461">
        <f>SUM(E45:E48)</f>
        <v>0</v>
      </c>
      <c r="F49" s="462"/>
      <c r="G49" s="461">
        <f>SUM(G45:G48)</f>
        <v>0</v>
      </c>
      <c r="H49" s="462"/>
      <c r="I49" s="461">
        <f>SUM(I45:I48)</f>
        <v>1006684.1058676423</v>
      </c>
      <c r="J49" s="462"/>
      <c r="K49" s="462"/>
      <c r="L49" s="461">
        <f>SUM(L45:L48)</f>
        <v>46997.258839778995</v>
      </c>
      <c r="M49" s="463"/>
      <c r="N49" s="461">
        <f>SUM(N45:N48)</f>
        <v>405555.55555555556</v>
      </c>
      <c r="O49" s="445"/>
      <c r="P49" s="461">
        <f>SUM(P45:P48)</f>
        <v>1459236.9202629768</v>
      </c>
      <c r="Q49" s="451"/>
      <c r="R49" s="464">
        <f>ROUND(+P49/E51,4)</f>
        <v>5.9999999999999995E-4</v>
      </c>
      <c r="S49"/>
    </row>
    <row r="50" spans="1:19" ht="16.5" thickBot="1" x14ac:dyDescent="0.3">
      <c r="A50" s="442"/>
      <c r="B50" s="473"/>
      <c r="C50" s="460"/>
      <c r="D50" s="447"/>
      <c r="E50" s="455"/>
      <c r="F50" s="447"/>
      <c r="G50" s="455"/>
      <c r="H50" s="447"/>
      <c r="I50" s="456"/>
      <c r="J50" s="457"/>
      <c r="K50" s="457"/>
      <c r="L50" s="455"/>
      <c r="M50" s="458"/>
      <c r="N50" s="455"/>
      <c r="O50" s="455"/>
      <c r="P50" s="455"/>
      <c r="Q50" s="451"/>
      <c r="R50" s="387"/>
      <c r="S50"/>
    </row>
    <row r="51" spans="1:19" ht="16.5" thickBot="1" x14ac:dyDescent="0.3">
      <c r="A51" s="442"/>
      <c r="B51" s="473"/>
      <c r="C51" s="460" t="s">
        <v>121</v>
      </c>
      <c r="D51" s="447"/>
      <c r="E51" s="474">
        <f>E25+E42+E49</f>
        <v>2342167125.2014284</v>
      </c>
      <c r="F51" s="445"/>
      <c r="G51" s="474">
        <f>G25+G42+G49</f>
        <v>91533613.969613254</v>
      </c>
      <c r="H51" s="462"/>
      <c r="I51" s="474">
        <f>I25+I42+I49</f>
        <v>2986057.1252046609</v>
      </c>
      <c r="J51" s="462"/>
      <c r="K51" s="462"/>
      <c r="L51" s="474">
        <f>L25+L42+L49</f>
        <v>547905.67430939223</v>
      </c>
      <c r="M51" s="475"/>
      <c r="N51" s="474">
        <f>N25+N42+N49</f>
        <v>1922545.2503805554</v>
      </c>
      <c r="O51" s="445"/>
      <c r="P51" s="474">
        <f>P25+P42+P49</f>
        <v>96990122.019507885</v>
      </c>
      <c r="Q51" s="451"/>
      <c r="R51" s="464">
        <f>IFERROR(ROUND(P51/E51,4),0)</f>
        <v>4.1399999999999999E-2</v>
      </c>
      <c r="S51"/>
    </row>
    <row r="52" spans="1:19" ht="16.5" thickTop="1" x14ac:dyDescent="0.25">
      <c r="A52" s="476"/>
      <c r="B52" s="477"/>
      <c r="C52" s="478"/>
      <c r="D52" s="479"/>
      <c r="E52" s="480"/>
      <c r="F52" s="481"/>
      <c r="G52" s="480"/>
      <c r="H52" s="479"/>
      <c r="I52" s="480"/>
      <c r="J52" s="482"/>
      <c r="K52" s="458"/>
      <c r="L52" s="473"/>
      <c r="M52" s="447"/>
      <c r="N52" s="480"/>
      <c r="O52" s="480"/>
      <c r="P52" s="480"/>
      <c r="Q52" s="481"/>
      <c r="R52" s="483"/>
      <c r="S52"/>
    </row>
    <row r="53" spans="1:19" s="246" customFormat="1" x14ac:dyDescent="0.25">
      <c r="A53" s="484"/>
      <c r="B53" s="485"/>
      <c r="C53" s="486"/>
      <c r="D53" s="487"/>
      <c r="E53" s="488"/>
      <c r="F53" s="467"/>
      <c r="G53" s="488"/>
      <c r="H53" s="489"/>
      <c r="I53" s="488"/>
      <c r="J53" s="490"/>
      <c r="K53" s="490"/>
      <c r="L53" s="491"/>
      <c r="M53" s="492"/>
      <c r="N53" s="488"/>
      <c r="O53" s="488"/>
      <c r="P53" s="488"/>
      <c r="Q53" s="484"/>
      <c r="R53" s="493"/>
      <c r="S53"/>
    </row>
    <row r="54" spans="1:19" x14ac:dyDescent="0.25">
      <c r="A54" s="484"/>
      <c r="B54" s="485"/>
      <c r="C54" s="486"/>
      <c r="D54" s="487"/>
      <c r="E54" s="488"/>
      <c r="F54" s="467"/>
      <c r="G54" s="488"/>
      <c r="H54" s="489"/>
      <c r="I54" s="488"/>
      <c r="J54" s="490"/>
      <c r="K54" s="490"/>
      <c r="L54" s="488"/>
      <c r="M54" s="494"/>
      <c r="N54" s="488"/>
      <c r="O54" s="488"/>
      <c r="P54" s="488"/>
      <c r="Q54" s="484"/>
      <c r="R54" s="493"/>
      <c r="S54"/>
    </row>
    <row r="55" spans="1:19" x14ac:dyDescent="0.25">
      <c r="A55" s="495"/>
      <c r="B55" s="485"/>
      <c r="C55" s="486"/>
      <c r="D55" s="487"/>
      <c r="E55" s="488"/>
      <c r="F55" s="467"/>
      <c r="G55" s="488"/>
      <c r="H55" s="489"/>
      <c r="I55" s="488"/>
      <c r="J55" s="494"/>
      <c r="K55" s="494"/>
      <c r="L55" s="488"/>
      <c r="M55" s="494"/>
      <c r="N55" s="488"/>
      <c r="O55" s="488"/>
      <c r="P55" s="488"/>
      <c r="Q55" s="484"/>
      <c r="R55" s="493"/>
      <c r="S55"/>
    </row>
    <row r="56" spans="1:19" x14ac:dyDescent="0.25">
      <c r="A56" s="484"/>
      <c r="B56" s="485"/>
      <c r="C56" s="486"/>
      <c r="D56" s="487"/>
      <c r="E56" s="488"/>
      <c r="F56" s="467"/>
      <c r="G56" s="488"/>
      <c r="H56" s="487"/>
      <c r="I56" s="488"/>
      <c r="J56" s="494"/>
      <c r="K56" s="494"/>
      <c r="L56" s="488"/>
      <c r="M56" s="494"/>
      <c r="N56" s="488"/>
      <c r="O56" s="488"/>
      <c r="P56" s="488"/>
      <c r="Q56" s="484"/>
      <c r="R56" s="493"/>
      <c r="S56"/>
    </row>
    <row r="57" spans="1:19" ht="20.25" x14ac:dyDescent="0.3">
      <c r="A57" s="560" t="s">
        <v>154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2"/>
      <c r="S57"/>
    </row>
    <row r="58" spans="1:19" x14ac:dyDescent="0.25">
      <c r="A58" s="442"/>
      <c r="B58" s="473"/>
      <c r="C58" s="451"/>
      <c r="D58" s="490"/>
      <c r="E58" s="451"/>
      <c r="F58" s="496"/>
      <c r="G58" s="451"/>
      <c r="H58" s="490"/>
      <c r="I58" s="451"/>
      <c r="J58" s="490"/>
      <c r="K58" s="490"/>
      <c r="L58" s="451"/>
      <c r="M58" s="490"/>
      <c r="N58" s="451"/>
      <c r="O58" s="451"/>
      <c r="P58" s="451"/>
      <c r="Q58" s="451"/>
      <c r="R58" s="459"/>
      <c r="S58"/>
    </row>
    <row r="59" spans="1:19" x14ac:dyDescent="0.25">
      <c r="A59" s="442"/>
      <c r="B59" s="473"/>
      <c r="C59" s="451"/>
      <c r="D59" s="447"/>
      <c r="E59" s="451"/>
      <c r="F59" s="451"/>
      <c r="G59" s="563" t="s">
        <v>111</v>
      </c>
      <c r="H59" s="563"/>
      <c r="I59" s="563"/>
      <c r="J59" s="563"/>
      <c r="K59" s="563"/>
      <c r="L59" s="563"/>
      <c r="M59" s="563"/>
      <c r="N59" s="563"/>
      <c r="O59" s="563"/>
      <c r="P59" s="563"/>
      <c r="Q59" s="451"/>
      <c r="R59" s="459"/>
      <c r="S59"/>
    </row>
    <row r="60" spans="1:19" x14ac:dyDescent="0.25">
      <c r="A60" s="442"/>
      <c r="B60" s="473"/>
      <c r="C60" s="451"/>
      <c r="D60" s="447"/>
      <c r="E60" s="451"/>
      <c r="F60" s="451"/>
      <c r="G60" s="451"/>
      <c r="H60" s="447"/>
      <c r="I60" s="451"/>
      <c r="J60" s="447"/>
      <c r="K60" s="447"/>
      <c r="L60" s="451"/>
      <c r="M60" s="447"/>
      <c r="N60" s="451"/>
      <c r="O60" s="451"/>
      <c r="P60" s="451"/>
      <c r="Q60" s="451"/>
      <c r="R60" s="497" t="s">
        <v>115</v>
      </c>
      <c r="S60"/>
    </row>
    <row r="61" spans="1:19" x14ac:dyDescent="0.25">
      <c r="A61" s="442"/>
      <c r="B61" s="473" t="s">
        <v>155</v>
      </c>
      <c r="C61" s="498" t="s">
        <v>230</v>
      </c>
      <c r="D61" s="447"/>
      <c r="E61" s="498" t="s">
        <v>231</v>
      </c>
      <c r="F61" s="451"/>
      <c r="G61" s="498" t="s">
        <v>232</v>
      </c>
      <c r="H61" s="447"/>
      <c r="I61" s="498" t="s">
        <v>233</v>
      </c>
      <c r="J61" s="447"/>
      <c r="K61" s="447"/>
      <c r="L61" s="498" t="s">
        <v>234</v>
      </c>
      <c r="M61" s="499"/>
      <c r="N61" s="498" t="s">
        <v>156</v>
      </c>
      <c r="O61" s="473"/>
      <c r="P61" s="498" t="s">
        <v>235</v>
      </c>
      <c r="Q61" s="451"/>
      <c r="R61" s="500" t="s">
        <v>236</v>
      </c>
      <c r="S61"/>
    </row>
    <row r="62" spans="1:19" x14ac:dyDescent="0.25">
      <c r="A62" s="442"/>
      <c r="B62" s="473"/>
      <c r="C62" s="451"/>
      <c r="D62" s="447"/>
      <c r="E62" s="451"/>
      <c r="F62" s="451"/>
      <c r="G62" s="451"/>
      <c r="H62" s="447"/>
      <c r="I62" s="451"/>
      <c r="J62" s="447"/>
      <c r="K62" s="447"/>
      <c r="L62" s="451"/>
      <c r="M62" s="447"/>
      <c r="N62" s="451"/>
      <c r="O62" s="451"/>
      <c r="P62" s="451"/>
      <c r="Q62" s="451"/>
      <c r="R62" s="459"/>
      <c r="S62"/>
    </row>
    <row r="63" spans="1:19" x14ac:dyDescent="0.25">
      <c r="A63" s="442" t="s">
        <v>157</v>
      </c>
      <c r="B63" s="473" t="s">
        <v>158</v>
      </c>
      <c r="C63" s="453">
        <v>1.464E-2</v>
      </c>
      <c r="D63" s="444" t="s">
        <v>125</v>
      </c>
      <c r="E63" s="501">
        <v>0</v>
      </c>
      <c r="F63" s="445"/>
      <c r="G63" s="445">
        <f>ROUND(C63*E63,0)</f>
        <v>0</v>
      </c>
      <c r="H63" s="462"/>
      <c r="I63" s="502">
        <v>0</v>
      </c>
      <c r="J63" s="462"/>
      <c r="K63" s="462"/>
      <c r="L63" s="502">
        <v>0</v>
      </c>
      <c r="M63" s="462"/>
      <c r="N63" s="502">
        <v>0</v>
      </c>
      <c r="O63" s="445"/>
      <c r="P63" s="445">
        <f>SUM(G63:N63)</f>
        <v>0</v>
      </c>
      <c r="Q63" s="451"/>
      <c r="R63" s="387">
        <f>IF(E63=0,0,(ROUND((P63/E63),4)))</f>
        <v>0</v>
      </c>
      <c r="S63"/>
    </row>
    <row r="64" spans="1:19" x14ac:dyDescent="0.25">
      <c r="A64" s="442" t="s">
        <v>159</v>
      </c>
      <c r="B64" s="473"/>
      <c r="C64" s="453"/>
      <c r="D64" s="447"/>
      <c r="E64" s="448">
        <v>0</v>
      </c>
      <c r="F64" s="445"/>
      <c r="G64" s="448">
        <f>ROUND(C64*E64,0)</f>
        <v>0</v>
      </c>
      <c r="H64" s="462"/>
      <c r="I64" s="469">
        <v>0</v>
      </c>
      <c r="J64" s="462"/>
      <c r="K64" s="462"/>
      <c r="L64" s="469">
        <v>0</v>
      </c>
      <c r="M64" s="465"/>
      <c r="N64" s="469">
        <v>0</v>
      </c>
      <c r="O64" s="445"/>
      <c r="P64" s="448">
        <f>SUM(G64:N64)</f>
        <v>0</v>
      </c>
      <c r="Q64" s="451"/>
      <c r="R64" s="387">
        <f>IF(E64=0,0,(ROUND((P64/E64),4)))</f>
        <v>0</v>
      </c>
      <c r="S64"/>
    </row>
    <row r="65" spans="1:20" x14ac:dyDescent="0.25">
      <c r="A65" s="442" t="s">
        <v>160</v>
      </c>
      <c r="B65" s="473" t="s">
        <v>161</v>
      </c>
      <c r="C65" s="453">
        <v>1.84E-2</v>
      </c>
      <c r="D65" s="447"/>
      <c r="E65" s="503">
        <v>25558350.559999999</v>
      </c>
      <c r="F65" s="451"/>
      <c r="G65" s="504">
        <f>E65*C65</f>
        <v>470273.65030399995</v>
      </c>
      <c r="H65" s="447"/>
      <c r="I65" s="505">
        <v>0</v>
      </c>
      <c r="J65" s="447"/>
      <c r="K65" s="447"/>
      <c r="L65" s="505">
        <v>0</v>
      </c>
      <c r="M65" s="506"/>
      <c r="N65" s="505">
        <v>0</v>
      </c>
      <c r="O65" s="451"/>
      <c r="P65" s="504">
        <f>SUM(G65:N65)</f>
        <v>470273.65030399995</v>
      </c>
      <c r="Q65" s="451"/>
      <c r="R65" s="394">
        <f>IF(E65=0,0,(ROUND((P65/E65),4)))</f>
        <v>1.84E-2</v>
      </c>
      <c r="S65"/>
    </row>
    <row r="66" spans="1:20" ht="16.5" thickBot="1" x14ac:dyDescent="0.3">
      <c r="A66" s="442"/>
      <c r="B66" s="473"/>
      <c r="C66" s="451"/>
      <c r="D66" s="447"/>
      <c r="E66" s="456"/>
      <c r="F66" s="451"/>
      <c r="G66" s="456"/>
      <c r="H66" s="447"/>
      <c r="I66" s="451"/>
      <c r="J66" s="447"/>
      <c r="K66" s="447"/>
      <c r="L66" s="456"/>
      <c r="M66" s="457"/>
      <c r="N66" s="456"/>
      <c r="O66" s="451"/>
      <c r="P66" s="456"/>
      <c r="Q66" s="451"/>
      <c r="R66" s="387"/>
      <c r="S66"/>
    </row>
    <row r="67" spans="1:20" ht="16.5" thickBot="1" x14ac:dyDescent="0.3">
      <c r="A67" s="442"/>
      <c r="B67" s="473"/>
      <c r="C67" s="451" t="s">
        <v>121</v>
      </c>
      <c r="D67" s="447"/>
      <c r="E67" s="507">
        <f>SUM(E63:E66)</f>
        <v>25558350.559999999</v>
      </c>
      <c r="F67" s="445"/>
      <c r="G67" s="474">
        <f>SUM(G63:G66)</f>
        <v>470273.65030399995</v>
      </c>
      <c r="H67" s="462"/>
      <c r="I67" s="508">
        <f>SUM(I65:I66)</f>
        <v>0</v>
      </c>
      <c r="J67" s="462"/>
      <c r="K67" s="462"/>
      <c r="L67" s="508">
        <f>SUM(L65:L66)</f>
        <v>0</v>
      </c>
      <c r="M67" s="475"/>
      <c r="N67" s="508">
        <f>SUM(N65:N66)</f>
        <v>0</v>
      </c>
      <c r="O67" s="445"/>
      <c r="P67" s="474">
        <f>SUM(P63:P66)</f>
        <v>470273.65030399995</v>
      </c>
      <c r="Q67" s="451"/>
      <c r="R67" s="509">
        <f>IFERROR(ROUND(P67/E67,4),0)</f>
        <v>1.84E-2</v>
      </c>
      <c r="S67"/>
    </row>
    <row r="68" spans="1:20" ht="16.5" thickTop="1" x14ac:dyDescent="0.25">
      <c r="A68" s="476"/>
      <c r="B68" s="477"/>
      <c r="C68" s="481"/>
      <c r="D68" s="479"/>
      <c r="E68" s="481"/>
      <c r="F68" s="481"/>
      <c r="G68" s="510"/>
      <c r="H68" s="479"/>
      <c r="I68" s="481"/>
      <c r="J68" s="479"/>
      <c r="K68" s="479"/>
      <c r="L68" s="510"/>
      <c r="M68" s="511"/>
      <c r="N68" s="510"/>
      <c r="O68" s="481"/>
      <c r="P68" s="481"/>
      <c r="Q68" s="481"/>
      <c r="R68" s="394"/>
      <c r="S68"/>
    </row>
    <row r="69" spans="1:20" ht="16.5" thickBot="1" x14ac:dyDescent="0.3">
      <c r="A69" s="484"/>
      <c r="B69" s="485"/>
      <c r="C69" s="486"/>
      <c r="D69" s="466"/>
      <c r="E69" s="488"/>
      <c r="F69" s="484"/>
      <c r="G69" s="488"/>
      <c r="H69" s="466"/>
      <c r="I69" s="484"/>
      <c r="J69" s="466"/>
      <c r="K69" s="466"/>
      <c r="L69" s="484"/>
      <c r="M69" s="466"/>
      <c r="N69" s="484"/>
      <c r="O69" s="484"/>
      <c r="P69" s="488"/>
      <c r="Q69" s="484"/>
      <c r="R69" s="395"/>
      <c r="S69"/>
    </row>
    <row r="70" spans="1:20" ht="16.5" thickBot="1" x14ac:dyDescent="0.3">
      <c r="A70" s="484" t="s">
        <v>162</v>
      </c>
      <c r="B70" s="485"/>
      <c r="C70" s="486"/>
      <c r="D70" s="466"/>
      <c r="E70" s="512">
        <f>E51+E67</f>
        <v>2367725475.7614284</v>
      </c>
      <c r="F70" s="513"/>
      <c r="G70" s="512">
        <f>G51+G67</f>
        <v>92003887.619917259</v>
      </c>
      <c r="H70" s="514"/>
      <c r="I70" s="512">
        <f>I51+I67</f>
        <v>2986057.1252046609</v>
      </c>
      <c r="J70" s="514"/>
      <c r="K70" s="514"/>
      <c r="L70" s="512">
        <f>L51+L67</f>
        <v>547905.67430939223</v>
      </c>
      <c r="M70" s="515"/>
      <c r="N70" s="512">
        <f>N51+N67</f>
        <v>1922545.2503805554</v>
      </c>
      <c r="O70" s="513"/>
      <c r="P70" s="512">
        <f>P51+P67</f>
        <v>97460395.66981189</v>
      </c>
      <c r="Q70" s="484"/>
      <c r="R70" s="509">
        <f>IFERROR(ROUND(P70/E70,4),0)</f>
        <v>4.1200000000000001E-2</v>
      </c>
      <c r="S70"/>
    </row>
    <row r="71" spans="1:20" ht="15" customHeight="1" thickTop="1" x14ac:dyDescent="0.25">
      <c r="A71" s="484"/>
      <c r="B71" s="485"/>
      <c r="C71" s="486"/>
      <c r="D71" s="466"/>
      <c r="E71" s="488"/>
      <c r="F71" s="484"/>
      <c r="G71" s="488"/>
      <c r="H71" s="466"/>
      <c r="I71" s="484"/>
      <c r="J71" s="466"/>
      <c r="K71" s="466"/>
      <c r="L71" s="484"/>
      <c r="M71" s="466"/>
      <c r="N71" s="484"/>
      <c r="O71" s="484"/>
      <c r="P71" s="488"/>
      <c r="Q71" s="484"/>
      <c r="R71" s="396"/>
      <c r="S71"/>
    </row>
    <row r="72" spans="1:20" x14ac:dyDescent="0.25">
      <c r="A72" s="484" t="s">
        <v>163</v>
      </c>
      <c r="B72" s="485"/>
      <c r="C72" s="486"/>
      <c r="D72" s="466"/>
      <c r="E72" s="488"/>
      <c r="F72" s="484"/>
      <c r="G72" s="488"/>
      <c r="H72" s="466"/>
      <c r="I72" s="484"/>
      <c r="J72" s="466"/>
      <c r="K72" s="466"/>
      <c r="L72" s="484"/>
      <c r="M72" s="466"/>
      <c r="N72" s="484"/>
      <c r="O72" s="484"/>
      <c r="P72" s="516"/>
      <c r="Q72" s="484"/>
      <c r="R72" s="395"/>
      <c r="S72"/>
      <c r="T72" s="247"/>
    </row>
    <row r="73" spans="1:20" x14ac:dyDescent="0.25">
      <c r="A73" s="484" t="s">
        <v>164</v>
      </c>
      <c r="B73" s="485"/>
      <c r="C73" s="484"/>
      <c r="D73" s="466"/>
      <c r="E73" s="484"/>
      <c r="F73" s="484"/>
      <c r="G73" s="484"/>
      <c r="H73" s="466"/>
      <c r="I73" s="484"/>
      <c r="J73" s="466"/>
      <c r="K73" s="466"/>
      <c r="L73" s="484"/>
      <c r="M73" s="466"/>
      <c r="N73" s="484"/>
      <c r="O73" s="484"/>
      <c r="P73" s="484"/>
      <c r="Q73" s="484"/>
      <c r="R73" s="395"/>
      <c r="S73"/>
    </row>
    <row r="74" spans="1:20" ht="15.75" customHeight="1" x14ac:dyDescent="0.25">
      <c r="A74" s="484"/>
      <c r="B74" s="485"/>
      <c r="C74" s="484"/>
      <c r="D74" s="466"/>
      <c r="E74" s="484"/>
      <c r="F74" s="484"/>
      <c r="G74" s="484"/>
      <c r="H74" s="466"/>
      <c r="I74" s="484"/>
      <c r="J74" s="466"/>
      <c r="K74" s="466"/>
      <c r="L74" s="484"/>
      <c r="M74" s="466"/>
      <c r="N74" s="484"/>
      <c r="O74" s="484"/>
      <c r="P74" s="484"/>
      <c r="Q74" s="484"/>
      <c r="R74" s="493"/>
      <c r="S74"/>
    </row>
    <row r="75" spans="1:20" ht="15.75" customHeight="1" x14ac:dyDescent="0.25">
      <c r="A75" s="553" t="s">
        <v>263</v>
      </c>
      <c r="B75" s="553"/>
      <c r="C75" s="553"/>
      <c r="D75" s="553"/>
      <c r="E75" s="553"/>
      <c r="F75" s="484"/>
      <c r="G75" s="488"/>
      <c r="H75" s="466"/>
      <c r="I75" s="485"/>
      <c r="J75" s="466"/>
      <c r="K75" s="466"/>
      <c r="L75" s="516"/>
      <c r="M75" s="517"/>
      <c r="N75" s="516"/>
      <c r="O75" s="484"/>
      <c r="P75" s="485"/>
      <c r="Q75" s="484"/>
      <c r="R75" s="493"/>
      <c r="S75"/>
    </row>
    <row r="76" spans="1:20" ht="15.75" customHeight="1" x14ac:dyDescent="0.25">
      <c r="A76" s="555" t="s">
        <v>264</v>
      </c>
      <c r="B76" s="555"/>
      <c r="C76" s="555"/>
      <c r="D76" s="555"/>
      <c r="E76" s="555"/>
      <c r="F76" s="555"/>
      <c r="G76" s="555"/>
      <c r="H76" s="466"/>
      <c r="I76" s="484"/>
      <c r="J76" s="466"/>
      <c r="K76" s="466"/>
      <c r="L76" s="488"/>
      <c r="M76" s="517"/>
      <c r="N76" s="488"/>
      <c r="O76" s="488"/>
      <c r="P76" s="484"/>
      <c r="Q76" s="484"/>
      <c r="R76" s="493"/>
      <c r="S76"/>
    </row>
    <row r="77" spans="1:20" x14ac:dyDescent="0.25">
      <c r="A77" s="518"/>
      <c r="B77" s="519"/>
      <c r="C77" s="519"/>
      <c r="D77" s="520"/>
      <c r="E77" s="519"/>
      <c r="F77" s="484"/>
      <c r="G77" s="484"/>
      <c r="H77" s="466"/>
      <c r="I77" s="484"/>
      <c r="J77" s="466"/>
      <c r="K77" s="466"/>
      <c r="L77" s="488"/>
      <c r="M77" s="517"/>
      <c r="N77" s="488"/>
      <c r="O77" s="488"/>
      <c r="P77" s="484"/>
      <c r="Q77" s="484"/>
      <c r="R77" s="493"/>
      <c r="S77"/>
    </row>
    <row r="78" spans="1:20" ht="15.75" customHeight="1" x14ac:dyDescent="0.25">
      <c r="A78" s="555" t="s">
        <v>265</v>
      </c>
      <c r="B78" s="555"/>
      <c r="C78" s="555"/>
      <c r="D78" s="555"/>
      <c r="E78" s="555"/>
      <c r="F78" s="555"/>
      <c r="G78" s="555"/>
      <c r="H78" s="466"/>
      <c r="I78" s="484"/>
      <c r="J78" s="466"/>
      <c r="K78" s="466"/>
      <c r="L78" s="488"/>
      <c r="M78" s="517"/>
      <c r="N78" s="488"/>
      <c r="O78" s="488"/>
      <c r="P78" s="484"/>
      <c r="Q78" s="484"/>
      <c r="R78" s="493"/>
      <c r="S78"/>
    </row>
    <row r="79" spans="1:20" x14ac:dyDescent="0.25">
      <c r="A79" s="521"/>
      <c r="B79" s="485"/>
      <c r="C79" s="484"/>
      <c r="D79" s="466"/>
      <c r="E79" s="484"/>
      <c r="F79" s="484"/>
      <c r="G79" s="484"/>
      <c r="H79" s="466"/>
      <c r="I79" s="484"/>
      <c r="J79" s="466"/>
      <c r="K79" s="466"/>
      <c r="L79" s="488"/>
      <c r="M79" s="517"/>
      <c r="N79" s="488"/>
      <c r="O79" s="488"/>
      <c r="P79" s="484"/>
      <c r="Q79" s="484"/>
      <c r="R79" s="493"/>
      <c r="S79"/>
    </row>
    <row r="80" spans="1:20" x14ac:dyDescent="0.25">
      <c r="A80" s="484"/>
      <c r="B80" s="484"/>
      <c r="C80" s="484"/>
      <c r="D80" s="466"/>
      <c r="E80" s="484"/>
      <c r="F80" s="521"/>
      <c r="G80" s="484"/>
      <c r="H80" s="466"/>
      <c r="I80" s="485"/>
      <c r="J80" s="466"/>
      <c r="K80" s="466"/>
      <c r="L80" s="484"/>
      <c r="M80" s="466"/>
      <c r="N80" s="484"/>
      <c r="O80" s="484"/>
      <c r="P80" s="488"/>
      <c r="Q80" s="484"/>
      <c r="R80" s="493"/>
      <c r="S80"/>
    </row>
    <row r="81" spans="1:19" x14ac:dyDescent="0.25">
      <c r="A81" s="484" t="s">
        <v>165</v>
      </c>
      <c r="B81" s="485"/>
      <c r="C81" s="484"/>
      <c r="D81" s="466"/>
      <c r="E81" s="484"/>
      <c r="F81" s="484"/>
      <c r="G81" s="484"/>
      <c r="H81" s="466"/>
      <c r="I81" s="484"/>
      <c r="J81" s="466"/>
      <c r="K81" s="466"/>
      <c r="L81" s="484"/>
      <c r="M81" s="466"/>
      <c r="N81" s="484"/>
      <c r="O81" s="484"/>
      <c r="P81" s="484"/>
      <c r="Q81" s="484"/>
      <c r="R81" s="493"/>
      <c r="S81"/>
    </row>
    <row r="82" spans="1:19" x14ac:dyDescent="0.25">
      <c r="A82" s="484" t="s">
        <v>166</v>
      </c>
      <c r="B82" s="485"/>
      <c r="C82" s="484"/>
      <c r="D82" s="466"/>
      <c r="E82" s="484"/>
      <c r="F82" s="484"/>
      <c r="G82" s="484"/>
      <c r="H82" s="466"/>
      <c r="I82" s="484"/>
      <c r="J82" s="466"/>
      <c r="K82" s="466"/>
      <c r="L82" s="484"/>
      <c r="M82" s="466"/>
      <c r="N82" s="484"/>
      <c r="O82" s="484"/>
      <c r="P82" s="484"/>
      <c r="Q82" s="484"/>
      <c r="R82" s="493"/>
      <c r="S82"/>
    </row>
    <row r="83" spans="1: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</sheetData>
  <mergeCells count="7">
    <mergeCell ref="A75:E75"/>
    <mergeCell ref="A76:G76"/>
    <mergeCell ref="A78:G78"/>
    <mergeCell ref="A6:R6"/>
    <mergeCell ref="G8:P8"/>
    <mergeCell ref="A57:R57"/>
    <mergeCell ref="G59:P59"/>
  </mergeCells>
  <printOptions horizontalCentered="1"/>
  <pageMargins left="0.5" right="0" top="0.75" bottom="0.75" header="0.5" footer="0.25"/>
  <pageSetup scale="41" orientation="portrait" r:id="rId1"/>
  <headerFooter scaleWithDoc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L32"/>
  <sheetViews>
    <sheetView workbookViewId="0"/>
  </sheetViews>
  <sheetFormatPr defaultRowHeight="12.75" x14ac:dyDescent="0.2"/>
  <cols>
    <col min="1" max="1" width="16.83203125" style="67" customWidth="1"/>
    <col min="2" max="2" width="17" style="67" customWidth="1"/>
    <col min="3" max="3" width="16.83203125" style="67" customWidth="1"/>
    <col min="4" max="4" width="15.83203125" style="67" customWidth="1"/>
    <col min="5" max="5" width="19.6640625" style="67" customWidth="1"/>
    <col min="6" max="6" width="16.6640625" style="67" customWidth="1"/>
    <col min="7" max="7" width="21.83203125" style="67" customWidth="1"/>
    <col min="8" max="8" width="16.83203125" style="67" customWidth="1"/>
    <col min="9" max="9" width="4.83203125" style="67" customWidth="1"/>
    <col min="10" max="10" width="17.33203125" customWidth="1"/>
    <col min="11" max="11" width="15.33203125" customWidth="1"/>
    <col min="12" max="12" width="15" customWidth="1"/>
    <col min="21" max="21" width="16.83203125" style="67" customWidth="1"/>
    <col min="22" max="22" width="24" style="67" customWidth="1"/>
    <col min="23" max="23" width="36.1640625" style="67" customWidth="1"/>
    <col min="24" max="24" width="10.83203125" style="67" customWidth="1"/>
    <col min="25" max="25" width="14.6640625" style="67" customWidth="1"/>
    <col min="26" max="26" width="16" style="67" customWidth="1"/>
    <col min="27" max="27" width="17.6640625" style="67" customWidth="1"/>
    <col min="28" max="29" width="13" style="67" customWidth="1"/>
    <col min="30" max="30" width="17" style="67" customWidth="1"/>
    <col min="31" max="31" width="10.33203125" style="67" customWidth="1"/>
    <col min="32" max="32" width="17.5" style="67" bestFit="1" customWidth="1"/>
    <col min="33" max="33" width="15.83203125" style="67" customWidth="1"/>
    <col min="34" max="34" width="19.6640625" style="67" customWidth="1"/>
    <col min="35" max="35" width="4.5" style="67" customWidth="1"/>
    <col min="36" max="36" width="20.33203125" style="69" customWidth="1"/>
    <col min="37" max="37" width="16.5" style="67" bestFit="1" customWidth="1"/>
    <col min="38" max="39" width="16.83203125" style="67" bestFit="1" customWidth="1"/>
    <col min="40" max="40" width="13.1640625" style="67" bestFit="1" customWidth="1"/>
    <col min="41" max="41" width="16" style="67" bestFit="1" customWidth="1"/>
    <col min="42" max="42" width="14.6640625" style="67" bestFit="1" customWidth="1"/>
    <col min="43" max="43" width="15.5" style="67" bestFit="1" customWidth="1"/>
    <col min="44" max="44" width="14.6640625" style="67" bestFit="1" customWidth="1"/>
    <col min="45" max="45" width="11.83203125" style="67" bestFit="1" customWidth="1"/>
    <col min="46" max="16384" width="9.33203125" style="67"/>
  </cols>
  <sheetData>
    <row r="1" spans="1:36" x14ac:dyDescent="0.2">
      <c r="A1" s="66" t="str">
        <f>'Input Tab'!B2</f>
        <v>Kentucky Utilities Company</v>
      </c>
      <c r="H1" s="68" t="s">
        <v>31</v>
      </c>
      <c r="AE1" s="66"/>
    </row>
    <row r="2" spans="1:36" x14ac:dyDescent="0.2">
      <c r="A2" s="66" t="s">
        <v>11</v>
      </c>
      <c r="H2" s="70" t="s">
        <v>185</v>
      </c>
      <c r="AE2" s="66"/>
    </row>
    <row r="3" spans="1:36" x14ac:dyDescent="0.2">
      <c r="A3" s="71" t="s">
        <v>257</v>
      </c>
      <c r="H3" s="70" t="str">
        <f>'Input Tab'!B4</f>
        <v>Rahn</v>
      </c>
      <c r="AE3" s="66"/>
    </row>
    <row r="4" spans="1:36" x14ac:dyDescent="0.2">
      <c r="I4" s="70"/>
      <c r="V4" s="70"/>
      <c r="X4" s="71"/>
      <c r="AE4" s="66"/>
      <c r="AH4" s="70"/>
    </row>
    <row r="5" spans="1:36" ht="13.5" thickBot="1" x14ac:dyDescent="0.25">
      <c r="A5" s="178"/>
      <c r="I5" s="70"/>
      <c r="V5" s="70"/>
      <c r="X5" s="71"/>
      <c r="AE5" s="66"/>
      <c r="AH5" s="70"/>
    </row>
    <row r="6" spans="1:36" ht="13.5" thickBot="1" x14ac:dyDescent="0.25">
      <c r="A6" s="542" t="s">
        <v>102</v>
      </c>
      <c r="B6" s="543"/>
      <c r="C6" s="543"/>
      <c r="D6" s="543"/>
      <c r="E6" s="543"/>
      <c r="F6" s="543"/>
      <c r="G6" s="543"/>
      <c r="H6" s="544"/>
    </row>
    <row r="7" spans="1:36" x14ac:dyDescent="0.2">
      <c r="A7" s="125">
        <v>-1</v>
      </c>
      <c r="B7" s="126">
        <f t="shared" ref="B7:H7" si="0">A7-1</f>
        <v>-2</v>
      </c>
      <c r="C7" s="126">
        <f t="shared" si="0"/>
        <v>-3</v>
      </c>
      <c r="D7" s="126">
        <f t="shared" si="0"/>
        <v>-4</v>
      </c>
      <c r="E7" s="126">
        <f t="shared" si="0"/>
        <v>-5</v>
      </c>
      <c r="F7" s="126">
        <f t="shared" si="0"/>
        <v>-6</v>
      </c>
      <c r="G7" s="126">
        <f t="shared" si="0"/>
        <v>-7</v>
      </c>
      <c r="H7" s="124">
        <f t="shared" si="0"/>
        <v>-8</v>
      </c>
      <c r="V7" s="69"/>
      <c r="AJ7" s="67"/>
    </row>
    <row r="8" spans="1:36" s="72" customFormat="1" ht="38.25" x14ac:dyDescent="0.2">
      <c r="A8" s="209" t="s">
        <v>1</v>
      </c>
      <c r="B8" s="210" t="s">
        <v>14</v>
      </c>
      <c r="C8" s="210" t="s">
        <v>12</v>
      </c>
      <c r="D8" s="210" t="s">
        <v>7</v>
      </c>
      <c r="E8" s="210" t="s">
        <v>20</v>
      </c>
      <c r="F8" s="210" t="s">
        <v>15</v>
      </c>
      <c r="G8" s="210" t="s">
        <v>38</v>
      </c>
      <c r="H8" s="211" t="s">
        <v>16</v>
      </c>
      <c r="J8"/>
      <c r="K8"/>
      <c r="L8"/>
      <c r="M8"/>
      <c r="V8" s="73"/>
    </row>
    <row r="9" spans="1:36" x14ac:dyDescent="0.2">
      <c r="A9" s="74"/>
      <c r="B9" s="117" t="s">
        <v>106</v>
      </c>
      <c r="C9" s="80" t="s">
        <v>107</v>
      </c>
      <c r="D9" s="117"/>
      <c r="E9" s="77" t="s">
        <v>13</v>
      </c>
      <c r="F9" s="79" t="s">
        <v>24</v>
      </c>
      <c r="G9" s="77" t="s">
        <v>21</v>
      </c>
      <c r="H9" s="78" t="s">
        <v>25</v>
      </c>
      <c r="V9" s="69"/>
      <c r="AJ9" s="67"/>
    </row>
    <row r="10" spans="1:36" x14ac:dyDescent="0.2">
      <c r="A10" s="85">
        <f>'Q1 p.1 - Rate Base True-up Adj'!B9</f>
        <v>42979</v>
      </c>
      <c r="B10" s="83">
        <f>'Input Tab'!K18</f>
        <v>1048780703</v>
      </c>
      <c r="C10" s="84">
        <f t="shared" ref="C10:C15" si="1">B10/12</f>
        <v>87398391.916666672</v>
      </c>
      <c r="D10" s="86">
        <f>'Input Tab'!J18</f>
        <v>0.1042</v>
      </c>
      <c r="E10" s="83">
        <f>'Input Tab'!L18</f>
        <v>4829330.3666666662</v>
      </c>
      <c r="F10" s="84">
        <f t="shared" ref="F10:F15" si="2">(C10*D10)+E10</f>
        <v>13936242.804383334</v>
      </c>
      <c r="G10" s="86">
        <f>'Input Tab'!D18</f>
        <v>0.87170000000000003</v>
      </c>
      <c r="H10" s="115">
        <f t="shared" ref="H10:H15" si="3">F10*G10</f>
        <v>12148222.852580953</v>
      </c>
      <c r="U10" s="98"/>
      <c r="V10"/>
      <c r="W10"/>
      <c r="X10" s="93"/>
      <c r="Y10" s="93"/>
      <c r="Z10" s="93"/>
      <c r="AA10" s="93"/>
      <c r="AB10" s="93"/>
      <c r="AC10" s="93"/>
      <c r="AD10" s="93"/>
      <c r="AE10" s="93"/>
      <c r="AJ10" s="67"/>
    </row>
    <row r="11" spans="1:36" x14ac:dyDescent="0.2">
      <c r="A11" s="85">
        <f>'Q1 p.1 - Rate Base True-up Adj'!B10</f>
        <v>43009</v>
      </c>
      <c r="B11" s="83">
        <f>'Input Tab'!K19</f>
        <v>1046778708</v>
      </c>
      <c r="C11" s="88">
        <f t="shared" si="1"/>
        <v>87231559</v>
      </c>
      <c r="D11" s="86">
        <f>'Input Tab'!J19</f>
        <v>0.1042</v>
      </c>
      <c r="E11" s="416">
        <f>'Input Tab'!L19</f>
        <v>4906589.2866666671</v>
      </c>
      <c r="F11" s="88">
        <f t="shared" si="2"/>
        <v>13996117.734466666</v>
      </c>
      <c r="G11" s="86">
        <f>'Input Tab'!D19</f>
        <v>0.87939999999999996</v>
      </c>
      <c r="H11" s="116">
        <f t="shared" si="3"/>
        <v>12308185.935689986</v>
      </c>
      <c r="U11" s="98"/>
      <c r="V11"/>
      <c r="W11"/>
      <c r="X11" s="93"/>
      <c r="Y11" s="93"/>
      <c r="Z11" s="93"/>
      <c r="AA11" s="93"/>
      <c r="AB11" s="93"/>
      <c r="AC11" s="93"/>
      <c r="AD11" s="93"/>
      <c r="AE11" s="93"/>
      <c r="AJ11" s="67"/>
    </row>
    <row r="12" spans="1:36" x14ac:dyDescent="0.2">
      <c r="A12" s="85">
        <f>'Q1 p.1 - Rate Base True-up Adj'!B11</f>
        <v>43040</v>
      </c>
      <c r="B12" s="83">
        <f>'Input Tab'!K20</f>
        <v>1045172538</v>
      </c>
      <c r="C12" s="88">
        <f t="shared" si="1"/>
        <v>87097711.5</v>
      </c>
      <c r="D12" s="86">
        <f>'Input Tab'!J20</f>
        <v>0.1042</v>
      </c>
      <c r="E12" s="416">
        <f>'Input Tab'!L20</f>
        <v>5222159</v>
      </c>
      <c r="F12" s="88">
        <f t="shared" si="2"/>
        <v>14297740.5383</v>
      </c>
      <c r="G12" s="86">
        <f>'Input Tab'!D20</f>
        <v>0.87039999999999995</v>
      </c>
      <c r="H12" s="116">
        <f t="shared" si="3"/>
        <v>12444753.364536319</v>
      </c>
      <c r="U12" s="98"/>
      <c r="V12"/>
      <c r="W12"/>
      <c r="X12" s="93"/>
      <c r="Y12" s="93"/>
      <c r="Z12" s="93"/>
      <c r="AA12" s="93"/>
      <c r="AB12" s="93"/>
      <c r="AC12" s="93"/>
      <c r="AD12" s="93"/>
      <c r="AE12" s="93"/>
      <c r="AJ12" s="67"/>
    </row>
    <row r="13" spans="1:36" x14ac:dyDescent="0.2">
      <c r="A13" s="85">
        <f>'Q1 p.1 - Rate Base True-up Adj'!B12</f>
        <v>43070</v>
      </c>
      <c r="B13" s="83">
        <f>'Input Tab'!K21</f>
        <v>1124764196</v>
      </c>
      <c r="C13" s="88">
        <f t="shared" si="1"/>
        <v>93730349.666666672</v>
      </c>
      <c r="D13" s="86">
        <f>'Input Tab'!J21</f>
        <v>0.1042</v>
      </c>
      <c r="E13" s="416">
        <f>'Input Tab'!L21</f>
        <v>5133002</v>
      </c>
      <c r="F13" s="88">
        <f t="shared" si="2"/>
        <v>14899704.435266668</v>
      </c>
      <c r="G13" s="86">
        <f>'Input Tab'!D21</f>
        <v>0.88539999999999996</v>
      </c>
      <c r="H13" s="116">
        <f t="shared" si="3"/>
        <v>13192198.306985108</v>
      </c>
      <c r="U13" s="98"/>
      <c r="V13"/>
      <c r="W13"/>
      <c r="X13" s="93"/>
      <c r="Y13" s="93"/>
      <c r="Z13" s="93"/>
      <c r="AA13" s="93"/>
      <c r="AB13" s="93"/>
      <c r="AC13" s="93"/>
      <c r="AD13" s="93"/>
      <c r="AE13" s="93"/>
      <c r="AJ13" s="67"/>
    </row>
    <row r="14" spans="1:36" x14ac:dyDescent="0.2">
      <c r="A14" s="85">
        <f>'Q1 p.1 - Rate Base True-up Adj'!B13</f>
        <v>43101</v>
      </c>
      <c r="B14" s="83">
        <f>'Input Tab'!K22</f>
        <v>1137063315</v>
      </c>
      <c r="C14" s="88">
        <f t="shared" si="1"/>
        <v>94755276.25</v>
      </c>
      <c r="D14" s="86">
        <f>'Input Tab'!J22</f>
        <v>8.8999999999999996E-2</v>
      </c>
      <c r="E14" s="416">
        <f>'Input Tab'!L22</f>
        <v>5314224</v>
      </c>
      <c r="F14" s="88">
        <f t="shared" si="2"/>
        <v>13747443.58625</v>
      </c>
      <c r="G14" s="86">
        <f>'Input Tab'!D22</f>
        <v>0.85899999999999999</v>
      </c>
      <c r="H14" s="116">
        <f t="shared" si="3"/>
        <v>11809054.04058875</v>
      </c>
      <c r="U14" s="98"/>
      <c r="V14" s="69"/>
      <c r="W14"/>
      <c r="X14" s="108"/>
      <c r="AJ14" s="67"/>
    </row>
    <row r="15" spans="1:36" x14ac:dyDescent="0.2">
      <c r="A15" s="85">
        <f>'Q1 p.1 - Rate Base True-up Adj'!B14</f>
        <v>43132</v>
      </c>
      <c r="B15" s="83">
        <f>'Input Tab'!K23</f>
        <v>1145729650</v>
      </c>
      <c r="C15" s="88">
        <f t="shared" si="1"/>
        <v>95477470.833333328</v>
      </c>
      <c r="D15" s="86">
        <f>'Input Tab'!J23</f>
        <v>8.8999999999999996E-2</v>
      </c>
      <c r="E15" s="416">
        <f>'Input Tab'!L23</f>
        <v>4733842</v>
      </c>
      <c r="F15" s="88">
        <f t="shared" si="2"/>
        <v>13231336.904166665</v>
      </c>
      <c r="G15" s="86">
        <f>'Input Tab'!D23</f>
        <v>0.872</v>
      </c>
      <c r="H15" s="116">
        <f t="shared" si="3"/>
        <v>11537725.780433333</v>
      </c>
      <c r="U15" s="98"/>
      <c r="V15" s="69"/>
      <c r="W15"/>
      <c r="X15" s="108"/>
      <c r="AJ15" s="67"/>
    </row>
    <row r="16" spans="1:36" x14ac:dyDescent="0.2">
      <c r="A16" s="104"/>
      <c r="B16" s="88"/>
      <c r="C16" s="102"/>
      <c r="D16" s="102"/>
      <c r="E16" s="102"/>
      <c r="F16" s="102"/>
      <c r="G16" s="102"/>
      <c r="H16" s="87"/>
      <c r="U16" s="98"/>
      <c r="V16" s="69"/>
      <c r="W16"/>
      <c r="X16" s="108"/>
      <c r="AJ16" s="67"/>
    </row>
    <row r="17" spans="1:38" ht="13.5" thickBot="1" x14ac:dyDescent="0.25">
      <c r="A17" s="110"/>
      <c r="B17" s="111"/>
      <c r="C17" s="111"/>
      <c r="D17" s="113"/>
      <c r="E17" s="114"/>
      <c r="F17" s="111"/>
      <c r="G17" s="111"/>
      <c r="H17" s="112"/>
      <c r="U17" s="98"/>
      <c r="V17" s="109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U18" s="102"/>
      <c r="V18" s="10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3.5" thickBo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U19" s="102"/>
      <c r="V19" s="10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3.5" thickBot="1" x14ac:dyDescent="0.25">
      <c r="A20" s="542" t="s">
        <v>103</v>
      </c>
      <c r="B20" s="543"/>
      <c r="C20" s="543"/>
      <c r="D20" s="543"/>
      <c r="E20" s="543"/>
      <c r="F20" s="543"/>
      <c r="G20" s="543"/>
      <c r="H20" s="544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x14ac:dyDescent="0.2">
      <c r="A21" s="122">
        <v>-1</v>
      </c>
      <c r="B21" s="123">
        <f t="shared" ref="B21:H21" si="4">A21-1</f>
        <v>-2</v>
      </c>
      <c r="C21" s="123">
        <f t="shared" si="4"/>
        <v>-3</v>
      </c>
      <c r="D21" s="123">
        <f t="shared" si="4"/>
        <v>-4</v>
      </c>
      <c r="E21" s="123">
        <f t="shared" si="4"/>
        <v>-5</v>
      </c>
      <c r="F21" s="123">
        <f t="shared" si="4"/>
        <v>-6</v>
      </c>
      <c r="G21" s="123">
        <f t="shared" si="4"/>
        <v>-7</v>
      </c>
      <c r="H21" s="124">
        <f t="shared" si="4"/>
        <v>-8</v>
      </c>
      <c r="U21" s="9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38.25" x14ac:dyDescent="0.2">
      <c r="A22" s="209" t="s">
        <v>1</v>
      </c>
      <c r="B22" s="210" t="s">
        <v>14</v>
      </c>
      <c r="C22" s="210" t="s">
        <v>12</v>
      </c>
      <c r="D22" s="210" t="s">
        <v>7</v>
      </c>
      <c r="E22" s="210" t="s">
        <v>20</v>
      </c>
      <c r="F22" s="210" t="s">
        <v>15</v>
      </c>
      <c r="G22" s="210" t="s">
        <v>38</v>
      </c>
      <c r="H22" s="211" t="s">
        <v>16</v>
      </c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25.5" x14ac:dyDescent="0.2">
      <c r="A23" s="74"/>
      <c r="B23" s="117" t="s">
        <v>101</v>
      </c>
      <c r="C23" s="80" t="s">
        <v>239</v>
      </c>
      <c r="D23" s="117" t="s">
        <v>100</v>
      </c>
      <c r="E23" s="77" t="s">
        <v>13</v>
      </c>
      <c r="F23" s="79" t="s">
        <v>24</v>
      </c>
      <c r="G23" s="77" t="s">
        <v>21</v>
      </c>
      <c r="H23" s="78" t="s">
        <v>25</v>
      </c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x14ac:dyDescent="0.2">
      <c r="A24" s="85">
        <f>'Q1 p.1 - Rate Base True-up Adj'!B22</f>
        <v>42979</v>
      </c>
      <c r="B24" s="83">
        <f>'Input Tab'!O18</f>
        <v>41786965</v>
      </c>
      <c r="C24" s="84">
        <f t="shared" ref="C24:C29" si="5">B24/12</f>
        <v>3482247.0833333335</v>
      </c>
      <c r="D24" s="86">
        <f>'Input Tab'!N18</f>
        <v>0.1042</v>
      </c>
      <c r="E24" s="83">
        <f>'Input Tab'!P18</f>
        <v>88133</v>
      </c>
      <c r="F24" s="88">
        <f t="shared" ref="F24:F29" si="6">(C24*D24)+E24</f>
        <v>450983.14608333335</v>
      </c>
      <c r="G24" s="86">
        <f>'Input Tab'!D18</f>
        <v>0.87170000000000003</v>
      </c>
      <c r="H24" s="115">
        <f t="shared" ref="H24:H29" si="7">F24*G24</f>
        <v>393122.00844084169</v>
      </c>
      <c r="V24" s="69"/>
      <c r="AJ24" s="67"/>
    </row>
    <row r="25" spans="1:38" x14ac:dyDescent="0.2">
      <c r="A25" s="85">
        <f>'Q1 p.1 - Rate Base True-up Adj'!B23</f>
        <v>43009</v>
      </c>
      <c r="B25" s="416">
        <f>'Input Tab'!O19</f>
        <v>54008959</v>
      </c>
      <c r="C25" s="84">
        <f t="shared" si="5"/>
        <v>4500746.583333333</v>
      </c>
      <c r="D25" s="86">
        <f>'Input Tab'!N19</f>
        <v>0.1042</v>
      </c>
      <c r="E25" s="416">
        <f>'Input Tab'!P19</f>
        <v>107493</v>
      </c>
      <c r="F25" s="88">
        <f t="shared" si="6"/>
        <v>576470.79398333328</v>
      </c>
      <c r="G25" s="86">
        <f>'Input Tab'!D19</f>
        <v>0.87939999999999996</v>
      </c>
      <c r="H25" s="116">
        <f t="shared" si="7"/>
        <v>506948.41622894327</v>
      </c>
      <c r="V25" s="69"/>
      <c r="AJ25" s="67"/>
    </row>
    <row r="26" spans="1:38" x14ac:dyDescent="0.2">
      <c r="A26" s="85">
        <f>'Q1 p.1 - Rate Base True-up Adj'!B24</f>
        <v>43040</v>
      </c>
      <c r="B26" s="416">
        <f>'Input Tab'!O20</f>
        <v>64810333</v>
      </c>
      <c r="C26" s="84">
        <f t="shared" si="5"/>
        <v>5400861.083333333</v>
      </c>
      <c r="D26" s="86">
        <f>'Input Tab'!N20</f>
        <v>0.1042</v>
      </c>
      <c r="E26" s="416">
        <f>'Input Tab'!P20</f>
        <v>110891</v>
      </c>
      <c r="F26" s="88">
        <f t="shared" si="6"/>
        <v>673660.72488333331</v>
      </c>
      <c r="G26" s="86">
        <f>'Input Tab'!D20</f>
        <v>0.87039999999999995</v>
      </c>
      <c r="H26" s="116">
        <f t="shared" si="7"/>
        <v>586354.29493845324</v>
      </c>
      <c r="V26" s="69"/>
      <c r="AJ26" s="67"/>
    </row>
    <row r="27" spans="1:38" x14ac:dyDescent="0.2">
      <c r="A27" s="85">
        <f>'Q1 p.1 - Rate Base True-up Adj'!B25</f>
        <v>43070</v>
      </c>
      <c r="B27" s="416">
        <f>'Input Tab'!O21</f>
        <v>0</v>
      </c>
      <c r="C27" s="84">
        <f t="shared" si="5"/>
        <v>0</v>
      </c>
      <c r="D27" s="86">
        <f>'Input Tab'!N21</f>
        <v>0</v>
      </c>
      <c r="E27" s="416">
        <f>'Input Tab'!P21</f>
        <v>0</v>
      </c>
      <c r="F27" s="88">
        <f t="shared" si="6"/>
        <v>0</v>
      </c>
      <c r="G27" s="86">
        <f>'Input Tab'!D21</f>
        <v>0.88539999999999996</v>
      </c>
      <c r="H27" s="116">
        <f t="shared" si="7"/>
        <v>0</v>
      </c>
      <c r="V27" s="69"/>
      <c r="AJ27" s="67"/>
    </row>
    <row r="28" spans="1:38" x14ac:dyDescent="0.2">
      <c r="A28" s="85">
        <f>'Q1 p.1 - Rate Base True-up Adj'!B26</f>
        <v>43101</v>
      </c>
      <c r="B28" s="416">
        <f>'Input Tab'!O22</f>
        <v>0</v>
      </c>
      <c r="C28" s="84">
        <f t="shared" si="5"/>
        <v>0</v>
      </c>
      <c r="D28" s="86">
        <f>'Input Tab'!N22</f>
        <v>0</v>
      </c>
      <c r="E28" s="416">
        <f>'Input Tab'!P22</f>
        <v>0</v>
      </c>
      <c r="F28" s="88">
        <f t="shared" si="6"/>
        <v>0</v>
      </c>
      <c r="G28" s="86">
        <f>'Input Tab'!D22</f>
        <v>0.85899999999999999</v>
      </c>
      <c r="H28" s="116">
        <f t="shared" si="7"/>
        <v>0</v>
      </c>
      <c r="V28" s="69"/>
      <c r="AJ28" s="67"/>
    </row>
    <row r="29" spans="1:38" x14ac:dyDescent="0.2">
      <c r="A29" s="85">
        <f>'Q1 p.1 - Rate Base True-up Adj'!B27</f>
        <v>43132</v>
      </c>
      <c r="B29" s="416">
        <f>'Input Tab'!O23</f>
        <v>0</v>
      </c>
      <c r="C29" s="84">
        <f t="shared" si="5"/>
        <v>0</v>
      </c>
      <c r="D29" s="86">
        <f>'Input Tab'!N23</f>
        <v>0</v>
      </c>
      <c r="E29" s="416">
        <f>'Input Tab'!P23</f>
        <v>0</v>
      </c>
      <c r="F29" s="88">
        <f t="shared" si="6"/>
        <v>0</v>
      </c>
      <c r="G29" s="86">
        <f>'Input Tab'!D23</f>
        <v>0.872</v>
      </c>
      <c r="H29" s="116">
        <f t="shared" si="7"/>
        <v>0</v>
      </c>
      <c r="V29" s="69"/>
      <c r="AJ29" s="67"/>
    </row>
    <row r="30" spans="1:38" x14ac:dyDescent="0.2">
      <c r="A30" s="104"/>
      <c r="B30" s="88"/>
      <c r="C30" s="102"/>
      <c r="D30" s="102"/>
      <c r="E30" s="84"/>
      <c r="F30" s="102"/>
      <c r="G30" s="102"/>
      <c r="H30" s="87"/>
      <c r="V30" s="69"/>
      <c r="AJ30" s="67"/>
    </row>
    <row r="31" spans="1:38" ht="13.5" thickBot="1" x14ac:dyDescent="0.25">
      <c r="A31" s="110"/>
      <c r="B31" s="111"/>
      <c r="C31" s="111"/>
      <c r="D31" s="113"/>
      <c r="E31" s="114"/>
      <c r="F31" s="111"/>
      <c r="G31" s="111"/>
      <c r="H31" s="112"/>
      <c r="X31" s="69"/>
      <c r="AJ31" s="67"/>
    </row>
    <row r="32" spans="1:38" x14ac:dyDescent="0.2">
      <c r="X32" s="69"/>
      <c r="AJ32" s="67"/>
    </row>
  </sheetData>
  <mergeCells count="2">
    <mergeCell ref="A6:H6"/>
    <mergeCell ref="A20:H20"/>
  </mergeCells>
  <printOptions horizontalCentered="1"/>
  <pageMargins left="0.25" right="0.25" top="0.75" bottom="0.5" header="0.5" footer="0.5"/>
  <pageSetup scale="80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  <pageSetUpPr fitToPage="1"/>
  </sheetPr>
  <dimension ref="A1:L33"/>
  <sheetViews>
    <sheetView workbookViewId="0">
      <selection activeCell="L14" sqref="L14"/>
    </sheetView>
  </sheetViews>
  <sheetFormatPr defaultRowHeight="12.75" x14ac:dyDescent="0.2"/>
  <cols>
    <col min="1" max="1" width="15.83203125" style="67" customWidth="1"/>
    <col min="2" max="2" width="16.83203125" style="67" customWidth="1"/>
    <col min="3" max="4" width="14.83203125" style="67" customWidth="1"/>
    <col min="5" max="5" width="17.33203125" style="67" customWidth="1"/>
    <col min="6" max="6" width="13.1640625" style="67" customWidth="1"/>
    <col min="7" max="7" width="13.33203125" style="67" customWidth="1"/>
    <col min="8" max="9" width="16.83203125" style="67" customWidth="1"/>
    <col min="10" max="10" width="16.6640625" style="67" customWidth="1"/>
    <col min="11" max="12" width="16.83203125" style="67" customWidth="1"/>
    <col min="15" max="15" width="13.83203125" customWidth="1"/>
  </cols>
  <sheetData>
    <row r="1" spans="1:12" x14ac:dyDescent="0.2">
      <c r="A1" s="66" t="str">
        <f>'Input Tab'!B2</f>
        <v>Kentucky Utilities Company</v>
      </c>
      <c r="L1" s="68" t="str">
        <f>'Q2 p.1 - Retail E(m)'!H1</f>
        <v>Attachment to Response to Question No. 2</v>
      </c>
    </row>
    <row r="2" spans="1:12" x14ac:dyDescent="0.2">
      <c r="A2" s="66" t="str">
        <f>'Q2 p.1 - Retail E(m)'!A2</f>
        <v>Calculation of E(m) and Jurisdictional Surcharge Billing Factor</v>
      </c>
      <c r="L2" s="70" t="s">
        <v>186</v>
      </c>
    </row>
    <row r="3" spans="1:12" x14ac:dyDescent="0.2">
      <c r="A3" s="66" t="str">
        <f>'Q2 p.1 - Retail E(m)'!A3</f>
        <v xml:space="preserve">Summary Schedule for Expense Months </v>
      </c>
      <c r="L3" s="70" t="str">
        <f>'Q2 p.1 - Retail E(m)'!H3</f>
        <v>Rahn</v>
      </c>
    </row>
    <row r="4" spans="1:12" x14ac:dyDescent="0.2">
      <c r="B4" s="71"/>
    </row>
    <row r="5" spans="1:12" ht="13.5" thickBot="1" x14ac:dyDescent="0.25"/>
    <row r="6" spans="1:12" x14ac:dyDescent="0.2">
      <c r="A6" s="125">
        <v>-1</v>
      </c>
      <c r="B6" s="126">
        <f t="shared" ref="B6:C6" si="0">A6-1</f>
        <v>-2</v>
      </c>
      <c r="C6" s="126">
        <f t="shared" si="0"/>
        <v>-3</v>
      </c>
      <c r="D6" s="126">
        <f t="shared" ref="D6" si="1">C6-1</f>
        <v>-4</v>
      </c>
      <c r="E6" s="126">
        <f t="shared" ref="E6" si="2">D6-1</f>
        <v>-5</v>
      </c>
      <c r="F6" s="126">
        <f t="shared" ref="F6" si="3">E6-1</f>
        <v>-6</v>
      </c>
      <c r="G6" s="126">
        <f t="shared" ref="G6" si="4">F6-1</f>
        <v>-7</v>
      </c>
      <c r="H6" s="126">
        <f t="shared" ref="H6" si="5">G6-1</f>
        <v>-8</v>
      </c>
      <c r="I6" s="126">
        <f t="shared" ref="I6" si="6">H6-1</f>
        <v>-9</v>
      </c>
      <c r="J6" s="126">
        <f t="shared" ref="J6" si="7">I6-1</f>
        <v>-10</v>
      </c>
      <c r="K6" s="126">
        <f t="shared" ref="K6" si="8">J6-1</f>
        <v>-11</v>
      </c>
      <c r="L6" s="411">
        <f t="shared" ref="L6" si="9">K6-1</f>
        <v>-12</v>
      </c>
    </row>
    <row r="7" spans="1:12" ht="51" x14ac:dyDescent="0.2">
      <c r="A7" s="209" t="s">
        <v>1</v>
      </c>
      <c r="B7" s="210" t="s">
        <v>33</v>
      </c>
      <c r="C7" s="212" t="s">
        <v>39</v>
      </c>
      <c r="D7" s="212" t="s">
        <v>241</v>
      </c>
      <c r="E7" s="210" t="s">
        <v>26</v>
      </c>
      <c r="F7" s="210" t="s">
        <v>34</v>
      </c>
      <c r="G7" s="210" t="s">
        <v>35</v>
      </c>
      <c r="H7" s="210" t="s">
        <v>17</v>
      </c>
      <c r="I7" s="210" t="s">
        <v>27</v>
      </c>
      <c r="J7" s="210" t="s">
        <v>36</v>
      </c>
      <c r="K7" s="210" t="s">
        <v>37</v>
      </c>
      <c r="L7" s="211" t="s">
        <v>18</v>
      </c>
    </row>
    <row r="8" spans="1:12" ht="51" x14ac:dyDescent="0.2">
      <c r="A8" s="74"/>
      <c r="B8" s="117" t="s">
        <v>108</v>
      </c>
      <c r="C8" s="80" t="s">
        <v>189</v>
      </c>
      <c r="D8" s="80" t="s">
        <v>242</v>
      </c>
      <c r="E8" s="76" t="s">
        <v>243</v>
      </c>
      <c r="F8" s="77" t="s">
        <v>28</v>
      </c>
      <c r="G8" s="77" t="s">
        <v>28</v>
      </c>
      <c r="H8" s="77" t="s">
        <v>28</v>
      </c>
      <c r="I8" s="81"/>
      <c r="J8" s="77" t="s">
        <v>28</v>
      </c>
      <c r="K8" s="77" t="s">
        <v>28</v>
      </c>
      <c r="L8" s="82" t="s">
        <v>244</v>
      </c>
    </row>
    <row r="9" spans="1:12" x14ac:dyDescent="0.2">
      <c r="A9" s="104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87"/>
    </row>
    <row r="10" spans="1:12" x14ac:dyDescent="0.2">
      <c r="A10" s="85">
        <f>'Q2 p.1 - Retail E(m)'!A10</f>
        <v>42979</v>
      </c>
      <c r="B10" s="88">
        <f>'Q2 p.1 - Retail E(m)'!H10+'Q2 p.1 - Retail E(m)'!H24</f>
        <v>12541344.861021794</v>
      </c>
      <c r="C10" s="89">
        <f>'Input Tab'!Q18</f>
        <v>0</v>
      </c>
      <c r="D10" s="89">
        <f>'Input Tab'!R18</f>
        <v>0</v>
      </c>
      <c r="E10" s="84">
        <f>SUM(B10:D10)</f>
        <v>12541344.861021794</v>
      </c>
      <c r="F10" s="90">
        <f>'Input Tab'!S18</f>
        <v>3.216725186661426E-2</v>
      </c>
      <c r="G10" s="90">
        <f>'Input Tab'!T18</f>
        <v>4.7800000000000002E-2</v>
      </c>
      <c r="H10" s="219">
        <f>'Input Tab'!U18</f>
        <v>8581768</v>
      </c>
      <c r="I10" s="91">
        <f>'Q1 p.1 - Rate Base True-up Adj'!A9</f>
        <v>43040</v>
      </c>
      <c r="J10" s="83">
        <f>'Input Tab'!V18</f>
        <v>1338256.1799999997</v>
      </c>
      <c r="K10" s="83">
        <f>'Input Tab'!W18</f>
        <v>2235632.87</v>
      </c>
      <c r="L10" s="92">
        <f>(H10+J10+K10)-E10</f>
        <v>-385687.81102179363</v>
      </c>
    </row>
    <row r="11" spans="1:12" x14ac:dyDescent="0.2">
      <c r="A11" s="85">
        <f>'Q2 p.1 - Retail E(m)'!A11</f>
        <v>43009</v>
      </c>
      <c r="B11" s="88">
        <f>'Q2 p.1 - Retail E(m)'!H11+'Q2 p.1 - Retail E(m)'!H25</f>
        <v>12815134.351918928</v>
      </c>
      <c r="C11" s="89">
        <f>'Input Tab'!Q19</f>
        <v>0</v>
      </c>
      <c r="D11" s="89">
        <f>'Input Tab'!R19</f>
        <v>0</v>
      </c>
      <c r="E11" s="84">
        <f t="shared" ref="E11:E15" si="10">SUM(B11:D11)</f>
        <v>12815134.351918928</v>
      </c>
      <c r="F11" s="90">
        <f>'Input Tab'!S19</f>
        <v>3.5799999999999998E-2</v>
      </c>
      <c r="G11" s="90">
        <f>'Input Tab'!T19</f>
        <v>5.28E-2</v>
      </c>
      <c r="H11" s="219">
        <f>'Input Tab'!U19</f>
        <v>8417756</v>
      </c>
      <c r="I11" s="91">
        <f>'Q1 p.1 - Rate Base True-up Adj'!A10</f>
        <v>43070</v>
      </c>
      <c r="J11" s="83">
        <f>'Input Tab'!V19</f>
        <v>2053754.2400000005</v>
      </c>
      <c r="K11" s="83">
        <f>'Input Tab'!W19</f>
        <v>2421896.9699999993</v>
      </c>
      <c r="L11" s="97">
        <f t="shared" ref="L11:L15" si="11">(H11+J11+K11)-E11</f>
        <v>78272.858081070706</v>
      </c>
    </row>
    <row r="12" spans="1:12" x14ac:dyDescent="0.2">
      <c r="A12" s="85">
        <f>'Q2 p.1 - Retail E(m)'!A12</f>
        <v>43040</v>
      </c>
      <c r="B12" s="88">
        <f>'Q2 p.1 - Retail E(m)'!H12+'Q2 p.1 - Retail E(m)'!H26</f>
        <v>13031107.659474771</v>
      </c>
      <c r="C12" s="89">
        <f>'Input Tab'!Q20</f>
        <v>0</v>
      </c>
      <c r="D12" s="89">
        <f>'Input Tab'!R20</f>
        <v>0</v>
      </c>
      <c r="E12" s="84">
        <f t="shared" si="10"/>
        <v>13031107.659474771</v>
      </c>
      <c r="F12" s="90">
        <f>'Input Tab'!S20</f>
        <v>4.0099999999999997E-2</v>
      </c>
      <c r="G12" s="90">
        <f>'Input Tab'!T20</f>
        <v>5.91E-2</v>
      </c>
      <c r="H12" s="219">
        <f>'Input Tab'!U20</f>
        <v>8075189</v>
      </c>
      <c r="I12" s="91">
        <f>'Q1 p.1 - Rate Base True-up Adj'!A11</f>
        <v>43101</v>
      </c>
      <c r="J12" s="83">
        <f>'Input Tab'!V20</f>
        <v>3471143.9800000014</v>
      </c>
      <c r="K12" s="83">
        <f>'Input Tab'!W20</f>
        <v>3172050.9399999995</v>
      </c>
      <c r="L12" s="97">
        <f>(H12+J12+K12)-E12</f>
        <v>1687276.2605252285</v>
      </c>
    </row>
    <row r="13" spans="1:12" x14ac:dyDescent="0.2">
      <c r="A13" s="85">
        <f>'Q2 p.1 - Retail E(m)'!A13</f>
        <v>43070</v>
      </c>
      <c r="B13" s="88">
        <f>'Q2 p.1 - Retail E(m)'!H13+'Q2 p.1 - Retail E(m)'!H27</f>
        <v>13192198.306985108</v>
      </c>
      <c r="C13" s="89">
        <f>'Input Tab'!Q21</f>
        <v>723722</v>
      </c>
      <c r="D13" s="89">
        <f>'Input Tab'!R21</f>
        <v>0</v>
      </c>
      <c r="E13" s="84">
        <f t="shared" si="10"/>
        <v>13915920.306985108</v>
      </c>
      <c r="F13" s="90">
        <f>'Input Tab'!S21</f>
        <v>3.8800000000000001E-2</v>
      </c>
      <c r="G13" s="90">
        <f>'Input Tab'!T21</f>
        <v>5.7099999999999998E-2</v>
      </c>
      <c r="H13" s="219">
        <f>'Input Tab'!U21</f>
        <v>9096715</v>
      </c>
      <c r="I13" s="91">
        <f>'Q1 p.1 - Rate Base True-up Adj'!A12</f>
        <v>43132</v>
      </c>
      <c r="J13" s="83">
        <f>'Input Tab'!V21</f>
        <v>2579421.1799999992</v>
      </c>
      <c r="K13" s="83">
        <f>'Input Tab'!W21</f>
        <v>2949218.7999999993</v>
      </c>
      <c r="L13" s="97">
        <f>(H13+J13+K13)-E13</f>
        <v>709434.6730148904</v>
      </c>
    </row>
    <row r="14" spans="1:12" x14ac:dyDescent="0.2">
      <c r="A14" s="85">
        <f>'Q2 p.1 - Retail E(m)'!A14</f>
        <v>43101</v>
      </c>
      <c r="B14" s="88">
        <f>'Q2 p.1 - Retail E(m)'!H14+'Q2 p.1 - Retail E(m)'!H28</f>
        <v>11809054.04058875</v>
      </c>
      <c r="C14" s="89">
        <f>'Input Tab'!Q22</f>
        <v>0</v>
      </c>
      <c r="D14" s="89">
        <f>'Input Tab'!R22</f>
        <v>0</v>
      </c>
      <c r="E14" s="84">
        <f t="shared" si="10"/>
        <v>11809054.04058875</v>
      </c>
      <c r="F14" s="90">
        <f>'Input Tab'!S22</f>
        <v>-3.5999999999999999E-3</v>
      </c>
      <c r="G14" s="90">
        <f>'Input Tab'!T22</f>
        <v>-5.4000000000000003E-3</v>
      </c>
      <c r="H14" s="219">
        <f>'Input Tab'!U22</f>
        <v>12214566</v>
      </c>
      <c r="I14" s="91">
        <f>'Q1 p.1 - Rate Base True-up Adj'!A13</f>
        <v>43160</v>
      </c>
      <c r="J14" s="83">
        <f>'Input Tab'!V22</f>
        <v>-151515.84</v>
      </c>
      <c r="K14" s="83">
        <f>'Input Tab'!W22</f>
        <v>259490.20999999996</v>
      </c>
      <c r="L14" s="97">
        <f t="shared" si="11"/>
        <v>513486.32941125147</v>
      </c>
    </row>
    <row r="15" spans="1:12" x14ac:dyDescent="0.2">
      <c r="A15" s="85">
        <f>'Q2 p.1 - Retail E(m)'!A15</f>
        <v>43132</v>
      </c>
      <c r="B15" s="88">
        <f>'Q2 p.1 - Retail E(m)'!H15+'Q2 p.1 - Retail E(m)'!H29</f>
        <v>11537725.780433333</v>
      </c>
      <c r="C15" s="89">
        <f>'Input Tab'!Q23</f>
        <v>0</v>
      </c>
      <c r="D15" s="89">
        <f>'Input Tab'!R23</f>
        <v>3151</v>
      </c>
      <c r="E15" s="84">
        <f t="shared" si="10"/>
        <v>11540876.780433333</v>
      </c>
      <c r="F15" s="90">
        <f>'Input Tab'!S23</f>
        <v>-1.5699999999999999E-2</v>
      </c>
      <c r="G15" s="90">
        <f>'Input Tab'!T23</f>
        <v>-2.3099999999999999E-2</v>
      </c>
      <c r="H15" s="219">
        <f>'Input Tab'!U23</f>
        <v>13474261</v>
      </c>
      <c r="I15" s="91">
        <f>'Q1 p.1 - Rate Base True-up Adj'!A14</f>
        <v>43191</v>
      </c>
      <c r="J15" s="83">
        <f>'Input Tab'!V23</f>
        <v>-797366.80999999971</v>
      </c>
      <c r="K15" s="83">
        <f>'Input Tab'!W23</f>
        <v>-977333.06000000017</v>
      </c>
      <c r="L15" s="97">
        <f t="shared" si="11"/>
        <v>158684.34956666641</v>
      </c>
    </row>
    <row r="16" spans="1:12" x14ac:dyDescent="0.2">
      <c r="A16" s="104"/>
      <c r="B16" s="102"/>
      <c r="C16" s="102"/>
      <c r="D16" s="102"/>
      <c r="E16" s="105">
        <f>SUM(E10:E15)</f>
        <v>75653438.000422686</v>
      </c>
      <c r="F16" s="102"/>
      <c r="G16" s="102"/>
      <c r="H16" s="105">
        <f>SUM(H10:H15)</f>
        <v>59860255</v>
      </c>
      <c r="I16" s="102"/>
      <c r="J16" s="105">
        <f>SUM(J10:J15)</f>
        <v>8493692.9299999997</v>
      </c>
      <c r="K16" s="105">
        <f>SUM(K10:K15)</f>
        <v>10060956.729999999</v>
      </c>
      <c r="L16" s="106">
        <f>SUM(L10:L15)</f>
        <v>2761466.6595773138</v>
      </c>
    </row>
    <row r="17" spans="1:12" ht="13.5" thickBot="1" x14ac:dyDescent="0.25">
      <c r="A17" s="110"/>
      <c r="B17" s="144"/>
      <c r="C17" s="144"/>
      <c r="D17" s="144"/>
      <c r="E17" s="111"/>
      <c r="F17" s="144"/>
      <c r="G17" s="144"/>
      <c r="H17" s="144"/>
      <c r="I17" s="144"/>
      <c r="J17" s="144"/>
      <c r="K17" s="144"/>
      <c r="L17" s="145"/>
    </row>
    <row r="18" spans="1:12" x14ac:dyDescent="0.2">
      <c r="A18"/>
      <c r="B18"/>
    </row>
    <row r="19" spans="1:12" x14ac:dyDescent="0.2">
      <c r="A19"/>
      <c r="B19"/>
    </row>
    <row r="20" spans="1:12" x14ac:dyDescent="0.2">
      <c r="A20"/>
      <c r="B20"/>
      <c r="C20"/>
      <c r="D20"/>
      <c r="E20"/>
      <c r="F20"/>
      <c r="G20"/>
      <c r="H20"/>
    </row>
    <row r="21" spans="1:12" x14ac:dyDescent="0.2">
      <c r="A21"/>
      <c r="B21"/>
      <c r="C21"/>
      <c r="D21"/>
      <c r="E21"/>
      <c r="F21"/>
      <c r="G21"/>
      <c r="H21"/>
    </row>
    <row r="22" spans="1:12" x14ac:dyDescent="0.2">
      <c r="B22"/>
      <c r="C22"/>
      <c r="D22"/>
      <c r="E22"/>
      <c r="F22"/>
      <c r="G22"/>
      <c r="H22"/>
    </row>
    <row r="23" spans="1:12" x14ac:dyDescent="0.2">
      <c r="B23"/>
      <c r="C23"/>
      <c r="D23"/>
      <c r="E23"/>
      <c r="F23"/>
      <c r="G23"/>
      <c r="H23"/>
    </row>
    <row r="24" spans="1:12" x14ac:dyDescent="0.2">
      <c r="B24"/>
      <c r="C24"/>
      <c r="D24"/>
      <c r="E24"/>
      <c r="F24"/>
      <c r="G24"/>
      <c r="H24"/>
    </row>
    <row r="25" spans="1:12" x14ac:dyDescent="0.2">
      <c r="B25"/>
      <c r="C25"/>
      <c r="D25"/>
      <c r="E25"/>
      <c r="F25"/>
      <c r="G25"/>
      <c r="H25"/>
    </row>
    <row r="26" spans="1:12" x14ac:dyDescent="0.2">
      <c r="B26"/>
      <c r="C26"/>
      <c r="D26"/>
      <c r="E26"/>
      <c r="F26"/>
      <c r="G26"/>
      <c r="H26"/>
    </row>
    <row r="27" spans="1:12" x14ac:dyDescent="0.2">
      <c r="B27"/>
      <c r="C27"/>
      <c r="D27"/>
      <c r="E27"/>
      <c r="F27"/>
      <c r="G27"/>
      <c r="H27"/>
    </row>
    <row r="28" spans="1:12" x14ac:dyDescent="0.2">
      <c r="B28"/>
      <c r="C28"/>
      <c r="D28"/>
      <c r="E28"/>
      <c r="F28"/>
      <c r="G28"/>
      <c r="H28"/>
    </row>
    <row r="29" spans="1:12" x14ac:dyDescent="0.2">
      <c r="B29"/>
      <c r="C29"/>
      <c r="D29"/>
      <c r="E29"/>
      <c r="F29"/>
      <c r="G29"/>
      <c r="H29"/>
    </row>
    <row r="30" spans="1:12" x14ac:dyDescent="0.2">
      <c r="B30"/>
      <c r="C30"/>
      <c r="D30"/>
      <c r="E30"/>
      <c r="F30"/>
      <c r="G30"/>
      <c r="H30"/>
    </row>
    <row r="31" spans="1:12" x14ac:dyDescent="0.2">
      <c r="B31"/>
      <c r="C31"/>
      <c r="D31"/>
      <c r="E31"/>
      <c r="F31"/>
      <c r="G31"/>
      <c r="H31"/>
    </row>
    <row r="32" spans="1:12" x14ac:dyDescent="0.2">
      <c r="B32"/>
      <c r="C32"/>
      <c r="D32"/>
      <c r="E32"/>
      <c r="F32"/>
      <c r="G32"/>
      <c r="H32"/>
    </row>
    <row r="33" spans="2:8" x14ac:dyDescent="0.2">
      <c r="B33"/>
      <c r="C33"/>
      <c r="D33"/>
      <c r="E33"/>
      <c r="F33"/>
      <c r="G33"/>
      <c r="H33"/>
    </row>
  </sheetData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Input Tab</vt:lpstr>
      <vt:lpstr>Q1 p.1 - Rate Base True-up Adj</vt:lpstr>
      <vt:lpstr>Q1 p.2 - Rate of Return Adj</vt:lpstr>
      <vt:lpstr>Q1 p3. - ROR (Dec 2017)</vt:lpstr>
      <vt:lpstr>Q1 p4. - ROR (Feb 2018)</vt:lpstr>
      <vt:lpstr>Q1 p.5 - ECC (Dec 2017)</vt:lpstr>
      <vt:lpstr>Q1 p.6 - ECC (Feb 2018)</vt:lpstr>
      <vt:lpstr>Q2 p.1 - Retail E(m)</vt:lpstr>
      <vt:lpstr>Q2 p.2 - Detailed Over-Under</vt:lpstr>
      <vt:lpstr>Q2 p.3 - Summary Over-Under</vt:lpstr>
      <vt:lpstr>Q2 p.4 - Detailed Variances </vt:lpstr>
      <vt:lpstr>'Q1 p3. - ROR (Dec 2017)'!Print_Area</vt:lpstr>
      <vt:lpstr>'Q1 p4. - ROR (Feb 2018)'!Print_Area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2018-03-14T13:31:34Z</dcterms:created>
  <dcterms:modified xsi:type="dcterms:W3CDTF">2018-09-04T15:20:51Z</dcterms:modified>
</cp:coreProperties>
</file>