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uiwater.com\files\Rate Case\Kentucky\2018 WSCKY Rate Case\Data Requests\Set 1\"/>
    </mc:Choice>
  </mc:AlternateContent>
  <bookViews>
    <workbookView xWindow="0" yWindow="0" windowWidth="28800" windowHeight="11925" activeTab="1"/>
  </bookViews>
  <sheets>
    <sheet name="checks" sheetId="33" r:id="rId1"/>
    <sheet name="Linkin" sheetId="39" r:id="rId2"/>
    <sheet name="RB" sheetId="40" r:id="rId3"/>
    <sheet name="SCH-A" sheetId="27" r:id="rId4"/>
    <sheet name="COS 1" sheetId="19" r:id="rId5"/>
    <sheet name="F 1-2" sheetId="1" r:id="rId6"/>
    <sheet name="F 2 B" sheetId="2" r:id="rId7"/>
    <sheet name="F 3-4" sheetId="4" r:id="rId8"/>
    <sheet name="F 3B 4B" sheetId="5" r:id="rId9"/>
    <sheet name="F 5" sheetId="6" r:id="rId10"/>
    <sheet name="F 5B" sheetId="7" r:id="rId11"/>
    <sheet name="F6" sheetId="8" r:id="rId12"/>
    <sheet name="F7-9" sheetId="9" r:id="rId13"/>
    <sheet name="Meters &amp; Services" sheetId="31" r:id="rId14"/>
    <sheet name="F10-11" sheetId="10" r:id="rId15"/>
    <sheet name="F 12-17" sheetId="12" r:id="rId16"/>
    <sheet name="SCH-D" sheetId="28" r:id="rId17"/>
    <sheet name="SCH-E" sheetId="16" r:id="rId18"/>
    <sheet name="SCH-F" sheetId="35" r:id="rId19"/>
    <sheet name="SCH-G" sheetId="34" r:id="rId20"/>
  </sheets>
  <definedNames>
    <definedName name="ALLOCATION_TABLE">RB!$B$712:$E$719</definedName>
    <definedName name="comp">'COS 1'!$Z$189:$AO$189</definedName>
    <definedName name="CUST" localSheetId="13">#REF!</definedName>
    <definedName name="CUST" localSheetId="18">#REF!</definedName>
    <definedName name="CUST" localSheetId="19">#REF!</definedName>
    <definedName name="CUST">'F 1-2'!$D$54:$M$71</definedName>
    <definedName name="fact">#REF!</definedName>
    <definedName name="FACT3" localSheetId="7">'F 3-4'!$A$1:$FL$1349</definedName>
    <definedName name="FACT3A" localSheetId="5">'F 1-2'!$Z$13:$BE$258</definedName>
    <definedName name="FACT3A" localSheetId="6">'F 2 B'!$W$11:$BB$261</definedName>
    <definedName name="FACT3A" localSheetId="7">'F 3-4'!$W$12:$BB$259</definedName>
    <definedName name="factor">'COS 1'!$AA$189:$AO$194</definedName>
    <definedName name="Factors">'COS 1'!$K$195:$Z$230</definedName>
    <definedName name="FIRE" localSheetId="5">'F 1-2'!$AC$71:$EU$905</definedName>
    <definedName name="FIRE" localSheetId="6">'F 2 B'!$Z$74:$ER$908</definedName>
    <definedName name="FIRE" localSheetId="7">'F 3-4'!$Z$74:$ER$906</definedName>
    <definedName name="func">'COS 1'!$AH$199:$AY$219</definedName>
    <definedName name="_xlnm.Print_Area" localSheetId="4">'COS 1'!$D$10:$X$167</definedName>
    <definedName name="_xlnm.Print_Area" localSheetId="5">'F 1-2'!$B$1:$M$49</definedName>
    <definedName name="_xlnm.Print_Area" localSheetId="15">'F 12-17'!$A$1:$F$130</definedName>
    <definedName name="_xlnm.Print_Area" localSheetId="6">'F 2 B'!$A$1:$J$37</definedName>
    <definedName name="_xlnm.Print_Area" localSheetId="7">'F 3-4'!$A$1:$Q$27,'F 3-4'!$A$29:$S$57</definedName>
    <definedName name="_xlnm.Print_Area" localSheetId="8">'F 3B 4B'!$A$1:$K$25,'F 3B 4B'!$A$28:$K$69</definedName>
    <definedName name="_xlnm.Print_Area" localSheetId="9">'F 5'!$A$1:$R$27</definedName>
    <definedName name="_xlnm.Print_Area" localSheetId="10">'F 5B'!$A$1:$J$44</definedName>
    <definedName name="_xlnm.Print_Area" localSheetId="14">'F10-11'!$A$1:$F$42</definedName>
    <definedName name="_xlnm.Print_Area" localSheetId="11">'F6'!$A$1:$P$36</definedName>
    <definedName name="_xlnm.Print_Area" localSheetId="12">'F7-9'!$A$1:$F$56</definedName>
    <definedName name="_xlnm.Print_Area" localSheetId="13">'Meters &amp; Services'!$B$1:$AF$56</definedName>
    <definedName name="_xlnm.Print_Area" localSheetId="3">'SCH-A'!$B$4:$R$38</definedName>
    <definedName name="_xlnm.Print_Area" localSheetId="16">'SCH-D'!$B$1:$J$33</definedName>
    <definedName name="_xlnm.Print_Area" localSheetId="17">'SCH-E'!$C$1:$O$39</definedName>
    <definedName name="_xlnm.Print_Area" localSheetId="18">'SCH-F'!$A$1:$K$20</definedName>
    <definedName name="_xlnm.Print_Area" localSheetId="19">'SCH-G'!$C$1:$K$45</definedName>
    <definedName name="_xlnm.Print_Titles" localSheetId="4">'COS 1'!$1:$9</definedName>
  </definedNames>
  <calcPr calcId="171027" iterate="1"/>
</workbook>
</file>

<file path=xl/calcChain.xml><?xml version="1.0" encoding="utf-8"?>
<calcChain xmlns="http://schemas.openxmlformats.org/spreadsheetml/2006/main">
  <c r="AG129" i="19" l="1"/>
  <c r="AG130" i="19"/>
  <c r="AG131" i="19"/>
  <c r="AG132" i="19"/>
  <c r="AG133" i="19"/>
  <c r="AG134" i="19"/>
  <c r="AG135" i="19"/>
  <c r="AG136" i="19"/>
  <c r="AG137" i="19"/>
  <c r="AG138" i="19"/>
  <c r="AG139" i="19"/>
  <c r="AG140" i="19"/>
  <c r="AG142" i="19"/>
  <c r="AG143" i="19"/>
  <c r="AG144" i="19"/>
  <c r="AG145" i="19"/>
  <c r="AG146" i="19"/>
  <c r="AG147" i="19"/>
  <c r="AG148" i="19"/>
  <c r="AG149" i="19"/>
  <c r="AG150" i="19"/>
  <c r="AG151" i="19"/>
  <c r="AG152" i="19"/>
  <c r="AG153" i="19"/>
  <c r="AG154" i="19"/>
  <c r="AG160" i="19"/>
  <c r="AG161" i="19"/>
  <c r="AG162" i="19"/>
  <c r="F38" i="7" l="1"/>
  <c r="I32" i="40" l="1"/>
  <c r="I33" i="40"/>
  <c r="I34" i="40"/>
  <c r="I37" i="40"/>
  <c r="I44" i="40"/>
  <c r="I45" i="40"/>
  <c r="I46" i="40"/>
  <c r="I47" i="40"/>
  <c r="I43" i="40" l="1"/>
  <c r="I38" i="40"/>
  <c r="I36" i="40"/>
  <c r="I5" i="40"/>
  <c r="I4" i="40"/>
  <c r="I3" i="40"/>
  <c r="I2" i="40"/>
  <c r="I6" i="40" l="1"/>
  <c r="I8" i="40"/>
  <c r="I10" i="40"/>
  <c r="I12" i="40"/>
  <c r="I14" i="40"/>
  <c r="I16" i="40"/>
  <c r="I18" i="40"/>
  <c r="I20" i="40"/>
  <c r="I22" i="40"/>
  <c r="I24" i="40"/>
  <c r="I26" i="40"/>
  <c r="I28" i="40"/>
  <c r="I30" i="40"/>
  <c r="I39" i="40"/>
  <c r="I35" i="40"/>
  <c r="I41" i="40"/>
  <c r="I7" i="40"/>
  <c r="I9" i="40"/>
  <c r="I11" i="40"/>
  <c r="I13" i="40"/>
  <c r="I15" i="40"/>
  <c r="I17" i="40"/>
  <c r="I19" i="40"/>
  <c r="I21" i="40"/>
  <c r="I23" i="40"/>
  <c r="I25" i="40"/>
  <c r="I27" i="40"/>
  <c r="I29" i="40"/>
  <c r="I31" i="40"/>
  <c r="I40" i="40"/>
  <c r="I42" i="40"/>
  <c r="K33" i="39" l="1"/>
  <c r="J68" i="27" l="1"/>
  <c r="AE48" i="19" l="1"/>
  <c r="I14" i="39" l="1"/>
  <c r="I15" i="39"/>
  <c r="BA118" i="19" l="1"/>
  <c r="BA120" i="19"/>
  <c r="BA122" i="19"/>
  <c r="Z114" i="19"/>
  <c r="Z116" i="19"/>
  <c r="Z118" i="19"/>
  <c r="Z120" i="19"/>
  <c r="Z122" i="19"/>
  <c r="Z124" i="19"/>
  <c r="AT213" i="19" l="1"/>
  <c r="AT215" i="19"/>
  <c r="AT216" i="19"/>
  <c r="AT217" i="19"/>
  <c r="AT218" i="19"/>
  <c r="D34" i="27"/>
  <c r="AE132" i="19"/>
  <c r="AE133" i="19"/>
  <c r="AE134" i="19"/>
  <c r="AE135" i="19"/>
  <c r="AE100" i="19"/>
  <c r="AG100" i="19"/>
  <c r="AG80" i="19"/>
  <c r="AG86" i="19"/>
  <c r="AG89" i="19"/>
  <c r="AE72" i="19"/>
  <c r="AE73" i="19"/>
  <c r="AE74" i="19"/>
  <c r="AE75" i="19"/>
  <c r="AE76" i="19"/>
  <c r="AE77" i="19"/>
  <c r="AE78" i="19"/>
  <c r="AE79" i="19"/>
  <c r="AE80" i="19"/>
  <c r="AE81" i="19"/>
  <c r="AE83" i="19"/>
  <c r="AE84" i="19"/>
  <c r="AE85" i="19"/>
  <c r="AE86" i="19"/>
  <c r="AE87" i="19"/>
  <c r="AE88" i="19"/>
  <c r="AE89" i="19"/>
  <c r="AG88" i="19"/>
  <c r="AG76" i="19"/>
  <c r="AG87" i="19"/>
  <c r="AG85" i="19"/>
  <c r="AG81" i="19"/>
  <c r="AG79" i="19"/>
  <c r="AG78" i="19"/>
  <c r="AG77" i="19"/>
  <c r="AG75" i="19"/>
  <c r="AG74" i="19"/>
  <c r="AG73" i="19"/>
  <c r="AG72" i="19"/>
  <c r="B7" i="39"/>
  <c r="C7" i="39"/>
  <c r="D7" i="39"/>
  <c r="E7" i="39"/>
  <c r="F7" i="39"/>
  <c r="G7" i="39"/>
  <c r="H7" i="39"/>
  <c r="I7" i="39"/>
  <c r="J7" i="39"/>
  <c r="C8" i="39"/>
  <c r="D8" i="39"/>
  <c r="E8" i="39"/>
  <c r="F8" i="39"/>
  <c r="G8" i="39"/>
  <c r="H8" i="39"/>
  <c r="I8" i="39"/>
  <c r="C9" i="39"/>
  <c r="D9" i="39"/>
  <c r="E9" i="39"/>
  <c r="F9" i="39"/>
  <c r="G9" i="39"/>
  <c r="H9" i="39"/>
  <c r="I9" i="39"/>
  <c r="J9" i="39"/>
  <c r="C10" i="39"/>
  <c r="D10" i="39"/>
  <c r="F10" i="39"/>
  <c r="G10" i="39"/>
  <c r="H10" i="39"/>
  <c r="I10" i="39"/>
  <c r="J10" i="39"/>
  <c r="D11" i="39"/>
  <c r="F11" i="39"/>
  <c r="G11" i="39"/>
  <c r="H11" i="39"/>
  <c r="I11" i="39"/>
  <c r="J11" i="39"/>
  <c r="C13" i="39"/>
  <c r="D13" i="39"/>
  <c r="F13" i="39"/>
  <c r="G13" i="39"/>
  <c r="H13" i="39"/>
  <c r="I13" i="39"/>
  <c r="J13" i="39"/>
  <c r="C14" i="39"/>
  <c r="D14" i="39"/>
  <c r="E14" i="39"/>
  <c r="F14" i="39"/>
  <c r="G14" i="39"/>
  <c r="H14" i="39"/>
  <c r="C15" i="39"/>
  <c r="D15" i="39"/>
  <c r="E15" i="39"/>
  <c r="F15" i="39"/>
  <c r="G15" i="39"/>
  <c r="H15" i="39"/>
  <c r="C16" i="39"/>
  <c r="D16" i="39"/>
  <c r="E16" i="39"/>
  <c r="F16" i="39"/>
  <c r="G16" i="39"/>
  <c r="H16" i="39"/>
  <c r="C17" i="39"/>
  <c r="D17" i="39"/>
  <c r="F17" i="39"/>
  <c r="G17" i="39"/>
  <c r="H17" i="39"/>
  <c r="I17" i="39"/>
  <c r="J17" i="39"/>
  <c r="C19" i="39"/>
  <c r="D19" i="39"/>
  <c r="E19" i="39"/>
  <c r="F19" i="39"/>
  <c r="G19" i="39"/>
  <c r="H19" i="39"/>
  <c r="I19" i="39"/>
  <c r="C20" i="39"/>
  <c r="D20" i="39"/>
  <c r="E20" i="39"/>
  <c r="F20" i="39"/>
  <c r="G20" i="39"/>
  <c r="H20" i="39"/>
  <c r="I20" i="39"/>
  <c r="B21" i="39"/>
  <c r="K21" i="39" s="1"/>
  <c r="C21" i="39"/>
  <c r="D21" i="39"/>
  <c r="E21" i="39"/>
  <c r="F21" i="39"/>
  <c r="G21" i="39"/>
  <c r="H21" i="39"/>
  <c r="I21" i="39"/>
  <c r="J21" i="39"/>
  <c r="C22" i="39"/>
  <c r="D22" i="39"/>
  <c r="E22" i="39"/>
  <c r="F22" i="39"/>
  <c r="G22" i="39"/>
  <c r="H22" i="39"/>
  <c r="I22" i="39"/>
  <c r="B23" i="39"/>
  <c r="C23" i="39"/>
  <c r="D23" i="39"/>
  <c r="E23" i="39"/>
  <c r="F23" i="39"/>
  <c r="G23" i="39"/>
  <c r="H23" i="39"/>
  <c r="I23" i="39"/>
  <c r="J23" i="39"/>
  <c r="C24" i="39"/>
  <c r="D24" i="39"/>
  <c r="E24" i="39"/>
  <c r="F24" i="39"/>
  <c r="G24" i="39"/>
  <c r="H24" i="39"/>
  <c r="J24" i="39"/>
  <c r="B25" i="39"/>
  <c r="C25" i="39"/>
  <c r="D25" i="39"/>
  <c r="E25" i="39"/>
  <c r="F25" i="39"/>
  <c r="G25" i="39"/>
  <c r="H25" i="39"/>
  <c r="J25" i="39"/>
  <c r="B26" i="39"/>
  <c r="K26" i="39" s="1"/>
  <c r="C26" i="39"/>
  <c r="D26" i="39"/>
  <c r="E26" i="39"/>
  <c r="F26" i="39"/>
  <c r="G26" i="39"/>
  <c r="H26" i="39"/>
  <c r="I26" i="39"/>
  <c r="J26" i="39"/>
  <c r="C27" i="39"/>
  <c r="D27" i="39"/>
  <c r="E27" i="39"/>
  <c r="F27" i="39"/>
  <c r="G27" i="39"/>
  <c r="H27" i="39"/>
  <c r="I27" i="39"/>
  <c r="C28" i="39"/>
  <c r="D28" i="39"/>
  <c r="E28" i="39"/>
  <c r="F28" i="39"/>
  <c r="G28" i="39"/>
  <c r="H28" i="39"/>
  <c r="I28" i="39"/>
  <c r="B29" i="39"/>
  <c r="C29" i="39"/>
  <c r="D29" i="39"/>
  <c r="E29" i="39"/>
  <c r="F29" i="39"/>
  <c r="G29" i="39"/>
  <c r="H29" i="39"/>
  <c r="I29" i="39"/>
  <c r="C30" i="39"/>
  <c r="D30" i="39"/>
  <c r="F30" i="39"/>
  <c r="G30" i="39"/>
  <c r="H30" i="39"/>
  <c r="I30" i="39"/>
  <c r="J30" i="39"/>
  <c r="C31" i="39"/>
  <c r="D31" i="39"/>
  <c r="E31" i="39"/>
  <c r="F31" i="39"/>
  <c r="H31" i="39"/>
  <c r="I31" i="39"/>
  <c r="J31" i="39"/>
  <c r="C32" i="39"/>
  <c r="D32" i="39"/>
  <c r="E32" i="39"/>
  <c r="F32" i="39"/>
  <c r="G32" i="39"/>
  <c r="H32" i="39"/>
  <c r="I32" i="39"/>
  <c r="J103" i="39"/>
  <c r="J99" i="39"/>
  <c r="B31" i="39"/>
  <c r="E88" i="39"/>
  <c r="J79" i="39"/>
  <c r="J87" i="39"/>
  <c r="K104" i="39"/>
  <c r="K101" i="39"/>
  <c r="K100" i="39"/>
  <c r="K97" i="39"/>
  <c r="K96" i="39"/>
  <c r="K94" i="39"/>
  <c r="K92" i="39"/>
  <c r="K91" i="39"/>
  <c r="K86" i="39"/>
  <c r="K81" i="39"/>
  <c r="K80" i="39"/>
  <c r="K78" i="39"/>
  <c r="B22" i="39"/>
  <c r="E53" i="39"/>
  <c r="C48" i="39"/>
  <c r="E46" i="39"/>
  <c r="K46" i="39" s="1"/>
  <c r="K45" i="39"/>
  <c r="B8" i="39"/>
  <c r="B13" i="39"/>
  <c r="E13" i="39" s="1"/>
  <c r="J64" i="39"/>
  <c r="B27" i="39"/>
  <c r="K69" i="39"/>
  <c r="J65" i="39"/>
  <c r="K65" i="39" s="1"/>
  <c r="J62" i="39"/>
  <c r="K62" i="39" s="1"/>
  <c r="I61" i="39"/>
  <c r="I60" i="39"/>
  <c r="K59" i="39"/>
  <c r="K57" i="39"/>
  <c r="C54" i="39"/>
  <c r="B15" i="39"/>
  <c r="I52" i="39"/>
  <c r="I16" i="39" s="1"/>
  <c r="AG48" i="19" s="1"/>
  <c r="K43" i="39"/>
  <c r="W24" i="39"/>
  <c r="W23" i="39"/>
  <c r="W22" i="39"/>
  <c r="W21" i="39"/>
  <c r="W20" i="39"/>
  <c r="W19" i="39"/>
  <c r="W18" i="39"/>
  <c r="W17" i="39"/>
  <c r="W16" i="39"/>
  <c r="W15" i="39"/>
  <c r="W14" i="39"/>
  <c r="W12" i="39"/>
  <c r="W11" i="39"/>
  <c r="W10" i="39"/>
  <c r="W9" i="39"/>
  <c r="W8" i="39"/>
  <c r="W7" i="39"/>
  <c r="W6" i="39"/>
  <c r="W5" i="39"/>
  <c r="W4" i="39"/>
  <c r="W3" i="39"/>
  <c r="J29" i="39" l="1"/>
  <c r="K29" i="39"/>
  <c r="K23" i="39"/>
  <c r="K7" i="39"/>
  <c r="H34" i="27"/>
  <c r="K13" i="39"/>
  <c r="AM48" i="19"/>
  <c r="AO48" i="19"/>
  <c r="AU48" i="19"/>
  <c r="AI48" i="19"/>
  <c r="AQ48" i="19"/>
  <c r="AK48" i="19"/>
  <c r="B19" i="39"/>
  <c r="B14" i="39"/>
  <c r="B11" i="39"/>
  <c r="K61" i="39"/>
  <c r="F42" i="39"/>
  <c r="D42" i="39"/>
  <c r="H42" i="39"/>
  <c r="G42" i="39"/>
  <c r="E42" i="39"/>
  <c r="I25" i="39"/>
  <c r="K25" i="39" s="1"/>
  <c r="B18" i="39"/>
  <c r="J28" i="39"/>
  <c r="B6" i="39"/>
  <c r="B20" i="39"/>
  <c r="E47" i="39"/>
  <c r="K47" i="39" s="1"/>
  <c r="B32" i="39"/>
  <c r="B9" i="39"/>
  <c r="K9" i="39" s="1"/>
  <c r="E10" i="39"/>
  <c r="AU86" i="19"/>
  <c r="E66" i="39"/>
  <c r="B30" i="39"/>
  <c r="K53" i="39"/>
  <c r="E17" i="39"/>
  <c r="B17" i="39"/>
  <c r="B28" i="39"/>
  <c r="B12" i="39"/>
  <c r="B10" i="39"/>
  <c r="AU73" i="19"/>
  <c r="AU85" i="19"/>
  <c r="AU77" i="19"/>
  <c r="AU81" i="19"/>
  <c r="AU79" i="19"/>
  <c r="AU87" i="19"/>
  <c r="AU78" i="19"/>
  <c r="AU74" i="19"/>
  <c r="AU80" i="19"/>
  <c r="AU72" i="19"/>
  <c r="H48" i="40"/>
  <c r="AI85" i="19"/>
  <c r="AM77" i="19"/>
  <c r="AQ74" i="19"/>
  <c r="E48" i="40"/>
  <c r="C48" i="40"/>
  <c r="D48" i="40"/>
  <c r="F48" i="40"/>
  <c r="AS73" i="19"/>
  <c r="AS80" i="19"/>
  <c r="AQ80" i="19"/>
  <c r="AM78" i="19"/>
  <c r="AS78" i="19"/>
  <c r="AQ78" i="19"/>
  <c r="AS79" i="19"/>
  <c r="AM79" i="19"/>
  <c r="AQ79" i="19"/>
  <c r="AQ87" i="19"/>
  <c r="AO72" i="19"/>
  <c r="AM72" i="19"/>
  <c r="AQ72" i="19"/>
  <c r="AS72" i="19"/>
  <c r="AM87" i="19"/>
  <c r="AY87" i="19"/>
  <c r="AK87" i="19"/>
  <c r="AO81" i="19"/>
  <c r="AO74" i="19"/>
  <c r="AS87" i="19"/>
  <c r="AI87" i="19"/>
  <c r="AY85" i="19"/>
  <c r="AM85" i="19"/>
  <c r="AO85" i="19"/>
  <c r="AK81" i="19"/>
  <c r="AM80" i="19"/>
  <c r="AO80" i="19"/>
  <c r="AQ73" i="19"/>
  <c r="AO73" i="19"/>
  <c r="AK85" i="19"/>
  <c r="AS81" i="19"/>
  <c r="AO79" i="19"/>
  <c r="AS77" i="19"/>
  <c r="AM73" i="19"/>
  <c r="AO77" i="19"/>
  <c r="AO87" i="19"/>
  <c r="AS85" i="19"/>
  <c r="AQ81" i="19"/>
  <c r="AO78" i="19"/>
  <c r="AQ77" i="19"/>
  <c r="AS74" i="19"/>
  <c r="AI86" i="19"/>
  <c r="AK86" i="19"/>
  <c r="AM86" i="19"/>
  <c r="AY86" i="19"/>
  <c r="AQ86" i="19"/>
  <c r="AS86" i="19"/>
  <c r="AW87" i="19"/>
  <c r="B16" i="39"/>
  <c r="G48" i="39"/>
  <c r="H89" i="39"/>
  <c r="H18" i="39" s="1"/>
  <c r="G102" i="39"/>
  <c r="G31" i="39" s="1"/>
  <c r="E89" i="39"/>
  <c r="E18" i="39" s="1"/>
  <c r="I89" i="39"/>
  <c r="I18" i="39" s="1"/>
  <c r="J56" i="39"/>
  <c r="J89" i="39"/>
  <c r="J18" i="39" s="1"/>
  <c r="K88" i="39"/>
  <c r="C83" i="39"/>
  <c r="C12" i="39" s="1"/>
  <c r="C89" i="39"/>
  <c r="C18" i="39" s="1"/>
  <c r="G89" i="39"/>
  <c r="G18" i="39" s="1"/>
  <c r="J93" i="39"/>
  <c r="K93" i="39" s="1"/>
  <c r="K79" i="39"/>
  <c r="F89" i="39"/>
  <c r="F18" i="39" s="1"/>
  <c r="E82" i="39"/>
  <c r="K82" i="39" s="1"/>
  <c r="D89" i="39"/>
  <c r="D18" i="39" s="1"/>
  <c r="J98" i="39"/>
  <c r="K98" i="39" s="1"/>
  <c r="K87" i="39"/>
  <c r="K99" i="39"/>
  <c r="K85" i="39"/>
  <c r="K103" i="39"/>
  <c r="J50" i="39"/>
  <c r="J58" i="39"/>
  <c r="F48" i="39"/>
  <c r="K60" i="39"/>
  <c r="E48" i="39"/>
  <c r="K64" i="39"/>
  <c r="K54" i="39"/>
  <c r="H48" i="39"/>
  <c r="D48" i="39"/>
  <c r="J16" i="39"/>
  <c r="B70" i="39"/>
  <c r="B72" i="39" s="1"/>
  <c r="J44" i="39"/>
  <c r="J51" i="39"/>
  <c r="J15" i="39" s="1"/>
  <c r="K15" i="39" s="1"/>
  <c r="J55" i="39"/>
  <c r="J63" i="39"/>
  <c r="J68" i="39"/>
  <c r="K51" i="39"/>
  <c r="K28" i="39" l="1"/>
  <c r="G51" i="40"/>
  <c r="H51" i="40" s="1"/>
  <c r="K10" i="39"/>
  <c r="J48" i="39"/>
  <c r="J83" i="39" s="1"/>
  <c r="K16" i="39"/>
  <c r="K17" i="39"/>
  <c r="K18" i="39"/>
  <c r="K31" i="39"/>
  <c r="E11" i="39"/>
  <c r="AO132" i="19"/>
  <c r="AM132" i="19"/>
  <c r="AQ132" i="19"/>
  <c r="I48" i="39"/>
  <c r="I83" i="39" s="1"/>
  <c r="I12" i="39" s="1"/>
  <c r="K102" i="39"/>
  <c r="AO133" i="19"/>
  <c r="AS133" i="19"/>
  <c r="AU133" i="19"/>
  <c r="AQ133" i="19"/>
  <c r="K66" i="39"/>
  <c r="E30" i="39"/>
  <c r="K63" i="39"/>
  <c r="J27" i="39"/>
  <c r="K27" i="39" s="1"/>
  <c r="H83" i="39"/>
  <c r="H12" i="39" s="1"/>
  <c r="F83" i="39"/>
  <c r="F12" i="39" s="1"/>
  <c r="K58" i="39"/>
  <c r="J22" i="39"/>
  <c r="K22" i="39" s="1"/>
  <c r="I48" i="40"/>
  <c r="AS132" i="19"/>
  <c r="AU132" i="19"/>
  <c r="K68" i="39"/>
  <c r="J32" i="39"/>
  <c r="K32" i="39" s="1"/>
  <c r="D83" i="39"/>
  <c r="D12" i="39" s="1"/>
  <c r="K44" i="39"/>
  <c r="J8" i="39"/>
  <c r="K8" i="39" s="1"/>
  <c r="E83" i="39"/>
  <c r="E12" i="39" s="1"/>
  <c r="K55" i="39"/>
  <c r="J19" i="39"/>
  <c r="K19" i="39" s="1"/>
  <c r="K52" i="39"/>
  <c r="K50" i="39"/>
  <c r="J14" i="39"/>
  <c r="K14" i="39" s="1"/>
  <c r="G83" i="39"/>
  <c r="G12" i="39" s="1"/>
  <c r="K56" i="39"/>
  <c r="J20" i="39"/>
  <c r="K20" i="39" s="1"/>
  <c r="BA87" i="19"/>
  <c r="K89" i="39"/>
  <c r="K90" i="39"/>
  <c r="K11" i="39" l="1"/>
  <c r="K30" i="39"/>
  <c r="K48" i="39"/>
  <c r="K83" i="39"/>
  <c r="J12" i="39"/>
  <c r="K12" i="39" s="1"/>
  <c r="BA18" i="19" l="1"/>
  <c r="BA20" i="19"/>
  <c r="BA21" i="19"/>
  <c r="BA22" i="19"/>
  <c r="BA23" i="19"/>
  <c r="BA31" i="19"/>
  <c r="BA33" i="19"/>
  <c r="BA34" i="19"/>
  <c r="BA35" i="19"/>
  <c r="BA36" i="19"/>
  <c r="BA41" i="19"/>
  <c r="BA42" i="19"/>
  <c r="BA44" i="19"/>
  <c r="BA45" i="19"/>
  <c r="BA50" i="19"/>
  <c r="BA52" i="19"/>
  <c r="BA53" i="19"/>
  <c r="BA54" i="19"/>
  <c r="BA55" i="19"/>
  <c r="BA62" i="19"/>
  <c r="BA64" i="19"/>
  <c r="BA65" i="19"/>
  <c r="BA66" i="19"/>
  <c r="BA68" i="19"/>
  <c r="BA69" i="19"/>
  <c r="BA70" i="19"/>
  <c r="BA96" i="19"/>
  <c r="BA98" i="19"/>
  <c r="BA101" i="19"/>
  <c r="BA102" i="19"/>
  <c r="BA108" i="19"/>
  <c r="BA109" i="19"/>
  <c r="BA111" i="19"/>
  <c r="BA113" i="19"/>
  <c r="BA114" i="19"/>
  <c r="BA116" i="19"/>
  <c r="BA124" i="19"/>
  <c r="BA125" i="19"/>
  <c r="BA127" i="19"/>
  <c r="BA128" i="19"/>
  <c r="BA141" i="19"/>
  <c r="BA155" i="19"/>
  <c r="BA156" i="19"/>
  <c r="BA158" i="19"/>
  <c r="BA159" i="19"/>
  <c r="BA163" i="19"/>
  <c r="BA165" i="19"/>
  <c r="BA167" i="19"/>
  <c r="G19" i="5"/>
  <c r="A30" i="16"/>
  <c r="I30" i="16" s="1"/>
  <c r="AG94" i="19"/>
  <c r="AE94" i="19"/>
  <c r="AE14" i="19"/>
  <c r="AG84" i="19" l="1"/>
  <c r="P11" i="31"/>
  <c r="R11" i="31"/>
  <c r="T11" i="31" s="1"/>
  <c r="V11" i="31"/>
  <c r="X11" i="31" s="1"/>
  <c r="Z39" i="31"/>
  <c r="AB39" i="31" s="1"/>
  <c r="Z41" i="31"/>
  <c r="AB41" i="31" s="1"/>
  <c r="Z43" i="31"/>
  <c r="AB43" i="31" s="1"/>
  <c r="Z47" i="31"/>
  <c r="Z49" i="31"/>
  <c r="Z51" i="31"/>
  <c r="H12" i="31"/>
  <c r="L12" i="31"/>
  <c r="P12" i="31"/>
  <c r="R12" i="31"/>
  <c r="T12" i="31" s="1"/>
  <c r="V12" i="31"/>
  <c r="X12" i="31" s="1"/>
  <c r="F35" i="31"/>
  <c r="P13" i="31"/>
  <c r="R13" i="31"/>
  <c r="T13" i="31" s="1"/>
  <c r="V13" i="31"/>
  <c r="H14" i="31"/>
  <c r="P14" i="31"/>
  <c r="R14" i="31"/>
  <c r="T14" i="31" s="1"/>
  <c r="V14" i="31"/>
  <c r="X14" i="31" s="1"/>
  <c r="P15" i="31"/>
  <c r="R15" i="31"/>
  <c r="T15" i="31" s="1"/>
  <c r="V15" i="31"/>
  <c r="H16" i="31"/>
  <c r="P16" i="31"/>
  <c r="R16" i="31"/>
  <c r="T16" i="31" s="1"/>
  <c r="V16" i="31"/>
  <c r="X16" i="31" s="1"/>
  <c r="H17" i="31"/>
  <c r="L17" i="31"/>
  <c r="P17" i="31"/>
  <c r="R17" i="31"/>
  <c r="T17" i="31" s="1"/>
  <c r="V17" i="31"/>
  <c r="X17" i="31" s="1"/>
  <c r="P18" i="31"/>
  <c r="R18" i="31"/>
  <c r="T18" i="31" s="1"/>
  <c r="V18" i="31"/>
  <c r="L19" i="31"/>
  <c r="P19" i="31"/>
  <c r="R19" i="31"/>
  <c r="T19" i="31" s="1"/>
  <c r="V19" i="31"/>
  <c r="X19" i="31" s="1"/>
  <c r="M24" i="16"/>
  <c r="M30" i="16"/>
  <c r="D47" i="4"/>
  <c r="D16" i="2"/>
  <c r="H16" i="2" s="1"/>
  <c r="R33" i="31"/>
  <c r="T33" i="31" s="1"/>
  <c r="R35" i="31"/>
  <c r="T35" i="31" s="1"/>
  <c r="V33" i="31"/>
  <c r="X33" i="31" s="1"/>
  <c r="AB47" i="31"/>
  <c r="AF47" i="31" s="1"/>
  <c r="AG123" i="19"/>
  <c r="AG104" i="19"/>
  <c r="AG105" i="19"/>
  <c r="AG90" i="19"/>
  <c r="AG93" i="19"/>
  <c r="AG95" i="19"/>
  <c r="AG92" i="19"/>
  <c r="J107" i="19"/>
  <c r="AG107" i="19" s="1"/>
  <c r="AE60" i="19"/>
  <c r="F36" i="7"/>
  <c r="F37" i="7"/>
  <c r="AE46" i="19"/>
  <c r="AG15" i="19"/>
  <c r="AE15" i="19"/>
  <c r="AG16" i="19"/>
  <c r="AE16" i="19"/>
  <c r="AG17" i="19"/>
  <c r="AE17" i="19"/>
  <c r="AE25" i="19"/>
  <c r="AE26" i="19"/>
  <c r="AG27" i="19"/>
  <c r="AE27" i="19"/>
  <c r="AE28" i="19"/>
  <c r="AG29" i="19"/>
  <c r="AE29" i="19"/>
  <c r="AE30" i="19"/>
  <c r="AE38" i="19"/>
  <c r="AG39" i="19"/>
  <c r="AE39" i="19"/>
  <c r="AE40" i="19"/>
  <c r="AE47" i="19"/>
  <c r="AG49" i="19"/>
  <c r="AE49" i="19"/>
  <c r="S17" i="8"/>
  <c r="F12" i="28"/>
  <c r="J12" i="28" s="1"/>
  <c r="F14" i="28"/>
  <c r="J14" i="28" s="1"/>
  <c r="F16" i="28"/>
  <c r="J16" i="28" s="1"/>
  <c r="F10" i="28"/>
  <c r="Z69" i="19"/>
  <c r="AE105" i="19"/>
  <c r="AE90" i="19"/>
  <c r="AE91" i="19"/>
  <c r="AE92" i="19"/>
  <c r="AE93" i="19"/>
  <c r="AE130" i="19"/>
  <c r="AE131" i="19"/>
  <c r="AE136" i="19"/>
  <c r="AE137" i="19"/>
  <c r="AE138" i="19"/>
  <c r="AE139" i="19"/>
  <c r="AE140" i="19"/>
  <c r="AE142" i="19"/>
  <c r="AE143" i="19"/>
  <c r="AE144" i="19"/>
  <c r="AE145" i="19"/>
  <c r="AE146" i="19"/>
  <c r="AE147" i="19"/>
  <c r="AE148" i="19"/>
  <c r="AE149" i="19"/>
  <c r="AE150" i="19"/>
  <c r="AE151" i="19"/>
  <c r="AE152" i="19"/>
  <c r="AE153" i="19"/>
  <c r="Z141" i="19"/>
  <c r="AE37" i="19"/>
  <c r="AE104" i="19"/>
  <c r="AE106" i="19"/>
  <c r="AE107" i="19"/>
  <c r="AE61" i="19"/>
  <c r="AE59" i="19"/>
  <c r="AE58" i="19"/>
  <c r="AE57" i="19"/>
  <c r="AE56" i="19"/>
  <c r="AE24" i="19"/>
  <c r="Z62" i="19"/>
  <c r="Z64" i="19"/>
  <c r="Z65" i="19"/>
  <c r="Z66" i="19"/>
  <c r="Z70" i="19"/>
  <c r="Z96" i="19"/>
  <c r="Z98" i="19"/>
  <c r="Z101" i="19"/>
  <c r="Z102" i="19"/>
  <c r="Z108" i="19"/>
  <c r="Z109" i="19"/>
  <c r="Z111" i="19"/>
  <c r="Z113" i="19"/>
  <c r="Z125" i="19"/>
  <c r="Z127" i="19"/>
  <c r="Z128" i="19"/>
  <c r="Z155" i="19"/>
  <c r="Z156" i="19"/>
  <c r="Z158" i="19"/>
  <c r="Z159" i="19"/>
  <c r="Z163" i="19"/>
  <c r="Z165" i="19"/>
  <c r="AG61" i="19"/>
  <c r="AB12" i="31"/>
  <c r="F18" i="28"/>
  <c r="J18" i="28" s="1"/>
  <c r="F20" i="28"/>
  <c r="J20" i="28" s="1"/>
  <c r="BA206" i="19"/>
  <c r="BA212" i="19"/>
  <c r="AX213" i="19"/>
  <c r="AX215" i="19"/>
  <c r="BA219" i="19"/>
  <c r="AX218" i="19"/>
  <c r="AX217" i="19"/>
  <c r="AX216" i="19"/>
  <c r="E15" i="5"/>
  <c r="D25" i="7"/>
  <c r="C10" i="7"/>
  <c r="AE129" i="19"/>
  <c r="AE154" i="19"/>
  <c r="AG60" i="19"/>
  <c r="I15" i="16"/>
  <c r="I16" i="16"/>
  <c r="M16" i="16" s="1"/>
  <c r="I17" i="16"/>
  <c r="M17" i="16" s="1"/>
  <c r="I18" i="16"/>
  <c r="I19" i="16"/>
  <c r="M19" i="16" s="1"/>
  <c r="I20" i="16"/>
  <c r="M20" i="16" s="1"/>
  <c r="I21" i="16"/>
  <c r="M21" i="16" s="1"/>
  <c r="I22" i="16"/>
  <c r="I23" i="16"/>
  <c r="M23" i="16" s="1"/>
  <c r="F33" i="2"/>
  <c r="AB33" i="31"/>
  <c r="Z35" i="31"/>
  <c r="AB35" i="31" s="1"/>
  <c r="Z37" i="31"/>
  <c r="AB37" i="31" s="1"/>
  <c r="AB13" i="31"/>
  <c r="AB14" i="31"/>
  <c r="AB15" i="31"/>
  <c r="AB16" i="31"/>
  <c r="AB17" i="31"/>
  <c r="AB18" i="31"/>
  <c r="AB19" i="31"/>
  <c r="AE160" i="19"/>
  <c r="AE71" i="19"/>
  <c r="F22" i="28"/>
  <c r="J22" i="28" s="1"/>
  <c r="F24" i="28"/>
  <c r="J24" i="28" s="1"/>
  <c r="F26" i="28"/>
  <c r="J26" i="28" s="1"/>
  <c r="F28" i="28"/>
  <c r="J28" i="28" s="1"/>
  <c r="F30" i="28"/>
  <c r="J30" i="28" s="1"/>
  <c r="F32" i="28"/>
  <c r="F15" i="9"/>
  <c r="AN70" i="9"/>
  <c r="O163" i="9"/>
  <c r="S163" i="9"/>
  <c r="W163" i="9"/>
  <c r="AA163" i="9"/>
  <c r="AE163" i="9"/>
  <c r="AI163" i="9"/>
  <c r="AK163" i="9"/>
  <c r="O165" i="9"/>
  <c r="AM165" i="9" s="1"/>
  <c r="S165" i="9"/>
  <c r="W165" i="9"/>
  <c r="AA165" i="9"/>
  <c r="AE165" i="9"/>
  <c r="AI165" i="9"/>
  <c r="AK165" i="9"/>
  <c r="O167" i="9"/>
  <c r="S167" i="9"/>
  <c r="W167" i="9"/>
  <c r="W183" i="9" s="1"/>
  <c r="AA167" i="9"/>
  <c r="AE167" i="9"/>
  <c r="AI167" i="9"/>
  <c r="AK167" i="9"/>
  <c r="AK183" i="9" s="1"/>
  <c r="O169" i="9"/>
  <c r="S169" i="9"/>
  <c r="W169" i="9"/>
  <c r="AA169" i="9"/>
  <c r="AE169" i="9"/>
  <c r="AI169" i="9"/>
  <c r="AK169" i="9"/>
  <c r="O171" i="9"/>
  <c r="AM171" i="9" s="1"/>
  <c r="S171" i="9"/>
  <c r="W171" i="9"/>
  <c r="AA171" i="9"/>
  <c r="AE171" i="9"/>
  <c r="AI171" i="9"/>
  <c r="AK171" i="9"/>
  <c r="O173" i="9"/>
  <c r="S173" i="9"/>
  <c r="W173" i="9"/>
  <c r="AA173" i="9"/>
  <c r="AE173" i="9"/>
  <c r="AI173" i="9"/>
  <c r="AK173" i="9"/>
  <c r="O175" i="9"/>
  <c r="S175" i="9"/>
  <c r="AM175" i="9" s="1"/>
  <c r="W175" i="9"/>
  <c r="AA175" i="9"/>
  <c r="AE175" i="9"/>
  <c r="AI175" i="9"/>
  <c r="AK175" i="9"/>
  <c r="O177" i="9"/>
  <c r="S177" i="9"/>
  <c r="W177" i="9"/>
  <c r="AA177" i="9"/>
  <c r="AE177" i="9"/>
  <c r="AI177" i="9"/>
  <c r="AK177" i="9"/>
  <c r="O179" i="9"/>
  <c r="S179" i="9"/>
  <c r="W179" i="9"/>
  <c r="AA179" i="9"/>
  <c r="AE179" i="9"/>
  <c r="AI179" i="9"/>
  <c r="AK179" i="9"/>
  <c r="O181" i="9"/>
  <c r="S181" i="9"/>
  <c r="W181" i="9"/>
  <c r="AA181" i="9"/>
  <c r="AE181" i="9"/>
  <c r="AI181" i="9"/>
  <c r="AK181" i="9"/>
  <c r="M183" i="9"/>
  <c r="Q183" i="9"/>
  <c r="U183" i="9"/>
  <c r="Y183" i="9"/>
  <c r="AC183" i="9"/>
  <c r="AG183" i="9"/>
  <c r="E17" i="5"/>
  <c r="E44" i="5"/>
  <c r="Z18" i="19"/>
  <c r="Z21" i="19"/>
  <c r="Z22" i="19"/>
  <c r="Z23" i="19"/>
  <c r="Z34" i="19"/>
  <c r="Z36" i="19"/>
  <c r="Z42" i="19"/>
  <c r="Z45" i="19"/>
  <c r="Z50" i="19"/>
  <c r="Z53" i="19"/>
  <c r="Z54" i="19"/>
  <c r="Z55" i="19"/>
  <c r="AE95" i="19"/>
  <c r="AE103" i="19"/>
  <c r="AE112" i="19"/>
  <c r="AE115" i="19"/>
  <c r="AE123" i="19"/>
  <c r="AE161" i="19"/>
  <c r="AE162" i="19"/>
  <c r="Z206" i="19"/>
  <c r="AA206" i="19" s="1"/>
  <c r="M213" i="19"/>
  <c r="O213" i="19"/>
  <c r="Q213" i="19"/>
  <c r="S213" i="19"/>
  <c r="U213" i="19"/>
  <c r="W213" i="19"/>
  <c r="AJ213" i="19"/>
  <c r="AL213" i="19"/>
  <c r="AN213" i="19"/>
  <c r="AP213" i="19"/>
  <c r="AR213" i="19"/>
  <c r="AV213" i="19"/>
  <c r="M215" i="19"/>
  <c r="O215" i="19"/>
  <c r="Q215" i="19"/>
  <c r="S215" i="19"/>
  <c r="U215" i="19"/>
  <c r="W215" i="19"/>
  <c r="AJ215" i="19"/>
  <c r="AL215" i="19"/>
  <c r="AN215" i="19"/>
  <c r="AP215" i="19"/>
  <c r="AR215" i="19"/>
  <c r="AV215" i="19"/>
  <c r="M216" i="19"/>
  <c r="O216" i="19"/>
  <c r="Q216" i="19"/>
  <c r="S216" i="19"/>
  <c r="U216" i="19"/>
  <c r="W216" i="19"/>
  <c r="AJ216" i="19"/>
  <c r="AL216" i="19"/>
  <c r="AN216" i="19"/>
  <c r="AP216" i="19"/>
  <c r="AR216" i="19"/>
  <c r="AV216" i="19"/>
  <c r="AJ217" i="19"/>
  <c r="AL217" i="19"/>
  <c r="AN217" i="19"/>
  <c r="AP217" i="19"/>
  <c r="AR217" i="19"/>
  <c r="AV217" i="19"/>
  <c r="AJ218" i="19"/>
  <c r="AL218" i="19"/>
  <c r="AN218" i="19"/>
  <c r="AP218" i="19"/>
  <c r="AR218" i="19"/>
  <c r="AV218" i="19"/>
  <c r="K33" i="16"/>
  <c r="AD47" i="31"/>
  <c r="P24" i="27"/>
  <c r="R24" i="27" s="1"/>
  <c r="P26" i="27"/>
  <c r="R26" i="27" s="1"/>
  <c r="J32" i="28" l="1"/>
  <c r="V37" i="31"/>
  <c r="X37" i="31" s="1"/>
  <c r="M22" i="16"/>
  <c r="AM167" i="9"/>
  <c r="R37" i="31"/>
  <c r="T37" i="31" s="1"/>
  <c r="N43" i="31"/>
  <c r="P43" i="31" s="1"/>
  <c r="N39" i="31"/>
  <c r="P39" i="31" s="1"/>
  <c r="N37" i="31"/>
  <c r="P37" i="31" s="1"/>
  <c r="AD18" i="31"/>
  <c r="D17" i="2"/>
  <c r="H17" i="2" s="1"/>
  <c r="D48" i="4"/>
  <c r="E61" i="5" s="1"/>
  <c r="I61" i="5" s="1"/>
  <c r="D49" i="4"/>
  <c r="E62" i="5" s="1"/>
  <c r="I62" i="5" s="1"/>
  <c r="AU151" i="19"/>
  <c r="AU131" i="19"/>
  <c r="AU137" i="19"/>
  <c r="AU138" i="19"/>
  <c r="AU130" i="19"/>
  <c r="AG83" i="19"/>
  <c r="J184" i="19"/>
  <c r="AS84" i="19"/>
  <c r="AU84" i="19"/>
  <c r="AM84" i="19"/>
  <c r="AQ84" i="19"/>
  <c r="AO84" i="19"/>
  <c r="H10" i="7"/>
  <c r="F13" i="7" s="1"/>
  <c r="H13" i="7" s="1"/>
  <c r="AU27" i="19"/>
  <c r="AU49" i="19"/>
  <c r="AU16" i="19"/>
  <c r="M15" i="16"/>
  <c r="AU92" i="19"/>
  <c r="AU17" i="19"/>
  <c r="H11" i="31"/>
  <c r="F33" i="31"/>
  <c r="R41" i="31"/>
  <c r="T41" i="31" s="1"/>
  <c r="N33" i="31"/>
  <c r="P33" i="31" s="1"/>
  <c r="AD16" i="31"/>
  <c r="AD17" i="31"/>
  <c r="AD12" i="31"/>
  <c r="V45" i="31"/>
  <c r="X45" i="31" s="1"/>
  <c r="R43" i="31"/>
  <c r="T43" i="31" s="1"/>
  <c r="N45" i="31"/>
  <c r="P45" i="31" s="1"/>
  <c r="V21" i="31"/>
  <c r="D17" i="10" s="1"/>
  <c r="D37" i="10" s="1"/>
  <c r="AU29" i="19"/>
  <c r="AU136" i="19"/>
  <c r="AU15" i="19"/>
  <c r="AU162" i="19"/>
  <c r="AU144" i="19"/>
  <c r="AU39" i="19"/>
  <c r="AB51" i="31"/>
  <c r="AF51" i="31" s="1"/>
  <c r="AD51" i="31"/>
  <c r="AB49" i="31"/>
  <c r="AF49" i="31" s="1"/>
  <c r="AD49" i="31"/>
  <c r="M18" i="16"/>
  <c r="T21" i="31"/>
  <c r="D30" i="9" s="1"/>
  <c r="P21" i="31"/>
  <c r="D29" i="9" s="1"/>
  <c r="AD15" i="31"/>
  <c r="R21" i="31"/>
  <c r="D16" i="10" s="1"/>
  <c r="D36" i="10" s="1"/>
  <c r="R45" i="31"/>
  <c r="T45" i="31" s="1"/>
  <c r="N35" i="31"/>
  <c r="AD19" i="31"/>
  <c r="AD13" i="31"/>
  <c r="AD14" i="31"/>
  <c r="N21" i="31"/>
  <c r="D15" i="10" s="1"/>
  <c r="D35" i="10" s="1"/>
  <c r="V41" i="31"/>
  <c r="X41" i="31" s="1"/>
  <c r="R39" i="31"/>
  <c r="N41" i="31"/>
  <c r="P41" i="31" s="1"/>
  <c r="F21" i="31"/>
  <c r="D13" i="10" s="1"/>
  <c r="D18" i="2"/>
  <c r="H18" i="2" s="1"/>
  <c r="D19" i="6"/>
  <c r="D39" i="7" s="1"/>
  <c r="H39" i="7" s="1"/>
  <c r="M46" i="5"/>
  <c r="O46" i="5"/>
  <c r="G15" i="5"/>
  <c r="H36" i="8"/>
  <c r="N34" i="8" s="1"/>
  <c r="L14" i="8" s="1"/>
  <c r="AO131" i="19"/>
  <c r="AM29" i="19"/>
  <c r="AM17" i="19"/>
  <c r="AQ130" i="19"/>
  <c r="AQ17" i="19"/>
  <c r="AO17" i="19"/>
  <c r="AM27" i="19"/>
  <c r="AS15" i="19"/>
  <c r="AS17" i="19"/>
  <c r="AQ92" i="19"/>
  <c r="AQ131" i="19"/>
  <c r="AM131" i="19"/>
  <c r="AS27" i="19"/>
  <c r="AQ27" i="19"/>
  <c r="AM16" i="19"/>
  <c r="AQ15" i="19"/>
  <c r="AS151" i="19"/>
  <c r="AO151" i="19"/>
  <c r="AM151" i="19"/>
  <c r="AM136" i="19"/>
  <c r="AK15" i="19"/>
  <c r="AK49" i="19"/>
  <c r="AQ16" i="19"/>
  <c r="AS130" i="19"/>
  <c r="AS16" i="19"/>
  <c r="AO27" i="19"/>
  <c r="AM49" i="19"/>
  <c r="AO15" i="19"/>
  <c r="AM15" i="19"/>
  <c r="AO130" i="19"/>
  <c r="AO16" i="19"/>
  <c r="AS137" i="19"/>
  <c r="AQ137" i="19"/>
  <c r="AM137" i="19"/>
  <c r="AS138" i="19"/>
  <c r="AQ138" i="19"/>
  <c r="AO138" i="19"/>
  <c r="AS92" i="19"/>
  <c r="AO136" i="19"/>
  <c r="AQ136" i="19"/>
  <c r="AO49" i="19"/>
  <c r="H29" i="2"/>
  <c r="H31" i="2"/>
  <c r="AM92" i="19"/>
  <c r="AO92" i="19"/>
  <c r="AM179" i="9"/>
  <c r="AM177" i="9"/>
  <c r="O183" i="9"/>
  <c r="AM169" i="9"/>
  <c r="AA183" i="9"/>
  <c r="AI183" i="9"/>
  <c r="S183" i="9"/>
  <c r="AM163" i="9"/>
  <c r="AY144" i="19"/>
  <c r="AK144" i="19"/>
  <c r="AO144" i="19"/>
  <c r="AM144" i="19"/>
  <c r="AS144" i="19"/>
  <c r="AM181" i="9"/>
  <c r="AM173" i="9"/>
  <c r="AE183" i="9"/>
  <c r="AS136" i="19"/>
  <c r="AM130" i="19"/>
  <c r="AO137" i="19"/>
  <c r="AQ29" i="19"/>
  <c r="AS29" i="19"/>
  <c r="AO29" i="19"/>
  <c r="AG57" i="19"/>
  <c r="AG28" i="19"/>
  <c r="AU28" i="19" s="1"/>
  <c r="AQ151" i="19"/>
  <c r="AS131" i="19"/>
  <c r="D27" i="7"/>
  <c r="F22" i="7" s="1"/>
  <c r="AG30" i="19"/>
  <c r="AU30" i="19" s="1"/>
  <c r="AG25" i="19"/>
  <c r="AU25" i="19" s="1"/>
  <c r="AI49" i="19"/>
  <c r="AG40" i="19"/>
  <c r="AU40" i="19" s="1"/>
  <c r="AM138" i="19"/>
  <c r="AI144" i="19"/>
  <c r="AG38" i="19"/>
  <c r="AU38" i="19" s="1"/>
  <c r="AG26" i="19"/>
  <c r="AU26" i="19" s="1"/>
  <c r="X144" i="19"/>
  <c r="Z45" i="31"/>
  <c r="AB45" i="31" s="1"/>
  <c r="K26" i="16"/>
  <c r="L11" i="31"/>
  <c r="J33" i="31"/>
  <c r="J21" i="31"/>
  <c r="D14" i="10" s="1"/>
  <c r="H19" i="31"/>
  <c r="AF19" i="31" s="1"/>
  <c r="F45" i="31"/>
  <c r="L18" i="31"/>
  <c r="J43" i="31"/>
  <c r="L43" i="31" s="1"/>
  <c r="AF17" i="31"/>
  <c r="L16" i="31"/>
  <c r="AF16" i="31" s="1"/>
  <c r="J41" i="31"/>
  <c r="L41" i="31" s="1"/>
  <c r="F39" i="31"/>
  <c r="H15" i="31"/>
  <c r="L14" i="31"/>
  <c r="AF14" i="31" s="1"/>
  <c r="J37" i="31"/>
  <c r="L37" i="31" s="1"/>
  <c r="H13" i="31"/>
  <c r="J45" i="31"/>
  <c r="L45" i="31" s="1"/>
  <c r="F37" i="31"/>
  <c r="D20" i="6"/>
  <c r="D18" i="6"/>
  <c r="V43" i="31"/>
  <c r="X43" i="31" s="1"/>
  <c r="X18" i="31"/>
  <c r="M33" i="16"/>
  <c r="G17" i="5"/>
  <c r="F43" i="31"/>
  <c r="H18" i="31"/>
  <c r="L15" i="31"/>
  <c r="J39" i="31"/>
  <c r="L39" i="31" s="1"/>
  <c r="L13" i="31"/>
  <c r="J35" i="31"/>
  <c r="L35" i="31" s="1"/>
  <c r="AF12" i="31"/>
  <c r="F41" i="31"/>
  <c r="V39" i="31"/>
  <c r="X39" i="31" s="1"/>
  <c r="X15" i="31"/>
  <c r="V35" i="31"/>
  <c r="X13" i="31"/>
  <c r="G40" i="5"/>
  <c r="P14" i="6" l="1"/>
  <c r="AB53" i="31"/>
  <c r="D53" i="9" s="1"/>
  <c r="M26" i="16"/>
  <c r="AU83" i="19"/>
  <c r="AQ83" i="19"/>
  <c r="AO83" i="19"/>
  <c r="AK83" i="19"/>
  <c r="AS83" i="19"/>
  <c r="E15" i="35"/>
  <c r="D33" i="10"/>
  <c r="N32" i="8"/>
  <c r="H14" i="8" s="1"/>
  <c r="AF18" i="31"/>
  <c r="P35" i="31"/>
  <c r="P53" i="31" s="1"/>
  <c r="D50" i="9" s="1"/>
  <c r="N53" i="31"/>
  <c r="R53" i="31"/>
  <c r="T39" i="31"/>
  <c r="T53" i="31" s="1"/>
  <c r="D51" i="9" s="1"/>
  <c r="F25" i="7"/>
  <c r="H25" i="7" s="1"/>
  <c r="L14" i="6" s="1"/>
  <c r="AM203" i="19" s="1"/>
  <c r="X145" i="19"/>
  <c r="AU145" i="19"/>
  <c r="X35" i="31"/>
  <c r="X53" i="31" s="1"/>
  <c r="D52" i="9" s="1"/>
  <c r="V53" i="31"/>
  <c r="H33" i="31"/>
  <c r="AD33" i="31"/>
  <c r="F53" i="31"/>
  <c r="D40" i="7"/>
  <c r="H40" i="7" s="1"/>
  <c r="D18" i="10"/>
  <c r="K35" i="16"/>
  <c r="AM26" i="19"/>
  <c r="AQ26" i="19"/>
  <c r="AS26" i="19"/>
  <c r="AK26" i="19"/>
  <c r="AO26" i="19"/>
  <c r="V16" i="8"/>
  <c r="V13" i="8"/>
  <c r="AM30" i="19"/>
  <c r="AQ30" i="19"/>
  <c r="AS30" i="19"/>
  <c r="AO30" i="19"/>
  <c r="G42" i="5"/>
  <c r="G44" i="5" s="1"/>
  <c r="G48" i="5" s="1"/>
  <c r="I40" i="5" s="1"/>
  <c r="H41" i="31"/>
  <c r="AF41" i="31" s="1"/>
  <c r="AD41" i="31"/>
  <c r="H43" i="31"/>
  <c r="AF43" i="31" s="1"/>
  <c r="AD43" i="31"/>
  <c r="H37" i="31"/>
  <c r="AF37" i="31" s="1"/>
  <c r="AD37" i="31"/>
  <c r="H45" i="31"/>
  <c r="AF45" i="31" s="1"/>
  <c r="AD45" i="31"/>
  <c r="AU140" i="19"/>
  <c r="D34" i="10"/>
  <c r="AG91" i="19"/>
  <c r="K36" i="1"/>
  <c r="AK200" i="19"/>
  <c r="AK132" i="19" s="1"/>
  <c r="G21" i="5"/>
  <c r="I13" i="5" s="1"/>
  <c r="E60" i="5"/>
  <c r="I60" i="5" s="1"/>
  <c r="AF13" i="31"/>
  <c r="H21" i="31"/>
  <c r="D27" i="9" s="1"/>
  <c r="AF15" i="31"/>
  <c r="L33" i="31"/>
  <c r="L53" i="31" s="1"/>
  <c r="D49" i="9" s="1"/>
  <c r="J53" i="31"/>
  <c r="AQ25" i="19"/>
  <c r="AS25" i="19"/>
  <c r="AK25" i="19"/>
  <c r="AO25" i="19"/>
  <c r="AM25" i="19"/>
  <c r="Z53" i="31"/>
  <c r="G36" i="1"/>
  <c r="H33" i="2"/>
  <c r="X21" i="31"/>
  <c r="D31" i="9" s="1"/>
  <c r="D38" i="7"/>
  <c r="H38" i="7" s="1"/>
  <c r="H35" i="31"/>
  <c r="AD35" i="31"/>
  <c r="H39" i="31"/>
  <c r="AF39" i="31" s="1"/>
  <c r="AD39" i="31"/>
  <c r="AU143" i="19"/>
  <c r="L21" i="31"/>
  <c r="D28" i="9" s="1"/>
  <c r="AU139" i="19"/>
  <c r="L146" i="19"/>
  <c r="X146" i="19"/>
  <c r="V146" i="19"/>
  <c r="AU146" i="19"/>
  <c r="N146" i="19"/>
  <c r="P146" i="19"/>
  <c r="R146" i="19"/>
  <c r="T146" i="19"/>
  <c r="AG58" i="19"/>
  <c r="M35" i="16"/>
  <c r="O33" i="16" s="1"/>
  <c r="N36" i="8"/>
  <c r="AG59" i="19"/>
  <c r="H22" i="7"/>
  <c r="AQ28" i="19"/>
  <c r="AS28" i="19"/>
  <c r="AO28" i="19"/>
  <c r="AM28" i="19"/>
  <c r="AM183" i="9"/>
  <c r="E17" i="35" l="1"/>
  <c r="D40" i="10"/>
  <c r="F38" i="10" s="1"/>
  <c r="V212" i="19" s="1"/>
  <c r="AF35" i="31"/>
  <c r="AK73" i="19"/>
  <c r="AK78" i="19"/>
  <c r="AK72" i="19"/>
  <c r="AK80" i="19"/>
  <c r="AK77" i="19"/>
  <c r="AM81" i="19"/>
  <c r="L34" i="27"/>
  <c r="F27" i="7"/>
  <c r="O26" i="16"/>
  <c r="N21" i="6" s="1"/>
  <c r="AK30" i="19"/>
  <c r="AK28" i="19"/>
  <c r="Z146" i="19"/>
  <c r="N22" i="6"/>
  <c r="P22" i="6" s="1"/>
  <c r="L23" i="4"/>
  <c r="N51" i="4"/>
  <c r="D51" i="4"/>
  <c r="I46" i="5"/>
  <c r="P43" i="4" s="1"/>
  <c r="AW146" i="19"/>
  <c r="AM146" i="19"/>
  <c r="AY146" i="19"/>
  <c r="AS146" i="19"/>
  <c r="AK146" i="19"/>
  <c r="AO146" i="19"/>
  <c r="AQ146" i="19"/>
  <c r="AI146" i="19"/>
  <c r="AQ139" i="19"/>
  <c r="AS139" i="19"/>
  <c r="AO139" i="19"/>
  <c r="AK139" i="19"/>
  <c r="AM139" i="19"/>
  <c r="AQ143" i="19"/>
  <c r="AO143" i="19"/>
  <c r="AS143" i="19"/>
  <c r="AG103" i="19"/>
  <c r="AO140" i="19"/>
  <c r="AS140" i="19"/>
  <c r="AM140" i="19"/>
  <c r="AK140" i="19"/>
  <c r="AQ140" i="19"/>
  <c r="X85" i="19"/>
  <c r="AD53" i="31"/>
  <c r="T17" i="8"/>
  <c r="T13" i="8"/>
  <c r="AK17" i="19"/>
  <c r="AK27" i="19"/>
  <c r="AK137" i="19"/>
  <c r="AK131" i="19"/>
  <c r="AK136" i="19"/>
  <c r="AK16" i="19"/>
  <c r="AK92" i="19"/>
  <c r="AK130" i="19"/>
  <c r="AK151" i="19"/>
  <c r="AK29" i="19"/>
  <c r="I42" i="5"/>
  <c r="L43" i="4" s="1"/>
  <c r="H53" i="31"/>
  <c r="D48" i="9" s="1"/>
  <c r="E13" i="35" s="1"/>
  <c r="AF33" i="31"/>
  <c r="H14" i="6"/>
  <c r="H27" i="7"/>
  <c r="I19" i="5"/>
  <c r="N15" i="4" s="1"/>
  <c r="I15" i="5"/>
  <c r="J15" i="4" s="1"/>
  <c r="AB11" i="31"/>
  <c r="Z21" i="31"/>
  <c r="AD11" i="31"/>
  <c r="J157" i="19"/>
  <c r="AG71" i="19"/>
  <c r="V87" i="19"/>
  <c r="L87" i="19"/>
  <c r="X87" i="19"/>
  <c r="R87" i="19"/>
  <c r="P87" i="19"/>
  <c r="N87" i="19"/>
  <c r="T87" i="19"/>
  <c r="D21" i="10"/>
  <c r="F18" i="10" s="1"/>
  <c r="AQ145" i="19"/>
  <c r="AM145" i="19"/>
  <c r="AY145" i="19"/>
  <c r="AS145" i="19"/>
  <c r="AK145" i="19"/>
  <c r="AI145" i="19"/>
  <c r="F33" i="10" l="1"/>
  <c r="F35" i="10"/>
  <c r="P212" i="19" s="1"/>
  <c r="F36" i="10"/>
  <c r="R212" i="19" s="1"/>
  <c r="F37" i="10"/>
  <c r="T212" i="19" s="1"/>
  <c r="F34" i="10"/>
  <c r="N212" i="19" s="1"/>
  <c r="AF53" i="31"/>
  <c r="L22" i="4"/>
  <c r="P34" i="27"/>
  <c r="R34" i="27" s="1"/>
  <c r="BA146" i="19"/>
  <c r="N50" i="4"/>
  <c r="P50" i="4" s="1"/>
  <c r="O35" i="16"/>
  <c r="Z87" i="19"/>
  <c r="X86" i="19"/>
  <c r="S16" i="8"/>
  <c r="T16" i="8" s="1"/>
  <c r="Y16" i="8" s="1"/>
  <c r="AK205" i="19" s="1"/>
  <c r="AK201" i="19"/>
  <c r="L212" i="19"/>
  <c r="H43" i="4"/>
  <c r="I44" i="5"/>
  <c r="I48" i="5" s="1"/>
  <c r="F15" i="10"/>
  <c r="P211" i="19" s="1"/>
  <c r="P48" i="19" s="1"/>
  <c r="F16" i="10"/>
  <c r="R211" i="19" s="1"/>
  <c r="F17" i="10"/>
  <c r="T211" i="19" s="1"/>
  <c r="F19" i="10"/>
  <c r="F13" i="10"/>
  <c r="F14" i="10"/>
  <c r="N211" i="19" s="1"/>
  <c r="N48" i="19" s="1"/>
  <c r="AD21" i="31"/>
  <c r="N22" i="4"/>
  <c r="N23" i="4"/>
  <c r="U17" i="8"/>
  <c r="V17" i="8" s="1"/>
  <c r="Y17" i="8" s="1"/>
  <c r="AM205" i="19" s="1"/>
  <c r="AM202" i="19"/>
  <c r="AM83" i="19" s="1"/>
  <c r="V211" i="19"/>
  <c r="V48" i="19" s="1"/>
  <c r="AW211" i="19"/>
  <c r="AW48" i="19" s="1"/>
  <c r="P21" i="6"/>
  <c r="P24" i="6" s="1"/>
  <c r="N24" i="6"/>
  <c r="AS39" i="19"/>
  <c r="AS40" i="19"/>
  <c r="AS38" i="19"/>
  <c r="F15" i="4"/>
  <c r="I17" i="5"/>
  <c r="I21" i="5" s="1"/>
  <c r="N225" i="19" s="1"/>
  <c r="D22" i="6"/>
  <c r="AB21" i="31"/>
  <c r="D32" i="9" s="1"/>
  <c r="AF11" i="31"/>
  <c r="AF21" i="31" s="1"/>
  <c r="L25" i="4"/>
  <c r="D55" i="9"/>
  <c r="P51" i="4"/>
  <c r="F40" i="10" l="1"/>
  <c r="D50" i="4"/>
  <c r="D21" i="6"/>
  <c r="AG184" i="19"/>
  <c r="AU142" i="19"/>
  <c r="AM74" i="19"/>
  <c r="AM133" i="19"/>
  <c r="AK74" i="19"/>
  <c r="AK133" i="19"/>
  <c r="AK79" i="19"/>
  <c r="AK84" i="19"/>
  <c r="N53" i="4"/>
  <c r="AK138" i="19"/>
  <c r="AK143" i="19"/>
  <c r="AG157" i="19"/>
  <c r="F50" i="9"/>
  <c r="P208" i="19" s="1"/>
  <c r="F53" i="9"/>
  <c r="F51" i="9"/>
  <c r="R208" i="19" s="1"/>
  <c r="F49" i="9"/>
  <c r="N208" i="19" s="1"/>
  <c r="F52" i="9"/>
  <c r="T208" i="19" s="1"/>
  <c r="D34" i="9"/>
  <c r="AY201" i="19"/>
  <c r="X211" i="19"/>
  <c r="X48" i="19" s="1"/>
  <c r="AY211" i="19"/>
  <c r="AY48" i="19" s="1"/>
  <c r="P53" i="4"/>
  <c r="F48" i="9"/>
  <c r="AI201" i="19"/>
  <c r="AW201" i="19"/>
  <c r="N25" i="4"/>
  <c r="AM143" i="19"/>
  <c r="AS142" i="19"/>
  <c r="AO142" i="19"/>
  <c r="AK142" i="19"/>
  <c r="AQ142" i="19"/>
  <c r="AM142" i="19"/>
  <c r="L211" i="19"/>
  <c r="L48" i="19" s="1"/>
  <c r="F21" i="10"/>
  <c r="Z212" i="19"/>
  <c r="AA212" i="19" s="1"/>
  <c r="Z48" i="19" l="1"/>
  <c r="AW84" i="19"/>
  <c r="AW79" i="19"/>
  <c r="AI79" i="19"/>
  <c r="AI84" i="19"/>
  <c r="AY79" i="19"/>
  <c r="AY84" i="19"/>
  <c r="AS211" i="19"/>
  <c r="F32" i="9"/>
  <c r="AW207" i="19" s="1"/>
  <c r="AW86" i="19" s="1"/>
  <c r="E11" i="35"/>
  <c r="BA201" i="19"/>
  <c r="L208" i="19"/>
  <c r="F55" i="9"/>
  <c r="T144" i="19"/>
  <c r="T85" i="19"/>
  <c r="P144" i="19"/>
  <c r="P85" i="19"/>
  <c r="Z211" i="19"/>
  <c r="AA211" i="19" s="1"/>
  <c r="N144" i="19"/>
  <c r="N85" i="19"/>
  <c r="AK39" i="19"/>
  <c r="AK38" i="19"/>
  <c r="AK40" i="19"/>
  <c r="F29" i="9"/>
  <c r="P207" i="19" s="1"/>
  <c r="F30" i="9"/>
  <c r="R207" i="19" s="1"/>
  <c r="F27" i="9"/>
  <c r="F31" i="9"/>
  <c r="T207" i="19" s="1"/>
  <c r="F28" i="9"/>
  <c r="N207" i="19" s="1"/>
  <c r="R144" i="19"/>
  <c r="R85" i="19"/>
  <c r="V207" i="19"/>
  <c r="V208" i="19"/>
  <c r="AW208" i="19"/>
  <c r="AM39" i="19"/>
  <c r="AM38" i="19"/>
  <c r="AM40" i="19"/>
  <c r="BA211" i="19" l="1"/>
  <c r="AS48" i="19"/>
  <c r="BA48" i="19" s="1"/>
  <c r="AS49" i="19"/>
  <c r="BA84" i="19"/>
  <c r="AW85" i="19"/>
  <c r="BA79" i="19"/>
  <c r="AW49" i="19"/>
  <c r="N145" i="19"/>
  <c r="N86" i="19"/>
  <c r="V145" i="19"/>
  <c r="V86" i="19"/>
  <c r="P145" i="19"/>
  <c r="P86" i="19"/>
  <c r="AQ208" i="19"/>
  <c r="AW144" i="19"/>
  <c r="T145" i="19"/>
  <c r="T86" i="19"/>
  <c r="Z208" i="19"/>
  <c r="AA208" i="19" s="1"/>
  <c r="L144" i="19"/>
  <c r="L85" i="19"/>
  <c r="AI143" i="19"/>
  <c r="V144" i="19"/>
  <c r="V85" i="19"/>
  <c r="L207" i="19"/>
  <c r="F34" i="9"/>
  <c r="AW143" i="19"/>
  <c r="AO207" i="19"/>
  <c r="AO86" i="19" s="1"/>
  <c r="BA86" i="19" s="1"/>
  <c r="AW145" i="19"/>
  <c r="R145" i="19"/>
  <c r="R86" i="19"/>
  <c r="AY138" i="19"/>
  <c r="AQ85" i="19" l="1"/>
  <c r="BA85" i="19" s="1"/>
  <c r="AQ49" i="19"/>
  <c r="Z85" i="19"/>
  <c r="BA207" i="19"/>
  <c r="AO145" i="19"/>
  <c r="BA145" i="19" s="1"/>
  <c r="Z144" i="19"/>
  <c r="J97" i="19"/>
  <c r="BA208" i="19"/>
  <c r="AQ144" i="19"/>
  <c r="BA144" i="19" s="1"/>
  <c r="AW138" i="19"/>
  <c r="AY143" i="19"/>
  <c r="BA143" i="19" s="1"/>
  <c r="Z207" i="19"/>
  <c r="AA207" i="19" s="1"/>
  <c r="L145" i="19"/>
  <c r="Z145" i="19" s="1"/>
  <c r="L86" i="19"/>
  <c r="Z86" i="19" s="1"/>
  <c r="AI138" i="19" l="1"/>
  <c r="BA138" i="19" s="1"/>
  <c r="B16" i="33"/>
  <c r="B17" i="33" s="1"/>
  <c r="AG97" i="19"/>
  <c r="AQ39" i="19" l="1"/>
  <c r="AQ40" i="19"/>
  <c r="AQ38" i="19"/>
  <c r="AO39" i="19"/>
  <c r="AO38" i="19"/>
  <c r="AO40" i="19"/>
  <c r="AY49" i="19" l="1"/>
  <c r="BA49" i="19" s="1"/>
  <c r="X49" i="19"/>
  <c r="N49" i="19"/>
  <c r="AK162" i="19"/>
  <c r="AS162" i="19"/>
  <c r="T49" i="19" l="1"/>
  <c r="P49" i="19"/>
  <c r="V49" i="19"/>
  <c r="R49" i="19"/>
  <c r="AM162" i="19"/>
  <c r="AO162" i="19" l="1"/>
  <c r="AQ162" i="19"/>
  <c r="AY162" i="19" l="1"/>
  <c r="AW162" i="19"/>
  <c r="L49" i="19" l="1"/>
  <c r="Z49" i="19" s="1"/>
  <c r="AI162" i="19" l="1"/>
  <c r="BA162" i="19" s="1"/>
  <c r="Z52" i="19" l="1"/>
  <c r="Z20" i="19"/>
  <c r="Z33" i="19"/>
  <c r="Z44" i="19"/>
  <c r="Z68" i="19"/>
  <c r="L162" i="19"/>
  <c r="N162" i="19"/>
  <c r="P162" i="19"/>
  <c r="R162" i="19"/>
  <c r="T162" i="19"/>
  <c r="V162" i="19"/>
  <c r="X162" i="19"/>
  <c r="Z162" i="19" l="1"/>
  <c r="J70" i="39"/>
  <c r="J77" i="39"/>
  <c r="J6" i="39" s="1"/>
  <c r="J34" i="39" l="1"/>
  <c r="J105" i="39"/>
  <c r="AG56" i="19" l="1"/>
  <c r="AG63" i="19" s="1"/>
  <c r="J63" i="19"/>
  <c r="C42" i="39"/>
  <c r="I70" i="39"/>
  <c r="I77" i="39"/>
  <c r="I6" i="39" s="1"/>
  <c r="AG46" i="19" l="1"/>
  <c r="T46" i="19"/>
  <c r="N46" i="19"/>
  <c r="L46" i="19"/>
  <c r="P46" i="19"/>
  <c r="R46" i="19"/>
  <c r="V46" i="19"/>
  <c r="X46" i="19"/>
  <c r="C70" i="39"/>
  <c r="C77" i="39"/>
  <c r="C6" i="39" s="1"/>
  <c r="Z46" i="19" l="1"/>
  <c r="AM46" i="19"/>
  <c r="AO46" i="19"/>
  <c r="AI46" i="19"/>
  <c r="AU46" i="19"/>
  <c r="AK46" i="19"/>
  <c r="AY46" i="19"/>
  <c r="AW46" i="19"/>
  <c r="AS46" i="19"/>
  <c r="AQ46" i="19"/>
  <c r="F70" i="39"/>
  <c r="F77" i="39"/>
  <c r="F105" i="39" s="1"/>
  <c r="C34" i="39"/>
  <c r="K42" i="39"/>
  <c r="K70" i="39" s="1"/>
  <c r="E77" i="39"/>
  <c r="E105" i="39" s="1"/>
  <c r="E70" i="39"/>
  <c r="H70" i="39"/>
  <c r="H77" i="39"/>
  <c r="H105" i="39" s="1"/>
  <c r="C105" i="39"/>
  <c r="G70" i="39"/>
  <c r="G77" i="39"/>
  <c r="G105" i="39" s="1"/>
  <c r="D70" i="39"/>
  <c r="D77" i="39"/>
  <c r="D105" i="39" s="1"/>
  <c r="BA46" i="19" l="1"/>
  <c r="G6" i="39"/>
  <c r="G34" i="39" s="1"/>
  <c r="H35" i="39" s="1"/>
  <c r="K77" i="39"/>
  <c r="E6" i="39"/>
  <c r="E34" i="39" s="1"/>
  <c r="D6" i="39"/>
  <c r="J19" i="19" s="1"/>
  <c r="H6" i="39"/>
  <c r="H34" i="39" s="1"/>
  <c r="F6" i="39"/>
  <c r="F34" i="39" s="1"/>
  <c r="K6" i="39" l="1"/>
  <c r="D34" i="39"/>
  <c r="D35" i="39" s="1"/>
  <c r="F35" i="39"/>
  <c r="J43" i="19" l="1"/>
  <c r="AG37" i="19"/>
  <c r="AM37" i="19" s="1"/>
  <c r="AM43" i="19" s="1"/>
  <c r="J182" i="19"/>
  <c r="AG14" i="19"/>
  <c r="J32" i="19"/>
  <c r="AG24" i="19"/>
  <c r="AQ37" i="19"/>
  <c r="AQ43" i="19" s="1"/>
  <c r="AG43" i="19"/>
  <c r="AK37" i="19" l="1"/>
  <c r="AK43" i="19" s="1"/>
  <c r="AU37" i="19"/>
  <c r="AU43" i="19" s="1"/>
  <c r="AO37" i="19"/>
  <c r="AO43" i="19" s="1"/>
  <c r="AS37" i="19"/>
  <c r="AS43" i="19" s="1"/>
  <c r="AG182" i="19"/>
  <c r="AS14" i="19"/>
  <c r="AS19" i="19" s="1"/>
  <c r="AQ14" i="19"/>
  <c r="AQ19" i="19" s="1"/>
  <c r="AU14" i="19"/>
  <c r="AU19" i="19" s="1"/>
  <c r="AO14" i="19"/>
  <c r="AO19" i="19" s="1"/>
  <c r="AG19" i="19"/>
  <c r="AK14" i="19"/>
  <c r="AK19" i="19" s="1"/>
  <c r="AM14" i="19"/>
  <c r="AM19" i="19" s="1"/>
  <c r="AQ24" i="19"/>
  <c r="AK24" i="19"/>
  <c r="AS24" i="19"/>
  <c r="AM24" i="19"/>
  <c r="AU24" i="19"/>
  <c r="AO24" i="19"/>
  <c r="AG32" i="19"/>
  <c r="AO32" i="19" l="1"/>
  <c r="AK32" i="19"/>
  <c r="AU32" i="19"/>
  <c r="AS32" i="19"/>
  <c r="AM32" i="19"/>
  <c r="AQ32" i="19"/>
  <c r="H32" i="27" l="1"/>
  <c r="J26" i="27" l="1"/>
  <c r="J24" i="27"/>
  <c r="J22" i="27"/>
  <c r="J30" i="27"/>
  <c r="J20" i="27"/>
  <c r="J18" i="27"/>
  <c r="J28" i="27"/>
  <c r="H36" i="27"/>
  <c r="J32" i="27" l="1"/>
  <c r="P28" i="27" l="1"/>
  <c r="R28" i="27" s="1"/>
  <c r="P30" i="27"/>
  <c r="R30" i="27" s="1"/>
  <c r="P22" i="27"/>
  <c r="R22" i="27" s="1"/>
  <c r="D15" i="2" l="1"/>
  <c r="H15" i="2" s="1"/>
  <c r="D46" i="4"/>
  <c r="E59" i="5" s="1"/>
  <c r="I59" i="5" s="1"/>
  <c r="D17" i="6"/>
  <c r="D37" i="7" s="1"/>
  <c r="H37" i="7" s="1"/>
  <c r="P20" i="27"/>
  <c r="R20" i="27" s="1"/>
  <c r="D14" i="2" l="1"/>
  <c r="D16" i="6"/>
  <c r="G23" i="1"/>
  <c r="D45" i="4"/>
  <c r="L32" i="27"/>
  <c r="P18" i="27"/>
  <c r="N26" i="27" l="1"/>
  <c r="N24" i="27"/>
  <c r="N30" i="27"/>
  <c r="N22" i="27"/>
  <c r="N28" i="27"/>
  <c r="N20" i="27"/>
  <c r="N18" i="27"/>
  <c r="D36" i="7"/>
  <c r="D24" i="6"/>
  <c r="D20" i="2"/>
  <c r="H14" i="2"/>
  <c r="E58" i="5"/>
  <c r="D53" i="4"/>
  <c r="K15" i="1"/>
  <c r="K18" i="1"/>
  <c r="K16" i="1"/>
  <c r="K19" i="1"/>
  <c r="K20" i="1"/>
  <c r="K17" i="1"/>
  <c r="K21" i="1"/>
  <c r="P32" i="27"/>
  <c r="R32" i="27" s="1"/>
  <c r="R18" i="27"/>
  <c r="L36" i="27"/>
  <c r="E43" i="1" l="1"/>
  <c r="G43" i="1" s="1"/>
  <c r="D22" i="4"/>
  <c r="F22" i="4" s="1"/>
  <c r="V199" i="19"/>
  <c r="AW199" i="19"/>
  <c r="D17" i="4"/>
  <c r="E38" i="1"/>
  <c r="K23" i="1"/>
  <c r="L199" i="19"/>
  <c r="T199" i="19"/>
  <c r="D21" i="4"/>
  <c r="F21" i="4" s="1"/>
  <c r="E42" i="1"/>
  <c r="G42" i="1" s="1"/>
  <c r="F45" i="4"/>
  <c r="F50" i="4"/>
  <c r="H50" i="4" s="1"/>
  <c r="F51" i="4"/>
  <c r="H51" i="4" s="1"/>
  <c r="R51" i="4" s="1"/>
  <c r="F49" i="4"/>
  <c r="H49" i="4" s="1"/>
  <c r="F47" i="4"/>
  <c r="H47" i="4" s="1"/>
  <c r="F48" i="4"/>
  <c r="H48" i="4" s="1"/>
  <c r="F46" i="4"/>
  <c r="H46" i="4" s="1"/>
  <c r="X199" i="19"/>
  <c r="D23" i="4"/>
  <c r="F23" i="4" s="1"/>
  <c r="P23" i="4" s="1"/>
  <c r="AY199" i="19"/>
  <c r="E44" i="1"/>
  <c r="G44" i="1" s="1"/>
  <c r="M44" i="1" s="1"/>
  <c r="E39" i="1"/>
  <c r="G39" i="1" s="1"/>
  <c r="N199" i="19"/>
  <c r="D18" i="4"/>
  <c r="F18" i="4" s="1"/>
  <c r="E64" i="5"/>
  <c r="I58" i="5"/>
  <c r="I64" i="5" s="1"/>
  <c r="D42" i="7"/>
  <c r="H36" i="7"/>
  <c r="D19" i="4"/>
  <c r="F19" i="4" s="1"/>
  <c r="P199" i="19"/>
  <c r="E40" i="1"/>
  <c r="G40" i="1" s="1"/>
  <c r="D20" i="4"/>
  <c r="F20" i="4" s="1"/>
  <c r="E41" i="1"/>
  <c r="G41" i="1" s="1"/>
  <c r="R199" i="19"/>
  <c r="H20" i="2"/>
  <c r="F16" i="6"/>
  <c r="F20" i="6"/>
  <c r="H20" i="6" s="1"/>
  <c r="F22" i="6"/>
  <c r="H22" i="6" s="1"/>
  <c r="R22" i="6" s="1"/>
  <c r="F21" i="6"/>
  <c r="H21" i="6" s="1"/>
  <c r="F19" i="6"/>
  <c r="H19" i="6" s="1"/>
  <c r="F18" i="6"/>
  <c r="H18" i="6" s="1"/>
  <c r="F17" i="6"/>
  <c r="H17" i="6" s="1"/>
  <c r="N32" i="27"/>
  <c r="P36" i="27"/>
  <c r="R36" i="27" s="1"/>
  <c r="F22" i="8" l="1"/>
  <c r="H22" i="8" s="1"/>
  <c r="S19" i="8"/>
  <c r="T19" i="8" s="1"/>
  <c r="X201" i="19"/>
  <c r="AW25" i="19"/>
  <c r="AW26" i="19"/>
  <c r="AI199" i="19"/>
  <c r="AW15" i="19"/>
  <c r="J16" i="2"/>
  <c r="J18" i="2"/>
  <c r="J15" i="2"/>
  <c r="J17" i="2"/>
  <c r="J14" i="2"/>
  <c r="N26" i="19"/>
  <c r="N25" i="19"/>
  <c r="N15" i="19"/>
  <c r="L26" i="19"/>
  <c r="L15" i="19"/>
  <c r="Z199" i="19"/>
  <c r="AA199" i="19" s="1"/>
  <c r="L25" i="19"/>
  <c r="AY203" i="19"/>
  <c r="X203" i="19"/>
  <c r="H45" i="4"/>
  <c r="F53" i="4"/>
  <c r="R25" i="19"/>
  <c r="R15" i="19"/>
  <c r="R26" i="19"/>
  <c r="K58" i="5"/>
  <c r="K62" i="5"/>
  <c r="J49" i="4" s="1"/>
  <c r="L49" i="4" s="1"/>
  <c r="R49" i="4" s="1"/>
  <c r="K59" i="5"/>
  <c r="J46" i="4" s="1"/>
  <c r="L46" i="4" s="1"/>
  <c r="R46" i="4" s="1"/>
  <c r="M64" i="5"/>
  <c r="M65" i="5" s="1"/>
  <c r="M66" i="5" s="1"/>
  <c r="K60" i="5"/>
  <c r="J47" i="4" s="1"/>
  <c r="L47" i="4" s="1"/>
  <c r="R47" i="4" s="1"/>
  <c r="K61" i="5"/>
  <c r="J48" i="4" s="1"/>
  <c r="L48" i="4" s="1"/>
  <c r="R48" i="4" s="1"/>
  <c r="V15" i="19"/>
  <c r="V26" i="19"/>
  <c r="V25" i="19"/>
  <c r="H16" i="6"/>
  <c r="F24" i="6"/>
  <c r="X200" i="19"/>
  <c r="AY200" i="19"/>
  <c r="U19" i="8"/>
  <c r="V19" i="8" s="1"/>
  <c r="AY202" i="19"/>
  <c r="X202" i="19"/>
  <c r="J22" i="8"/>
  <c r="L22" i="8" s="1"/>
  <c r="G38" i="1"/>
  <c r="E46" i="1"/>
  <c r="S15" i="8"/>
  <c r="P22" i="4"/>
  <c r="P26" i="19"/>
  <c r="P25" i="19"/>
  <c r="P15" i="19"/>
  <c r="X25" i="19"/>
  <c r="X15" i="19"/>
  <c r="X26" i="19"/>
  <c r="R21" i="6"/>
  <c r="AI203" i="19"/>
  <c r="H42" i="7"/>
  <c r="J36" i="7" s="1"/>
  <c r="AY26" i="19"/>
  <c r="AY25" i="19"/>
  <c r="AY15" i="19"/>
  <c r="AI202" i="19"/>
  <c r="R50" i="4"/>
  <c r="U15" i="8"/>
  <c r="T15" i="19"/>
  <c r="T26" i="19"/>
  <c r="T25" i="19"/>
  <c r="D25" i="4"/>
  <c r="F17" i="4"/>
  <c r="F25" i="4" s="1"/>
  <c r="M43" i="1"/>
  <c r="V200" i="19" s="1"/>
  <c r="AW200" i="19"/>
  <c r="AI83" i="19" l="1"/>
  <c r="AI142" i="19"/>
  <c r="X142" i="19"/>
  <c r="X83" i="19"/>
  <c r="Z25" i="19"/>
  <c r="J16" i="6"/>
  <c r="T15" i="8"/>
  <c r="X28" i="19"/>
  <c r="X72" i="19"/>
  <c r="X80" i="19"/>
  <c r="X30" i="19"/>
  <c r="X92" i="19"/>
  <c r="X77" i="19"/>
  <c r="X139" i="19"/>
  <c r="X24" i="19"/>
  <c r="X73" i="19"/>
  <c r="X29" i="19"/>
  <c r="X78" i="19"/>
  <c r="X131" i="19"/>
  <c r="X14" i="19"/>
  <c r="X27" i="19"/>
  <c r="X17" i="19"/>
  <c r="X16" i="19"/>
  <c r="X132" i="19"/>
  <c r="X151" i="19"/>
  <c r="X130" i="19"/>
  <c r="X136" i="19"/>
  <c r="X137" i="19"/>
  <c r="J45" i="4"/>
  <c r="K64" i="5"/>
  <c r="N226" i="19" s="1"/>
  <c r="H20" i="4"/>
  <c r="J20" i="4" s="1"/>
  <c r="P20" i="4" s="1"/>
  <c r="I41" i="1"/>
  <c r="K41" i="1" s="1"/>
  <c r="M41" i="1" s="1"/>
  <c r="R200" i="19" s="1"/>
  <c r="X138" i="19"/>
  <c r="X143" i="19"/>
  <c r="X84" i="19"/>
  <c r="X79" i="19"/>
  <c r="G46" i="1"/>
  <c r="J17" i="8"/>
  <c r="L17" i="8" s="1"/>
  <c r="N202" i="19"/>
  <c r="X81" i="19"/>
  <c r="X140" i="19"/>
  <c r="Z15" i="19"/>
  <c r="I39" i="1"/>
  <c r="K39" i="1" s="1"/>
  <c r="M39" i="1" s="1"/>
  <c r="N200" i="19" s="1"/>
  <c r="H18" i="4"/>
  <c r="J18" i="4" s="1"/>
  <c r="P18" i="4" s="1"/>
  <c r="AI26" i="19"/>
  <c r="BA26" i="19" s="1"/>
  <c r="AI15" i="19"/>
  <c r="BA199" i="19"/>
  <c r="AI25" i="19"/>
  <c r="BA25" i="19" s="1"/>
  <c r="Y19" i="8"/>
  <c r="AY205" i="19" s="1"/>
  <c r="V30" i="19"/>
  <c r="V131" i="19"/>
  <c r="V130" i="19"/>
  <c r="V136" i="19"/>
  <c r="V151" i="19"/>
  <c r="V137" i="19"/>
  <c r="V27" i="19"/>
  <c r="V132" i="19"/>
  <c r="V73" i="19"/>
  <c r="V139" i="19"/>
  <c r="V80" i="19"/>
  <c r="V29" i="19"/>
  <c r="V72" i="19"/>
  <c r="V92" i="19"/>
  <c r="V28" i="19"/>
  <c r="V78" i="19"/>
  <c r="V77" i="19"/>
  <c r="V24" i="19"/>
  <c r="V17" i="19"/>
  <c r="V16" i="19"/>
  <c r="V14" i="19"/>
  <c r="P202" i="19"/>
  <c r="J18" i="8"/>
  <c r="L18" i="8" s="1"/>
  <c r="H19" i="4"/>
  <c r="J19" i="4" s="1"/>
  <c r="P19" i="4" s="1"/>
  <c r="I40" i="1"/>
  <c r="K40" i="1" s="1"/>
  <c r="M40" i="1" s="1"/>
  <c r="P200" i="19" s="1"/>
  <c r="J39" i="7"/>
  <c r="J19" i="6" s="1"/>
  <c r="L19" i="6" s="1"/>
  <c r="R19" i="6" s="1"/>
  <c r="R203" i="19" s="1"/>
  <c r="J37" i="7"/>
  <c r="J17" i="6" s="1"/>
  <c r="L17" i="6" s="1"/>
  <c r="R17" i="6" s="1"/>
  <c r="N203" i="19" s="1"/>
  <c r="J40" i="7"/>
  <c r="J20" i="6" s="1"/>
  <c r="L20" i="6" s="1"/>
  <c r="R20" i="6" s="1"/>
  <c r="T203" i="19" s="1"/>
  <c r="J38" i="7"/>
  <c r="J18" i="6" s="1"/>
  <c r="L18" i="6" s="1"/>
  <c r="R18" i="6" s="1"/>
  <c r="P203" i="19" s="1"/>
  <c r="AY142" i="19"/>
  <c r="AY83" i="19"/>
  <c r="H53" i="4"/>
  <c r="V15" i="8"/>
  <c r="AI81" i="19"/>
  <c r="AI140" i="19"/>
  <c r="AW72" i="19"/>
  <c r="AW73" i="19"/>
  <c r="AW136" i="19"/>
  <c r="AW139" i="19"/>
  <c r="AW28" i="19"/>
  <c r="AW24" i="19"/>
  <c r="AW130" i="19"/>
  <c r="AW16" i="19"/>
  <c r="AW78" i="19"/>
  <c r="AW27" i="19"/>
  <c r="AW131" i="19"/>
  <c r="AW77" i="19"/>
  <c r="AW17" i="19"/>
  <c r="AW137" i="19"/>
  <c r="AW80" i="19"/>
  <c r="AW29" i="19"/>
  <c r="AI200" i="19"/>
  <c r="AW14" i="19"/>
  <c r="AW30" i="19"/>
  <c r="AW151" i="19"/>
  <c r="AW132" i="19"/>
  <c r="AW92" i="19"/>
  <c r="AW202" i="19"/>
  <c r="U18" i="8"/>
  <c r="V18" i="8" s="1"/>
  <c r="J21" i="8"/>
  <c r="L21" i="8" s="1"/>
  <c r="V202" i="19"/>
  <c r="V203" i="19"/>
  <c r="AW203" i="19"/>
  <c r="S18" i="8"/>
  <c r="T18" i="8" s="1"/>
  <c r="F21" i="8"/>
  <c r="H21" i="8" s="1"/>
  <c r="V201" i="19"/>
  <c r="AY27" i="19"/>
  <c r="AY72" i="19"/>
  <c r="AY130" i="19"/>
  <c r="AY136" i="19"/>
  <c r="AY78" i="19"/>
  <c r="AY77" i="19"/>
  <c r="AY29" i="19"/>
  <c r="AY131" i="19"/>
  <c r="AY151" i="19"/>
  <c r="AY28" i="19"/>
  <c r="AY92" i="19"/>
  <c r="AY80" i="19"/>
  <c r="AY30" i="19"/>
  <c r="AY14" i="19"/>
  <c r="AY132" i="19"/>
  <c r="AY137" i="19"/>
  <c r="AY24" i="19"/>
  <c r="AY139" i="19"/>
  <c r="AY73" i="19"/>
  <c r="AY17" i="19"/>
  <c r="AY16" i="19"/>
  <c r="H24" i="6"/>
  <c r="J19" i="8"/>
  <c r="L19" i="8" s="1"/>
  <c r="R202" i="19"/>
  <c r="J20" i="8"/>
  <c r="L20" i="8" s="1"/>
  <c r="T202" i="19"/>
  <c r="AY81" i="19"/>
  <c r="AY140" i="19"/>
  <c r="Z26" i="19"/>
  <c r="H17" i="4"/>
  <c r="I38" i="1"/>
  <c r="J20" i="2"/>
  <c r="N224" i="19" s="1"/>
  <c r="H21" i="4"/>
  <c r="J21" i="4" s="1"/>
  <c r="P21" i="4" s="1"/>
  <c r="I42" i="1"/>
  <c r="K42" i="1" s="1"/>
  <c r="M42" i="1" s="1"/>
  <c r="T200" i="19" s="1"/>
  <c r="N22" i="8"/>
  <c r="X205" i="19" s="1"/>
  <c r="N21" i="8" l="1"/>
  <c r="V205" i="19" s="1"/>
  <c r="V143" i="19"/>
  <c r="V138" i="19"/>
  <c r="V79" i="19"/>
  <c r="V84" i="19"/>
  <c r="V81" i="19"/>
  <c r="V140" i="19"/>
  <c r="AW142" i="19"/>
  <c r="BA142" i="19" s="1"/>
  <c r="AW83" i="19"/>
  <c r="BA83" i="19" s="1"/>
  <c r="T21" i="8"/>
  <c r="Y15" i="8"/>
  <c r="T132" i="19"/>
  <c r="T29" i="19"/>
  <c r="T77" i="19"/>
  <c r="T130" i="19"/>
  <c r="T14" i="19"/>
  <c r="T16" i="19"/>
  <c r="T139" i="19"/>
  <c r="T137" i="19"/>
  <c r="T73" i="19"/>
  <c r="T30" i="19"/>
  <c r="T92" i="19"/>
  <c r="T131" i="19"/>
  <c r="T24" i="19"/>
  <c r="T72" i="19"/>
  <c r="T136" i="19"/>
  <c r="T27" i="19"/>
  <c r="T78" i="19"/>
  <c r="T80" i="19"/>
  <c r="T151" i="19"/>
  <c r="T17" i="19"/>
  <c r="T28" i="19"/>
  <c r="J17" i="4"/>
  <c r="H25" i="4"/>
  <c r="T83" i="19"/>
  <c r="T142" i="19"/>
  <c r="V39" i="19"/>
  <c r="V40" i="19"/>
  <c r="V74" i="19"/>
  <c r="V133" i="19"/>
  <c r="V37" i="19"/>
  <c r="V38" i="19"/>
  <c r="V142" i="19"/>
  <c r="V83" i="19"/>
  <c r="AW19" i="19"/>
  <c r="AW32" i="19"/>
  <c r="P81" i="19"/>
  <c r="P140" i="19"/>
  <c r="P83" i="19"/>
  <c r="P142" i="19"/>
  <c r="V32" i="19"/>
  <c r="N80" i="19"/>
  <c r="N137" i="19"/>
  <c r="N28" i="19"/>
  <c r="N30" i="19"/>
  <c r="N151" i="19"/>
  <c r="N24" i="19"/>
  <c r="N16" i="19"/>
  <c r="N77" i="19"/>
  <c r="N131" i="19"/>
  <c r="N73" i="19"/>
  <c r="N72" i="19"/>
  <c r="N132" i="19"/>
  <c r="N136" i="19"/>
  <c r="N139" i="19"/>
  <c r="N29" i="19"/>
  <c r="N78" i="19"/>
  <c r="N92" i="19"/>
  <c r="N27" i="19"/>
  <c r="N14" i="19"/>
  <c r="N130" i="19"/>
  <c r="N17" i="19"/>
  <c r="R201" i="19"/>
  <c r="F19" i="8"/>
  <c r="H19" i="8" s="1"/>
  <c r="N19" i="8" s="1"/>
  <c r="R205" i="19" s="1"/>
  <c r="L45" i="4"/>
  <c r="J53" i="4"/>
  <c r="J42" i="7"/>
  <c r="N227" i="19" s="1"/>
  <c r="I46" i="1"/>
  <c r="K38" i="1"/>
  <c r="R78" i="19"/>
  <c r="R139" i="19"/>
  <c r="R16" i="19"/>
  <c r="R17" i="19"/>
  <c r="R24" i="19"/>
  <c r="R77" i="19"/>
  <c r="R136" i="19"/>
  <c r="R137" i="19"/>
  <c r="R80" i="19"/>
  <c r="R130" i="19"/>
  <c r="R28" i="19"/>
  <c r="R30" i="19"/>
  <c r="R14" i="19"/>
  <c r="R131" i="19"/>
  <c r="R132" i="19"/>
  <c r="R29" i="19"/>
  <c r="R27" i="19"/>
  <c r="R151" i="19"/>
  <c r="R92" i="19"/>
  <c r="R72" i="19"/>
  <c r="R73" i="19"/>
  <c r="T201" i="19"/>
  <c r="F20" i="8"/>
  <c r="H20" i="8" s="1"/>
  <c r="N20" i="8" s="1"/>
  <c r="T205" i="19" s="1"/>
  <c r="AY19" i="19"/>
  <c r="Y18" i="8"/>
  <c r="AW205" i="19" s="1"/>
  <c r="AI78" i="19"/>
  <c r="BA78" i="19" s="1"/>
  <c r="AI30" i="19"/>
  <c r="BA30" i="19" s="1"/>
  <c r="AI14" i="19"/>
  <c r="BA200" i="19"/>
  <c r="AI137" i="19"/>
  <c r="BA137" i="19" s="1"/>
  <c r="AI139" i="19"/>
  <c r="BA139" i="19" s="1"/>
  <c r="AI131" i="19"/>
  <c r="BA131" i="19" s="1"/>
  <c r="AI27" i="19"/>
  <c r="BA27" i="19" s="1"/>
  <c r="AI16" i="19"/>
  <c r="BA16" i="19" s="1"/>
  <c r="AI92" i="19"/>
  <c r="BA92" i="19" s="1"/>
  <c r="AI77" i="19"/>
  <c r="BA77" i="19" s="1"/>
  <c r="AI136" i="19"/>
  <c r="BA136" i="19" s="1"/>
  <c r="AI17" i="19"/>
  <c r="BA17" i="19" s="1"/>
  <c r="AI132" i="19"/>
  <c r="BA132" i="19" s="1"/>
  <c r="AI28" i="19"/>
  <c r="BA28" i="19" s="1"/>
  <c r="AI130" i="19"/>
  <c r="AI73" i="19"/>
  <c r="BA73" i="19" s="1"/>
  <c r="AI72" i="19"/>
  <c r="BA72" i="19" s="1"/>
  <c r="AI24" i="19"/>
  <c r="AI29" i="19"/>
  <c r="BA29" i="19" s="1"/>
  <c r="AI151" i="19"/>
  <c r="BA151" i="19" s="1"/>
  <c r="AI80" i="19"/>
  <c r="BA80" i="19" s="1"/>
  <c r="U21" i="8"/>
  <c r="T81" i="19"/>
  <c r="T140" i="19"/>
  <c r="P136" i="19"/>
  <c r="P92" i="19"/>
  <c r="P73" i="19"/>
  <c r="P77" i="19"/>
  <c r="P131" i="19"/>
  <c r="P80" i="19"/>
  <c r="P27" i="19"/>
  <c r="P24" i="19"/>
  <c r="P72" i="19"/>
  <c r="P30" i="19"/>
  <c r="P17" i="19"/>
  <c r="P130" i="19"/>
  <c r="P14" i="19"/>
  <c r="P78" i="19"/>
  <c r="P29" i="19"/>
  <c r="P28" i="19"/>
  <c r="P139" i="19"/>
  <c r="P151" i="19"/>
  <c r="P16" i="19"/>
  <c r="P137" i="19"/>
  <c r="P132" i="19"/>
  <c r="V19" i="19"/>
  <c r="BA15" i="19"/>
  <c r="X19" i="19"/>
  <c r="L16" i="6"/>
  <c r="J24" i="6"/>
  <c r="X39" i="19"/>
  <c r="X133" i="19"/>
  <c r="X38" i="19"/>
  <c r="X40" i="19"/>
  <c r="X37" i="19"/>
  <c r="X74" i="19"/>
  <c r="R81" i="19"/>
  <c r="R140" i="19"/>
  <c r="N201" i="19"/>
  <c r="F17" i="8"/>
  <c r="H17" i="8" s="1"/>
  <c r="N17" i="8" s="1"/>
  <c r="N205" i="19" s="1"/>
  <c r="R83" i="19"/>
  <c r="R142" i="19"/>
  <c r="AY32" i="19"/>
  <c r="AW81" i="19"/>
  <c r="BA81" i="19" s="1"/>
  <c r="AW140" i="19"/>
  <c r="BA140" i="19" s="1"/>
  <c r="BA203" i="19"/>
  <c r="V21" i="8"/>
  <c r="N140" i="19"/>
  <c r="N81" i="19"/>
  <c r="P201" i="19"/>
  <c r="F18" i="8"/>
  <c r="H18" i="8" s="1"/>
  <c r="N18" i="8" s="1"/>
  <c r="P205" i="19" s="1"/>
  <c r="AY40" i="19"/>
  <c r="AY38" i="19"/>
  <c r="AY37" i="19"/>
  <c r="AY39" i="19"/>
  <c r="AY74" i="19"/>
  <c r="AY133" i="19"/>
  <c r="N142" i="19"/>
  <c r="N83" i="19"/>
  <c r="X32" i="19"/>
  <c r="S21" i="8"/>
  <c r="BA202" i="19"/>
  <c r="V43" i="19" l="1"/>
  <c r="R19" i="19"/>
  <c r="P19" i="19"/>
  <c r="X43" i="19"/>
  <c r="N74" i="19"/>
  <c r="N37" i="19"/>
  <c r="N38" i="19"/>
  <c r="N40" i="19"/>
  <c r="N39" i="19"/>
  <c r="N133" i="19"/>
  <c r="P38" i="19"/>
  <c r="P40" i="19"/>
  <c r="P133" i="19"/>
  <c r="P39" i="19"/>
  <c r="P74" i="19"/>
  <c r="P37" i="19"/>
  <c r="K46" i="1"/>
  <c r="L224" i="19" s="1"/>
  <c r="M38" i="1"/>
  <c r="AY43" i="19"/>
  <c r="P138" i="19"/>
  <c r="P79" i="19"/>
  <c r="P143" i="19"/>
  <c r="P84" i="19"/>
  <c r="N143" i="19"/>
  <c r="N138" i="19"/>
  <c r="N84" i="19"/>
  <c r="N79" i="19"/>
  <c r="P32" i="19"/>
  <c r="N19" i="19"/>
  <c r="P17" i="4"/>
  <c r="J25" i="4"/>
  <c r="L225" i="19" s="1"/>
  <c r="T40" i="19"/>
  <c r="T37" i="19"/>
  <c r="T38" i="19"/>
  <c r="T133" i="19"/>
  <c r="T39" i="19"/>
  <c r="T74" i="19"/>
  <c r="R32" i="19"/>
  <c r="L53" i="4"/>
  <c r="L226" i="19" s="1"/>
  <c r="R45" i="4"/>
  <c r="BA130" i="19"/>
  <c r="AW74" i="19"/>
  <c r="AW39" i="19"/>
  <c r="AW40" i="19"/>
  <c r="AW133" i="19"/>
  <c r="AW38" i="19"/>
  <c r="AW37" i="19"/>
  <c r="T138" i="19"/>
  <c r="T143" i="19"/>
  <c r="T79" i="19"/>
  <c r="T84" i="19"/>
  <c r="R84" i="19"/>
  <c r="R79" i="19"/>
  <c r="R143" i="19"/>
  <c r="R138" i="19"/>
  <c r="N32" i="19"/>
  <c r="T32" i="19"/>
  <c r="T19" i="19"/>
  <c r="L24" i="6"/>
  <c r="L227" i="19" s="1"/>
  <c r="R16" i="6"/>
  <c r="AI32" i="19"/>
  <c r="BA24" i="19"/>
  <c r="BA14" i="19"/>
  <c r="AI19" i="19"/>
  <c r="R133" i="19"/>
  <c r="R37" i="19"/>
  <c r="R40" i="19"/>
  <c r="R74" i="19"/>
  <c r="R38" i="19"/>
  <c r="R39" i="19"/>
  <c r="AI205" i="19"/>
  <c r="Y21" i="8"/>
  <c r="T43" i="19" l="1"/>
  <c r="BA205" i="19"/>
  <c r="AI38" i="19"/>
  <c r="BA38" i="19" s="1"/>
  <c r="AI39" i="19"/>
  <c r="BA39" i="19" s="1"/>
  <c r="AI74" i="19"/>
  <c r="BA74" i="19" s="1"/>
  <c r="AI37" i="19"/>
  <c r="AI40" i="19"/>
  <c r="BA40" i="19" s="1"/>
  <c r="AI133" i="19"/>
  <c r="L203" i="19"/>
  <c r="R24" i="6"/>
  <c r="L201" i="19"/>
  <c r="F16" i="8"/>
  <c r="P25" i="4"/>
  <c r="M46" i="1"/>
  <c r="L200" i="19"/>
  <c r="P43" i="19"/>
  <c r="J16" i="8"/>
  <c r="R53" i="4"/>
  <c r="L202" i="19"/>
  <c r="R43" i="19"/>
  <c r="BA19" i="19"/>
  <c r="BA32" i="19"/>
  <c r="AW43" i="19"/>
  <c r="N43" i="19"/>
  <c r="L16" i="8" l="1"/>
  <c r="L24" i="8" s="1"/>
  <c r="J24" i="8"/>
  <c r="L27" i="19"/>
  <c r="Z27" i="19" s="1"/>
  <c r="L130" i="19"/>
  <c r="L17" i="19"/>
  <c r="Z17" i="19" s="1"/>
  <c r="L139" i="19"/>
  <c r="Z139" i="19" s="1"/>
  <c r="L72" i="19"/>
  <c r="Z72" i="19" s="1"/>
  <c r="L77" i="19"/>
  <c r="Z77" i="19" s="1"/>
  <c r="L73" i="19"/>
  <c r="Z73" i="19" s="1"/>
  <c r="L136" i="19"/>
  <c r="Z136" i="19" s="1"/>
  <c r="L14" i="19"/>
  <c r="L132" i="19"/>
  <c r="Z132" i="19" s="1"/>
  <c r="L29" i="19"/>
  <c r="Z29" i="19" s="1"/>
  <c r="L137" i="19"/>
  <c r="Z137" i="19" s="1"/>
  <c r="L151" i="19"/>
  <c r="Z151" i="19" s="1"/>
  <c r="L28" i="19"/>
  <c r="Z28" i="19" s="1"/>
  <c r="L24" i="19"/>
  <c r="L80" i="19"/>
  <c r="Z80" i="19" s="1"/>
  <c r="L78" i="19"/>
  <c r="Z78" i="19" s="1"/>
  <c r="L30" i="19"/>
  <c r="Z30" i="19" s="1"/>
  <c r="Z200" i="19"/>
  <c r="AA200" i="19" s="1"/>
  <c r="L131" i="19"/>
  <c r="Z131" i="19" s="1"/>
  <c r="L92" i="19"/>
  <c r="Z92" i="19" s="1"/>
  <c r="L16" i="19"/>
  <c r="Z16" i="19" s="1"/>
  <c r="F24" i="8"/>
  <c r="H16" i="8"/>
  <c r="AI43" i="19"/>
  <c r="BA37" i="19"/>
  <c r="BA133" i="19"/>
  <c r="L142" i="19"/>
  <c r="Z142" i="19" s="1"/>
  <c r="L83" i="19"/>
  <c r="Z83" i="19" s="1"/>
  <c r="Z202" i="19"/>
  <c r="AA202" i="19" s="1"/>
  <c r="L84" i="19"/>
  <c r="Z84" i="19" s="1"/>
  <c r="L143" i="19"/>
  <c r="Z143" i="19" s="1"/>
  <c r="L138" i="19"/>
  <c r="Z138" i="19" s="1"/>
  <c r="Z201" i="19"/>
  <c r="AA201" i="19" s="1"/>
  <c r="L79" i="19"/>
  <c r="Z79" i="19" s="1"/>
  <c r="Z203" i="19"/>
  <c r="AA203" i="19" s="1"/>
  <c r="L140" i="19"/>
  <c r="Z140" i="19" s="1"/>
  <c r="L81" i="19"/>
  <c r="Z81" i="19" s="1"/>
  <c r="Z19" i="19" l="1"/>
  <c r="BA43" i="19"/>
  <c r="H24" i="8"/>
  <c r="L229" i="19" s="1"/>
  <c r="N16" i="8"/>
  <c r="Z14" i="19"/>
  <c r="L19" i="19"/>
  <c r="Z24" i="19"/>
  <c r="L32" i="19"/>
  <c r="Z130" i="19"/>
  <c r="Z32" i="19" l="1"/>
  <c r="L205" i="19"/>
  <c r="N24" i="8"/>
  <c r="L74" i="19" l="1"/>
  <c r="Z74" i="19" s="1"/>
  <c r="L39" i="19"/>
  <c r="Z39" i="19" s="1"/>
  <c r="L38" i="19"/>
  <c r="Z38" i="19" s="1"/>
  <c r="Z205" i="19"/>
  <c r="AA205" i="19" s="1"/>
  <c r="L40" i="19"/>
  <c r="Z40" i="19" s="1"/>
  <c r="L133" i="19"/>
  <c r="L37" i="19"/>
  <c r="L43" i="19" l="1"/>
  <c r="Z37" i="19"/>
  <c r="Z133" i="19"/>
  <c r="Z43" i="19" l="1"/>
  <c r="AG112" i="19"/>
  <c r="AG115" i="19"/>
  <c r="J164" i="19"/>
  <c r="J166" i="19" s="1"/>
  <c r="I95" i="39"/>
  <c r="B7" i="33" l="1"/>
  <c r="B9" i="33" s="1"/>
  <c r="J186" i="19"/>
  <c r="I24" i="39"/>
  <c r="I105" i="39"/>
  <c r="B24" i="39"/>
  <c r="B105" i="39"/>
  <c r="K95" i="39"/>
  <c r="K105" i="39" s="1"/>
  <c r="J110" i="19" l="1"/>
  <c r="AG106" i="19"/>
  <c r="K24" i="39"/>
  <c r="B34" i="39"/>
  <c r="AG164" i="19"/>
  <c r="I34" i="39"/>
  <c r="AG166" i="19" l="1"/>
  <c r="K34" i="39"/>
  <c r="N47" i="19"/>
  <c r="N51" i="19" s="1"/>
  <c r="V47" i="19"/>
  <c r="V51" i="19" s="1"/>
  <c r="P47" i="19"/>
  <c r="P51" i="19" s="1"/>
  <c r="X47" i="19"/>
  <c r="X51" i="19" s="1"/>
  <c r="R47" i="19"/>
  <c r="R51" i="19" s="1"/>
  <c r="J51" i="19"/>
  <c r="L47" i="19"/>
  <c r="L51" i="19" s="1"/>
  <c r="T47" i="19"/>
  <c r="T51" i="19" s="1"/>
  <c r="AG47" i="19"/>
  <c r="AG110" i="19"/>
  <c r="T178" i="19" l="1"/>
  <c r="R178" i="19"/>
  <c r="N178" i="19"/>
  <c r="L178" i="19"/>
  <c r="X178" i="19"/>
  <c r="J67" i="19"/>
  <c r="J178" i="19"/>
  <c r="J188" i="19"/>
  <c r="P178" i="19"/>
  <c r="AI47" i="19"/>
  <c r="AI51" i="19" s="1"/>
  <c r="AQ47" i="19"/>
  <c r="AQ51" i="19" s="1"/>
  <c r="AY47" i="19"/>
  <c r="AY51" i="19" s="1"/>
  <c r="AK47" i="19"/>
  <c r="AK51" i="19" s="1"/>
  <c r="AS47" i="19"/>
  <c r="AS51" i="19" s="1"/>
  <c r="AM47" i="19"/>
  <c r="AM51" i="19" s="1"/>
  <c r="AU47" i="19"/>
  <c r="AU51" i="19" s="1"/>
  <c r="AG51" i="19"/>
  <c r="AW47" i="19"/>
  <c r="AW51" i="19" s="1"/>
  <c r="AO47" i="19"/>
  <c r="AO51" i="19" s="1"/>
  <c r="Z47" i="19"/>
  <c r="V178" i="19"/>
  <c r="AG186" i="19"/>
  <c r="AS178" i="19" l="1"/>
  <c r="AS179" i="19" s="1"/>
  <c r="AS213" i="19" s="1"/>
  <c r="Z178" i="19"/>
  <c r="AU178" i="19"/>
  <c r="AU179" i="19" s="1"/>
  <c r="AU213" i="19" s="1"/>
  <c r="AK178" i="19"/>
  <c r="AK179" i="19" s="1"/>
  <c r="AK213" i="19" s="1"/>
  <c r="B12" i="33"/>
  <c r="B13" i="33" s="1"/>
  <c r="J117" i="19"/>
  <c r="J180" i="19"/>
  <c r="AO178" i="19"/>
  <c r="AO179" i="19" s="1"/>
  <c r="AO213" i="19" s="1"/>
  <c r="AY178" i="19"/>
  <c r="AY179" i="19" s="1"/>
  <c r="AY213" i="19" s="1"/>
  <c r="R179" i="19"/>
  <c r="D17" i="12"/>
  <c r="AM178" i="19"/>
  <c r="AM179" i="19" s="1"/>
  <c r="AM213" i="19" s="1"/>
  <c r="P179" i="19"/>
  <c r="D16" i="12"/>
  <c r="L179" i="19"/>
  <c r="D14" i="12"/>
  <c r="AW178" i="19"/>
  <c r="AW179" i="19" s="1"/>
  <c r="AW213" i="19" s="1"/>
  <c r="BA47" i="19"/>
  <c r="AQ178" i="19"/>
  <c r="AQ179" i="19" s="1"/>
  <c r="AQ213" i="19" s="1"/>
  <c r="V179" i="19"/>
  <c r="D19" i="12"/>
  <c r="BA51" i="19"/>
  <c r="AG67" i="19"/>
  <c r="AG178" i="19"/>
  <c r="AG188" i="19"/>
  <c r="AI178" i="19"/>
  <c r="AI179" i="19" s="1"/>
  <c r="X179" i="19"/>
  <c r="D20" i="12"/>
  <c r="N179" i="19"/>
  <c r="D15" i="12"/>
  <c r="T179" i="19"/>
  <c r="D18" i="12"/>
  <c r="AQ56" i="19" l="1"/>
  <c r="AQ58" i="19"/>
  <c r="AQ75" i="19"/>
  <c r="AQ88" i="19"/>
  <c r="AQ90" i="19"/>
  <c r="AQ91" i="19"/>
  <c r="AQ95" i="19"/>
  <c r="AQ57" i="19"/>
  <c r="AQ93" i="19"/>
  <c r="AQ76" i="19"/>
  <c r="AQ94" i="19"/>
  <c r="AQ61" i="19"/>
  <c r="AQ89" i="19"/>
  <c r="AQ134" i="19"/>
  <c r="AQ147" i="19"/>
  <c r="AQ149" i="19"/>
  <c r="AQ152" i="19"/>
  <c r="AQ154" i="19"/>
  <c r="AQ135" i="19"/>
  <c r="AQ148" i="19"/>
  <c r="AQ150" i="19"/>
  <c r="AQ153" i="19"/>
  <c r="D22" i="12"/>
  <c r="AY56" i="19"/>
  <c r="AY58" i="19"/>
  <c r="AY75" i="19"/>
  <c r="AY88" i="19"/>
  <c r="AY90" i="19"/>
  <c r="AY61" i="19"/>
  <c r="AY89" i="19"/>
  <c r="AY95" i="19"/>
  <c r="AY91" i="19"/>
  <c r="AY57" i="19"/>
  <c r="AY94" i="19"/>
  <c r="AY76" i="19"/>
  <c r="AY93" i="19"/>
  <c r="AY134" i="19"/>
  <c r="AY147" i="19"/>
  <c r="AY149" i="19"/>
  <c r="AY152" i="19"/>
  <c r="AY154" i="19"/>
  <c r="AY135" i="19"/>
  <c r="AY148" i="19"/>
  <c r="AY150" i="19"/>
  <c r="AY153" i="19"/>
  <c r="N213" i="19"/>
  <c r="F15" i="12"/>
  <c r="F16" i="12"/>
  <c r="P213" i="19"/>
  <c r="BA178" i="19"/>
  <c r="AK57" i="19"/>
  <c r="AK61" i="19"/>
  <c r="AK76" i="19"/>
  <c r="AK89" i="19"/>
  <c r="AK91" i="19"/>
  <c r="AK56" i="19"/>
  <c r="AK58" i="19"/>
  <c r="AK75" i="19"/>
  <c r="AK88" i="19"/>
  <c r="AK90" i="19"/>
  <c r="AK93" i="19"/>
  <c r="AK95" i="19"/>
  <c r="AK94" i="19"/>
  <c r="AK135" i="19"/>
  <c r="AK148" i="19"/>
  <c r="AK150" i="19"/>
  <c r="AK153" i="19"/>
  <c r="AK134" i="19"/>
  <c r="AK147" i="19"/>
  <c r="AK149" i="19"/>
  <c r="AK152" i="19"/>
  <c r="AK154" i="19"/>
  <c r="BA179" i="19"/>
  <c r="AI213" i="19"/>
  <c r="T213" i="19"/>
  <c r="F18" i="12"/>
  <c r="F20" i="12"/>
  <c r="X213" i="19"/>
  <c r="V213" i="19"/>
  <c r="F19" i="12"/>
  <c r="Z179" i="19"/>
  <c r="L213" i="19"/>
  <c r="F14" i="12"/>
  <c r="AM57" i="19"/>
  <c r="AM61" i="19"/>
  <c r="AM76" i="19"/>
  <c r="AM89" i="19"/>
  <c r="AM91" i="19"/>
  <c r="AM56" i="19"/>
  <c r="AM93" i="19"/>
  <c r="AM94" i="19"/>
  <c r="AM58" i="19"/>
  <c r="AM75" i="19"/>
  <c r="AM88" i="19"/>
  <c r="AM95" i="19"/>
  <c r="AM90" i="19"/>
  <c r="AM135" i="19"/>
  <c r="AM148" i="19"/>
  <c r="AM150" i="19"/>
  <c r="AM153" i="19"/>
  <c r="AM134" i="19"/>
  <c r="AM147" i="19"/>
  <c r="AM149" i="19"/>
  <c r="AM152" i="19"/>
  <c r="AM154" i="19"/>
  <c r="AG117" i="19"/>
  <c r="AG180" i="19"/>
  <c r="B3" i="33"/>
  <c r="B5" i="33" s="1"/>
  <c r="J121" i="19"/>
  <c r="J126" i="19"/>
  <c r="AW56" i="19"/>
  <c r="AW58" i="19"/>
  <c r="AW75" i="19"/>
  <c r="AW88" i="19"/>
  <c r="AW90" i="19"/>
  <c r="AW93" i="19"/>
  <c r="AW57" i="19"/>
  <c r="AW61" i="19"/>
  <c r="AW76" i="19"/>
  <c r="AW89" i="19"/>
  <c r="AW91" i="19"/>
  <c r="AW94" i="19"/>
  <c r="AW95" i="19"/>
  <c r="AW134" i="19"/>
  <c r="AW147" i="19"/>
  <c r="AW149" i="19"/>
  <c r="AW152" i="19"/>
  <c r="AW154" i="19"/>
  <c r="AW135" i="19"/>
  <c r="AW148" i="19"/>
  <c r="AW150" i="19"/>
  <c r="AW153" i="19"/>
  <c r="F17" i="12"/>
  <c r="R213" i="19"/>
  <c r="AO56" i="19"/>
  <c r="AO58" i="19"/>
  <c r="AO75" i="19"/>
  <c r="AO88" i="19"/>
  <c r="AO90" i="19"/>
  <c r="AO93" i="19"/>
  <c r="AO57" i="19"/>
  <c r="AO61" i="19"/>
  <c r="AO76" i="19"/>
  <c r="AO89" i="19"/>
  <c r="AO91" i="19"/>
  <c r="AO94" i="19"/>
  <c r="AO95" i="19"/>
  <c r="AO134" i="19"/>
  <c r="AO147" i="19"/>
  <c r="AO149" i="19"/>
  <c r="AO152" i="19"/>
  <c r="AO154" i="19"/>
  <c r="AO135" i="19"/>
  <c r="AO148" i="19"/>
  <c r="AO150" i="19"/>
  <c r="AO153" i="19"/>
  <c r="AU57" i="19"/>
  <c r="AU61" i="19"/>
  <c r="AU76" i="19"/>
  <c r="AU89" i="19"/>
  <c r="AU91" i="19"/>
  <c r="AU90" i="19"/>
  <c r="AU94" i="19"/>
  <c r="AU56" i="19"/>
  <c r="AU58" i="19"/>
  <c r="AU75" i="19"/>
  <c r="AU93" i="19"/>
  <c r="AU95" i="19"/>
  <c r="AU88" i="19"/>
  <c r="AU135" i="19"/>
  <c r="AU148" i="19"/>
  <c r="AU150" i="19"/>
  <c r="AU153" i="19"/>
  <c r="AU134" i="19"/>
  <c r="AU147" i="19"/>
  <c r="AU149" i="19"/>
  <c r="AU152" i="19"/>
  <c r="AU154" i="19"/>
  <c r="AS57" i="19"/>
  <c r="AS61" i="19"/>
  <c r="AS76" i="19"/>
  <c r="AS89" i="19"/>
  <c r="AS91" i="19"/>
  <c r="AS56" i="19"/>
  <c r="AS58" i="19"/>
  <c r="AS75" i="19"/>
  <c r="AS88" i="19"/>
  <c r="AS90" i="19"/>
  <c r="AS93" i="19"/>
  <c r="AS95" i="19"/>
  <c r="AS94" i="19"/>
  <c r="AS135" i="19"/>
  <c r="AS148" i="19"/>
  <c r="AS150" i="19"/>
  <c r="AS153" i="19"/>
  <c r="AS134" i="19"/>
  <c r="AS147" i="19"/>
  <c r="AS149" i="19"/>
  <c r="AS152" i="19"/>
  <c r="AS154" i="19"/>
  <c r="AS184" i="19" l="1"/>
  <c r="AS185" i="19" s="1"/>
  <c r="AS216" i="19" s="1"/>
  <c r="AS182" i="19"/>
  <c r="AS183" i="19" s="1"/>
  <c r="AS215" i="19" s="1"/>
  <c r="AU182" i="19"/>
  <c r="AU183" i="19" s="1"/>
  <c r="AU215" i="19" s="1"/>
  <c r="AO184" i="19"/>
  <c r="AO185" i="19" s="1"/>
  <c r="AO216" i="19" s="1"/>
  <c r="AW184" i="19"/>
  <c r="AW185" i="19" s="1"/>
  <c r="AW216" i="19" s="1"/>
  <c r="L56" i="19"/>
  <c r="L58" i="19"/>
  <c r="L75" i="19"/>
  <c r="L88" i="19"/>
  <c r="L90" i="19"/>
  <c r="L93" i="19"/>
  <c r="L61" i="19"/>
  <c r="L89" i="19"/>
  <c r="L94" i="19"/>
  <c r="L95" i="19"/>
  <c r="L91" i="19"/>
  <c r="L57" i="19"/>
  <c r="L76" i="19"/>
  <c r="L134" i="19"/>
  <c r="L147" i="19"/>
  <c r="L149" i="19"/>
  <c r="L152" i="19"/>
  <c r="L154" i="19"/>
  <c r="L135" i="19"/>
  <c r="L148" i="19"/>
  <c r="L150" i="19"/>
  <c r="L153" i="19"/>
  <c r="Z213" i="19"/>
  <c r="AA213" i="19" s="1"/>
  <c r="X57" i="19"/>
  <c r="X61" i="19"/>
  <c r="X76" i="19"/>
  <c r="X89" i="19"/>
  <c r="X91" i="19"/>
  <c r="X58" i="19"/>
  <c r="X75" i="19"/>
  <c r="X94" i="19"/>
  <c r="X88" i="19"/>
  <c r="X90" i="19"/>
  <c r="X95" i="19"/>
  <c r="X56" i="19"/>
  <c r="X93" i="19"/>
  <c r="X135" i="19"/>
  <c r="X148" i="19"/>
  <c r="X150" i="19"/>
  <c r="X153" i="19"/>
  <c r="X134" i="19"/>
  <c r="X147" i="19"/>
  <c r="X149" i="19"/>
  <c r="X152" i="19"/>
  <c r="X154" i="19"/>
  <c r="AY182" i="19"/>
  <c r="AY183" i="19" s="1"/>
  <c r="AY215" i="19" s="1"/>
  <c r="AO182" i="19"/>
  <c r="AO183" i="19" s="1"/>
  <c r="AO215" i="19" s="1"/>
  <c r="AW182" i="19"/>
  <c r="AW183" i="19" s="1"/>
  <c r="AW215" i="19" s="1"/>
  <c r="AM184" i="19"/>
  <c r="AM185" i="19" s="1"/>
  <c r="AM216" i="19" s="1"/>
  <c r="AM182" i="19"/>
  <c r="AM183" i="19" s="1"/>
  <c r="AM215" i="19" s="1"/>
  <c r="AI56" i="19"/>
  <c r="AI58" i="19"/>
  <c r="BA58" i="19" s="1"/>
  <c r="AI75" i="19"/>
  <c r="BA75" i="19" s="1"/>
  <c r="AI88" i="19"/>
  <c r="BA88" i="19" s="1"/>
  <c r="AI90" i="19"/>
  <c r="BA90" i="19" s="1"/>
  <c r="AI93" i="19"/>
  <c r="BA93" i="19" s="1"/>
  <c r="AI57" i="19"/>
  <c r="BA57" i="19" s="1"/>
  <c r="AI95" i="19"/>
  <c r="BA95" i="19" s="1"/>
  <c r="AI76" i="19"/>
  <c r="BA76" i="19" s="1"/>
  <c r="AI61" i="19"/>
  <c r="AI89" i="19"/>
  <c r="BA89" i="19" s="1"/>
  <c r="AI94" i="19"/>
  <c r="BA94" i="19" s="1"/>
  <c r="AI91" i="19"/>
  <c r="BA91" i="19" s="1"/>
  <c r="AI134" i="19"/>
  <c r="AI147" i="19"/>
  <c r="BA147" i="19" s="1"/>
  <c r="AI149" i="19"/>
  <c r="BA149" i="19" s="1"/>
  <c r="AI152" i="19"/>
  <c r="BA152" i="19" s="1"/>
  <c r="AI154" i="19"/>
  <c r="BA154" i="19" s="1"/>
  <c r="AI135" i="19"/>
  <c r="BA135" i="19" s="1"/>
  <c r="AI148" i="19"/>
  <c r="BA148" i="19" s="1"/>
  <c r="AI150" i="19"/>
  <c r="BA150" i="19" s="1"/>
  <c r="AI153" i="19"/>
  <c r="BA153" i="19" s="1"/>
  <c r="BA213" i="19"/>
  <c r="N57" i="19"/>
  <c r="N61" i="19"/>
  <c r="N76" i="19"/>
  <c r="N89" i="19"/>
  <c r="N91" i="19"/>
  <c r="N94" i="19"/>
  <c r="N56" i="19"/>
  <c r="N58" i="19"/>
  <c r="N75" i="19"/>
  <c r="N88" i="19"/>
  <c r="N90" i="19"/>
  <c r="N93" i="19"/>
  <c r="N95" i="19"/>
  <c r="N135" i="19"/>
  <c r="N148" i="19"/>
  <c r="N150" i="19"/>
  <c r="N153" i="19"/>
  <c r="N134" i="19"/>
  <c r="N147" i="19"/>
  <c r="N149" i="19"/>
  <c r="N152" i="19"/>
  <c r="N154" i="19"/>
  <c r="AU184" i="19"/>
  <c r="AU185" i="19" s="1"/>
  <c r="AU216" i="19" s="1"/>
  <c r="R56" i="19"/>
  <c r="R58" i="19"/>
  <c r="R75" i="19"/>
  <c r="R88" i="19"/>
  <c r="R90" i="19"/>
  <c r="R93" i="19"/>
  <c r="R57" i="19"/>
  <c r="R61" i="19"/>
  <c r="R76" i="19"/>
  <c r="R89" i="19"/>
  <c r="R91" i="19"/>
  <c r="R94" i="19"/>
  <c r="R95" i="19"/>
  <c r="R134" i="19"/>
  <c r="R147" i="19"/>
  <c r="R149" i="19"/>
  <c r="R152" i="19"/>
  <c r="R154" i="19"/>
  <c r="R135" i="19"/>
  <c r="R148" i="19"/>
  <c r="R150" i="19"/>
  <c r="R153" i="19"/>
  <c r="P57" i="19"/>
  <c r="P61" i="19"/>
  <c r="P76" i="19"/>
  <c r="P89" i="19"/>
  <c r="P91" i="19"/>
  <c r="P88" i="19"/>
  <c r="P90" i="19"/>
  <c r="P94" i="19"/>
  <c r="P56" i="19"/>
  <c r="P93" i="19"/>
  <c r="P95" i="19"/>
  <c r="P58" i="19"/>
  <c r="P75" i="19"/>
  <c r="P135" i="19"/>
  <c r="P148" i="19"/>
  <c r="P150" i="19"/>
  <c r="P153" i="19"/>
  <c r="P134" i="19"/>
  <c r="P147" i="19"/>
  <c r="P149" i="19"/>
  <c r="P152" i="19"/>
  <c r="P154" i="19"/>
  <c r="AQ184" i="19"/>
  <c r="AQ185" i="19" s="1"/>
  <c r="AQ216" i="19" s="1"/>
  <c r="AG121" i="19"/>
  <c r="F22" i="12"/>
  <c r="V57" i="19"/>
  <c r="V61" i="19"/>
  <c r="V76" i="19"/>
  <c r="V89" i="19"/>
  <c r="V91" i="19"/>
  <c r="V56" i="19"/>
  <c r="V58" i="19"/>
  <c r="V75" i="19"/>
  <c r="V88" i="19"/>
  <c r="V90" i="19"/>
  <c r="V93" i="19"/>
  <c r="V95" i="19"/>
  <c r="V94" i="19"/>
  <c r="V135" i="19"/>
  <c r="V148" i="19"/>
  <c r="V150" i="19"/>
  <c r="V153" i="19"/>
  <c r="V134" i="19"/>
  <c r="V147" i="19"/>
  <c r="V149" i="19"/>
  <c r="V152" i="19"/>
  <c r="V154" i="19"/>
  <c r="T56" i="19"/>
  <c r="T58" i="19"/>
  <c r="T75" i="19"/>
  <c r="T88" i="19"/>
  <c r="T90" i="19"/>
  <c r="T93" i="19"/>
  <c r="T76" i="19"/>
  <c r="T95" i="19"/>
  <c r="T61" i="19"/>
  <c r="T89" i="19"/>
  <c r="T91" i="19"/>
  <c r="T94" i="19"/>
  <c r="T57" i="19"/>
  <c r="T134" i="19"/>
  <c r="T147" i="19"/>
  <c r="T149" i="19"/>
  <c r="T152" i="19"/>
  <c r="T154" i="19"/>
  <c r="T135" i="19"/>
  <c r="T148" i="19"/>
  <c r="T150" i="19"/>
  <c r="T153" i="19"/>
  <c r="AK184" i="19"/>
  <c r="AK185" i="19" s="1"/>
  <c r="AK216" i="19" s="1"/>
  <c r="AK182" i="19"/>
  <c r="AK183" i="19" s="1"/>
  <c r="AK215" i="19" s="1"/>
  <c r="AY184" i="19"/>
  <c r="AY185" i="19" s="1"/>
  <c r="AY216" i="19" s="1"/>
  <c r="AQ182" i="19"/>
  <c r="AQ183" i="19" s="1"/>
  <c r="AQ215" i="19" s="1"/>
  <c r="T184" i="19" l="1"/>
  <c r="P184" i="19"/>
  <c r="AM59" i="19"/>
  <c r="AM103" i="19"/>
  <c r="AY59" i="19"/>
  <c r="AY103" i="19"/>
  <c r="X182" i="19"/>
  <c r="Z135" i="19"/>
  <c r="Z147" i="19"/>
  <c r="Z91" i="19"/>
  <c r="Z61" i="19"/>
  <c r="Z75" i="19"/>
  <c r="AW71" i="19"/>
  <c r="AW97" i="19" s="1"/>
  <c r="AW115" i="19"/>
  <c r="AW161" i="19"/>
  <c r="AW129" i="19"/>
  <c r="AW157" i="19" s="1"/>
  <c r="AQ59" i="19"/>
  <c r="AQ103" i="19"/>
  <c r="AK59" i="19"/>
  <c r="AK103" i="19"/>
  <c r="T182" i="19"/>
  <c r="AG126" i="19"/>
  <c r="P182" i="19"/>
  <c r="R184" i="19"/>
  <c r="AU71" i="19"/>
  <c r="AU97" i="19" s="1"/>
  <c r="AU115" i="19"/>
  <c r="AU129" i="19"/>
  <c r="AU157" i="19" s="1"/>
  <c r="AU161" i="19"/>
  <c r="N182" i="19"/>
  <c r="BA134" i="19"/>
  <c r="AI184" i="19"/>
  <c r="AI185" i="19" s="1"/>
  <c r="BA61" i="19"/>
  <c r="AO59" i="19"/>
  <c r="AO103" i="19"/>
  <c r="Z153" i="19"/>
  <c r="Z154" i="19"/>
  <c r="Z134" i="19"/>
  <c r="L184" i="19"/>
  <c r="Z95" i="19"/>
  <c r="Z93" i="19"/>
  <c r="Z58" i="19"/>
  <c r="AO71" i="19"/>
  <c r="AO97" i="19" s="1"/>
  <c r="AO115" i="19"/>
  <c r="AO161" i="19"/>
  <c r="AO129" i="19"/>
  <c r="AO157" i="19" s="1"/>
  <c r="AS59" i="19"/>
  <c r="AS103" i="19"/>
  <c r="V184" i="19"/>
  <c r="V182" i="19"/>
  <c r="R182" i="19"/>
  <c r="N184" i="19"/>
  <c r="BA56" i="19"/>
  <c r="AI182" i="19"/>
  <c r="AI183" i="19" s="1"/>
  <c r="AM71" i="19"/>
  <c r="AM97" i="19" s="1"/>
  <c r="AM115" i="19"/>
  <c r="AM129" i="19"/>
  <c r="AM157" i="19" s="1"/>
  <c r="AM161" i="19"/>
  <c r="X184" i="19"/>
  <c r="Z150" i="19"/>
  <c r="Z152" i="19"/>
  <c r="Z76" i="19"/>
  <c r="Z94" i="19"/>
  <c r="Z90" i="19"/>
  <c r="Z56" i="19"/>
  <c r="L182" i="19"/>
  <c r="L183" i="19" s="1"/>
  <c r="AU59" i="19"/>
  <c r="AU103" i="19"/>
  <c r="AY115" i="19"/>
  <c r="AY71" i="19"/>
  <c r="AY97" i="19" s="1"/>
  <c r="AY161" i="19"/>
  <c r="AY129" i="19"/>
  <c r="AY157" i="19" s="1"/>
  <c r="AK71" i="19"/>
  <c r="AK97" i="19" s="1"/>
  <c r="AK115" i="19"/>
  <c r="AK129" i="19"/>
  <c r="AK157" i="19" s="1"/>
  <c r="AK161" i="19"/>
  <c r="AQ115" i="19"/>
  <c r="AQ71" i="19"/>
  <c r="AQ97" i="19" s="1"/>
  <c r="AQ161" i="19"/>
  <c r="AQ129" i="19"/>
  <c r="AQ157" i="19" s="1"/>
  <c r="AW59" i="19"/>
  <c r="AW103" i="19"/>
  <c r="Z148" i="19"/>
  <c r="Z149" i="19"/>
  <c r="Z57" i="19"/>
  <c r="Z89" i="19"/>
  <c r="Z88" i="19"/>
  <c r="AS71" i="19"/>
  <c r="AS97" i="19" s="1"/>
  <c r="AS115" i="19"/>
  <c r="AS129" i="19"/>
  <c r="AS157" i="19" s="1"/>
  <c r="AS161" i="19"/>
  <c r="X185" i="19" l="1"/>
  <c r="D84" i="12"/>
  <c r="BA182" i="19"/>
  <c r="D79" i="12"/>
  <c r="N185" i="19"/>
  <c r="V183" i="19"/>
  <c r="D61" i="12"/>
  <c r="L185" i="19"/>
  <c r="Z184" i="19"/>
  <c r="D78" i="12"/>
  <c r="BA184" i="19"/>
  <c r="R185" i="19"/>
  <c r="D81" i="12"/>
  <c r="R183" i="19"/>
  <c r="D59" i="12"/>
  <c r="P183" i="19"/>
  <c r="D58" i="12"/>
  <c r="T183" i="19"/>
  <c r="D60" i="12"/>
  <c r="P185" i="19"/>
  <c r="D80" i="12"/>
  <c r="Z182" i="19"/>
  <c r="D56" i="12"/>
  <c r="D83" i="12"/>
  <c r="V185" i="19"/>
  <c r="N183" i="19"/>
  <c r="D57" i="12"/>
  <c r="X183" i="19"/>
  <c r="D62" i="12"/>
  <c r="T185" i="19"/>
  <c r="D82" i="12"/>
  <c r="F57" i="12" l="1"/>
  <c r="N215" i="19"/>
  <c r="Z183" i="19"/>
  <c r="F56" i="12"/>
  <c r="L215" i="19"/>
  <c r="F80" i="12"/>
  <c r="P216" i="19"/>
  <c r="F60" i="12"/>
  <c r="T215" i="19"/>
  <c r="AI216" i="19"/>
  <c r="BA185" i="19"/>
  <c r="BA183" i="19"/>
  <c r="AI215" i="19"/>
  <c r="V216" i="19"/>
  <c r="F83" i="12"/>
  <c r="F78" i="12"/>
  <c r="Z185" i="19"/>
  <c r="L216" i="19"/>
  <c r="F61" i="12"/>
  <c r="V215" i="19"/>
  <c r="F84" i="12"/>
  <c r="X216" i="19"/>
  <c r="X215" i="19"/>
  <c r="F62" i="12"/>
  <c r="F82" i="12"/>
  <c r="T216" i="19"/>
  <c r="P215" i="19"/>
  <c r="F58" i="12"/>
  <c r="N216" i="19"/>
  <c r="F79" i="12"/>
  <c r="D64" i="12"/>
  <c r="R215" i="19"/>
  <c r="F59" i="12"/>
  <c r="R216" i="19"/>
  <c r="F81" i="12"/>
  <c r="D86" i="12"/>
  <c r="F86" i="12" l="1"/>
  <c r="F64" i="12"/>
  <c r="R59" i="19"/>
  <c r="R103" i="19"/>
  <c r="P59" i="19"/>
  <c r="P103" i="19"/>
  <c r="X59" i="19"/>
  <c r="X103" i="19"/>
  <c r="P71" i="19"/>
  <c r="P97" i="19" s="1"/>
  <c r="P115" i="19"/>
  <c r="P129" i="19"/>
  <c r="P157" i="19" s="1"/>
  <c r="P161" i="19"/>
  <c r="R71" i="19"/>
  <c r="R97" i="19" s="1"/>
  <c r="R115" i="19"/>
  <c r="R161" i="19"/>
  <c r="R129" i="19"/>
  <c r="R157" i="19" s="1"/>
  <c r="T71" i="19"/>
  <c r="T97" i="19" s="1"/>
  <c r="T115" i="19"/>
  <c r="T161" i="19"/>
  <c r="T129" i="19"/>
  <c r="T157" i="19" s="1"/>
  <c r="X71" i="19"/>
  <c r="X97" i="19" s="1"/>
  <c r="X115" i="19"/>
  <c r="X129" i="19"/>
  <c r="X157" i="19" s="1"/>
  <c r="X161" i="19"/>
  <c r="L71" i="19"/>
  <c r="L161" i="19"/>
  <c r="L129" i="19"/>
  <c r="Z216" i="19"/>
  <c r="AA216" i="19" s="1"/>
  <c r="L115" i="19"/>
  <c r="V71" i="19"/>
  <c r="V97" i="19" s="1"/>
  <c r="V115" i="19"/>
  <c r="V129" i="19"/>
  <c r="V157" i="19" s="1"/>
  <c r="V161" i="19"/>
  <c r="AI71" i="19"/>
  <c r="AI161" i="19"/>
  <c r="BA161" i="19" s="1"/>
  <c r="AI129" i="19"/>
  <c r="BA216" i="19"/>
  <c r="AI115" i="19"/>
  <c r="BA115" i="19" s="1"/>
  <c r="N59" i="19"/>
  <c r="N103" i="19"/>
  <c r="V59" i="19"/>
  <c r="V103" i="19"/>
  <c r="N71" i="19"/>
  <c r="N97" i="19" s="1"/>
  <c r="N129" i="19"/>
  <c r="N157" i="19" s="1"/>
  <c r="N161" i="19"/>
  <c r="N115" i="19"/>
  <c r="AI59" i="19"/>
  <c r="AI103" i="19"/>
  <c r="BA215" i="19"/>
  <c r="T59" i="19"/>
  <c r="T103" i="19"/>
  <c r="L59" i="19"/>
  <c r="L103" i="19"/>
  <c r="Z215" i="19"/>
  <c r="AA215" i="19" s="1"/>
  <c r="BA103" i="19" l="1"/>
  <c r="BA129" i="19"/>
  <c r="AI157" i="19"/>
  <c r="BA59" i="19"/>
  <c r="Z129" i="19"/>
  <c r="L157" i="19"/>
  <c r="BA71" i="19"/>
  <c r="AI97" i="19"/>
  <c r="Z161" i="19"/>
  <c r="Z59" i="19"/>
  <c r="Z103" i="19"/>
  <c r="Z115" i="19"/>
  <c r="Z71" i="19"/>
  <c r="L97" i="19"/>
  <c r="BA97" i="19" l="1"/>
  <c r="Z157" i="19"/>
  <c r="BA157" i="19"/>
  <c r="Z97" i="19"/>
  <c r="L60" i="19"/>
  <c r="N60" i="19"/>
  <c r="P60" i="19"/>
  <c r="R60" i="19"/>
  <c r="T60" i="19"/>
  <c r="V60" i="19"/>
  <c r="X60" i="19"/>
  <c r="Z60" i="19"/>
  <c r="AI60" i="19"/>
  <c r="AK60" i="19"/>
  <c r="AM60" i="19"/>
  <c r="AO60" i="19"/>
  <c r="AQ60" i="19"/>
  <c r="AS60" i="19"/>
  <c r="AU60" i="19"/>
  <c r="AW60" i="19"/>
  <c r="AY60" i="19"/>
  <c r="BA60" i="19"/>
  <c r="L63" i="19"/>
  <c r="N63" i="19"/>
  <c r="P63" i="19"/>
  <c r="R63" i="19"/>
  <c r="T63" i="19"/>
  <c r="V63" i="19"/>
  <c r="X63" i="19"/>
  <c r="Z63" i="19"/>
  <c r="AI63" i="19"/>
  <c r="AK63" i="19"/>
  <c r="AM63" i="19"/>
  <c r="AO63" i="19"/>
  <c r="AQ63" i="19"/>
  <c r="AS63" i="19"/>
  <c r="AU63" i="19"/>
  <c r="AW63" i="19"/>
  <c r="AY63" i="19"/>
  <c r="BA63" i="19"/>
  <c r="L67" i="19"/>
  <c r="N67" i="19"/>
  <c r="P67" i="19"/>
  <c r="R67" i="19"/>
  <c r="T67" i="19"/>
  <c r="V67" i="19"/>
  <c r="X67" i="19"/>
  <c r="Z67" i="19"/>
  <c r="AI67" i="19"/>
  <c r="AK67" i="19"/>
  <c r="AM67" i="19"/>
  <c r="AO67" i="19"/>
  <c r="AQ67" i="19"/>
  <c r="AS67" i="19"/>
  <c r="AU67" i="19"/>
  <c r="AW67" i="19"/>
  <c r="AY67" i="19"/>
  <c r="BA67" i="19"/>
  <c r="L100" i="19"/>
  <c r="N100" i="19"/>
  <c r="P100" i="19"/>
  <c r="R100" i="19"/>
  <c r="T100" i="19"/>
  <c r="V100" i="19"/>
  <c r="X100" i="19"/>
  <c r="Z100" i="19"/>
  <c r="AI100" i="19"/>
  <c r="AK100" i="19"/>
  <c r="AM100" i="19"/>
  <c r="AO100" i="19"/>
  <c r="AQ100" i="19"/>
  <c r="AS100" i="19"/>
  <c r="AU100" i="19"/>
  <c r="AW100" i="19"/>
  <c r="AY100" i="19"/>
  <c r="BA100" i="19"/>
  <c r="L104" i="19"/>
  <c r="N104" i="19"/>
  <c r="P104" i="19"/>
  <c r="R104" i="19"/>
  <c r="T104" i="19"/>
  <c r="V104" i="19"/>
  <c r="X104" i="19"/>
  <c r="Z104" i="19"/>
  <c r="AI104" i="19"/>
  <c r="AK104" i="19"/>
  <c r="AM104" i="19"/>
  <c r="AO104" i="19"/>
  <c r="AQ104" i="19"/>
  <c r="AS104" i="19"/>
  <c r="AU104" i="19"/>
  <c r="AW104" i="19"/>
  <c r="AY104" i="19"/>
  <c r="BA104" i="19"/>
  <c r="L105" i="19"/>
  <c r="N105" i="19"/>
  <c r="P105" i="19"/>
  <c r="R105" i="19"/>
  <c r="T105" i="19"/>
  <c r="V105" i="19"/>
  <c r="X105" i="19"/>
  <c r="Z105" i="19"/>
  <c r="AI105" i="19"/>
  <c r="AK105" i="19"/>
  <c r="AM105" i="19"/>
  <c r="AO105" i="19"/>
  <c r="AQ105" i="19"/>
  <c r="AS105" i="19"/>
  <c r="AU105" i="19"/>
  <c r="AW105" i="19"/>
  <c r="AY105" i="19"/>
  <c r="BA105" i="19"/>
  <c r="L106" i="19"/>
  <c r="N106" i="19"/>
  <c r="P106" i="19"/>
  <c r="R106" i="19"/>
  <c r="T106" i="19"/>
  <c r="V106" i="19"/>
  <c r="X106" i="19"/>
  <c r="Z106" i="19"/>
  <c r="AI106" i="19"/>
  <c r="AK106" i="19"/>
  <c r="AM106" i="19"/>
  <c r="AO106" i="19"/>
  <c r="AQ106" i="19"/>
  <c r="AS106" i="19"/>
  <c r="AU106" i="19"/>
  <c r="AW106" i="19"/>
  <c r="AY106" i="19"/>
  <c r="BA106" i="19"/>
  <c r="L107" i="19"/>
  <c r="N107" i="19"/>
  <c r="P107" i="19"/>
  <c r="R107" i="19"/>
  <c r="T107" i="19"/>
  <c r="V107" i="19"/>
  <c r="X107" i="19"/>
  <c r="Z107" i="19"/>
  <c r="AI107" i="19"/>
  <c r="AK107" i="19"/>
  <c r="AM107" i="19"/>
  <c r="AO107" i="19"/>
  <c r="AQ107" i="19"/>
  <c r="AS107" i="19"/>
  <c r="AU107" i="19"/>
  <c r="AW107" i="19"/>
  <c r="AY107" i="19"/>
  <c r="BA107" i="19"/>
  <c r="L110" i="19"/>
  <c r="N110" i="19"/>
  <c r="P110" i="19"/>
  <c r="R110" i="19"/>
  <c r="T110" i="19"/>
  <c r="V110" i="19"/>
  <c r="X110" i="19"/>
  <c r="Z110" i="19"/>
  <c r="AI110" i="19"/>
  <c r="AK110" i="19"/>
  <c r="AM110" i="19"/>
  <c r="AO110" i="19"/>
  <c r="AQ110" i="19"/>
  <c r="AS110" i="19"/>
  <c r="AU110" i="19"/>
  <c r="AW110" i="19"/>
  <c r="AY110" i="19"/>
  <c r="BA110" i="19"/>
  <c r="L112" i="19"/>
  <c r="N112" i="19"/>
  <c r="P112" i="19"/>
  <c r="R112" i="19"/>
  <c r="T112" i="19"/>
  <c r="V112" i="19"/>
  <c r="X112" i="19"/>
  <c r="Z112" i="19"/>
  <c r="AI112" i="19"/>
  <c r="AK112" i="19"/>
  <c r="AM112" i="19"/>
  <c r="AO112" i="19"/>
  <c r="AQ112" i="19"/>
  <c r="AS112" i="19"/>
  <c r="AU112" i="19"/>
  <c r="AW112" i="19"/>
  <c r="AY112" i="19"/>
  <c r="BA112" i="19"/>
  <c r="L117" i="19"/>
  <c r="N117" i="19"/>
  <c r="P117" i="19"/>
  <c r="R117" i="19"/>
  <c r="T117" i="19"/>
  <c r="V117" i="19"/>
  <c r="X117" i="19"/>
  <c r="Z117" i="19"/>
  <c r="AI117" i="19"/>
  <c r="AK117" i="19"/>
  <c r="AM117" i="19"/>
  <c r="AO117" i="19"/>
  <c r="AQ117" i="19"/>
  <c r="AS117" i="19"/>
  <c r="AU117" i="19"/>
  <c r="AW117" i="19"/>
  <c r="AY117" i="19"/>
  <c r="BA117" i="19"/>
  <c r="L119" i="19"/>
  <c r="X119" i="19"/>
  <c r="Z119" i="19"/>
  <c r="AO119" i="19"/>
  <c r="AY119" i="19"/>
  <c r="BA119" i="19"/>
  <c r="L121" i="19"/>
  <c r="N121" i="19"/>
  <c r="P121" i="19"/>
  <c r="R121" i="19"/>
  <c r="T121" i="19"/>
  <c r="V121" i="19"/>
  <c r="X121" i="19"/>
  <c r="Z121" i="19"/>
  <c r="AI121" i="19"/>
  <c r="AK121" i="19"/>
  <c r="AM121" i="19"/>
  <c r="AO121" i="19"/>
  <c r="AQ121" i="19"/>
  <c r="AS121" i="19"/>
  <c r="AU121" i="19"/>
  <c r="AW121" i="19"/>
  <c r="AY121" i="19"/>
  <c r="BA121" i="19"/>
  <c r="L123" i="19"/>
  <c r="N123" i="19"/>
  <c r="P123" i="19"/>
  <c r="R123" i="19"/>
  <c r="T123" i="19"/>
  <c r="V123" i="19"/>
  <c r="X123" i="19"/>
  <c r="Z123" i="19"/>
  <c r="AI123" i="19"/>
  <c r="AK123" i="19"/>
  <c r="AM123" i="19"/>
  <c r="AO123" i="19"/>
  <c r="AQ123" i="19"/>
  <c r="AS123" i="19"/>
  <c r="AU123" i="19"/>
  <c r="AW123" i="19"/>
  <c r="AY123" i="19"/>
  <c r="BA123" i="19"/>
  <c r="L126" i="19"/>
  <c r="N126" i="19"/>
  <c r="P126" i="19"/>
  <c r="R126" i="19"/>
  <c r="T126" i="19"/>
  <c r="V126" i="19"/>
  <c r="X126" i="19"/>
  <c r="Z126" i="19"/>
  <c r="AI126" i="19"/>
  <c r="AK126" i="19"/>
  <c r="AM126" i="19"/>
  <c r="AO126" i="19"/>
  <c r="AQ126" i="19"/>
  <c r="AS126" i="19"/>
  <c r="AU126" i="19"/>
  <c r="AW126" i="19"/>
  <c r="AY126" i="19"/>
  <c r="BA126" i="19"/>
  <c r="L160" i="19"/>
  <c r="N160" i="19"/>
  <c r="P160" i="19"/>
  <c r="R160" i="19"/>
  <c r="T160" i="19"/>
  <c r="V160" i="19"/>
  <c r="X160" i="19"/>
  <c r="Z160" i="19"/>
  <c r="AI160" i="19"/>
  <c r="AK160" i="19"/>
  <c r="AM160" i="19"/>
  <c r="AO160" i="19"/>
  <c r="AQ160" i="19"/>
  <c r="AS160" i="19"/>
  <c r="AU160" i="19"/>
  <c r="AW160" i="19"/>
  <c r="AY160" i="19"/>
  <c r="BA160" i="19"/>
  <c r="L164" i="19"/>
  <c r="N164" i="19"/>
  <c r="P164" i="19"/>
  <c r="R164" i="19"/>
  <c r="T164" i="19"/>
  <c r="V164" i="19"/>
  <c r="X164" i="19"/>
  <c r="Z164" i="19"/>
  <c r="AI164" i="19"/>
  <c r="AK164" i="19"/>
  <c r="AM164" i="19"/>
  <c r="AO164" i="19"/>
  <c r="AQ164" i="19"/>
  <c r="AS164" i="19"/>
  <c r="AU164" i="19"/>
  <c r="AW164" i="19"/>
  <c r="AY164" i="19"/>
  <c r="BA164" i="19"/>
  <c r="L166" i="19"/>
  <c r="N166" i="19"/>
  <c r="P166" i="19"/>
  <c r="R166" i="19"/>
  <c r="T166" i="19"/>
  <c r="V166" i="19"/>
  <c r="X166" i="19"/>
  <c r="Z166" i="19"/>
  <c r="AI166" i="19"/>
  <c r="AK166" i="19"/>
  <c r="AM166" i="19"/>
  <c r="AO166" i="19"/>
  <c r="AQ166" i="19"/>
  <c r="AS166" i="19"/>
  <c r="AU166" i="19"/>
  <c r="AW166" i="19"/>
  <c r="AY166" i="19"/>
  <c r="BA166" i="19"/>
  <c r="L180" i="19"/>
  <c r="N180" i="19"/>
  <c r="P180" i="19"/>
  <c r="R180" i="19"/>
  <c r="T180" i="19"/>
  <c r="V180" i="19"/>
  <c r="X180" i="19"/>
  <c r="Z180" i="19"/>
  <c r="AI180" i="19"/>
  <c r="AK180" i="19"/>
  <c r="AM180" i="19"/>
  <c r="AO180" i="19"/>
  <c r="AQ180" i="19"/>
  <c r="AS180" i="19"/>
  <c r="AU180" i="19"/>
  <c r="AW180" i="19"/>
  <c r="AY180" i="19"/>
  <c r="BA180" i="19"/>
  <c r="L181" i="19"/>
  <c r="N181" i="19"/>
  <c r="P181" i="19"/>
  <c r="R181" i="19"/>
  <c r="T181" i="19"/>
  <c r="V181" i="19"/>
  <c r="X181" i="19"/>
  <c r="Z181" i="19"/>
  <c r="AI181" i="19"/>
  <c r="AK181" i="19"/>
  <c r="AM181" i="19"/>
  <c r="AO181" i="19"/>
  <c r="AQ181" i="19"/>
  <c r="AS181" i="19"/>
  <c r="AU181" i="19"/>
  <c r="AW181" i="19"/>
  <c r="AY181" i="19"/>
  <c r="BA181" i="19"/>
  <c r="L186" i="19"/>
  <c r="N186" i="19"/>
  <c r="P186" i="19"/>
  <c r="R186" i="19"/>
  <c r="T186" i="19"/>
  <c r="V186" i="19"/>
  <c r="X186" i="19"/>
  <c r="Z186" i="19"/>
  <c r="AI186" i="19"/>
  <c r="AK186" i="19"/>
  <c r="AM186" i="19"/>
  <c r="AO186" i="19"/>
  <c r="AQ186" i="19"/>
  <c r="AS186" i="19"/>
  <c r="AU186" i="19"/>
  <c r="AW186" i="19"/>
  <c r="AY186" i="19"/>
  <c r="BA186" i="19"/>
  <c r="L187" i="19"/>
  <c r="N187" i="19"/>
  <c r="P187" i="19"/>
  <c r="R187" i="19"/>
  <c r="T187" i="19"/>
  <c r="V187" i="19"/>
  <c r="X187" i="19"/>
  <c r="Z187" i="19"/>
  <c r="AI187" i="19"/>
  <c r="AK187" i="19"/>
  <c r="AM187" i="19"/>
  <c r="AO187" i="19"/>
  <c r="AQ187" i="19"/>
  <c r="AS187" i="19"/>
  <c r="AU187" i="19"/>
  <c r="AW187" i="19"/>
  <c r="AY187" i="19"/>
  <c r="BA187" i="19"/>
  <c r="L188" i="19"/>
  <c r="N188" i="19"/>
  <c r="P188" i="19"/>
  <c r="R188" i="19"/>
  <c r="T188" i="19"/>
  <c r="V188" i="19"/>
  <c r="X188" i="19"/>
  <c r="Z188" i="19"/>
  <c r="AI188" i="19"/>
  <c r="AK188" i="19"/>
  <c r="AM188" i="19"/>
  <c r="AO188" i="19"/>
  <c r="AQ188" i="19"/>
  <c r="AS188" i="19"/>
  <c r="AU188" i="19"/>
  <c r="AW188" i="19"/>
  <c r="AY188" i="19"/>
  <c r="BA188" i="19"/>
  <c r="L189" i="19"/>
  <c r="N189" i="19"/>
  <c r="P189" i="19"/>
  <c r="R189" i="19"/>
  <c r="T189" i="19"/>
  <c r="V189" i="19"/>
  <c r="X189" i="19"/>
  <c r="Z189" i="19"/>
  <c r="AI189" i="19"/>
  <c r="AK189" i="19"/>
  <c r="AM189" i="19"/>
  <c r="AO189" i="19"/>
  <c r="AQ189" i="19"/>
  <c r="AS189" i="19"/>
  <c r="AU189" i="19"/>
  <c r="AW189" i="19"/>
  <c r="AY189" i="19"/>
  <c r="BA189" i="19"/>
  <c r="L214" i="19"/>
  <c r="N214" i="19"/>
  <c r="P214" i="19"/>
  <c r="R214" i="19"/>
  <c r="T214" i="19"/>
  <c r="V214" i="19"/>
  <c r="X214" i="19"/>
  <c r="Z214" i="19"/>
  <c r="AA214" i="19"/>
  <c r="AI214" i="19"/>
  <c r="AK214" i="19"/>
  <c r="AM214" i="19"/>
  <c r="AO214" i="19"/>
  <c r="AQ214" i="19"/>
  <c r="AS214" i="19"/>
  <c r="AU214" i="19"/>
  <c r="AW214" i="19"/>
  <c r="AY214" i="19"/>
  <c r="BA214" i="19"/>
  <c r="L217" i="19"/>
  <c r="N217" i="19"/>
  <c r="P217" i="19"/>
  <c r="R217" i="19"/>
  <c r="T217" i="19"/>
  <c r="V217" i="19"/>
  <c r="X217" i="19"/>
  <c r="Z217" i="19"/>
  <c r="AA217" i="19"/>
  <c r="AI217" i="19"/>
  <c r="AK217" i="19"/>
  <c r="AM217" i="19"/>
  <c r="AO217" i="19"/>
  <c r="AQ217" i="19"/>
  <c r="AS217" i="19"/>
  <c r="AU217" i="19"/>
  <c r="AW217" i="19"/>
  <c r="AY217" i="19"/>
  <c r="BA217" i="19"/>
  <c r="L218" i="19"/>
  <c r="N218" i="19"/>
  <c r="P218" i="19"/>
  <c r="R218" i="19"/>
  <c r="T218" i="19"/>
  <c r="V218" i="19"/>
  <c r="X218" i="19"/>
  <c r="Z218" i="19"/>
  <c r="AA218" i="19"/>
  <c r="AI218" i="19"/>
  <c r="AK218" i="19"/>
  <c r="AM218" i="19"/>
  <c r="AO218" i="19"/>
  <c r="AQ218" i="19"/>
  <c r="AS218" i="19"/>
  <c r="AU218" i="19"/>
  <c r="AW218" i="19"/>
  <c r="AY218" i="19"/>
  <c r="BA218" i="19"/>
  <c r="L230" i="19"/>
  <c r="D33" i="12"/>
  <c r="F33" i="12"/>
  <c r="D34" i="12"/>
  <c r="F34" i="12"/>
  <c r="D35" i="12"/>
  <c r="F35" i="12"/>
  <c r="D36" i="12"/>
  <c r="F36" i="12"/>
  <c r="D37" i="12"/>
  <c r="F37" i="12"/>
  <c r="D38" i="12"/>
  <c r="F38" i="12"/>
  <c r="D39" i="12"/>
  <c r="F39" i="12"/>
  <c r="D41" i="12"/>
  <c r="F41" i="12"/>
  <c r="D101" i="12"/>
  <c r="F101" i="12"/>
  <c r="D102" i="12"/>
  <c r="F102" i="12"/>
  <c r="D103" i="12"/>
  <c r="F103" i="12"/>
  <c r="D104" i="12"/>
  <c r="F104" i="12"/>
  <c r="D105" i="12"/>
  <c r="F105" i="12"/>
  <c r="D106" i="12"/>
  <c r="F106" i="12"/>
  <c r="D107" i="12"/>
  <c r="F107" i="12"/>
  <c r="D109" i="12"/>
  <c r="F109" i="12"/>
  <c r="D121" i="12"/>
  <c r="F121" i="12"/>
  <c r="D122" i="12"/>
  <c r="F122" i="12"/>
  <c r="D123" i="12"/>
  <c r="F123" i="12"/>
  <c r="D124" i="12"/>
  <c r="F124" i="12"/>
  <c r="D125" i="12"/>
  <c r="F125" i="12"/>
  <c r="D126" i="12"/>
  <c r="F126" i="12"/>
  <c r="D127" i="12"/>
  <c r="F127" i="12"/>
  <c r="D129" i="12"/>
  <c r="F129" i="12"/>
  <c r="D18" i="27"/>
  <c r="F18" i="27"/>
  <c r="D20" i="27"/>
  <c r="F20" i="27"/>
  <c r="D22" i="27"/>
  <c r="F22" i="27"/>
  <c r="D24" i="27"/>
  <c r="F24" i="27"/>
  <c r="D26" i="27"/>
  <c r="F26" i="27"/>
  <c r="D28" i="27"/>
  <c r="F28" i="27"/>
  <c r="D30" i="27"/>
  <c r="F30" i="27"/>
  <c r="D32" i="27"/>
  <c r="F32" i="27"/>
  <c r="D36" i="27"/>
  <c r="C11" i="35"/>
  <c r="K11" i="35"/>
  <c r="C13" i="35"/>
  <c r="K13" i="35"/>
  <c r="C15" i="35"/>
  <c r="K15" i="35"/>
  <c r="C17" i="35"/>
  <c r="K17" i="35"/>
  <c r="C19" i="35"/>
  <c r="K19" i="35"/>
</calcChain>
</file>

<file path=xl/sharedStrings.xml><?xml version="1.0" encoding="utf-8"?>
<sst xmlns="http://schemas.openxmlformats.org/spreadsheetml/2006/main" count="1448" uniqueCount="545">
  <si>
    <t>Consumption w/ Fire</t>
  </si>
  <si>
    <t>The maximum hour extra capacity factors in column 5 are determined on the next page.</t>
  </si>
  <si>
    <t>Annual</t>
  </si>
  <si>
    <t>Sendout</t>
  </si>
  <si>
    <t>Peak Day</t>
  </si>
  <si>
    <t>(MG)</t>
  </si>
  <si>
    <t>&gt;12</t>
  </si>
  <si>
    <t>Demand*</t>
  </si>
  <si>
    <t>*  Relative Demand for Private Fire lines and hydrants are calculated at 1.5 times the Public Fire Relative</t>
  </si>
  <si>
    <t xml:space="preserve">   Demand.</t>
  </si>
  <si>
    <t xml:space="preserve">  -OPERATION-                            </t>
  </si>
  <si>
    <t xml:space="preserve">          Total Operation                </t>
  </si>
  <si>
    <t xml:space="preserve">        Total Source of Supply</t>
  </si>
  <si>
    <t xml:space="preserve">  Total Water Treatment Expenses</t>
  </si>
  <si>
    <t xml:space="preserve">  Total Transmission and Distribution    </t>
  </si>
  <si>
    <t xml:space="preserve">  Total Customers' Accounting and        </t>
  </si>
  <si>
    <t xml:space="preserve">   Collecting Expenses                   </t>
  </si>
  <si>
    <t xml:space="preserve">  Total Administrative and General       </t>
  </si>
  <si>
    <t xml:space="preserve">   Expenses                              </t>
  </si>
  <si>
    <t xml:space="preserve">  Total Operation and Maintenance        </t>
  </si>
  <si>
    <t xml:space="preserve">503  DEPRECIATION EXPENSE                </t>
  </si>
  <si>
    <t xml:space="preserve">           Total Depreciation Expense</t>
  </si>
  <si>
    <t xml:space="preserve">       Federal and State Payroll Taxes   </t>
  </si>
  <si>
    <t xml:space="preserve">       Property Taxes                    </t>
  </si>
  <si>
    <t xml:space="preserve">Utility Operating Income Available       </t>
  </si>
  <si>
    <t xml:space="preserve"> for Return                              </t>
  </si>
  <si>
    <t xml:space="preserve">     Total Depreciable Plant Net of Accumulated Depreciation,</t>
  </si>
  <si>
    <t xml:space="preserve">          Contributions and Advances</t>
  </si>
  <si>
    <t>OTHER RATE BASE ELEMENTS</t>
  </si>
  <si>
    <t>Deferred Income Taxes</t>
  </si>
  <si>
    <t xml:space="preserve">TRANSMISSION AND DISTRIBUTION EXPENSES   </t>
  </si>
  <si>
    <t xml:space="preserve">WATER TREATMENT                          </t>
  </si>
  <si>
    <t xml:space="preserve">SOURCE OF SUPPLY EXPENSES                </t>
  </si>
  <si>
    <t xml:space="preserve">OPERATION AND MAINTENANCE EXPENSES       </t>
  </si>
  <si>
    <t>Ref.</t>
  </si>
  <si>
    <t>Cost of</t>
  </si>
  <si>
    <t>Account</t>
  </si>
  <si>
    <t>Private</t>
  </si>
  <si>
    <t>Private Fire</t>
  </si>
  <si>
    <t>Public Fire</t>
  </si>
  <si>
    <t>RATE BASE</t>
  </si>
  <si>
    <t>Authorities</t>
  </si>
  <si>
    <t>FACTOR 5.  ALLOCATION OF COSTS ASSOCIATED WITH STORAGE FACILITIES, cont.</t>
  </si>
  <si>
    <t>FACTOR 15</t>
  </si>
  <si>
    <t>FACTOR 16</t>
  </si>
  <si>
    <t>FACTOR 17</t>
  </si>
  <si>
    <t>Factors are based on the weighting of the maximum daily consumption with fire, Factor 3, and the maximum hour consumption, Factor 5, for each customer classification, as follows:</t>
  </si>
  <si>
    <t>Costs are assigned directly to Public Fire Protection.</t>
  </si>
  <si>
    <t xml:space="preserve">   Extra Capacity</t>
  </si>
  <si>
    <t>Factors are based on the allocation of direct labor expense.</t>
  </si>
  <si>
    <t>The public and private fire protection allocation factors in column 7 on the previous page are based on the relative potential demands (see Schedule E).</t>
  </si>
  <si>
    <t>The public and private fire protection allocation factors in column 6 on the previous page are based on the relative potential demands (see Schedule E).</t>
  </si>
  <si>
    <t xml:space="preserve"> MISCELLANEOUS INTANGIBLE PLANT AND OTHER RATE BASE ELEMENTS.</t>
  </si>
  <si>
    <t xml:space="preserve">             Total Public Fire Prorection</t>
  </si>
  <si>
    <t>Private Hydrants</t>
  </si>
  <si>
    <t>TO PRIVATE AND PUBLIC FIRE PROTECTION CUSTOMER CLASSIFICATIONS</t>
  </si>
  <si>
    <t>Table of Factors - Table Name "FACTORS"</t>
  </si>
  <si>
    <t>factor 3</t>
  </si>
  <si>
    <t>factor 4</t>
  </si>
  <si>
    <t xml:space="preserve">Public </t>
  </si>
  <si>
    <t>KENTUCKY-AMERICAN WATER COMPANY</t>
  </si>
  <si>
    <t/>
  </si>
  <si>
    <t>FACTORS FOR ALLOCATING COST OF SERVICE TO CUSTOMER CLASSIFICATIONS</t>
  </si>
  <si>
    <t>Factors are based on the pro forma test year average daily consumption for each customer classification.</t>
  </si>
  <si>
    <t>Average Daily</t>
  </si>
  <si>
    <t xml:space="preserve">Customer </t>
  </si>
  <si>
    <t>Consumption,</t>
  </si>
  <si>
    <t>Allocation</t>
  </si>
  <si>
    <t>Classification</t>
  </si>
  <si>
    <t>Factor</t>
  </si>
  <si>
    <t>(1)</t>
  </si>
  <si>
    <t xml:space="preserve">    (2)</t>
  </si>
  <si>
    <t>(3)</t>
  </si>
  <si>
    <t>Residential</t>
  </si>
  <si>
    <t>Commercial</t>
  </si>
  <si>
    <t>Industrial</t>
  </si>
  <si>
    <t>Other Public Authority</t>
  </si>
  <si>
    <t>Private Fire Protection</t>
  </si>
  <si>
    <t>Public Fire Protection</t>
  </si>
  <si>
    <t xml:space="preserve">   Total</t>
  </si>
  <si>
    <t>FACTOR 2.  ALLOCATION OF COSTS ASSOCIATED WITH FACILITIES SERVING BASE AND</t>
  </si>
  <si>
    <t xml:space="preserve"> MAXIMUM DAY EXTRA CAPACITY FUNCTIONS.</t>
  </si>
  <si>
    <t>Factors are based on the weighting of the factors for average daily consumption (Factor 1) and the factors derived from maximum day extra capacity demand for each customer classification, as follows:</t>
  </si>
  <si>
    <t>Maximum Day</t>
  </si>
  <si>
    <t>Consumption</t>
  </si>
  <si>
    <t>Extra Capacity</t>
  </si>
  <si>
    <t>Weighted</t>
  </si>
  <si>
    <t>Factor 1</t>
  </si>
  <si>
    <t>(2)</t>
  </si>
  <si>
    <t>(3)=(2)x</t>
  </si>
  <si>
    <t>(4)</t>
  </si>
  <si>
    <t>(5)=(4)x</t>
  </si>
  <si>
    <t>(6)=(3)+(5)</t>
  </si>
  <si>
    <t>The derivation of the maximum day extra capacity factors in column 4 and the basis for the column 3 and 5 weightings are presented on the following page.</t>
  </si>
  <si>
    <t>::</t>
  </si>
  <si>
    <t>FACTORS FOR ALLOCATING COST OF SERVICE TO CUSTOMER CLASSIFICATIONS, cont.</t>
  </si>
  <si>
    <t xml:space="preserve"> MAXIMUM DAY EXTRA CAPACITY FUNCTIONS, cont.</t>
  </si>
  <si>
    <t>Maximum Day Extra Capacity</t>
  </si>
  <si>
    <t>Rate of Flow,</t>
  </si>
  <si>
    <t>Factor*</t>
  </si>
  <si>
    <t>Per Day</t>
  </si>
  <si>
    <t>(4)=(2)x(3)</t>
  </si>
  <si>
    <t>(5)</t>
  </si>
  <si>
    <t>Maximum</t>
  </si>
  <si>
    <t>Day</t>
  </si>
  <si>
    <t>Ratio</t>
  </si>
  <si>
    <t>Weight</t>
  </si>
  <si>
    <t>Average Day</t>
  </si>
  <si>
    <t xml:space="preserve"> Extra Capacity</t>
  </si>
  <si>
    <t xml:space="preserve">  Total</t>
  </si>
  <si>
    <t>* Ratio of maximum day to average day minus 1.0.</t>
  </si>
  <si>
    <t>Factors are based on the weighting of the average daily consumption, the maximum day extra capacity demand, and the fire protection demand for each customer classification.</t>
  </si>
  <si>
    <t>Fire Protection</t>
  </si>
  <si>
    <t>Customer</t>
  </si>
  <si>
    <t>(3)=(2) X</t>
  </si>
  <si>
    <t>(5)=(4) X</t>
  </si>
  <si>
    <t>(6)</t>
  </si>
  <si>
    <t>(7)=(6) X</t>
  </si>
  <si>
    <t>(8)=(3)+(5)+(7)</t>
  </si>
  <si>
    <t>Maximum Hour</t>
  </si>
  <si>
    <t>Average Hourly Consumption</t>
  </si>
  <si>
    <t>(4)=(3) X</t>
  </si>
  <si>
    <t>(6)=(5) X</t>
  </si>
  <si>
    <t>(7)</t>
  </si>
  <si>
    <t>(8)=(7) X</t>
  </si>
  <si>
    <t>(9)=(4)+(6)+(8)</t>
  </si>
  <si>
    <t>(GPD)</t>
  </si>
  <si>
    <t>Average Hour</t>
  </si>
  <si>
    <t xml:space="preserve">  Subtotal</t>
  </si>
  <si>
    <t>FACTOR 4.  ALLOCATION OF COSTS ASSOCIATED WITH FACILITIES SERVING BASE AND</t>
  </si>
  <si>
    <t xml:space="preserve"> MAXIMUM HOUR EXTRA CAPACITY FUNCTIONS, cont.</t>
  </si>
  <si>
    <t>(GPM)</t>
  </si>
  <si>
    <t>The maximum hour extra capacity factors in column 5 of the previous page are determined as follows:</t>
  </si>
  <si>
    <t>Average</t>
  </si>
  <si>
    <t>Hourly</t>
  </si>
  <si>
    <t>Maximum Hour Extra Capacity</t>
  </si>
  <si>
    <t>Per Hour</t>
  </si>
  <si>
    <t xml:space="preserve">     Total</t>
  </si>
  <si>
    <t>* Ratio of Maximum Hour To Average Hour Minus 1.0.</t>
  </si>
  <si>
    <t>FACTOR 5.  ALLOCATION OF COSTS ASSOCIATED WITH STORAGE FACILITIES.</t>
  </si>
  <si>
    <t>Factors are based on the weighting of the average hourly consumption, the maximum hour extra capacity demand, and the fire protection demand for each customer classification.</t>
  </si>
  <si>
    <t xml:space="preserve">     Total Other Rate Base Elements</t>
  </si>
  <si>
    <t>Total Original Cost Measure of Value</t>
  </si>
  <si>
    <t>Fire Protection Weight =</t>
  </si>
  <si>
    <t>=</t>
  </si>
  <si>
    <t>General Service Weight =</t>
  </si>
  <si>
    <t>-</t>
  </si>
  <si>
    <t>The weighting of the average hourly consumption and maximum hour extra demand for general service is based on the maximum hour ratio, as follows:</t>
  </si>
  <si>
    <t>Hour</t>
  </si>
  <si>
    <t>Percent</t>
  </si>
  <si>
    <t xml:space="preserve"> Maximum Hour</t>
  </si>
  <si>
    <t>Maximum Daily</t>
  </si>
  <si>
    <t>Maximum Hourly</t>
  </si>
  <si>
    <t>Factor 3</t>
  </si>
  <si>
    <t>Factor 4</t>
  </si>
  <si>
    <t>(3)=(2)X</t>
  </si>
  <si>
    <t>(5)=(4)X</t>
  </si>
  <si>
    <t>base</t>
  </si>
  <si>
    <t>max day</t>
  </si>
  <si>
    <t>max hour</t>
  </si>
  <si>
    <t>private fire</t>
  </si>
  <si>
    <t>public fire</t>
  </si>
  <si>
    <t xml:space="preserve">    Total</t>
  </si>
  <si>
    <t>The weighting of the factors is based on the total footage of mains, designated as either transmission mains or distribution mains, as follows:</t>
  </si>
  <si>
    <t>Total Footage</t>
  </si>
  <si>
    <t>of Mains</t>
  </si>
  <si>
    <t>Transmission Mains</t>
  </si>
  <si>
    <t>Distribution Mains</t>
  </si>
  <si>
    <t>Number of</t>
  </si>
  <si>
    <t xml:space="preserve">       Total</t>
  </si>
  <si>
    <t>Factors are based on the relative cost of meters by size and customer classification, as developed on the following page and summarized below.</t>
  </si>
  <si>
    <t>Equivalents</t>
  </si>
  <si>
    <t xml:space="preserve"> </t>
  </si>
  <si>
    <t>Factors are based on the relative cost of services by size and customer classification, as developed on the following page and summarized below.</t>
  </si>
  <si>
    <t>3/4" Dollar</t>
  </si>
  <si>
    <t>old 1997 study</t>
  </si>
  <si>
    <t>|...+....1....+....2....+....3....+....4....+....5....+....6....+....7....+....8....+....9....+...10....+...11....+...12....+...13....+...14....+...15....+...16....+...17....+...18....+...19....+...20....+...21....+...22....+...23....+...</t>
  </si>
  <si>
    <t>BASIS FOR ALLOCATING SERVICE COSTS TO CUSTOMER CLASSIFICATIONS</t>
  </si>
  <si>
    <t>3/4"</t>
  </si>
  <si>
    <t>Sales for Resale</t>
  </si>
  <si>
    <t>Sales for</t>
  </si>
  <si>
    <t>Resale</t>
  </si>
  <si>
    <t xml:space="preserve">Other Water Utilities      </t>
  </si>
  <si>
    <t>Total</t>
  </si>
  <si>
    <t>Service</t>
  </si>
  <si>
    <t>Dollar</t>
  </si>
  <si>
    <t>Size</t>
  </si>
  <si>
    <t>Equivalent</t>
  </si>
  <si>
    <t>Services</t>
  </si>
  <si>
    <t>Weighting</t>
  </si>
  <si>
    <t>(4)=(2)X(3)</t>
  </si>
  <si>
    <t>(6)=(2)X(5)</t>
  </si>
  <si>
    <t>(8)=(2)X(7)</t>
  </si>
  <si>
    <t>(10)=(2)X(9)</t>
  </si>
  <si>
    <t>(12)=(2)X(11)</t>
  </si>
  <si>
    <t>(14)=(2)X(11)</t>
  </si>
  <si>
    <t xml:space="preserve">  3/4</t>
  </si>
  <si>
    <t xml:space="preserve">   1</t>
  </si>
  <si>
    <t xml:space="preserve"> 1-1/2</t>
  </si>
  <si>
    <t xml:space="preserve">   2</t>
  </si>
  <si>
    <t xml:space="preserve">   4</t>
  </si>
  <si>
    <t xml:space="preserve">   6</t>
  </si>
  <si>
    <t xml:space="preserve">   8</t>
  </si>
  <si>
    <t xml:space="preserve">  10</t>
  </si>
  <si>
    <t xml:space="preserve">  12</t>
  </si>
  <si>
    <t xml:space="preserve">  16</t>
  </si>
  <si>
    <t>Factors are based on the total number of customers.</t>
  </si>
  <si>
    <t>Customers</t>
  </si>
  <si>
    <t>Factors are based on the number of metered customers.</t>
  </si>
  <si>
    <t>Total Metered</t>
  </si>
  <si>
    <t>Expenses</t>
  </si>
  <si>
    <t>Maintenance</t>
  </si>
  <si>
    <t>Public</t>
  </si>
  <si>
    <t>Gallons</t>
  </si>
  <si>
    <t>Operation &amp;</t>
  </si>
  <si>
    <t>Direct Labor</t>
  </si>
  <si>
    <t>Expense</t>
  </si>
  <si>
    <t>Factors are based on the allocation of the original cost less depreciation other than those items being allocated, as follows:</t>
  </si>
  <si>
    <t>Original</t>
  </si>
  <si>
    <t>Cost Less</t>
  </si>
  <si>
    <t>Depreciation</t>
  </si>
  <si>
    <t>Factors are based on the allocation of the original cost measure of value rate base as shown on the following pages and summarized below.</t>
  </si>
  <si>
    <t>Cost Measure</t>
  </si>
  <si>
    <t>of Value</t>
  </si>
  <si>
    <t>The factors are based on the allocation of the total cost of service, excluding those items being allocated.</t>
  </si>
  <si>
    <t xml:space="preserve">Total Cost </t>
  </si>
  <si>
    <t>of Service</t>
  </si>
  <si>
    <t>BASIS FOR ALLOCATING METER COSTS TO CUSTOMER CLASSIFICATIONS</t>
  </si>
  <si>
    <t>5/8"</t>
  </si>
  <si>
    <t>Meter</t>
  </si>
  <si>
    <t>Meters</t>
  </si>
  <si>
    <t>5/8</t>
  </si>
  <si>
    <t>1</t>
  </si>
  <si>
    <t>1-1/2</t>
  </si>
  <si>
    <t>2</t>
  </si>
  <si>
    <t>3</t>
  </si>
  <si>
    <t>4</t>
  </si>
  <si>
    <t>6</t>
  </si>
  <si>
    <t>8</t>
  </si>
  <si>
    <t>BASIS FOR ALLOCATING DEMAND RELATED COSTS OF FIRE SERVICE</t>
  </si>
  <si>
    <t>Restrictive</t>
  </si>
  <si>
    <t>Diameters</t>
  </si>
  <si>
    <t>Relative</t>
  </si>
  <si>
    <t>Description</t>
  </si>
  <si>
    <t>Squared</t>
  </si>
  <si>
    <t>Quantity</t>
  </si>
  <si>
    <t>PRIVATE FIRE PROTECTION</t>
  </si>
  <si>
    <t>Fire Lines</t>
  </si>
  <si>
    <t>-inch</t>
  </si>
  <si>
    <t>Total Private Fire Protection</t>
  </si>
  <si>
    <t>PUBLIC FIRE PROTECTION</t>
  </si>
  <si>
    <t xml:space="preserve"> Total Fire Protection</t>
  </si>
  <si>
    <t xml:space="preserve"> Sales of Water                          </t>
  </si>
  <si>
    <t xml:space="preserve">Total Cost of Service Related to         </t>
  </si>
  <si>
    <t xml:space="preserve">    Total Cost of Service                </t>
  </si>
  <si>
    <t xml:space="preserve">         Total Taxes, Other Than Income  </t>
  </si>
  <si>
    <t xml:space="preserve">                                         </t>
  </si>
  <si>
    <t xml:space="preserve">ADMINISTRATIVE AND GENERAL EXPENSES      </t>
  </si>
  <si>
    <t xml:space="preserve">CUSTOMER ACCOUNTS                        </t>
  </si>
  <si>
    <t>COMPARISON OF COST OF SERVICE WITH REVENUES UNDER PRESENT AND PROPOSED RATES</t>
  </si>
  <si>
    <t>Cost of Service</t>
  </si>
  <si>
    <t>Proposed Increase</t>
  </si>
  <si>
    <t>Amount</t>
  </si>
  <si>
    <t>Revenues, Present Rates</t>
  </si>
  <si>
    <t>Revenues, Proposed Rates</t>
  </si>
  <si>
    <t>Increase</t>
  </si>
  <si>
    <t>(8)</t>
  </si>
  <si>
    <t>(9)</t>
  </si>
  <si>
    <t>Public Authority</t>
  </si>
  <si>
    <t>Private Fire Service</t>
  </si>
  <si>
    <t>Public Fire Service</t>
  </si>
  <si>
    <t xml:space="preserve">     Total Sales</t>
  </si>
  <si>
    <t>Other Revenues</t>
  </si>
  <si>
    <t xml:space="preserve">              Total</t>
  </si>
  <si>
    <t>Base</t>
  </si>
  <si>
    <t>Max Day</t>
  </si>
  <si>
    <t>Max Hour</t>
  </si>
  <si>
    <t>Billing &amp;</t>
  </si>
  <si>
    <t>Collecting</t>
  </si>
  <si>
    <t>1,000 Gallons</t>
  </si>
  <si>
    <t>Factors are based on the allocation of all other operation and maintenance expenses excluding purchased water, power, chemicals and waste disposal.</t>
  </si>
  <si>
    <t>(Schedule B)</t>
  </si>
  <si>
    <t>Year</t>
  </si>
  <si>
    <t>(MGD)</t>
  </si>
  <si>
    <t>Check</t>
  </si>
  <si>
    <t>Sch A</t>
  </si>
  <si>
    <t>Rate base</t>
  </si>
  <si>
    <t>COS 1</t>
  </si>
  <si>
    <t>Company</t>
  </si>
  <si>
    <t>Revenue Require</t>
  </si>
  <si>
    <t>Factors are based on the allocation of operation and maintenance expenses including purchased water, power, chemicals, waste disposal, and administrative and general expenses.</t>
  </si>
  <si>
    <t xml:space="preserve">     Total Plant in Service, Net of Accumulated</t>
  </si>
  <si>
    <t xml:space="preserve">        Depreciation, Contributions and Advances</t>
  </si>
  <si>
    <t>COMPARISON OF PRESENT AND PROPOSED RATES</t>
  </si>
  <si>
    <t>Present</t>
  </si>
  <si>
    <t>Proposed</t>
  </si>
  <si>
    <t>Rate</t>
  </si>
  <si>
    <t>3/4</t>
  </si>
  <si>
    <t>Per Thousand Gallons</t>
  </si>
  <si>
    <t>Consumption Charges:</t>
  </si>
  <si>
    <t>Fire Protection:</t>
  </si>
  <si>
    <t>PrivateFire Hydrant</t>
  </si>
  <si>
    <t>Public Fire Hydrant</t>
  </si>
  <si>
    <t>CALCULATION OF MONTHLY SERVICE CHARGES</t>
  </si>
  <si>
    <t>Number</t>
  </si>
  <si>
    <t>Cost Per Unit</t>
  </si>
  <si>
    <t>Cost Function</t>
  </si>
  <si>
    <t>of Units</t>
  </si>
  <si>
    <t>Per Month</t>
  </si>
  <si>
    <t>5/8-inch meter equivalents</t>
  </si>
  <si>
    <t>3/4-inch service equivalents</t>
  </si>
  <si>
    <t>Billing &amp; Collecting</t>
  </si>
  <si>
    <t>Number of customers</t>
  </si>
  <si>
    <t xml:space="preserve">          Total</t>
  </si>
  <si>
    <t>Public fire</t>
  </si>
  <si>
    <t>private Fire</t>
  </si>
  <si>
    <t>Uncollectible</t>
  </si>
  <si>
    <t>Accounts</t>
  </si>
  <si>
    <t>Thousand Gallons</t>
  </si>
  <si>
    <t>Thousand</t>
  </si>
  <si>
    <t>&lt;&lt;&lt;&lt;&lt;ADJUSTED USAGE PER LINDA, FIELD TRIP 11/13/2012</t>
  </si>
  <si>
    <t xml:space="preserve">Purchased Water                    </t>
  </si>
  <si>
    <t>Purchased Power</t>
  </si>
  <si>
    <t xml:space="preserve">Miscellaneous Expenses             </t>
  </si>
  <si>
    <t xml:space="preserve">Chemicals                          </t>
  </si>
  <si>
    <t xml:space="preserve">Uncollectible Accounts             </t>
  </si>
  <si>
    <t xml:space="preserve"> Administrative &amp; General Salaries  </t>
  </si>
  <si>
    <t xml:space="preserve">Employee Pensions and Benefits     </t>
  </si>
  <si>
    <t xml:space="preserve">Regulatory Expenses                </t>
  </si>
  <si>
    <t xml:space="preserve">Source of Supply Struct &amp; Improv  </t>
  </si>
  <si>
    <t xml:space="preserve">Wells and Springs                 </t>
  </si>
  <si>
    <t xml:space="preserve">Supply Mains                      </t>
  </si>
  <si>
    <t xml:space="preserve">Distrib. Reservoirs &amp; Standpipes  </t>
  </si>
  <si>
    <t xml:space="preserve">Transmission &amp; Distribution Mains </t>
  </si>
  <si>
    <t xml:space="preserve">Services                          </t>
  </si>
  <si>
    <t xml:space="preserve">Meters                            </t>
  </si>
  <si>
    <t>Hydrants</t>
  </si>
  <si>
    <t xml:space="preserve">Office Furniture and Equipment    </t>
  </si>
  <si>
    <t xml:space="preserve">Stores Equipment                  </t>
  </si>
  <si>
    <t xml:space="preserve">Tools, Shop &amp; Garage Equipment    </t>
  </si>
  <si>
    <t xml:space="preserve">Laboratory Equipment              </t>
  </si>
  <si>
    <t xml:space="preserve">Power Operated Equipment          </t>
  </si>
  <si>
    <t xml:space="preserve">Communication Equipment           </t>
  </si>
  <si>
    <t xml:space="preserve">Other Tangible Property           </t>
  </si>
  <si>
    <t xml:space="preserve">TAXES, OTHER THAN INCOME           </t>
  </si>
  <si>
    <t xml:space="preserve">INCOME TAXES                       </t>
  </si>
  <si>
    <t>Contracted Services</t>
  </si>
  <si>
    <t>Insurance - Liability, Vehicle and Other</t>
  </si>
  <si>
    <t xml:space="preserve">       Utility Reg Assessment         </t>
  </si>
  <si>
    <t>M&amp;S Operation</t>
  </si>
  <si>
    <t>Contracted Services - Lab Testing</t>
  </si>
  <si>
    <t>Transportation</t>
  </si>
  <si>
    <t>Misc Maint AG</t>
  </si>
  <si>
    <t>Janitorial P</t>
  </si>
  <si>
    <t>Water &amp; WW WT</t>
  </si>
  <si>
    <t>Labor Expense</t>
  </si>
  <si>
    <t>Labor</t>
  </si>
  <si>
    <t>Labor - Meter Reading</t>
  </si>
  <si>
    <t>O&amp;M</t>
  </si>
  <si>
    <t>COS</t>
  </si>
  <si>
    <t xml:space="preserve">       ITC</t>
  </si>
  <si>
    <t>Misc. Operatiing</t>
  </si>
  <si>
    <t>Other</t>
  </si>
  <si>
    <t xml:space="preserve">Organization                      </t>
  </si>
  <si>
    <t>Land and Land Rights</t>
  </si>
  <si>
    <t xml:space="preserve">Water Treat Equipment         </t>
  </si>
  <si>
    <t xml:space="preserve">Fire Hydrants                     </t>
  </si>
  <si>
    <t>Transportation Equip</t>
  </si>
  <si>
    <t>The weighting of the factors is based on the ratio of the capacity required for a 10 hour demand of fire flow, as related to total storage capacity.  The calculation is shown on the following page.</t>
  </si>
  <si>
    <t>Materials and Supplies</t>
  </si>
  <si>
    <t xml:space="preserve">       Other Taxes and Licenses     </t>
  </si>
  <si>
    <t xml:space="preserve">Less:  Misc. Service      </t>
  </si>
  <si>
    <t>Year Ending 9/30/2012</t>
  </si>
  <si>
    <t xml:space="preserve">Administrative &amp; General Salaries  </t>
  </si>
  <si>
    <t>FACTOR 3.  ALLOCATION OF COSTS ASSOCIATED WITH FACILITIES SERVING BASE, MAXIMUM DAY EXTRA</t>
  </si>
  <si>
    <t xml:space="preserve">   CAPACITY AND FIRE PROTECTION FUNCTIONS.</t>
  </si>
  <si>
    <t>FACTOR 1.  ALLOCATION OF COSTS WHICH VARY WITH THE AMOUNT OF WATER</t>
  </si>
  <si>
    <t xml:space="preserve">  CONSUMED.</t>
  </si>
  <si>
    <t>Rents WT</t>
  </si>
  <si>
    <t>Unrecovered Public Fire</t>
  </si>
  <si>
    <t>COST OF SERVICE FOR THE TWELVE MONTHS ENDED AUGUST 31, 2017, ALLOCATED TO FUNCTIONAL CLASSIFICATIONS</t>
  </si>
  <si>
    <t>FACTOR 3.  ALLOCATION OF COSTS ASSOCIATED WITH FACILITIES SERVING BASE,</t>
  </si>
  <si>
    <t xml:space="preserve">  MAXIMUM DAY EXTRA CAPACITY AND FIRE PROTECTION FUNCTIONS, cont.</t>
  </si>
  <si>
    <t>FACTOR 4.  ALLOCATION OF COSTS ASSOCIATED WITH FACILITIES SERVING BASE AND MAXIMUM HOUR EXTRA CAPACITY</t>
  </si>
  <si>
    <t xml:space="preserve">     FUNCTIONS.</t>
  </si>
  <si>
    <t xml:space="preserve">     AND OTHER WATER REVENUES.</t>
  </si>
  <si>
    <t xml:space="preserve"> WATER SERVICE CORPORATION OF KENTUCKY</t>
  </si>
  <si>
    <t>WATER SERVICE CORPORATION OF KENTUCKY</t>
  </si>
  <si>
    <t>COST OF SERVICE FOR THE TWELVE MONTHS ENDED DECEMBER 31, 2017, ALLOCATED TO CUSTOMER CLASSIFICATIONS</t>
  </si>
  <si>
    <t>Purchased Water</t>
  </si>
  <si>
    <t>Labor - 601</t>
  </si>
  <si>
    <t>SOS - O</t>
  </si>
  <si>
    <t>SOS - M</t>
  </si>
  <si>
    <t>WT-O</t>
  </si>
  <si>
    <t>WT-M</t>
  </si>
  <si>
    <t>TD-0</t>
  </si>
  <si>
    <t>TD-M</t>
  </si>
  <si>
    <t>CA</t>
  </si>
  <si>
    <t>AG</t>
  </si>
  <si>
    <t>Director Labor 603</t>
  </si>
  <si>
    <t>Pension and benefits</t>
  </si>
  <si>
    <t>Chemicals</t>
  </si>
  <si>
    <t>Contractual Services - Acct.</t>
  </si>
  <si>
    <t>Contractual Services - Legal</t>
  </si>
  <si>
    <t>Contractual Services - Other</t>
  </si>
  <si>
    <t>Rentals of Builiding/Real Prop.</t>
  </si>
  <si>
    <t>Insurance - General Liability</t>
  </si>
  <si>
    <t>Insurance - Other</t>
  </si>
  <si>
    <t>Advertising</t>
  </si>
  <si>
    <t>Amortization of Rate Case Expense</t>
  </si>
  <si>
    <t>Bad Debt Expense</t>
  </si>
  <si>
    <t>Misc Expenes</t>
  </si>
  <si>
    <t>Misc. Expense</t>
  </si>
  <si>
    <t>Wells and Springs</t>
  </si>
  <si>
    <t>Communication Equipment</t>
  </si>
  <si>
    <t>Pumping Equipment</t>
  </si>
  <si>
    <t xml:space="preserve">Pumping Equipment </t>
  </si>
  <si>
    <t xml:space="preserve">   Distribution Mains</t>
  </si>
  <si>
    <t xml:space="preserve">   Transmission Mains</t>
  </si>
  <si>
    <t>SUMMARY OF AVERAGE DAY AND PEAK DAY DELIVERY FOR THE YEARS 2007-2017</t>
  </si>
  <si>
    <t>.</t>
  </si>
  <si>
    <t>Ratio Peak Day</t>
  </si>
  <si>
    <t>To Avg. Day</t>
  </si>
  <si>
    <t>The weighting of the factors is based on the maximum day ratio of 1.90, based on a review of maximum day ratios experienced during the period 2007 through 2017 (see Schedule D).</t>
  </si>
  <si>
    <t>Non-Residential</t>
  </si>
  <si>
    <t>Clinton</t>
  </si>
  <si>
    <t>4 1/2 inch w/ 2-2 1/2, 1-4 1/2</t>
  </si>
  <si>
    <t>GPM X 60 Min. X 2 Hrs.</t>
  </si>
  <si>
    <t>The weighting of the factors is based on the ratio of the capacity required for a 2 hour demand of fire flow, as related to total storage capacity.</t>
  </si>
  <si>
    <t xml:space="preserve">  All Over 100,000 gallons</t>
  </si>
  <si>
    <t xml:space="preserve">  First 100,000 gallons</t>
  </si>
  <si>
    <t xml:space="preserve">  All Usage</t>
  </si>
  <si>
    <t>Middlesboro</t>
  </si>
  <si>
    <t>Private Fire Line</t>
  </si>
  <si>
    <t>Service Charges, Per Month</t>
  </si>
  <si>
    <t>A&amp;G BASIS FOR FACTOR 13</t>
  </si>
  <si>
    <t>FACTOR 13</t>
  </si>
  <si>
    <t>CASH WORKING CAPITAL FOR FACTOR 13A</t>
  </si>
  <si>
    <t>FACTOR 13A</t>
  </si>
  <si>
    <t>LABOR BASIS FOR FACTOR 14</t>
  </si>
  <si>
    <t>UPIS BASIS FOR FACTOR 15</t>
  </si>
  <si>
    <t>FACTOR 14</t>
  </si>
  <si>
    <t>RATE BASE BASIS FOR FACTOR 16</t>
  </si>
  <si>
    <t>TOTAL COS BASIS FOR FACTOR 17</t>
  </si>
  <si>
    <t>FACTOR 9.  ALLOCATION OF COSTS ASSOCIATED WITH SERVICES.</t>
  </si>
  <si>
    <t>FACTOR 8.  ALLOCATION OF COSTS ASSOCIATED WITH METERS.</t>
  </si>
  <si>
    <t>FACTOR 7. ALLOCATION OF COSTS ASSOCIATED WITH FIRE HYDRANTS.</t>
  </si>
  <si>
    <t>FACTOR 14.  ALLOCATION OF LABOR RELATED TAXES AND BENEFITS.</t>
  </si>
  <si>
    <t xml:space="preserve">FACTOR 15.  ALLOCATION OF ORGANIZATION, FRANCHISES AND CONSENTS, </t>
  </si>
  <si>
    <t>FACTOR 16.  ALLOCATION OF INCOME TAXES AND INCOME AVAILABLE FOR RETURN.</t>
  </si>
  <si>
    <t>FACTOR 17.  ALLOCATION OF REGULATORY COMMISSION EXPENSES, ASSESSMENTS</t>
  </si>
  <si>
    <t>FACTOR 12</t>
  </si>
  <si>
    <t>A&amp;G BASIS FOR FACTOR 12</t>
  </si>
  <si>
    <t>CASH WORKING CAPITAL FOR FACTOR 13</t>
  </si>
  <si>
    <t>FACTOR 10.  ALLOCATION OF BILLING AND COLLECTING COSTS.</t>
  </si>
  <si>
    <t>FACTOR 11.  ALLOCATION OF METER READING COSTS.</t>
  </si>
  <si>
    <t>FACTOR 12.  ALLOCATION OF ADMINISTRATIVE AND GENERAL EXPENSES</t>
  </si>
  <si>
    <t>FACTOR 13.  ALLOCATION OF CASH WORKING CAPITAL</t>
  </si>
  <si>
    <t>Billing and Customer Service Expense</t>
  </si>
  <si>
    <t>IT Department</t>
  </si>
  <si>
    <t>Office Expense</t>
  </si>
  <si>
    <t>Office Utilities and Maintenance</t>
  </si>
  <si>
    <t>Travel</t>
  </si>
  <si>
    <t>Maintenance Exp</t>
  </si>
  <si>
    <t>Maintenance Lab Testing</t>
  </si>
  <si>
    <t>Annual Report</t>
  </si>
  <si>
    <t>Per books</t>
  </si>
  <si>
    <t>Pro Forma</t>
  </si>
  <si>
    <t>Maintenance Expense</t>
  </si>
  <si>
    <t>Lab Testing</t>
  </si>
  <si>
    <t>Labor - Customer Accounting</t>
  </si>
  <si>
    <t>Misc Expense</t>
  </si>
  <si>
    <t>Adjustments</t>
  </si>
  <si>
    <t>Operating Expense Charged to Plant</t>
  </si>
  <si>
    <t>Operating Leases</t>
  </si>
  <si>
    <t xml:space="preserve">Water Treatment Struct &amp; Improv  </t>
  </si>
  <si>
    <t>Organization</t>
  </si>
  <si>
    <t>T&amp;D Struct &amp; Improv</t>
  </si>
  <si>
    <t>General Plant Struct &amp; Improv</t>
  </si>
  <si>
    <t>Office Struct &amp; Improvements</t>
  </si>
  <si>
    <t>Water Plant Allocated</t>
  </si>
  <si>
    <t>Computers</t>
  </si>
  <si>
    <t>Expense Reduction Related to Clinton Sewer Oper.</t>
  </si>
  <si>
    <t xml:space="preserve">       Utility Commission tax</t>
  </si>
  <si>
    <t>ORGANIZATION</t>
  </si>
  <si>
    <t>FRANCHISES</t>
  </si>
  <si>
    <t>LAND &amp; LAND RIGHTS TRAN</t>
  </si>
  <si>
    <t>LAND &amp; LAND RIGHTS GEN</t>
  </si>
  <si>
    <t>STRUCT &amp; IMPRV SRC SUPP</t>
  </si>
  <si>
    <t>STRUCT &amp; IMPRV WTR TRT</t>
  </si>
  <si>
    <t>STRUCT &amp; IMPRV TRANS DI</t>
  </si>
  <si>
    <t>STRUCT &amp; IMPRV GEN PLT</t>
  </si>
  <si>
    <t>WELLS &amp; SPRINGS</t>
  </si>
  <si>
    <t>SUPPLY MAINS</t>
  </si>
  <si>
    <t>ELECTRIC PUMP EQUIP SRC</t>
  </si>
  <si>
    <t>ELECTRIC PUMP EQUIP WTP</t>
  </si>
  <si>
    <t>ELECTRIC PUMP EQUIP TRA</t>
  </si>
  <si>
    <t>WATER TREATMENT EQPT</t>
  </si>
  <si>
    <t>DIST RESV &amp; STANDPIPES</t>
  </si>
  <si>
    <t>TRANS &amp; DISTR MAINS</t>
  </si>
  <si>
    <t>SERVICE LINES</t>
  </si>
  <si>
    <t>METERS</t>
  </si>
  <si>
    <t>METER INSTALLATIONS</t>
  </si>
  <si>
    <t>HYDRANTS</t>
  </si>
  <si>
    <t>BACKFLOW PREVENTION DEV</t>
  </si>
  <si>
    <t>OTH PLT&amp;MISC EQUIP TRAN</t>
  </si>
  <si>
    <t>OFFICE STRUCT &amp; IMPRV</t>
  </si>
  <si>
    <t>OFFICE FURN &amp; EQPT</t>
  </si>
  <si>
    <t>TOOL SHOP &amp; MISC EQPT</t>
  </si>
  <si>
    <t>LABORATORY EQUIPMENT</t>
  </si>
  <si>
    <t>POWER OPERATED EQUIP</t>
  </si>
  <si>
    <t>COMMUNICATION EQPT</t>
  </si>
  <si>
    <t>MISC EQUIPMENT</t>
  </si>
  <si>
    <t>WATER PLANT ALLOCATED</t>
  </si>
  <si>
    <t>TRANSPORTATION EQPT WTR</t>
  </si>
  <si>
    <t>TOTAL</t>
  </si>
  <si>
    <t>TRANSPORTATION EQPT</t>
  </si>
  <si>
    <t>MAINFRAME COMPUTER WTR</t>
  </si>
  <si>
    <t>MINI COMPUTERS WTR</t>
  </si>
  <si>
    <t>COMP SYS COST WTR</t>
  </si>
  <si>
    <t>MICRO SYS COST WTR</t>
  </si>
  <si>
    <t>COMPUTER EQUIPMENT</t>
  </si>
  <si>
    <t>UPIS</t>
  </si>
  <si>
    <t>Accum Deprec</t>
  </si>
  <si>
    <t>UPIS Add</t>
  </si>
  <si>
    <t>Acc Dep add</t>
  </si>
  <si>
    <t>GL Capital</t>
  </si>
  <si>
    <t>Net</t>
  </si>
  <si>
    <t>Acc Dep less</t>
  </si>
  <si>
    <t>Office Struct &amp; Improv</t>
  </si>
  <si>
    <t>Cash Working Capital</t>
  </si>
  <si>
    <t>Customer Deposits</t>
  </si>
  <si>
    <t>CIAC/Advances</t>
  </si>
  <si>
    <t xml:space="preserve">Less:  Misc. Water Revenues Service      </t>
  </si>
  <si>
    <t>Total Cost of Service with Unrecovered Public Fire</t>
  </si>
  <si>
    <t xml:space="preserve">The weighting of the factors is based on the potential demand of general and fire protection service.  The bases for the potential demand of general service are the maximum day ratio of 1.90 and the average daily system sendout for year ending 2017 of 1.22 MGD.  The system demand for fire protection is 1000 Gallons per minute for 2 hours.    </t>
  </si>
  <si>
    <t>The weighting of the factors is based on the potential demand of general and fire protection service.  The bases for the potential demand of general service are the maximum hour ratio of 3.0 and the average daily system sendout for the  year ending 2017 of 1.22 MGD.  The system demand for fire protection is 1,000 gallons per minute.</t>
  </si>
  <si>
    <t>FOR THE TEST YEAR ENDED DECEMBER 31, 2017</t>
  </si>
  <si>
    <t>FACTOR 6. ALLOCATION OF COSTS ASSOCIATED WITH TRANSMISSION AND DISTRIBUTION MAINS.</t>
  </si>
  <si>
    <t>Operating  Expense Charged to Plant</t>
  </si>
  <si>
    <t>Ambleside Private Fire Surcharge</t>
  </si>
  <si>
    <t xml:space="preserve">  Distribution Mains</t>
  </si>
  <si>
    <t xml:space="preserve">  Transmission Mains</t>
  </si>
  <si>
    <t>Commercial/Public</t>
  </si>
  <si>
    <t>Commercial/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</si>
</sst>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0.0000"/>
    <numFmt numFmtId="168" formatCode="0_);\(0\)"/>
    <numFmt numFmtId="169" formatCode="#,##0.0000_);\(#,##0.0000\)"/>
    <numFmt numFmtId="170" formatCode="#,##0.0_);\(#,##0.0\)"/>
    <numFmt numFmtId="171" formatCode="_(* #,##0.0000_);_(* \(#,##0.0000\);_(* &quot;-&quot;????_);_(@_)"/>
    <numFmt numFmtId="172" formatCode="0.0%"/>
    <numFmt numFmtId="173" formatCode="_(* #,##0_);_(* \(#,##0\);_(* &quot;-&quot;??_);_(@_)"/>
    <numFmt numFmtId="174" formatCode="_(* #,##0.0_);_(* \(#,##0.0\);_(* &quot;-&quot;??_);_(@_)"/>
    <numFmt numFmtId="175" formatCode="#,##0;[Red]\-#,##0"/>
    <numFmt numFmtId="176" formatCode="_(&quot;$&quot;* #,##0_);_(&quot;$&quot;* \(#,##0\);_(&quot;$&quot;* &quot;-&quot;??_);_(@_)"/>
    <numFmt numFmtId="177" formatCode="_(* #,##0.000_);_(* \(#,##0.000\);_(* &quot;-&quot;??_);_(@_)"/>
    <numFmt numFmtId="178" formatCode="_(&quot;$&quot;* #,##0.00_);_(&quot;$&quot;* \(#,##0.00\);_(&quot;$&quot;* &quot;-&quot;_);_(@_)"/>
    <numFmt numFmtId="179" formatCode="_(* #,##0.0000_);_(* \(#,##0.0000\);_(* &quot;-&quot;??_);_(@_)"/>
    <numFmt numFmtId="180" formatCode="_(&quot;$&quot;* #,##0.000_);_(&quot;$&quot;* \(#,##0.000\);_(&quot;$&quot;* &quot;-&quot;??_);_(@_)"/>
    <numFmt numFmtId="181" formatCode="_(* #,##0.00000_);_(* \(#,##0.00000\);_(* &quot;-&quot;??_);_(@_)"/>
    <numFmt numFmtId="182" formatCode="_(&quot;$&quot;* #,##0.0000_);_(&quot;$&quot;* \(#,##0.0000\);_(&quot;$&quot;* &quot;-&quot;??_);_(@_)"/>
    <numFmt numFmtId="183" formatCode="_(&quot;$&quot;* #,##0.00000_);_(&quot;$&quot;* \(#,##0.00000\);_(&quot;$&quot;* &quot;-&quot;??_);_(@_)"/>
    <numFmt numFmtId="184" formatCode="#,##0.000000"/>
    <numFmt numFmtId="185" formatCode="#,##0.000"/>
    <numFmt numFmtId="186" formatCode="#,##0.0000000_);\(#,##0.0000000\)"/>
    <numFmt numFmtId="187" formatCode="#,##0.000_);\(#,##0.000\)"/>
    <numFmt numFmtId="188" formatCode="0.000"/>
    <numFmt numFmtId="189" formatCode="[$-409]mmmm\-yy;@"/>
  </numFmts>
  <fonts count="33" x14ac:knownFonts="1">
    <font>
      <sz val="12"/>
      <name val="Arial"/>
    </font>
    <font>
      <b/>
      <sz val="10"/>
      <name val="Arial"/>
      <family val="2"/>
    </font>
    <font>
      <sz val="10"/>
      <name val="Arial"/>
      <family val="2"/>
    </font>
    <font>
      <sz val="10"/>
      <color indexed="8"/>
      <name val="Arial"/>
      <family val="2"/>
    </font>
    <font>
      <sz val="12"/>
      <name val="Arial"/>
      <family val="2"/>
    </font>
    <font>
      <sz val="10"/>
      <color indexed="12"/>
      <name val="Arial"/>
      <family val="2"/>
    </font>
    <font>
      <sz val="12"/>
      <color indexed="8"/>
      <name val="Arial"/>
      <family val="2"/>
    </font>
    <font>
      <sz val="10"/>
      <color indexed="10"/>
      <name val="Arial"/>
      <family val="2"/>
    </font>
    <font>
      <sz val="10"/>
      <name val="Arial"/>
      <family val="2"/>
    </font>
    <font>
      <u/>
      <sz val="10"/>
      <name val="Arial"/>
      <family val="2"/>
    </font>
    <font>
      <sz val="12"/>
      <name val="Arial"/>
      <family val="2"/>
    </font>
    <font>
      <sz val="9"/>
      <name val="Arial"/>
      <family val="2"/>
    </font>
    <font>
      <b/>
      <sz val="10"/>
      <name val="Arial"/>
      <family val="2"/>
    </font>
    <font>
      <sz val="10"/>
      <color indexed="12"/>
      <name val="Arial"/>
      <family val="2"/>
    </font>
    <font>
      <sz val="8"/>
      <name val="Arial"/>
      <family val="2"/>
    </font>
    <font>
      <sz val="11"/>
      <name val="Arial"/>
      <family val="2"/>
    </font>
    <font>
      <b/>
      <sz val="10"/>
      <color indexed="10"/>
      <name val="Arial"/>
      <family val="2"/>
    </font>
    <font>
      <u/>
      <sz val="12"/>
      <name val="Arial"/>
      <family val="2"/>
    </font>
    <font>
      <sz val="10"/>
      <color indexed="17"/>
      <name val="Arial"/>
      <family val="2"/>
    </font>
    <font>
      <sz val="10"/>
      <color indexed="10"/>
      <name val="Arial"/>
      <family val="2"/>
    </font>
    <font>
      <sz val="9"/>
      <name val="Arial"/>
      <family val="2"/>
    </font>
    <font>
      <sz val="12"/>
      <name val="Arial"/>
      <family val="2"/>
    </font>
    <font>
      <sz val="12"/>
      <color indexed="10"/>
      <name val="Arial"/>
      <family val="2"/>
    </font>
    <font>
      <b/>
      <sz val="12"/>
      <color indexed="10"/>
      <name val="Arial"/>
      <family val="2"/>
    </font>
    <font>
      <b/>
      <u/>
      <sz val="10"/>
      <name val="Arial"/>
      <family val="2"/>
    </font>
    <font>
      <sz val="12"/>
      <color rgb="FFFF0000"/>
      <name val="Arial"/>
      <family val="2"/>
    </font>
    <font>
      <sz val="10"/>
      <color rgb="FFFF0000"/>
      <name val="Arial"/>
      <family val="2"/>
    </font>
    <font>
      <sz val="11"/>
      <color theme="1"/>
      <name val="Calibri"/>
      <family val="2"/>
      <scheme val="minor"/>
    </font>
    <font>
      <b/>
      <sz val="12"/>
      <name val="Arial"/>
      <family val="2"/>
    </font>
    <font>
      <sz val="11"/>
      <color indexed="8"/>
      <name val="Arial"/>
      <family val="2"/>
    </font>
    <font>
      <sz val="11"/>
      <color rgb="FFFF0000"/>
      <name val="Arial"/>
      <family val="2"/>
    </font>
    <font>
      <u/>
      <sz val="11"/>
      <name val="Arial"/>
      <family val="2"/>
    </font>
    <font>
      <sz val="8"/>
      <name val="Book Antiqua"/>
      <family val="1"/>
    </font>
  </fonts>
  <fills count="2">
    <fill>
      <patternFill patternType="none"/>
    </fill>
    <fill>
      <patternFill patternType="gray125"/>
    </fill>
  </fills>
  <borders count="8">
    <border>
      <left/>
      <right/>
      <top/>
      <bottom/>
      <diagonal/>
    </border>
    <border>
      <left/>
      <right/>
      <top style="thin">
        <color indexed="8"/>
      </top>
      <bottom/>
      <diagonal/>
    </border>
    <border>
      <left/>
      <right/>
      <top style="double">
        <color indexed="8"/>
      </top>
      <bottom/>
      <diagonal/>
    </border>
    <border>
      <left/>
      <right/>
      <top/>
      <bottom style="thin">
        <color indexed="64"/>
      </bottom>
      <diagonal/>
    </border>
    <border>
      <left/>
      <right/>
      <top/>
      <bottom style="double">
        <color indexed="64"/>
      </bottom>
      <diagonal/>
    </border>
    <border>
      <left/>
      <right/>
      <top/>
      <bottom style="thin">
        <color indexed="8"/>
      </bottom>
      <diagonal/>
    </border>
    <border>
      <left/>
      <right/>
      <top style="thin">
        <color indexed="64"/>
      </top>
      <bottom/>
      <diagonal/>
    </border>
    <border>
      <left style="medium">
        <color indexed="64"/>
      </left>
      <right/>
      <top/>
      <bottom/>
      <diagonal/>
    </border>
  </borders>
  <cellStyleXfs count="19">
    <xf numFmtId="164" fontId="0" fillId="0" borderId="0"/>
    <xf numFmtId="43" fontId="15" fillId="0" borderId="0" applyFont="0" applyFill="0" applyBorder="0" applyAlignment="0" applyProtection="0"/>
    <xf numFmtId="44"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5" fontId="4" fillId="0" borderId="0"/>
    <xf numFmtId="0" fontId="4" fillId="0" borderId="0"/>
    <xf numFmtId="9" fontId="2" fillId="0" borderId="0" applyFont="0" applyFill="0" applyBorder="0" applyAlignment="0" applyProtection="0"/>
    <xf numFmtId="0" fontId="27" fillId="0" borderId="0"/>
    <xf numFmtId="44" fontId="27" fillId="0" borderId="0" applyFont="0" applyFill="0" applyBorder="0" applyAlignment="0" applyProtection="0"/>
    <xf numFmtId="43" fontId="27" fillId="0" borderId="0" applyFont="0" applyFill="0" applyBorder="0" applyAlignment="0" applyProtection="0"/>
    <xf numFmtId="0" fontId="2" fillId="0" borderId="0"/>
    <xf numFmtId="0" fontId="2" fillId="0" borderId="0"/>
  </cellStyleXfs>
  <cellXfs count="724">
    <xf numFmtId="0" fontId="2" fillId="0" borderId="0" xfId="0" applyNumberFormat="1" applyFont="1" applyAlignment="1" applyProtection="1">
      <protection locked="0"/>
    </xf>
    <xf numFmtId="0" fontId="2" fillId="0" borderId="0" xfId="0" applyNumberFormat="1" applyFont="1" applyAlignment="1">
      <alignment horizontal="centerContinuous"/>
    </xf>
    <xf numFmtId="0" fontId="2" fillId="0" borderId="0" xfId="0" applyNumberFormat="1" applyFont="1" applyAlignment="1"/>
    <xf numFmtId="0" fontId="2" fillId="0" borderId="1" xfId="0" applyNumberFormat="1" applyFont="1" applyBorder="1" applyAlignment="1">
      <alignment horizontal="centerContinuous"/>
    </xf>
    <xf numFmtId="164" fontId="2" fillId="0" borderId="0" xfId="0" applyFont="1" applyAlignment="1"/>
    <xf numFmtId="3" fontId="2" fillId="0" borderId="2" xfId="0" applyNumberFormat="1" applyFont="1" applyBorder="1" applyAlignment="1"/>
    <xf numFmtId="165" fontId="2" fillId="0" borderId="2" xfId="0" applyNumberFormat="1" applyFont="1" applyBorder="1" applyAlignment="1"/>
    <xf numFmtId="3" fontId="2" fillId="0" borderId="0" xfId="0" applyNumberFormat="1" applyFont="1" applyAlignment="1"/>
    <xf numFmtId="0" fontId="2" fillId="0" borderId="1" xfId="0" applyNumberFormat="1" applyFont="1" applyBorder="1" applyAlignment="1">
      <alignment horizontal="center"/>
    </xf>
    <xf numFmtId="0" fontId="2" fillId="0" borderId="0" xfId="0" applyNumberFormat="1" applyFont="1" applyAlignment="1">
      <alignment horizontal="center"/>
    </xf>
    <xf numFmtId="0" fontId="2" fillId="0" borderId="1" xfId="0" applyNumberFormat="1" applyFont="1" applyBorder="1" applyAlignment="1"/>
    <xf numFmtId="165" fontId="2" fillId="0" borderId="0" xfId="0" applyNumberFormat="1" applyFont="1" applyAlignment="1"/>
    <xf numFmtId="0" fontId="0" fillId="0" borderId="0" xfId="0" applyNumberFormat="1" applyProtection="1">
      <protection locked="0"/>
    </xf>
    <xf numFmtId="0" fontId="2" fillId="0" borderId="0" xfId="6" applyNumberFormat="1" applyFont="1" applyAlignment="1">
      <alignment horizontal="centerContinuous"/>
    </xf>
    <xf numFmtId="0" fontId="4" fillId="0" borderId="0" xfId="6" applyAlignment="1"/>
    <xf numFmtId="0" fontId="4" fillId="0" borderId="0" xfId="0" applyNumberFormat="1" applyFont="1" applyAlignment="1">
      <alignment horizontal="centerContinuous"/>
    </xf>
    <xf numFmtId="0" fontId="4" fillId="0" borderId="0" xfId="0" applyNumberFormat="1" applyFont="1" applyAlignment="1" applyProtection="1">
      <protection locked="0"/>
    </xf>
    <xf numFmtId="0" fontId="2" fillId="0" borderId="0" xfId="0" applyNumberFormat="1" applyFont="1" applyAlignment="1">
      <alignment horizontal="right"/>
    </xf>
    <xf numFmtId="164" fontId="2" fillId="0" borderId="1" xfId="0" applyFont="1" applyBorder="1" applyAlignment="1"/>
    <xf numFmtId="164" fontId="2" fillId="0" borderId="2" xfId="0" applyFont="1" applyBorder="1" applyAlignment="1"/>
    <xf numFmtId="0" fontId="4" fillId="0" borderId="0" xfId="7" applyNumberFormat="1" applyFont="1" applyAlignment="1">
      <alignment horizontal="centerContinuous"/>
    </xf>
    <xf numFmtId="0" fontId="2" fillId="0" borderId="0" xfId="7" applyFont="1" applyAlignment="1"/>
    <xf numFmtId="0" fontId="2" fillId="0" borderId="0" xfId="7" applyNumberFormat="1" applyFont="1" applyAlignment="1"/>
    <xf numFmtId="2" fontId="2" fillId="0" borderId="0" xfId="7" applyNumberFormat="1" applyFont="1" applyAlignment="1"/>
    <xf numFmtId="164" fontId="2" fillId="0" borderId="0" xfId="7" applyNumberFormat="1" applyFont="1" applyAlignment="1"/>
    <xf numFmtId="0" fontId="4" fillId="0" borderId="0" xfId="3" applyNumberFormat="1" applyFont="1" applyAlignment="1">
      <alignment horizontal="centerContinuous"/>
    </xf>
    <xf numFmtId="0" fontId="2" fillId="0" borderId="0" xfId="3" applyNumberFormat="1" applyFont="1" applyAlignment="1">
      <alignment horizontal="centerContinuous"/>
    </xf>
    <xf numFmtId="0" fontId="2" fillId="0" borderId="0" xfId="3" applyNumberFormat="1" applyFont="1" applyAlignment="1"/>
    <xf numFmtId="0" fontId="4" fillId="0" borderId="0" xfId="3" applyAlignment="1"/>
    <xf numFmtId="164" fontId="2" fillId="0" borderId="0" xfId="3" applyNumberFormat="1" applyFont="1" applyAlignment="1"/>
    <xf numFmtId="0" fontId="4" fillId="0" borderId="0" xfId="3" applyNumberFormat="1" applyFont="1" applyAlignment="1"/>
    <xf numFmtId="0" fontId="2" fillId="0" borderId="0" xfId="8" applyNumberFormat="1" applyFont="1" applyAlignment="1">
      <alignment horizontal="centerContinuous"/>
    </xf>
    <xf numFmtId="0" fontId="2" fillId="0" borderId="0" xfId="8" applyNumberFormat="1" applyFont="1" applyAlignment="1"/>
    <xf numFmtId="0" fontId="2" fillId="0" borderId="0" xfId="4" applyNumberFormat="1" applyFont="1" applyAlignment="1"/>
    <xf numFmtId="167" fontId="2" fillId="0" borderId="0" xfId="4" applyNumberFormat="1" applyFont="1" applyAlignment="1"/>
    <xf numFmtId="0" fontId="4" fillId="0" borderId="0" xfId="5" applyNumberFormat="1" applyFont="1" applyAlignment="1">
      <alignment horizontal="centerContinuous"/>
    </xf>
    <xf numFmtId="0" fontId="2" fillId="0" borderId="0" xfId="5" applyNumberFormat="1" applyFont="1" applyAlignment="1">
      <alignment horizontal="centerContinuous"/>
    </xf>
    <xf numFmtId="0" fontId="4" fillId="0" borderId="0" xfId="5" applyAlignment="1"/>
    <xf numFmtId="0" fontId="2" fillId="0" borderId="0" xfId="5" applyNumberFormat="1" applyFont="1" applyAlignment="1"/>
    <xf numFmtId="0" fontId="2" fillId="0" borderId="0" xfId="5" applyNumberFormat="1" applyFont="1" applyAlignment="1">
      <alignment horizontal="center"/>
    </xf>
    <xf numFmtId="0" fontId="2" fillId="0" borderId="1" xfId="5" applyNumberFormat="1" applyFont="1" applyBorder="1" applyAlignment="1">
      <alignment horizontal="center"/>
    </xf>
    <xf numFmtId="3" fontId="2" fillId="0" borderId="0" xfId="5" applyNumberFormat="1" applyFont="1" applyAlignment="1"/>
    <xf numFmtId="3" fontId="2" fillId="0" borderId="2" xfId="5" applyNumberFormat="1" applyFont="1" applyBorder="1" applyAlignment="1"/>
    <xf numFmtId="0" fontId="4" fillId="0" borderId="0" xfId="5"/>
    <xf numFmtId="3" fontId="2" fillId="0" borderId="0" xfId="5" applyNumberFormat="1" applyFont="1" applyAlignment="1">
      <alignment horizontal="center"/>
    </xf>
    <xf numFmtId="4" fontId="2" fillId="0" borderId="0" xfId="5" applyNumberFormat="1" applyFont="1" applyAlignment="1"/>
    <xf numFmtId="10" fontId="2" fillId="0" borderId="0" xfId="5" applyNumberFormat="1" applyFont="1" applyAlignment="1"/>
    <xf numFmtId="10" fontId="2" fillId="0" borderId="0" xfId="5" applyNumberFormat="1" applyFont="1" applyAlignment="1" applyProtection="1">
      <protection locked="0"/>
    </xf>
    <xf numFmtId="0" fontId="4" fillId="0" borderId="0" xfId="5" applyNumberFormat="1" applyFont="1" applyAlignment="1"/>
    <xf numFmtId="3" fontId="2" fillId="0" borderId="1" xfId="5" applyNumberFormat="1" applyFont="1" applyBorder="1" applyAlignment="1">
      <alignment horizontal="center"/>
    </xf>
    <xf numFmtId="0" fontId="4" fillId="0" borderId="0" xfId="5" applyNumberFormat="1" applyProtection="1">
      <protection locked="0"/>
    </xf>
    <xf numFmtId="0" fontId="2" fillId="0" borderId="1" xfId="5" applyNumberFormat="1" applyFont="1" applyBorder="1" applyAlignment="1"/>
    <xf numFmtId="0" fontId="6" fillId="0" borderId="0" xfId="0" applyNumberFormat="1" applyFont="1" applyAlignment="1"/>
    <xf numFmtId="0" fontId="3" fillId="0" borderId="0" xfId="0" applyNumberFormat="1" applyFont="1" applyAlignment="1"/>
    <xf numFmtId="0" fontId="2" fillId="0" borderId="0" xfId="0" applyNumberFormat="1" applyFont="1" applyAlignment="1">
      <alignment horizontal="left"/>
    </xf>
    <xf numFmtId="164" fontId="2" fillId="0" borderId="0" xfId="0" applyNumberFormat="1" applyFont="1" applyAlignment="1"/>
    <xf numFmtId="0" fontId="7" fillId="0" borderId="0" xfId="0" applyNumberFormat="1" applyFont="1" applyAlignment="1"/>
    <xf numFmtId="0" fontId="8" fillId="0" borderId="0" xfId="0" applyNumberFormat="1" applyFont="1" applyAlignment="1" applyProtection="1">
      <protection locked="0"/>
    </xf>
    <xf numFmtId="0" fontId="8" fillId="0" borderId="0" xfId="0" applyNumberFormat="1" applyFont="1" applyAlignment="1" applyProtection="1">
      <alignment horizontal="center"/>
      <protection locked="0"/>
    </xf>
    <xf numFmtId="164" fontId="11" fillId="0" borderId="0" xfId="0" applyFont="1"/>
    <xf numFmtId="164" fontId="8" fillId="0" borderId="0" xfId="0" applyFont="1"/>
    <xf numFmtId="0" fontId="11" fillId="0" borderId="0" xfId="0" applyNumberFormat="1" applyFont="1" applyAlignment="1" applyProtection="1">
      <protection locked="0"/>
    </xf>
    <xf numFmtId="0" fontId="10" fillId="0" borderId="0" xfId="0" applyNumberFormat="1" applyFont="1" applyAlignment="1" applyProtection="1">
      <protection locked="0"/>
    </xf>
    <xf numFmtId="164" fontId="8" fillId="0" borderId="0" xfId="0" applyFont="1" applyAlignment="1">
      <alignment horizontal="center"/>
    </xf>
    <xf numFmtId="164" fontId="11" fillId="0" borderId="0" xfId="0" applyFont="1" applyAlignment="1">
      <alignment horizontal="center"/>
    </xf>
    <xf numFmtId="0" fontId="2" fillId="0" borderId="0" xfId="0" applyNumberFormat="1" applyFont="1" applyAlignment="1" applyProtection="1">
      <alignment horizontal="center"/>
      <protection locked="0"/>
    </xf>
    <xf numFmtId="164" fontId="8" fillId="0" borderId="3" xfId="0" applyFont="1" applyBorder="1" applyAlignment="1">
      <alignment horizontal="center"/>
    </xf>
    <xf numFmtId="37" fontId="8" fillId="0" borderId="0" xfId="0" applyNumberFormat="1" applyFont="1"/>
    <xf numFmtId="37" fontId="8" fillId="0" borderId="3" xfId="0" applyNumberFormat="1" applyFont="1" applyBorder="1"/>
    <xf numFmtId="168" fontId="8" fillId="0" borderId="0" xfId="0" applyNumberFormat="1" applyFont="1" applyBorder="1" applyAlignment="1">
      <alignment horizontal="center"/>
    </xf>
    <xf numFmtId="168" fontId="11" fillId="0" borderId="0" xfId="0" applyNumberFormat="1" applyFont="1" applyAlignment="1">
      <alignment horizontal="center"/>
    </xf>
    <xf numFmtId="168" fontId="8" fillId="0" borderId="0" xfId="0" applyNumberFormat="1" applyFont="1" applyAlignment="1">
      <alignment horizontal="center"/>
    </xf>
    <xf numFmtId="168" fontId="8" fillId="0" borderId="0" xfId="0" applyNumberFormat="1" applyFont="1" applyAlignment="1" applyProtection="1">
      <alignment horizontal="center"/>
      <protection locked="0"/>
    </xf>
    <xf numFmtId="168" fontId="2" fillId="0" borderId="0" xfId="0" applyNumberFormat="1" applyFont="1" applyAlignment="1" applyProtection="1">
      <alignment horizontal="center"/>
      <protection locked="0"/>
    </xf>
    <xf numFmtId="168" fontId="8" fillId="0" borderId="3" xfId="0" applyNumberFormat="1" applyFont="1" applyBorder="1" applyAlignment="1">
      <alignment horizontal="center"/>
    </xf>
    <xf numFmtId="37" fontId="8" fillId="0" borderId="0" xfId="0" applyNumberFormat="1" applyFont="1" applyAlignment="1" applyProtection="1">
      <protection locked="0"/>
    </xf>
    <xf numFmtId="37" fontId="8" fillId="0" borderId="0" xfId="0" applyNumberFormat="1" applyFont="1" applyAlignment="1">
      <alignment horizontal="center"/>
    </xf>
    <xf numFmtId="37" fontId="8" fillId="0" borderId="0" xfId="0" applyNumberFormat="1" applyFont="1" applyAlignment="1" applyProtection="1">
      <alignment horizontal="center"/>
      <protection locked="0"/>
    </xf>
    <xf numFmtId="37" fontId="8" fillId="0" borderId="3" xfId="0" applyNumberFormat="1" applyFont="1" applyBorder="1" applyAlignment="1" applyProtection="1">
      <alignment horizontal="center"/>
      <protection locked="0"/>
    </xf>
    <xf numFmtId="37" fontId="8" fillId="0" borderId="3" xfId="0" applyNumberFormat="1" applyFont="1" applyBorder="1" applyAlignment="1">
      <alignment horizontal="center"/>
    </xf>
    <xf numFmtId="37" fontId="2" fillId="0" borderId="0" xfId="0" applyNumberFormat="1" applyFont="1" applyAlignment="1" applyProtection="1">
      <protection locked="0"/>
    </xf>
    <xf numFmtId="37" fontId="8" fillId="0" borderId="0" xfId="0" applyNumberFormat="1" applyFont="1" applyBorder="1"/>
    <xf numFmtId="0" fontId="2" fillId="0" borderId="0" xfId="0" applyNumberFormat="1" applyFont="1" applyBorder="1" applyAlignment="1" applyProtection="1">
      <protection locked="0"/>
    </xf>
    <xf numFmtId="37" fontId="2" fillId="0" borderId="0" xfId="0" applyNumberFormat="1" applyFont="1" applyAlignment="1" applyProtection="1">
      <alignment horizontal="center"/>
      <protection locked="0"/>
    </xf>
    <xf numFmtId="164" fontId="2" fillId="0" borderId="4" xfId="0" applyFont="1" applyBorder="1" applyAlignment="1"/>
    <xf numFmtId="0" fontId="2" fillId="0" borderId="0" xfId="0" applyNumberFormat="1" applyFont="1" applyAlignment="1" applyProtection="1">
      <alignment horizontal="right"/>
      <protection locked="0"/>
    </xf>
    <xf numFmtId="3" fontId="2" fillId="0" borderId="0" xfId="0" applyNumberFormat="1" applyFont="1" applyBorder="1" applyAlignment="1"/>
    <xf numFmtId="164" fontId="2" fillId="0" borderId="0" xfId="0" applyNumberFormat="1" applyFont="1" applyAlignment="1" applyProtection="1">
      <alignment horizontal="right"/>
      <protection locked="0"/>
    </xf>
    <xf numFmtId="37" fontId="2" fillId="0" borderId="0" xfId="0" applyNumberFormat="1" applyFont="1" applyAlignment="1" applyProtection="1">
      <alignment horizontal="right"/>
      <protection locked="0"/>
    </xf>
    <xf numFmtId="37" fontId="2" fillId="0" borderId="1" xfId="0" applyNumberFormat="1" applyFont="1" applyBorder="1" applyAlignment="1"/>
    <xf numFmtId="164" fontId="2" fillId="0" borderId="0" xfId="0" applyFont="1" applyBorder="1" applyAlignment="1"/>
    <xf numFmtId="0" fontId="4" fillId="0" borderId="0" xfId="4" applyFont="1" applyAlignment="1"/>
    <xf numFmtId="165" fontId="2" fillId="0" borderId="0" xfId="5" applyNumberFormat="1" applyFont="1" applyBorder="1" applyAlignment="1"/>
    <xf numFmtId="164" fontId="10" fillId="0" borderId="0" xfId="0" applyFont="1" applyAlignment="1">
      <alignment horizontal="center"/>
    </xf>
    <xf numFmtId="170" fontId="2" fillId="0" borderId="0" xfId="0" applyNumberFormat="1" applyFont="1" applyAlignment="1"/>
    <xf numFmtId="170" fontId="2" fillId="0" borderId="0" xfId="0" applyNumberFormat="1" applyFont="1" applyAlignment="1" applyProtection="1">
      <protection locked="0"/>
    </xf>
    <xf numFmtId="0" fontId="9" fillId="0" borderId="0" xfId="12" applyNumberFormat="1" applyFont="1" applyAlignment="1"/>
    <xf numFmtId="164" fontId="11" fillId="0" borderId="0" xfId="0" applyFont="1" applyBorder="1"/>
    <xf numFmtId="164" fontId="8" fillId="0" borderId="0" xfId="0" applyFont="1" applyBorder="1"/>
    <xf numFmtId="37" fontId="8" fillId="0" borderId="0" xfId="0" applyNumberFormat="1" applyFont="1" applyBorder="1" applyAlignment="1" applyProtection="1">
      <protection locked="0"/>
    </xf>
    <xf numFmtId="42" fontId="8" fillId="0" borderId="0" xfId="0" applyNumberFormat="1" applyFont="1" applyBorder="1"/>
    <xf numFmtId="42" fontId="8" fillId="0" borderId="0" xfId="0" applyNumberFormat="1" applyFont="1"/>
    <xf numFmtId="42" fontId="8" fillId="0" borderId="0" xfId="0" applyNumberFormat="1" applyFont="1" applyAlignment="1" applyProtection="1">
      <protection locked="0"/>
    </xf>
    <xf numFmtId="42" fontId="2" fillId="0" borderId="0" xfId="0" applyNumberFormat="1" applyFont="1" applyAlignment="1" applyProtection="1">
      <protection locked="0"/>
    </xf>
    <xf numFmtId="173" fontId="8" fillId="0" borderId="0" xfId="1" applyNumberFormat="1" applyFont="1"/>
    <xf numFmtId="173" fontId="2" fillId="0" borderId="0" xfId="1" applyNumberFormat="1" applyFont="1" applyAlignment="1" applyProtection="1">
      <protection locked="0"/>
    </xf>
    <xf numFmtId="164" fontId="12" fillId="0" borderId="0" xfId="0" applyFont="1"/>
    <xf numFmtId="1" fontId="2" fillId="0" borderId="0" xfId="7" applyNumberFormat="1" applyFont="1" applyAlignment="1"/>
    <xf numFmtId="0" fontId="4" fillId="0" borderId="0" xfId="7" applyFont="1" applyAlignment="1"/>
    <xf numFmtId="164" fontId="2" fillId="0" borderId="0" xfId="0" applyFont="1"/>
    <xf numFmtId="49" fontId="8" fillId="0" borderId="0" xfId="0" applyNumberFormat="1" applyFont="1" applyBorder="1" applyAlignment="1">
      <alignment horizontal="center"/>
    </xf>
    <xf numFmtId="0" fontId="11" fillId="0" borderId="0" xfId="0" applyNumberFormat="1" applyFont="1" applyAlignment="1" applyProtection="1">
      <alignment horizontal="right"/>
      <protection locked="0"/>
    </xf>
    <xf numFmtId="169" fontId="8" fillId="0" borderId="0" xfId="0" applyNumberFormat="1" applyFont="1" applyAlignment="1" applyProtection="1">
      <protection locked="0"/>
    </xf>
    <xf numFmtId="0" fontId="7" fillId="0" borderId="0" xfId="0" applyNumberFormat="1" applyFont="1" applyAlignment="1" applyProtection="1">
      <protection locked="0"/>
    </xf>
    <xf numFmtId="170" fontId="16" fillId="0" borderId="0" xfId="0" applyNumberFormat="1" applyFont="1" applyAlignment="1" applyProtection="1">
      <alignment horizontal="left"/>
      <protection locked="0"/>
    </xf>
    <xf numFmtId="0" fontId="7" fillId="0" borderId="0" xfId="0" applyNumberFormat="1" applyFont="1" applyAlignment="1" applyProtection="1">
      <alignment horizontal="center"/>
      <protection locked="0"/>
    </xf>
    <xf numFmtId="37" fontId="7" fillId="0" borderId="0" xfId="0" applyNumberFormat="1" applyFont="1" applyAlignment="1" applyProtection="1">
      <alignment horizontal="center"/>
      <protection locked="0"/>
    </xf>
    <xf numFmtId="37" fontId="7" fillId="0" borderId="3" xfId="0" applyNumberFormat="1" applyFont="1" applyBorder="1" applyAlignment="1" applyProtection="1">
      <alignment horizontal="center"/>
      <protection locked="0"/>
    </xf>
    <xf numFmtId="0" fontId="7" fillId="0" borderId="3" xfId="0" applyNumberFormat="1" applyFont="1" applyBorder="1" applyAlignment="1" applyProtection="1">
      <alignment horizontal="center"/>
      <protection locked="0"/>
    </xf>
    <xf numFmtId="0" fontId="7" fillId="0" borderId="0" xfId="0" applyNumberFormat="1" applyFont="1" applyBorder="1" applyAlignment="1" applyProtection="1">
      <alignment horizontal="center"/>
      <protection locked="0"/>
    </xf>
    <xf numFmtId="37" fontId="7" fillId="0" borderId="0" xfId="0" applyNumberFormat="1" applyFont="1" applyAlignment="1" applyProtection="1">
      <protection locked="0"/>
    </xf>
    <xf numFmtId="164" fontId="7" fillId="0" borderId="0" xfId="0" applyNumberFormat="1" applyFont="1" applyAlignment="1" applyProtection="1">
      <alignment horizontal="right"/>
      <protection locked="0"/>
    </xf>
    <xf numFmtId="164" fontId="7" fillId="0" borderId="0" xfId="0" applyNumberFormat="1" applyFont="1" applyAlignment="1" applyProtection="1">
      <protection locked="0"/>
    </xf>
    <xf numFmtId="171" fontId="7" fillId="0" borderId="0" xfId="0" applyNumberFormat="1" applyFont="1" applyAlignment="1" applyProtection="1">
      <alignment horizontal="right"/>
      <protection locked="0"/>
    </xf>
    <xf numFmtId="171" fontId="7" fillId="0" borderId="0" xfId="0" applyNumberFormat="1" applyFont="1" applyAlignment="1" applyProtection="1">
      <protection locked="0"/>
    </xf>
    <xf numFmtId="169" fontId="13" fillId="0" borderId="0" xfId="0" applyNumberFormat="1" applyFont="1" applyAlignment="1" applyProtection="1">
      <protection locked="0"/>
    </xf>
    <xf numFmtId="0" fontId="13" fillId="0" borderId="0" xfId="0" applyNumberFormat="1" applyFont="1" applyAlignment="1" applyProtection="1">
      <protection locked="0"/>
    </xf>
    <xf numFmtId="172" fontId="10" fillId="0" borderId="0" xfId="13" applyNumberFormat="1" applyFont="1" applyAlignment="1"/>
    <xf numFmtId="175" fontId="10" fillId="0" borderId="0" xfId="11" applyFont="1" applyAlignment="1">
      <alignment horizontal="center"/>
    </xf>
    <xf numFmtId="175" fontId="10" fillId="0" borderId="0" xfId="11" applyFont="1" applyAlignment="1"/>
    <xf numFmtId="175" fontId="8" fillId="0" borderId="0" xfId="11" applyFont="1" applyAlignment="1"/>
    <xf numFmtId="175" fontId="17" fillId="0" borderId="0" xfId="11" applyNumberFormat="1" applyFont="1" applyAlignment="1"/>
    <xf numFmtId="175" fontId="10" fillId="0" borderId="3" xfId="11" applyFont="1" applyBorder="1" applyAlignment="1">
      <alignment horizontal="center"/>
    </xf>
    <xf numFmtId="41" fontId="10" fillId="0" borderId="0" xfId="11" quotePrefix="1" applyNumberFormat="1" applyFont="1" applyAlignment="1">
      <alignment horizontal="center"/>
    </xf>
    <xf numFmtId="41" fontId="10" fillId="0" borderId="0" xfId="11" applyNumberFormat="1" applyFont="1" applyAlignment="1"/>
    <xf numFmtId="176" fontId="10" fillId="0" borderId="0" xfId="2" applyNumberFormat="1" applyFont="1" applyAlignment="1"/>
    <xf numFmtId="41" fontId="10" fillId="0" borderId="3" xfId="11" applyNumberFormat="1" applyFont="1" applyBorder="1" applyAlignment="1"/>
    <xf numFmtId="175" fontId="10" fillId="0" borderId="0" xfId="11" applyFont="1"/>
    <xf numFmtId="175" fontId="8" fillId="0" borderId="0" xfId="11" applyFont="1"/>
    <xf numFmtId="42" fontId="10" fillId="0" borderId="4" xfId="11" applyNumberFormat="1" applyFont="1" applyBorder="1" applyAlignment="1"/>
    <xf numFmtId="168" fontId="2" fillId="0" borderId="0" xfId="0" applyNumberFormat="1" applyFont="1" applyAlignment="1" applyProtection="1">
      <protection locked="0"/>
    </xf>
    <xf numFmtId="167" fontId="4" fillId="0" borderId="0" xfId="4" applyNumberFormat="1" applyFont="1" applyAlignment="1"/>
    <xf numFmtId="171" fontId="18" fillId="0" borderId="0" xfId="0" applyNumberFormat="1" applyFont="1" applyAlignment="1" applyProtection="1">
      <protection locked="0"/>
    </xf>
    <xf numFmtId="0" fontId="18" fillId="0" borderId="0" xfId="0" applyNumberFormat="1" applyFont="1" applyAlignment="1" applyProtection="1">
      <protection locked="0"/>
    </xf>
    <xf numFmtId="0" fontId="18" fillId="0" borderId="0" xfId="0" applyNumberFormat="1" applyFont="1" applyAlignment="1" applyProtection="1">
      <alignment horizontal="center"/>
      <protection locked="0"/>
    </xf>
    <xf numFmtId="173" fontId="4" fillId="0" borderId="0" xfId="1" applyNumberFormat="1" applyFont="1" applyAlignment="1" applyProtection="1">
      <protection locked="0"/>
    </xf>
    <xf numFmtId="42" fontId="4" fillId="0" borderId="0" xfId="0" applyNumberFormat="1" applyFont="1" applyAlignment="1" applyProtection="1">
      <protection locked="0"/>
    </xf>
    <xf numFmtId="173" fontId="2" fillId="0" borderId="0" xfId="1" applyNumberFormat="1" applyFont="1" applyAlignment="1"/>
    <xf numFmtId="173" fontId="10" fillId="0" borderId="0" xfId="1" applyNumberFormat="1" applyFont="1" applyAlignment="1"/>
    <xf numFmtId="172" fontId="4" fillId="0" borderId="0" xfId="13" applyNumberFormat="1" applyFont="1" applyAlignment="1" applyProtection="1">
      <protection locked="0"/>
    </xf>
    <xf numFmtId="173" fontId="8" fillId="0" borderId="0" xfId="1" applyNumberFormat="1" applyFont="1" applyBorder="1"/>
    <xf numFmtId="0" fontId="4" fillId="0" borderId="0" xfId="0" applyNumberFormat="1" applyFont="1" applyAlignment="1" applyProtection="1">
      <alignment horizontal="center"/>
      <protection locked="0"/>
    </xf>
    <xf numFmtId="175" fontId="4" fillId="0" borderId="0" xfId="11" applyFont="1" applyAlignment="1">
      <alignment horizontal="center"/>
    </xf>
    <xf numFmtId="0" fontId="4" fillId="0" borderId="3" xfId="0" applyNumberFormat="1" applyFont="1" applyBorder="1" applyAlignment="1" applyProtection="1">
      <alignment horizontal="center"/>
      <protection locked="0"/>
    </xf>
    <xf numFmtId="0" fontId="4" fillId="0" borderId="0" xfId="0" quotePrefix="1" applyNumberFormat="1" applyFont="1" applyAlignment="1" applyProtection="1">
      <alignment horizontal="center"/>
      <protection locked="0"/>
    </xf>
    <xf numFmtId="175" fontId="4" fillId="0" borderId="0" xfId="11" applyFont="1" applyAlignment="1"/>
    <xf numFmtId="2" fontId="4" fillId="0" borderId="0" xfId="0" applyNumberFormat="1" applyFont="1" applyAlignment="1" applyProtection="1">
      <protection locked="0"/>
    </xf>
    <xf numFmtId="37" fontId="2" fillId="0" borderId="0" xfId="0" applyNumberFormat="1" applyFont="1" applyFill="1" applyAlignment="1" applyProtection="1">
      <protection locked="0"/>
    </xf>
    <xf numFmtId="0" fontId="11" fillId="0" borderId="0" xfId="0" applyNumberFormat="1" applyFont="1" applyBorder="1" applyAlignment="1" applyProtection="1">
      <protection locked="0"/>
    </xf>
    <xf numFmtId="168" fontId="8" fillId="0" borderId="0" xfId="0" applyNumberFormat="1" applyFont="1" applyBorder="1" applyAlignment="1" applyProtection="1">
      <alignment horizontal="center"/>
      <protection locked="0"/>
    </xf>
    <xf numFmtId="0" fontId="8" fillId="0" borderId="0" xfId="0" applyNumberFormat="1" applyFont="1" applyBorder="1" applyAlignment="1" applyProtection="1">
      <protection locked="0"/>
    </xf>
    <xf numFmtId="37" fontId="7" fillId="0" borderId="0" xfId="0" applyNumberFormat="1" applyFont="1" applyAlignment="1" applyProtection="1">
      <alignment horizontal="right"/>
      <protection locked="0"/>
    </xf>
    <xf numFmtId="173" fontId="2" fillId="0" borderId="0" xfId="1" applyNumberFormat="1" applyFont="1"/>
    <xf numFmtId="164" fontId="20" fillId="0" borderId="0" xfId="0" applyFont="1"/>
    <xf numFmtId="168" fontId="2" fillId="0" borderId="0" xfId="0" applyNumberFormat="1" applyFont="1" applyAlignment="1">
      <alignment horizontal="center"/>
    </xf>
    <xf numFmtId="37" fontId="2" fillId="0" borderId="0" xfId="0" applyNumberFormat="1" applyFont="1"/>
    <xf numFmtId="0" fontId="20" fillId="0" borderId="0" xfId="0" applyNumberFormat="1" applyFont="1" applyAlignment="1" applyProtection="1">
      <protection locked="0"/>
    </xf>
    <xf numFmtId="0" fontId="8" fillId="0" borderId="0" xfId="1" applyNumberFormat="1" applyFont="1" applyBorder="1"/>
    <xf numFmtId="37" fontId="2" fillId="0" borderId="3" xfId="0" applyNumberFormat="1" applyFont="1" applyBorder="1" applyAlignment="1" applyProtection="1">
      <protection locked="0"/>
    </xf>
    <xf numFmtId="37" fontId="19" fillId="0" borderId="0" xfId="0" applyNumberFormat="1" applyFont="1" applyAlignment="1" applyProtection="1">
      <alignment horizontal="right"/>
      <protection locked="0"/>
    </xf>
    <xf numFmtId="0" fontId="19" fillId="0" borderId="0" xfId="0" applyNumberFormat="1" applyFont="1" applyAlignment="1" applyProtection="1">
      <alignment horizontal="right"/>
      <protection locked="0"/>
    </xf>
    <xf numFmtId="167" fontId="4" fillId="0" borderId="0" xfId="4" applyNumberFormat="1" applyFont="1"/>
    <xf numFmtId="164" fontId="4" fillId="0" borderId="0" xfId="4" applyNumberFormat="1" applyFont="1" applyAlignment="1"/>
    <xf numFmtId="3" fontId="2" fillId="0" borderId="0" xfId="4" applyNumberFormat="1" applyFont="1" applyAlignment="1"/>
    <xf numFmtId="164" fontId="4" fillId="0" borderId="0" xfId="4" applyNumberFormat="1" applyFont="1"/>
    <xf numFmtId="37" fontId="2" fillId="0" borderId="0" xfId="0" applyNumberFormat="1" applyFont="1" applyBorder="1" applyAlignment="1">
      <alignment horizontal="right" vertical="top"/>
    </xf>
    <xf numFmtId="164" fontId="2" fillId="0" borderId="0" xfId="0" applyNumberFormat="1" applyFont="1" applyAlignment="1" applyProtection="1">
      <protection locked="0"/>
    </xf>
    <xf numFmtId="0" fontId="4" fillId="0" borderId="0" xfId="0" applyNumberFormat="1" applyFont="1" applyProtection="1">
      <protection locked="0"/>
    </xf>
    <xf numFmtId="0" fontId="4" fillId="0" borderId="0" xfId="0" applyNumberFormat="1" applyFont="1"/>
    <xf numFmtId="0" fontId="21" fillId="0" borderId="0" xfId="0" applyNumberFormat="1" applyFont="1" applyAlignment="1" applyProtection="1">
      <protection locked="0"/>
    </xf>
    <xf numFmtId="3" fontId="4" fillId="0" borderId="0" xfId="0" applyNumberFormat="1" applyFont="1"/>
    <xf numFmtId="0" fontId="4" fillId="0" borderId="0" xfId="8" applyFont="1" applyAlignment="1"/>
    <xf numFmtId="0" fontId="22" fillId="0" borderId="0" xfId="0" applyNumberFormat="1" applyFont="1" applyAlignment="1" applyProtection="1">
      <protection locked="0"/>
    </xf>
    <xf numFmtId="4" fontId="22" fillId="0" borderId="0" xfId="0" applyNumberFormat="1" applyFont="1" applyAlignment="1" applyProtection="1">
      <protection locked="0"/>
    </xf>
    <xf numFmtId="49" fontId="8" fillId="0" borderId="0" xfId="0" applyNumberFormat="1" applyFont="1" applyFill="1" applyBorder="1" applyAlignment="1">
      <alignment horizontal="center"/>
    </xf>
    <xf numFmtId="1" fontId="8" fillId="0" borderId="0" xfId="0" applyNumberFormat="1" applyFont="1" applyFill="1" applyBorder="1" applyAlignment="1">
      <alignment horizontal="center"/>
    </xf>
    <xf numFmtId="173" fontId="22" fillId="0" borderId="0" xfId="1" applyNumberFormat="1" applyFont="1" applyAlignment="1" applyProtection="1">
      <protection locked="0"/>
    </xf>
    <xf numFmtId="37" fontId="4" fillId="0" borderId="0" xfId="0" applyNumberFormat="1" applyFont="1" applyAlignment="1" applyProtection="1">
      <protection locked="0"/>
    </xf>
    <xf numFmtId="0" fontId="23" fillId="0" borderId="0" xfId="0" applyNumberFormat="1" applyFont="1" applyAlignment="1" applyProtection="1">
      <protection locked="0"/>
    </xf>
    <xf numFmtId="0" fontId="22" fillId="0" borderId="0" xfId="8" applyFont="1" applyAlignment="1"/>
    <xf numFmtId="173" fontId="8" fillId="0" borderId="0" xfId="1" applyNumberFormat="1" applyFont="1" applyAlignment="1" applyProtection="1">
      <protection locked="0"/>
    </xf>
    <xf numFmtId="37" fontId="2" fillId="0" borderId="0" xfId="0" applyNumberFormat="1" applyFont="1" applyFill="1"/>
    <xf numFmtId="37" fontId="2" fillId="0" borderId="0" xfId="0" applyNumberFormat="1" applyFont="1" applyFill="1" applyBorder="1"/>
    <xf numFmtId="168" fontId="8" fillId="0" borderId="0" xfId="0" applyNumberFormat="1" applyFont="1" applyBorder="1" applyAlignment="1" applyProtection="1">
      <protection locked="0"/>
    </xf>
    <xf numFmtId="0" fontId="8" fillId="0" borderId="0" xfId="0" applyNumberFormat="1" applyFont="1" applyAlignment="1" applyProtection="1">
      <alignment horizontal="right"/>
      <protection locked="0"/>
    </xf>
    <xf numFmtId="173" fontId="4" fillId="0" borderId="0" xfId="1" applyNumberFormat="1" applyFont="1" applyAlignment="1"/>
    <xf numFmtId="0" fontId="4" fillId="0" borderId="0" xfId="0" applyNumberFormat="1" applyFont="1" applyBorder="1" applyAlignment="1" applyProtection="1">
      <alignment horizontal="center"/>
      <protection locked="0"/>
    </xf>
    <xf numFmtId="164" fontId="3" fillId="0" borderId="0" xfId="5" applyNumberFormat="1" applyFont="1" applyBorder="1" applyAlignment="1"/>
    <xf numFmtId="0" fontId="4" fillId="0" borderId="0" xfId="5" applyBorder="1" applyAlignment="1"/>
    <xf numFmtId="3" fontId="4" fillId="0" borderId="0" xfId="5" applyNumberFormat="1" applyBorder="1" applyAlignment="1"/>
    <xf numFmtId="164" fontId="2" fillId="0" borderId="0" xfId="5" applyNumberFormat="1" applyFont="1" applyBorder="1" applyAlignment="1"/>
    <xf numFmtId="3" fontId="2" fillId="0" borderId="0" xfId="5" applyNumberFormat="1" applyFont="1" applyBorder="1" applyAlignment="1"/>
    <xf numFmtId="0" fontId="4" fillId="0" borderId="0" xfId="5" applyBorder="1"/>
    <xf numFmtId="37" fontId="2" fillId="0" borderId="0" xfId="0" applyNumberFormat="1" applyFont="1" applyAlignment="1">
      <alignment horizontal="left"/>
    </xf>
    <xf numFmtId="172" fontId="2" fillId="0" borderId="0" xfId="13" applyNumberFormat="1" applyFont="1" applyAlignment="1" applyProtection="1">
      <protection locked="0"/>
    </xf>
    <xf numFmtId="41" fontId="2" fillId="0" borderId="0" xfId="0" applyNumberFormat="1" applyFont="1" applyAlignment="1" applyProtection="1">
      <protection locked="0"/>
    </xf>
    <xf numFmtId="173" fontId="2" fillId="0" borderId="0" xfId="0" applyNumberFormat="1" applyFont="1" applyAlignment="1" applyProtection="1">
      <protection locked="0"/>
    </xf>
    <xf numFmtId="179" fontId="2" fillId="0" borderId="0" xfId="1" applyNumberFormat="1" applyFont="1" applyBorder="1" applyAlignment="1">
      <alignment horizontal="right" vertical="top"/>
    </xf>
    <xf numFmtId="179" fontId="2" fillId="0" borderId="0" xfId="1" applyNumberFormat="1" applyFont="1" applyAlignment="1"/>
    <xf numFmtId="37" fontId="4" fillId="0" borderId="0" xfId="0" applyNumberFormat="1" applyFont="1" applyAlignment="1" applyProtection="1">
      <alignment horizontal="center"/>
      <protection locked="0"/>
    </xf>
    <xf numFmtId="37" fontId="4" fillId="0" borderId="0" xfId="0" applyNumberFormat="1" applyFont="1" applyAlignment="1" applyProtection="1">
      <alignment horizontal="right"/>
      <protection locked="0"/>
    </xf>
    <xf numFmtId="0" fontId="4" fillId="0" borderId="0" xfId="0" applyNumberFormat="1" applyFont="1" applyBorder="1" applyAlignment="1" applyProtection="1">
      <protection locked="0"/>
    </xf>
    <xf numFmtId="0" fontId="22" fillId="0" borderId="0" xfId="0" applyNumberFormat="1" applyFont="1" applyBorder="1" applyAlignment="1" applyProtection="1">
      <protection locked="0"/>
    </xf>
    <xf numFmtId="0" fontId="22" fillId="0" borderId="0" xfId="0" applyNumberFormat="1" applyFont="1" applyBorder="1" applyAlignment="1" applyProtection="1">
      <alignment horizontal="centerContinuous"/>
      <protection locked="0"/>
    </xf>
    <xf numFmtId="0" fontId="22" fillId="0" borderId="0" xfId="0" applyNumberFormat="1" applyFont="1" applyBorder="1" applyAlignment="1" applyProtection="1">
      <alignment horizontal="center"/>
      <protection locked="0"/>
    </xf>
    <xf numFmtId="43" fontId="4" fillId="0" borderId="0" xfId="1" applyFont="1" applyBorder="1" applyAlignment="1" applyProtection="1">
      <protection locked="0"/>
    </xf>
    <xf numFmtId="173" fontId="4" fillId="0" borderId="0" xfId="1" applyNumberFormat="1" applyFont="1" applyBorder="1" applyAlignment="1" applyProtection="1">
      <protection locked="0"/>
    </xf>
    <xf numFmtId="0" fontId="21" fillId="0" borderId="0" xfId="0" applyNumberFormat="1" applyFont="1" applyBorder="1" applyAlignment="1" applyProtection="1">
      <protection locked="0"/>
    </xf>
    <xf numFmtId="43" fontId="21" fillId="0" borderId="0" xfId="1" applyFont="1" applyBorder="1" applyAlignment="1" applyProtection="1">
      <protection locked="0"/>
    </xf>
    <xf numFmtId="4" fontId="22" fillId="0" borderId="0" xfId="0" applyNumberFormat="1" applyFont="1" applyBorder="1" applyAlignment="1" applyProtection="1">
      <protection locked="0"/>
    </xf>
    <xf numFmtId="173" fontId="22" fillId="0" borderId="0" xfId="1" applyNumberFormat="1" applyFont="1" applyBorder="1" applyAlignment="1" applyProtection="1">
      <protection locked="0"/>
    </xf>
    <xf numFmtId="0" fontId="4" fillId="0" borderId="0" xfId="7" applyFont="1" applyBorder="1" applyAlignment="1"/>
    <xf numFmtId="0" fontId="8" fillId="0" borderId="0" xfId="4" applyNumberFormat="1" applyFont="1" applyAlignment="1"/>
    <xf numFmtId="164" fontId="2" fillId="0" borderId="0" xfId="0" applyFont="1" applyBorder="1"/>
    <xf numFmtId="37" fontId="2" fillId="0" borderId="0" xfId="0" applyNumberFormat="1" applyFont="1" applyBorder="1"/>
    <xf numFmtId="37" fontId="2" fillId="0" borderId="0" xfId="0" applyNumberFormat="1" applyFont="1" applyBorder="1" applyAlignment="1" applyProtection="1">
      <protection locked="0"/>
    </xf>
    <xf numFmtId="42" fontId="8" fillId="0" borderId="0" xfId="0" applyNumberFormat="1" applyFont="1" applyBorder="1" applyAlignment="1" applyProtection="1">
      <protection locked="0"/>
    </xf>
    <xf numFmtId="1" fontId="8" fillId="0" borderId="0" xfId="0" applyNumberFormat="1" applyFont="1" applyBorder="1" applyAlignment="1" applyProtection="1">
      <protection locked="0"/>
    </xf>
    <xf numFmtId="49" fontId="8" fillId="0" borderId="0" xfId="0" applyNumberFormat="1" applyFont="1" applyBorder="1" applyAlignment="1" applyProtection="1">
      <protection locked="0"/>
    </xf>
    <xf numFmtId="0" fontId="8" fillId="0" borderId="0" xfId="1" applyNumberFormat="1" applyFont="1" applyFill="1" applyBorder="1"/>
    <xf numFmtId="173" fontId="8" fillId="0" borderId="0" xfId="1" applyNumberFormat="1" applyFont="1" applyFill="1" applyBorder="1"/>
    <xf numFmtId="173" fontId="8" fillId="0" borderId="3" xfId="1" applyNumberFormat="1" applyFont="1" applyBorder="1"/>
    <xf numFmtId="37" fontId="2" fillId="0" borderId="3" xfId="0" applyNumberFormat="1" applyFont="1" applyFill="1" applyBorder="1"/>
    <xf numFmtId="164" fontId="24" fillId="0" borderId="0" xfId="0" applyFont="1"/>
    <xf numFmtId="164" fontId="1" fillId="0" borderId="0" xfId="0" applyFont="1"/>
    <xf numFmtId="37" fontId="2" fillId="0" borderId="4" xfId="0" applyNumberFormat="1" applyFont="1" applyFill="1" applyBorder="1"/>
    <xf numFmtId="0" fontId="24" fillId="0" borderId="0" xfId="0" applyNumberFormat="1" applyFont="1" applyAlignment="1" applyProtection="1">
      <protection locked="0"/>
    </xf>
    <xf numFmtId="39" fontId="2" fillId="0" borderId="0" xfId="0" applyNumberFormat="1" applyFont="1" applyAlignment="1"/>
    <xf numFmtId="37" fontId="2" fillId="0" borderId="4" xfId="0" applyNumberFormat="1" applyFont="1" applyFill="1" applyBorder="1" applyAlignment="1" applyProtection="1">
      <protection locked="0"/>
    </xf>
    <xf numFmtId="2" fontId="5" fillId="0" borderId="0" xfId="0" applyNumberFormat="1" applyFont="1" applyBorder="1" applyAlignment="1" applyProtection="1">
      <protection locked="0"/>
    </xf>
    <xf numFmtId="164" fontId="2" fillId="0" borderId="0" xfId="0" applyFont="1" applyFill="1"/>
    <xf numFmtId="164" fontId="20" fillId="0" borderId="0" xfId="0" applyFont="1" applyFill="1"/>
    <xf numFmtId="168" fontId="2" fillId="0" borderId="0" xfId="0" applyNumberFormat="1" applyFont="1" applyFill="1" applyAlignment="1">
      <alignment horizontal="center"/>
    </xf>
    <xf numFmtId="0" fontId="2" fillId="0" borderId="0" xfId="0" applyNumberFormat="1" applyFont="1" applyFill="1" applyAlignment="1" applyProtection="1">
      <protection locked="0"/>
    </xf>
    <xf numFmtId="5" fontId="2" fillId="0" borderId="0" xfId="0" applyNumberFormat="1" applyFont="1" applyAlignment="1" applyProtection="1">
      <protection locked="0"/>
    </xf>
    <xf numFmtId="41" fontId="8" fillId="0" borderId="0" xfId="0" applyNumberFormat="1" applyFont="1" applyBorder="1" applyAlignment="1">
      <alignment horizontal="center"/>
    </xf>
    <xf numFmtId="16" fontId="8" fillId="0" borderId="0" xfId="0" applyNumberFormat="1" applyFont="1" applyAlignment="1" applyProtection="1">
      <protection locked="0"/>
    </xf>
    <xf numFmtId="175" fontId="10" fillId="0" borderId="0" xfId="11" quotePrefix="1" applyFont="1" applyAlignment="1"/>
    <xf numFmtId="183" fontId="4" fillId="0" borderId="0" xfId="2" applyNumberFormat="1" applyFont="1" applyAlignment="1" applyProtection="1">
      <protection locked="0"/>
    </xf>
    <xf numFmtId="43" fontId="2" fillId="0" borderId="0" xfId="0" applyNumberFormat="1" applyFont="1" applyAlignment="1" applyProtection="1">
      <protection locked="0"/>
    </xf>
    <xf numFmtId="181" fontId="4" fillId="0" borderId="0" xfId="1" applyNumberFormat="1" applyFont="1" applyAlignment="1" applyProtection="1">
      <protection locked="0"/>
    </xf>
    <xf numFmtId="43" fontId="4" fillId="0" borderId="0" xfId="1" applyFont="1" applyAlignment="1" applyProtection="1">
      <protection locked="0"/>
    </xf>
    <xf numFmtId="43" fontId="4" fillId="0" borderId="0" xfId="1" applyFont="1" applyBorder="1" applyAlignment="1" applyProtection="1">
      <alignment horizontal="center"/>
      <protection locked="0"/>
    </xf>
    <xf numFmtId="44" fontId="4" fillId="0" borderId="0" xfId="2" applyFont="1" applyAlignment="1" applyProtection="1">
      <protection locked="0"/>
    </xf>
    <xf numFmtId="183" fontId="15" fillId="0" borderId="0" xfId="2" applyNumberFormat="1" applyFont="1" applyAlignment="1" applyProtection="1">
      <alignment horizontal="left"/>
      <protection locked="0"/>
    </xf>
    <xf numFmtId="44" fontId="4" fillId="0" borderId="0" xfId="2" applyNumberFormat="1" applyFont="1" applyAlignment="1" applyProtection="1">
      <protection locked="0"/>
    </xf>
    <xf numFmtId="180" fontId="4" fillId="0" borderId="0" xfId="2" applyNumberFormat="1" applyFont="1" applyAlignment="1" applyProtection="1">
      <protection locked="0"/>
    </xf>
    <xf numFmtId="183" fontId="15" fillId="0" borderId="0" xfId="2" applyNumberFormat="1" applyFont="1" applyAlignment="1" applyProtection="1">
      <protection locked="0"/>
    </xf>
    <xf numFmtId="177" fontId="4" fillId="0" borderId="0" xfId="1" applyNumberFormat="1" applyFont="1" applyAlignment="1" applyProtection="1">
      <protection locked="0"/>
    </xf>
    <xf numFmtId="182" fontId="4" fillId="0" borderId="0" xfId="2" applyNumberFormat="1" applyFont="1" applyAlignment="1" applyProtection="1">
      <protection locked="0"/>
    </xf>
    <xf numFmtId="179" fontId="4" fillId="0" borderId="0" xfId="1" applyNumberFormat="1" applyFont="1" applyAlignment="1" applyProtection="1">
      <protection locked="0"/>
    </xf>
    <xf numFmtId="169" fontId="2" fillId="0" borderId="0" xfId="0" applyNumberFormat="1" applyFont="1" applyAlignment="1" applyProtection="1">
      <protection locked="0"/>
    </xf>
    <xf numFmtId="0" fontId="10" fillId="0" borderId="0" xfId="0" applyNumberFormat="1" applyFont="1" applyAlignment="1" applyProtection="1">
      <alignment horizontal="centerContinuous"/>
      <protection locked="0"/>
    </xf>
    <xf numFmtId="0" fontId="8" fillId="0" borderId="3" xfId="0" applyNumberFormat="1" applyFont="1" applyBorder="1" applyAlignment="1" applyProtection="1">
      <alignment horizontal="center"/>
      <protection locked="0"/>
    </xf>
    <xf numFmtId="0" fontId="2" fillId="0" borderId="0" xfId="0" applyNumberFormat="1" applyFont="1" applyAlignment="1" applyProtection="1">
      <protection locked="0"/>
    </xf>
    <xf numFmtId="175" fontId="4" fillId="0" borderId="0" xfId="11" applyFont="1" applyAlignment="1">
      <alignment horizontal="center"/>
    </xf>
    <xf numFmtId="173" fontId="26" fillId="0" borderId="0" xfId="1" applyNumberFormat="1" applyFont="1" applyAlignment="1" applyProtection="1">
      <protection locked="0"/>
    </xf>
    <xf numFmtId="173" fontId="26" fillId="0" borderId="0" xfId="1" applyNumberFormat="1" applyFont="1" applyBorder="1" applyAlignment="1" applyProtection="1">
      <protection locked="0"/>
    </xf>
    <xf numFmtId="37" fontId="26" fillId="0" borderId="0" xfId="0" applyNumberFormat="1" applyFont="1" applyFill="1"/>
    <xf numFmtId="0" fontId="26" fillId="0" borderId="0" xfId="0" applyNumberFormat="1" applyFont="1" applyAlignment="1" applyProtection="1">
      <protection locked="0"/>
    </xf>
    <xf numFmtId="0" fontId="26" fillId="0" borderId="0" xfId="0" applyNumberFormat="1" applyFont="1" applyAlignment="1" applyProtection="1">
      <alignment horizontal="center"/>
      <protection locked="0"/>
    </xf>
    <xf numFmtId="37" fontId="26" fillId="0" borderId="0" xfId="0" applyNumberFormat="1" applyFont="1" applyAlignment="1" applyProtection="1">
      <protection locked="0"/>
    </xf>
    <xf numFmtId="179" fontId="26" fillId="0" borderId="0" xfId="1" applyNumberFormat="1" applyFont="1" applyAlignment="1" applyProtection="1">
      <protection locked="0"/>
    </xf>
    <xf numFmtId="173" fontId="25" fillId="0" borderId="0" xfId="1" applyNumberFormat="1" applyFont="1" applyAlignment="1"/>
    <xf numFmtId="173" fontId="25" fillId="0" borderId="0" xfId="1" applyNumberFormat="1" applyFont="1" applyAlignment="1" applyProtection="1">
      <alignment horizontal="center"/>
      <protection locked="0"/>
    </xf>
    <xf numFmtId="1" fontId="4" fillId="0" borderId="0" xfId="0" applyNumberFormat="1" applyFont="1" applyAlignment="1" applyProtection="1">
      <alignment horizontal="center"/>
      <protection locked="0"/>
    </xf>
    <xf numFmtId="0" fontId="25" fillId="0" borderId="0" xfId="4" applyFont="1" applyAlignment="1"/>
    <xf numFmtId="0" fontId="26" fillId="0" borderId="0" xfId="4" applyNumberFormat="1" applyFont="1" applyAlignment="1"/>
    <xf numFmtId="16" fontId="26" fillId="0" borderId="0" xfId="0" applyNumberFormat="1" applyFont="1" applyAlignment="1" applyProtection="1">
      <protection locked="0"/>
    </xf>
    <xf numFmtId="174" fontId="4" fillId="0" borderId="0" xfId="1" applyNumberFormat="1" applyFont="1" applyAlignment="1"/>
    <xf numFmtId="43" fontId="4" fillId="0" borderId="0" xfId="1" applyFont="1" applyAlignment="1" applyProtection="1">
      <alignment horizontal="center"/>
      <protection locked="0"/>
    </xf>
    <xf numFmtId="0" fontId="2" fillId="0" borderId="0" xfId="0" applyNumberFormat="1" applyFont="1" applyAlignment="1" applyProtection="1">
      <protection locked="0"/>
    </xf>
    <xf numFmtId="43" fontId="2" fillId="0" borderId="0" xfId="1" applyFont="1" applyAlignment="1"/>
    <xf numFmtId="37" fontId="2" fillId="0" borderId="0" xfId="0" applyNumberFormat="1" applyFont="1" applyAlignment="1"/>
    <xf numFmtId="0" fontId="26" fillId="0" borderId="3" xfId="0" applyNumberFormat="1" applyFont="1" applyBorder="1" applyAlignment="1" applyProtection="1">
      <protection locked="0"/>
    </xf>
    <xf numFmtId="0" fontId="2" fillId="0" borderId="0" xfId="12" applyNumberFormat="1" applyFont="1" applyAlignment="1"/>
    <xf numFmtId="3" fontId="2" fillId="0" borderId="0" xfId="0" applyNumberFormat="1" applyFont="1" applyAlignment="1" applyProtection="1">
      <protection locked="0"/>
    </xf>
    <xf numFmtId="0" fontId="26" fillId="0" borderId="0" xfId="0" applyNumberFormat="1" applyFont="1" applyAlignment="1"/>
    <xf numFmtId="0" fontId="2" fillId="0" borderId="0" xfId="0" applyNumberFormat="1" applyFont="1" applyAlignment="1" applyProtection="1">
      <protection locked="0"/>
    </xf>
    <xf numFmtId="175" fontId="25" fillId="0" borderId="0" xfId="11" applyFont="1" applyAlignment="1"/>
    <xf numFmtId="173" fontId="2" fillId="0" borderId="0" xfId="1" applyNumberFormat="1" applyFont="1" applyAlignment="1" applyProtection="1">
      <alignment horizontal="center"/>
      <protection locked="0"/>
    </xf>
    <xf numFmtId="173" fontId="2" fillId="0" borderId="0" xfId="1" applyNumberFormat="1" applyFont="1" applyFill="1" applyAlignment="1" applyProtection="1">
      <alignment horizontal="center"/>
      <protection locked="0"/>
    </xf>
    <xf numFmtId="173" fontId="2" fillId="0" borderId="0" xfId="1" applyNumberFormat="1" applyFont="1" applyBorder="1" applyAlignment="1" applyProtection="1">
      <protection locked="0"/>
    </xf>
    <xf numFmtId="173" fontId="2" fillId="0" borderId="0" xfId="1" applyNumberFormat="1" applyFont="1" applyBorder="1"/>
    <xf numFmtId="173" fontId="2" fillId="0" borderId="3" xfId="1" applyNumberFormat="1" applyFont="1" applyBorder="1" applyAlignment="1" applyProtection="1">
      <alignment horizontal="centerContinuous"/>
      <protection locked="0"/>
    </xf>
    <xf numFmtId="0" fontId="2" fillId="0" borderId="3" xfId="0" applyNumberFormat="1" applyFont="1" applyBorder="1" applyAlignment="1" applyProtection="1">
      <alignment horizontal="centerContinuous"/>
      <protection locked="0"/>
    </xf>
    <xf numFmtId="174" fontId="4" fillId="0" borderId="0" xfId="1" applyNumberFormat="1" applyFont="1" applyAlignment="1" applyProtection="1">
      <protection locked="0"/>
    </xf>
    <xf numFmtId="174" fontId="2" fillId="0" borderId="0" xfId="1" applyNumberFormat="1" applyFont="1" applyAlignment="1" applyProtection="1">
      <alignment horizontal="center"/>
      <protection locked="0"/>
    </xf>
    <xf numFmtId="174" fontId="8" fillId="0" borderId="3" xfId="0" applyNumberFormat="1" applyFont="1" applyBorder="1" applyAlignment="1">
      <alignment horizontal="centerContinuous"/>
    </xf>
    <xf numFmtId="174" fontId="2" fillId="0" borderId="0" xfId="1" applyNumberFormat="1" applyFont="1" applyFill="1" applyAlignment="1" applyProtection="1">
      <alignment horizontal="center"/>
      <protection locked="0"/>
    </xf>
    <xf numFmtId="174" fontId="2" fillId="0" borderId="0" xfId="1" applyNumberFormat="1" applyFont="1" applyAlignment="1" applyProtection="1">
      <protection locked="0"/>
    </xf>
    <xf numFmtId="174" fontId="2" fillId="0" borderId="0" xfId="1" applyNumberFormat="1" applyFont="1" applyBorder="1" applyAlignment="1" applyProtection="1">
      <protection locked="0"/>
    </xf>
    <xf numFmtId="174" fontId="2" fillId="0" borderId="0" xfId="1" applyNumberFormat="1" applyFont="1"/>
    <xf numFmtId="174" fontId="2" fillId="0" borderId="0" xfId="1" applyNumberFormat="1" applyFont="1" applyBorder="1"/>
    <xf numFmtId="0" fontId="2" fillId="0" borderId="0" xfId="0" applyNumberFormat="1" applyFont="1" applyAlignment="1" applyProtection="1">
      <protection locked="0"/>
    </xf>
    <xf numFmtId="168" fontId="2" fillId="0" borderId="0" xfId="0" applyNumberFormat="1" applyFont="1" applyBorder="1" applyAlignment="1" applyProtection="1">
      <protection locked="0"/>
    </xf>
    <xf numFmtId="0" fontId="2" fillId="0" borderId="0" xfId="0" applyNumberFormat="1" applyFont="1" applyAlignment="1" applyProtection="1">
      <protection locked="0"/>
    </xf>
    <xf numFmtId="37" fontId="26" fillId="0" borderId="0" xfId="0" applyNumberFormat="1" applyFont="1" applyBorder="1"/>
    <xf numFmtId="0" fontId="2" fillId="0" borderId="0" xfId="0" applyNumberFormat="1" applyFont="1" applyAlignment="1" applyProtection="1">
      <protection locked="0"/>
    </xf>
    <xf numFmtId="0" fontId="2" fillId="0" borderId="0" xfId="0" applyNumberFormat="1" applyFont="1" applyAlignment="1" applyProtection="1">
      <protection locked="0"/>
    </xf>
    <xf numFmtId="0" fontId="2" fillId="0" borderId="0" xfId="0" applyNumberFormat="1" applyFont="1" applyAlignment="1" applyProtection="1">
      <protection locked="0"/>
    </xf>
    <xf numFmtId="43" fontId="4" fillId="0" borderId="0" xfId="1" applyFont="1" applyAlignment="1"/>
    <xf numFmtId="4" fontId="2" fillId="0" borderId="0" xfId="10" applyNumberFormat="1" applyFont="1" applyAlignment="1"/>
    <xf numFmtId="3" fontId="2" fillId="0" borderId="0" xfId="10" applyNumberFormat="1" applyFont="1" applyAlignment="1"/>
    <xf numFmtId="175" fontId="4" fillId="0" borderId="0" xfId="11" quotePrefix="1" applyFont="1" applyAlignment="1"/>
    <xf numFmtId="0" fontId="2" fillId="0" borderId="0" xfId="0" applyNumberFormat="1" applyFont="1" applyAlignment="1" applyProtection="1">
      <protection locked="0"/>
    </xf>
    <xf numFmtId="1" fontId="2" fillId="0" borderId="0" xfId="0" applyNumberFormat="1" applyFont="1" applyBorder="1" applyAlignment="1" applyProtection="1">
      <protection locked="0"/>
    </xf>
    <xf numFmtId="0" fontId="2" fillId="0" borderId="0" xfId="10" applyFont="1" applyAlignment="1"/>
    <xf numFmtId="37" fontId="2" fillId="0" borderId="1" xfId="10" applyNumberFormat="1" applyFont="1" applyBorder="1" applyAlignment="1">
      <alignment horizontal="center"/>
    </xf>
    <xf numFmtId="0" fontId="2" fillId="0" borderId="0" xfId="10" applyNumberFormat="1" applyFont="1" applyAlignment="1"/>
    <xf numFmtId="43" fontId="2" fillId="0" borderId="0" xfId="1" applyFont="1" applyAlignment="1" applyProtection="1">
      <protection locked="0"/>
    </xf>
    <xf numFmtId="175" fontId="4" fillId="0" borderId="0" xfId="11" applyFont="1" applyAlignment="1">
      <alignment horizontal="center"/>
    </xf>
    <xf numFmtId="186" fontId="2" fillId="0" borderId="0" xfId="0" applyNumberFormat="1" applyFont="1" applyAlignment="1" applyProtection="1">
      <protection locked="0"/>
    </xf>
    <xf numFmtId="187" fontId="2" fillId="0" borderId="0" xfId="0" applyNumberFormat="1" applyFont="1" applyAlignment="1" applyProtection="1">
      <protection locked="0"/>
    </xf>
    <xf numFmtId="43" fontId="2" fillId="0" borderId="0" xfId="1" applyNumberFormat="1" applyFont="1" applyAlignment="1" applyProtection="1">
      <protection locked="0"/>
    </xf>
    <xf numFmtId="175" fontId="28" fillId="0" borderId="0" xfId="11" applyFont="1" applyAlignment="1">
      <alignment horizontal="centerContinuous"/>
    </xf>
    <xf numFmtId="175" fontId="1" fillId="0" borderId="0" xfId="11" applyFont="1" applyAlignment="1">
      <alignment horizontal="centerContinuous"/>
    </xf>
    <xf numFmtId="2" fontId="4" fillId="0" borderId="0" xfId="7" applyNumberFormat="1" applyFont="1" applyAlignment="1"/>
    <xf numFmtId="0" fontId="2" fillId="0" borderId="0" xfId="0" applyNumberFormat="1" applyFont="1" applyAlignment="1" applyProtection="1">
      <protection locked="0"/>
    </xf>
    <xf numFmtId="176" fontId="2" fillId="0" borderId="0" xfId="0" applyNumberFormat="1" applyFont="1" applyAlignment="1" applyProtection="1">
      <protection locked="0"/>
    </xf>
    <xf numFmtId="175" fontId="4" fillId="0" borderId="0" xfId="11" applyFont="1" applyAlignment="1">
      <alignment horizontal="center"/>
    </xf>
    <xf numFmtId="43" fontId="4" fillId="0" borderId="0" xfId="1" applyFont="1" applyAlignment="1" applyProtection="1">
      <alignment horizontal="right"/>
      <protection locked="0"/>
    </xf>
    <xf numFmtId="173" fontId="10" fillId="0" borderId="3" xfId="1" applyNumberFormat="1" applyFont="1" applyBorder="1" applyAlignment="1"/>
    <xf numFmtId="0" fontId="15" fillId="0" borderId="0" xfId="0" applyNumberFormat="1" applyFont="1" applyAlignment="1">
      <alignment horizontal="centerContinuous"/>
    </xf>
    <xf numFmtId="0" fontId="15" fillId="0" borderId="0" xfId="0" applyNumberFormat="1" applyFont="1" applyAlignment="1"/>
    <xf numFmtId="0" fontId="15" fillId="0" borderId="0" xfId="0" applyNumberFormat="1" applyFont="1" applyAlignment="1">
      <alignment horizontal="center"/>
    </xf>
    <xf numFmtId="0" fontId="15" fillId="0" borderId="1" xfId="0" applyNumberFormat="1" applyFont="1" applyBorder="1" applyAlignment="1">
      <alignment horizontal="centerContinuous"/>
    </xf>
    <xf numFmtId="0" fontId="15" fillId="0" borderId="1" xfId="0" applyNumberFormat="1" applyFont="1" applyBorder="1" applyAlignment="1">
      <alignment horizontal="center"/>
    </xf>
    <xf numFmtId="0" fontId="15" fillId="0" borderId="0" xfId="0" applyNumberFormat="1" applyFont="1" applyAlignment="1" applyProtection="1">
      <protection locked="0"/>
    </xf>
    <xf numFmtId="164" fontId="15" fillId="0" borderId="0" xfId="0" applyNumberFormat="1" applyFont="1" applyAlignment="1"/>
    <xf numFmtId="164" fontId="15" fillId="0" borderId="0" xfId="0" applyFont="1" applyAlignment="1"/>
    <xf numFmtId="3" fontId="15" fillId="0" borderId="0" xfId="0" applyNumberFormat="1" applyFont="1" applyAlignment="1"/>
    <xf numFmtId="3" fontId="15" fillId="0" borderId="1" xfId="0" applyNumberFormat="1" applyFont="1" applyBorder="1" applyAlignment="1"/>
    <xf numFmtId="165" fontId="15" fillId="0" borderId="1" xfId="0" applyNumberFormat="1" applyFont="1" applyBorder="1" applyAlignment="1"/>
    <xf numFmtId="3" fontId="15" fillId="0" borderId="0" xfId="0" applyNumberFormat="1" applyFont="1" applyBorder="1" applyAlignment="1"/>
    <xf numFmtId="165" fontId="15" fillId="0" borderId="0" xfId="0" applyNumberFormat="1" applyFont="1" applyAlignment="1"/>
    <xf numFmtId="165" fontId="15" fillId="0" borderId="2" xfId="0" applyNumberFormat="1" applyFont="1" applyBorder="1" applyAlignment="1"/>
    <xf numFmtId="0" fontId="15" fillId="0" borderId="0" xfId="5" applyNumberFormat="1" applyFont="1" applyAlignment="1"/>
    <xf numFmtId="0" fontId="15" fillId="0" borderId="0" xfId="5" applyNumberFormat="1" applyFont="1" applyAlignment="1">
      <alignment horizontal="centerContinuous"/>
    </xf>
    <xf numFmtId="0" fontId="15" fillId="0" borderId="0" xfId="5" applyNumberFormat="1" applyFont="1" applyAlignment="1">
      <alignment horizontal="center"/>
    </xf>
    <xf numFmtId="0" fontId="15" fillId="0" borderId="1" xfId="5" applyNumberFormat="1" applyFont="1" applyBorder="1" applyAlignment="1">
      <alignment horizontal="centerContinuous"/>
    </xf>
    <xf numFmtId="0" fontId="15" fillId="0" borderId="1" xfId="5" applyNumberFormat="1" applyFont="1" applyBorder="1" applyAlignment="1">
      <alignment horizontal="center"/>
    </xf>
    <xf numFmtId="0" fontId="15" fillId="0" borderId="0" xfId="5" applyFont="1" applyAlignment="1"/>
    <xf numFmtId="164" fontId="15" fillId="0" borderId="0" xfId="5" applyNumberFormat="1" applyFont="1" applyAlignment="1"/>
    <xf numFmtId="165" fontId="15" fillId="0" borderId="0" xfId="5" applyNumberFormat="1" applyFont="1" applyBorder="1" applyAlignment="1"/>
    <xf numFmtId="164" fontId="15" fillId="0" borderId="4" xfId="5" applyNumberFormat="1" applyFont="1" applyBorder="1" applyAlignment="1"/>
    <xf numFmtId="0" fontId="15" fillId="0" borderId="0" xfId="0" applyNumberFormat="1" applyFont="1" applyAlignment="1">
      <alignment horizontal="centerContinuous" vertical="top" wrapText="1"/>
    </xf>
    <xf numFmtId="3" fontId="15" fillId="0" borderId="1" xfId="0" quotePrefix="1" applyNumberFormat="1" applyFont="1" applyBorder="1" applyAlignment="1">
      <alignment horizontal="center"/>
    </xf>
    <xf numFmtId="164" fontId="29" fillId="0" borderId="0" xfId="0" applyFont="1" applyAlignment="1"/>
    <xf numFmtId="164" fontId="15" fillId="0" borderId="4" xfId="0" applyFont="1" applyBorder="1" applyAlignment="1"/>
    <xf numFmtId="3" fontId="15" fillId="0" borderId="2" xfId="0" applyNumberFormat="1" applyFont="1" applyBorder="1" applyAlignment="1"/>
    <xf numFmtId="165" fontId="15" fillId="0" borderId="0" xfId="0" applyNumberFormat="1" applyFont="1" applyBorder="1" applyAlignment="1"/>
    <xf numFmtId="0" fontId="15" fillId="0" borderId="0" xfId="0" applyNumberFormat="1" applyFont="1" applyBorder="1"/>
    <xf numFmtId="0" fontId="29" fillId="0" borderId="0" xfId="5" applyNumberFormat="1" applyFont="1" applyAlignment="1"/>
    <xf numFmtId="164" fontId="15" fillId="0" borderId="1" xfId="5" applyNumberFormat="1" applyFont="1" applyBorder="1" applyAlignment="1"/>
    <xf numFmtId="0" fontId="15" fillId="0" borderId="2" xfId="5" applyNumberFormat="1" applyFont="1" applyBorder="1" applyAlignment="1"/>
    <xf numFmtId="164" fontId="29" fillId="0" borderId="0" xfId="5" applyNumberFormat="1" applyFont="1" applyAlignment="1"/>
    <xf numFmtId="165" fontId="15" fillId="0" borderId="1" xfId="5" applyNumberFormat="1" applyFont="1" applyBorder="1" applyAlignment="1"/>
    <xf numFmtId="3" fontId="15" fillId="0" borderId="2" xfId="5" applyNumberFormat="1" applyFont="1" applyBorder="1" applyAlignment="1"/>
    <xf numFmtId="165" fontId="15" fillId="0" borderId="0" xfId="5" applyNumberFormat="1" applyFont="1" applyAlignment="1"/>
    <xf numFmtId="165" fontId="15" fillId="0" borderId="2" xfId="5" applyNumberFormat="1" applyFont="1" applyBorder="1" applyAlignment="1"/>
    <xf numFmtId="0" fontId="2" fillId="0" borderId="0" xfId="0" applyNumberFormat="1" applyFont="1" applyAlignment="1" applyProtection="1">
      <protection locked="0"/>
    </xf>
    <xf numFmtId="0" fontId="15" fillId="0" borderId="0" xfId="0" applyNumberFormat="1" applyFont="1" applyAlignment="1">
      <alignment horizontal="center"/>
    </xf>
    <xf numFmtId="0" fontId="15" fillId="0" borderId="0" xfId="8" applyNumberFormat="1" applyFont="1" applyAlignment="1"/>
    <xf numFmtId="0" fontId="15" fillId="0" borderId="0" xfId="8" applyFont="1" applyAlignment="1"/>
    <xf numFmtId="3" fontId="15" fillId="0" borderId="3" xfId="8" applyNumberFormat="1" applyFont="1" applyBorder="1" applyAlignment="1"/>
    <xf numFmtId="3" fontId="15" fillId="0" borderId="0" xfId="8" applyNumberFormat="1" applyFont="1" applyAlignment="1">
      <alignment horizontal="left"/>
    </xf>
    <xf numFmtId="0" fontId="15" fillId="0" borderId="0" xfId="8" applyNumberFormat="1" applyFont="1" applyAlignment="1">
      <alignment horizontal="centerContinuous"/>
    </xf>
    <xf numFmtId="0" fontId="15" fillId="0" borderId="0" xfId="8" applyNumberFormat="1" applyFont="1" applyAlignment="1">
      <alignment horizontal="center"/>
    </xf>
    <xf numFmtId="164" fontId="15" fillId="0" borderId="0" xfId="8" applyNumberFormat="1" applyFont="1" applyAlignment="1"/>
    <xf numFmtId="0" fontId="15" fillId="0" borderId="1" xfId="8" applyNumberFormat="1" applyFont="1" applyBorder="1" applyAlignment="1"/>
    <xf numFmtId="164" fontId="15" fillId="0" borderId="0" xfId="8" applyNumberFormat="1" applyFont="1" applyAlignment="1">
      <alignment horizontal="center"/>
    </xf>
    <xf numFmtId="0" fontId="15" fillId="0" borderId="0" xfId="0" applyNumberFormat="1" applyFont="1" applyAlignment="1" applyProtection="1">
      <alignment horizontal="center"/>
      <protection locked="0"/>
    </xf>
    <xf numFmtId="2" fontId="15" fillId="0" borderId="0" xfId="8" applyNumberFormat="1" applyFont="1" applyAlignment="1"/>
    <xf numFmtId="2" fontId="15" fillId="0" borderId="1" xfId="8" applyNumberFormat="1" applyFont="1" applyBorder="1" applyAlignment="1"/>
    <xf numFmtId="164" fontId="15" fillId="0" borderId="4" xfId="8" applyNumberFormat="1" applyFont="1" applyBorder="1" applyAlignment="1"/>
    <xf numFmtId="0" fontId="15" fillId="0" borderId="2" xfId="8" applyNumberFormat="1" applyFont="1" applyBorder="1" applyAlignment="1"/>
    <xf numFmtId="0" fontId="15" fillId="0" borderId="0" xfId="8" applyNumberFormat="1" applyFont="1" applyBorder="1" applyAlignment="1"/>
    <xf numFmtId="0" fontId="15" fillId="0" borderId="0" xfId="7" applyNumberFormat="1" applyFont="1" applyAlignment="1"/>
    <xf numFmtId="0" fontId="15" fillId="0" borderId="0" xfId="7" applyNumberFormat="1" applyFont="1" applyAlignment="1">
      <alignment horizontal="center"/>
    </xf>
    <xf numFmtId="0" fontId="15" fillId="0" borderId="0" xfId="7" applyFont="1" applyAlignment="1"/>
    <xf numFmtId="0" fontId="15" fillId="0" borderId="0" xfId="7" applyNumberFormat="1" applyFont="1" applyAlignment="1">
      <alignment horizontal="centerContinuous"/>
    </xf>
    <xf numFmtId="0" fontId="15" fillId="0" borderId="1" xfId="7" applyNumberFormat="1" applyFont="1" applyBorder="1" applyAlignment="1">
      <alignment horizontal="center"/>
    </xf>
    <xf numFmtId="0" fontId="15" fillId="0" borderId="1" xfId="7" applyNumberFormat="1" applyFont="1" applyBorder="1" applyAlignment="1">
      <alignment horizontal="centerContinuous"/>
    </xf>
    <xf numFmtId="170" fontId="15" fillId="0" borderId="0" xfId="7" applyNumberFormat="1" applyFont="1" applyAlignment="1"/>
    <xf numFmtId="165" fontId="15" fillId="0" borderId="0" xfId="7" applyNumberFormat="1" applyFont="1" applyAlignment="1"/>
    <xf numFmtId="164" fontId="15" fillId="0" borderId="0" xfId="7" applyNumberFormat="1" applyFont="1" applyAlignment="1"/>
    <xf numFmtId="37" fontId="15" fillId="0" borderId="1" xfId="7" applyNumberFormat="1" applyFont="1" applyBorder="1" applyAlignment="1"/>
    <xf numFmtId="165" fontId="15" fillId="0" borderId="1" xfId="7" applyNumberFormat="1" applyFont="1" applyBorder="1" applyAlignment="1"/>
    <xf numFmtId="0" fontId="15" fillId="0" borderId="1" xfId="7" applyNumberFormat="1" applyFont="1" applyBorder="1" applyAlignment="1"/>
    <xf numFmtId="170" fontId="15" fillId="0" borderId="4" xfId="7" applyNumberFormat="1" applyFont="1" applyBorder="1" applyAlignment="1"/>
    <xf numFmtId="164" fontId="15" fillId="0" borderId="4" xfId="7" applyNumberFormat="1" applyFont="1" applyBorder="1" applyAlignment="1"/>
    <xf numFmtId="0" fontId="15" fillId="0" borderId="0" xfId="3" applyNumberFormat="1" applyFont="1" applyAlignment="1">
      <alignment horizontal="centerContinuous"/>
    </xf>
    <xf numFmtId="0" fontId="15" fillId="0" borderId="0" xfId="3" applyNumberFormat="1" applyFont="1" applyAlignment="1"/>
    <xf numFmtId="0" fontId="15" fillId="0" borderId="0" xfId="3" applyFont="1" applyAlignment="1"/>
    <xf numFmtId="0" fontId="15" fillId="0" borderId="1" xfId="3" applyNumberFormat="1" applyFont="1" applyBorder="1" applyAlignment="1">
      <alignment horizontal="center"/>
    </xf>
    <xf numFmtId="0" fontId="15" fillId="0" borderId="0" xfId="3" applyNumberFormat="1" applyFont="1" applyAlignment="1">
      <alignment horizontal="center"/>
    </xf>
    <xf numFmtId="0" fontId="15" fillId="0" borderId="1" xfId="3" applyNumberFormat="1" applyFont="1" applyBorder="1" applyAlignment="1">
      <alignment horizontal="centerContinuous"/>
    </xf>
    <xf numFmtId="0" fontId="15" fillId="0" borderId="1" xfId="3" applyNumberFormat="1" applyFont="1" applyBorder="1" applyAlignment="1"/>
    <xf numFmtId="164" fontId="15" fillId="0" borderId="0" xfId="3" applyNumberFormat="1" applyFont="1" applyAlignment="1"/>
    <xf numFmtId="170" fontId="15" fillId="0" borderId="0" xfId="3" applyNumberFormat="1" applyFont="1" applyAlignment="1"/>
    <xf numFmtId="164" fontId="29" fillId="0" borderId="0" xfId="3" applyNumberFormat="1" applyFont="1" applyAlignment="1"/>
    <xf numFmtId="164" fontId="29" fillId="0" borderId="0" xfId="3" applyNumberFormat="1" applyFont="1" applyAlignment="1" applyProtection="1">
      <protection locked="0"/>
    </xf>
    <xf numFmtId="170" fontId="15" fillId="0" borderId="1" xfId="3" applyNumberFormat="1" applyFont="1" applyBorder="1" applyAlignment="1"/>
    <xf numFmtId="164" fontId="15" fillId="0" borderId="1" xfId="3" applyNumberFormat="1" applyFont="1" applyBorder="1" applyAlignment="1"/>
    <xf numFmtId="170" fontId="15" fillId="0" borderId="4" xfId="3" applyNumberFormat="1" applyFont="1" applyBorder="1" applyAlignment="1"/>
    <xf numFmtId="37" fontId="15" fillId="0" borderId="0" xfId="3" applyNumberFormat="1" applyFont="1" applyBorder="1" applyAlignment="1"/>
    <xf numFmtId="164" fontId="15" fillId="0" borderId="2" xfId="3" applyNumberFormat="1" applyFont="1" applyBorder="1" applyAlignment="1"/>
    <xf numFmtId="0" fontId="15" fillId="0" borderId="0" xfId="4" applyNumberFormat="1" applyFont="1" applyAlignment="1">
      <alignment horizontal="centerContinuous"/>
    </xf>
    <xf numFmtId="0" fontId="15" fillId="0" borderId="0" xfId="4" applyNumberFormat="1" applyFont="1" applyAlignment="1"/>
    <xf numFmtId="0" fontId="15" fillId="0" borderId="1" xfId="4" applyNumberFormat="1" applyFont="1" applyBorder="1" applyAlignment="1">
      <alignment horizontal="center"/>
    </xf>
    <xf numFmtId="0" fontId="15" fillId="0" borderId="0" xfId="4" applyNumberFormat="1" applyFont="1" applyAlignment="1">
      <alignment horizontal="center"/>
    </xf>
    <xf numFmtId="0" fontId="15" fillId="0" borderId="1" xfId="4" applyNumberFormat="1" applyFont="1" applyBorder="1" applyAlignment="1">
      <alignment horizontal="centerContinuous"/>
    </xf>
    <xf numFmtId="0" fontId="15" fillId="0" borderId="1" xfId="4" applyNumberFormat="1" applyFont="1" applyBorder="1" applyAlignment="1">
      <alignment horizontal="left"/>
    </xf>
    <xf numFmtId="167" fontId="15" fillId="0" borderId="0" xfId="4" applyNumberFormat="1" applyFont="1" applyAlignment="1"/>
    <xf numFmtId="0" fontId="15" fillId="0" borderId="0" xfId="4" applyNumberFormat="1" applyFont="1" applyAlignment="1">
      <alignment horizontal="right"/>
    </xf>
    <xf numFmtId="167" fontId="15" fillId="0" borderId="1" xfId="4" applyNumberFormat="1" applyFont="1" applyBorder="1" applyAlignment="1"/>
    <xf numFmtId="167" fontId="15" fillId="0" borderId="4" xfId="4" applyNumberFormat="1" applyFont="1" applyBorder="1" applyAlignment="1"/>
    <xf numFmtId="0" fontId="15" fillId="0" borderId="2" xfId="4" applyNumberFormat="1" applyFont="1" applyBorder="1" applyAlignment="1"/>
    <xf numFmtId="0" fontId="15" fillId="0" borderId="0" xfId="4" applyNumberFormat="1" applyFont="1" applyBorder="1" applyAlignment="1"/>
    <xf numFmtId="0" fontId="15" fillId="0" borderId="0" xfId="4" applyFont="1" applyAlignment="1"/>
    <xf numFmtId="0" fontId="15" fillId="0" borderId="1" xfId="4" applyNumberFormat="1" applyFont="1" applyBorder="1" applyAlignment="1"/>
    <xf numFmtId="0" fontId="30" fillId="0" borderId="0" xfId="4" applyNumberFormat="1" applyFont="1" applyAlignment="1"/>
    <xf numFmtId="2" fontId="15" fillId="0" borderId="0" xfId="7" applyNumberFormat="1" applyFont="1" applyAlignment="1"/>
    <xf numFmtId="3" fontId="15" fillId="0" borderId="0" xfId="7" applyNumberFormat="1" applyFont="1" applyAlignment="1"/>
    <xf numFmtId="2" fontId="15" fillId="0" borderId="1" xfId="7" applyNumberFormat="1" applyFont="1" applyBorder="1" applyAlignment="1"/>
    <xf numFmtId="3" fontId="15" fillId="0" borderId="1" xfId="7" applyNumberFormat="1" applyFont="1" applyBorder="1" applyAlignment="1"/>
    <xf numFmtId="164" fontId="15" fillId="0" borderId="1" xfId="7" applyNumberFormat="1" applyFont="1" applyBorder="1" applyAlignment="1"/>
    <xf numFmtId="2" fontId="15" fillId="0" borderId="4" xfId="7" applyNumberFormat="1" applyFont="1" applyBorder="1" applyAlignment="1"/>
    <xf numFmtId="0" fontId="15" fillId="0" borderId="0" xfId="7" applyNumberFormat="1" applyFont="1" applyBorder="1" applyAlignment="1"/>
    <xf numFmtId="3" fontId="15" fillId="0" borderId="0" xfId="9" applyNumberFormat="1" applyFont="1" applyAlignment="1"/>
    <xf numFmtId="3" fontId="15" fillId="0" borderId="4" xfId="7" applyNumberFormat="1" applyFont="1" applyBorder="1" applyAlignment="1"/>
    <xf numFmtId="0" fontId="15" fillId="0" borderId="2" xfId="7" applyNumberFormat="1" applyFont="1" applyBorder="1" applyAlignment="1"/>
    <xf numFmtId="164" fontId="15" fillId="0" borderId="0" xfId="7" applyNumberFormat="1" applyFont="1" applyAlignment="1" applyProtection="1">
      <protection locked="0"/>
    </xf>
    <xf numFmtId="164" fontId="15" fillId="0" borderId="2" xfId="7" applyNumberFormat="1" applyFont="1" applyBorder="1" applyAlignment="1"/>
    <xf numFmtId="0" fontId="15" fillId="0" borderId="3" xfId="7" applyNumberFormat="1" applyFont="1" applyBorder="1" applyAlignment="1"/>
    <xf numFmtId="165" fontId="15" fillId="0" borderId="2" xfId="7" applyNumberFormat="1" applyFont="1" applyBorder="1" applyAlignment="1"/>
    <xf numFmtId="0" fontId="15" fillId="0" borderId="1" xfId="0" applyNumberFormat="1" applyFont="1" applyBorder="1" applyAlignment="1"/>
    <xf numFmtId="167" fontId="15" fillId="0" borderId="0" xfId="0" applyNumberFormat="1" applyFont="1" applyAlignment="1"/>
    <xf numFmtId="167" fontId="15" fillId="0" borderId="0" xfId="0" applyNumberFormat="1" applyFont="1" applyAlignment="1" applyProtection="1">
      <protection locked="0"/>
    </xf>
    <xf numFmtId="167" fontId="15" fillId="0" borderId="1" xfId="0" applyNumberFormat="1" applyFont="1" applyBorder="1" applyAlignment="1"/>
    <xf numFmtId="167" fontId="15" fillId="0" borderId="2" xfId="0" applyNumberFormat="1" applyFont="1" applyBorder="1" applyAlignment="1"/>
    <xf numFmtId="0" fontId="15" fillId="0" borderId="0" xfId="0" applyNumberFormat="1" applyFont="1" applyAlignment="1">
      <alignment horizontal="right"/>
    </xf>
    <xf numFmtId="164" fontId="15" fillId="0" borderId="0" xfId="0" applyNumberFormat="1" applyFont="1" applyAlignment="1" applyProtection="1">
      <protection locked="0"/>
    </xf>
    <xf numFmtId="164" fontId="15" fillId="0" borderId="1" xfId="0" applyFont="1" applyBorder="1" applyAlignment="1"/>
    <xf numFmtId="164" fontId="15" fillId="0" borderId="2" xfId="0" applyFont="1" applyBorder="1" applyAlignment="1"/>
    <xf numFmtId="164" fontId="15" fillId="0" borderId="0" xfId="0" applyFont="1" applyBorder="1" applyAlignment="1"/>
    <xf numFmtId="0" fontId="15" fillId="0" borderId="0" xfId="6" applyNumberFormat="1" applyFont="1" applyAlignment="1">
      <alignment horizontal="centerContinuous"/>
    </xf>
    <xf numFmtId="0" fontId="15" fillId="0" borderId="0" xfId="6" applyNumberFormat="1" applyFont="1" applyAlignment="1"/>
    <xf numFmtId="0" fontId="15" fillId="0" borderId="0" xfId="6" applyNumberFormat="1" applyFont="1" applyAlignment="1">
      <alignment horizontal="center"/>
    </xf>
    <xf numFmtId="0" fontId="15" fillId="0" borderId="1" xfId="6" applyNumberFormat="1" applyFont="1" applyBorder="1" applyAlignment="1">
      <alignment horizontal="center"/>
    </xf>
    <xf numFmtId="0" fontId="15" fillId="0" borderId="1" xfId="6" applyNumberFormat="1" applyFont="1" applyBorder="1" applyAlignment="1">
      <alignment horizontal="centerContinuous"/>
    </xf>
    <xf numFmtId="37" fontId="15" fillId="0" borderId="0" xfId="6" applyNumberFormat="1" applyFont="1" applyAlignment="1"/>
    <xf numFmtId="164" fontId="15" fillId="0" borderId="0" xfId="6" applyNumberFormat="1" applyFont="1" applyAlignment="1"/>
    <xf numFmtId="37" fontId="15" fillId="0" borderId="1" xfId="6" applyNumberFormat="1" applyFont="1" applyBorder="1" applyAlignment="1"/>
    <xf numFmtId="166" fontId="15" fillId="0" borderId="0" xfId="6" applyNumberFormat="1" applyFont="1" applyAlignment="1"/>
    <xf numFmtId="164" fontId="15" fillId="0" borderId="1" xfId="6" applyNumberFormat="1" applyFont="1" applyBorder="1" applyAlignment="1"/>
    <xf numFmtId="37" fontId="15" fillId="0" borderId="4" xfId="6" applyNumberFormat="1" applyFont="1" applyBorder="1" applyAlignment="1"/>
    <xf numFmtId="3" fontId="15" fillId="0" borderId="2" xfId="6" applyNumberFormat="1" applyFont="1" applyBorder="1" applyAlignment="1"/>
    <xf numFmtId="37" fontId="15" fillId="0" borderId="0" xfId="6" applyNumberFormat="1" applyFont="1" applyBorder="1" applyAlignment="1"/>
    <xf numFmtId="164" fontId="15" fillId="0" borderId="2" xfId="6" applyNumberFormat="1" applyFont="1" applyBorder="1" applyAlignment="1"/>
    <xf numFmtId="3" fontId="15" fillId="0" borderId="0" xfId="6" applyNumberFormat="1" applyFont="1" applyAlignment="1"/>
    <xf numFmtId="0" fontId="15" fillId="0" borderId="0" xfId="6" applyFont="1" applyAlignment="1"/>
    <xf numFmtId="0" fontId="15" fillId="0" borderId="1" xfId="6" applyNumberFormat="1" applyFont="1" applyBorder="1" applyAlignment="1"/>
    <xf numFmtId="2" fontId="15" fillId="0" borderId="0" xfId="6" applyNumberFormat="1" applyFont="1" applyAlignment="1"/>
    <xf numFmtId="2" fontId="15" fillId="0" borderId="1" xfId="6" applyNumberFormat="1" applyFont="1" applyBorder="1" applyAlignment="1"/>
    <xf numFmtId="2" fontId="15" fillId="0" borderId="4" xfId="6" applyNumberFormat="1" applyFont="1" applyBorder="1" applyAlignment="1"/>
    <xf numFmtId="2" fontId="15" fillId="0" borderId="0" xfId="6" applyNumberFormat="1" applyFont="1" applyBorder="1" applyAlignment="1"/>
    <xf numFmtId="0" fontId="15" fillId="0" borderId="2" xfId="6" applyNumberFormat="1" applyFont="1" applyBorder="1" applyAlignment="1"/>
    <xf numFmtId="37" fontId="15" fillId="0" borderId="0" xfId="0" applyNumberFormat="1" applyFont="1" applyBorder="1" applyAlignment="1"/>
    <xf numFmtId="37" fontId="15" fillId="0" borderId="4" xfId="0" applyNumberFormat="1" applyFont="1" applyBorder="1" applyAlignment="1"/>
    <xf numFmtId="0" fontId="15" fillId="0" borderId="2" xfId="0" applyNumberFormat="1" applyFont="1" applyBorder="1"/>
    <xf numFmtId="175" fontId="4" fillId="0" borderId="0" xfId="11" applyFont="1"/>
    <xf numFmtId="170" fontId="4" fillId="0" borderId="0" xfId="7" applyNumberFormat="1" applyFont="1" applyAlignment="1"/>
    <xf numFmtId="0" fontId="15" fillId="0" borderId="0" xfId="0" applyNumberFormat="1" applyFont="1" applyAlignment="1" applyProtection="1">
      <protection locked="0"/>
    </xf>
    <xf numFmtId="175" fontId="10" fillId="0" borderId="0" xfId="11" quotePrefix="1" applyFont="1" applyFill="1" applyAlignment="1"/>
    <xf numFmtId="175" fontId="15" fillId="0" borderId="0" xfId="11" applyFont="1" applyAlignment="1"/>
    <xf numFmtId="175" fontId="15" fillId="0" borderId="0" xfId="11" applyFont="1" applyAlignment="1">
      <alignment horizontal="center"/>
    </xf>
    <xf numFmtId="175" fontId="15" fillId="0" borderId="3" xfId="11" applyFont="1" applyBorder="1" applyAlignment="1">
      <alignment horizontal="center"/>
    </xf>
    <xf numFmtId="41" fontId="15" fillId="0" borderId="0" xfId="11" quotePrefix="1" applyNumberFormat="1" applyFont="1" applyAlignment="1">
      <alignment horizontal="center"/>
    </xf>
    <xf numFmtId="41" fontId="15" fillId="0" borderId="0" xfId="11" applyNumberFormat="1" applyFont="1" applyAlignment="1"/>
    <xf numFmtId="176" fontId="15" fillId="0" borderId="0" xfId="2" applyNumberFormat="1" applyFont="1" applyAlignment="1"/>
    <xf numFmtId="175" fontId="15" fillId="0" borderId="0" xfId="11" quotePrefix="1" applyFont="1" applyAlignment="1"/>
    <xf numFmtId="43" fontId="15" fillId="0" borderId="0" xfId="1" applyFont="1" applyAlignment="1"/>
    <xf numFmtId="44" fontId="15" fillId="0" borderId="0" xfId="2" applyFont="1" applyAlignment="1"/>
    <xf numFmtId="43" fontId="15" fillId="0" borderId="0" xfId="1" applyNumberFormat="1" applyFont="1" applyAlignment="1"/>
    <xf numFmtId="41" fontId="15" fillId="0" borderId="0" xfId="11" applyNumberFormat="1" applyFont="1" applyBorder="1" applyAlignment="1"/>
    <xf numFmtId="43" fontId="15" fillId="0" borderId="0" xfId="1" applyNumberFormat="1" applyFont="1" applyBorder="1" applyAlignment="1"/>
    <xf numFmtId="41" fontId="15" fillId="0" borderId="3" xfId="11" applyNumberFormat="1" applyFont="1" applyBorder="1"/>
    <xf numFmtId="42" fontId="15" fillId="0" borderId="4" xfId="11" applyNumberFormat="1" applyFont="1" applyBorder="1" applyAlignment="1"/>
    <xf numFmtId="178" fontId="15" fillId="0" borderId="4" xfId="11" applyNumberFormat="1" applyFont="1" applyBorder="1" applyAlignment="1"/>
    <xf numFmtId="44" fontId="15" fillId="0" borderId="0" xfId="2" applyFont="1" applyAlignment="1" applyProtection="1">
      <protection locked="0"/>
    </xf>
    <xf numFmtId="43" fontId="15" fillId="0" borderId="0" xfId="1" applyFont="1" applyAlignment="1" applyProtection="1">
      <protection locked="0"/>
    </xf>
    <xf numFmtId="43" fontId="15" fillId="0" borderId="3" xfId="1" applyFont="1" applyBorder="1" applyAlignment="1"/>
    <xf numFmtId="44" fontId="15" fillId="0" borderId="0" xfId="2" applyNumberFormat="1" applyFont="1" applyAlignment="1" applyProtection="1">
      <protection locked="0"/>
    </xf>
    <xf numFmtId="0" fontId="4" fillId="0" borderId="0" xfId="0" applyNumberFormat="1" applyFont="1" applyAlignment="1" applyProtection="1">
      <alignment horizontal="centerContinuous"/>
      <protection locked="0"/>
    </xf>
    <xf numFmtId="0" fontId="17" fillId="0" borderId="0" xfId="0" applyNumberFormat="1" applyFont="1" applyAlignment="1" applyProtection="1">
      <protection locked="0"/>
    </xf>
    <xf numFmtId="0" fontId="4" fillId="0" borderId="3" xfId="0" applyNumberFormat="1" applyFont="1" applyBorder="1" applyAlignment="1" applyProtection="1">
      <protection locked="0"/>
    </xf>
    <xf numFmtId="0" fontId="15" fillId="0" borderId="3" xfId="0" applyNumberFormat="1" applyFont="1" applyBorder="1" applyAlignment="1" applyProtection="1">
      <alignment horizontal="center"/>
      <protection locked="0"/>
    </xf>
    <xf numFmtId="0" fontId="31" fillId="0" borderId="0" xfId="0" applyNumberFormat="1" applyFont="1" applyAlignment="1" applyProtection="1">
      <alignment horizontal="center"/>
      <protection locked="0"/>
    </xf>
    <xf numFmtId="0" fontId="15" fillId="0" borderId="0" xfId="0" quotePrefix="1" applyNumberFormat="1" applyFont="1" applyAlignment="1" applyProtection="1">
      <alignment horizontal="center"/>
      <protection locked="0"/>
    </xf>
    <xf numFmtId="0" fontId="31" fillId="0" borderId="0" xfId="0" applyNumberFormat="1" applyFont="1" applyAlignment="1" applyProtection="1">
      <protection locked="0"/>
    </xf>
    <xf numFmtId="184" fontId="15" fillId="0" borderId="0" xfId="2" applyNumberFormat="1" applyFont="1" applyAlignment="1" applyProtection="1">
      <protection locked="0"/>
    </xf>
    <xf numFmtId="181" fontId="15" fillId="0" borderId="0" xfId="1" applyNumberFormat="1" applyFont="1" applyAlignment="1" applyProtection="1">
      <protection locked="0"/>
    </xf>
    <xf numFmtId="0" fontId="15" fillId="0" borderId="0" xfId="0" applyNumberFormat="1" applyFont="1" applyAlignment="1" applyProtection="1">
      <alignment horizontal="left"/>
      <protection locked="0"/>
    </xf>
    <xf numFmtId="0" fontId="15" fillId="0" borderId="3" xfId="0" applyNumberFormat="1" applyFont="1" applyBorder="1" applyAlignment="1" applyProtection="1">
      <protection locked="0"/>
    </xf>
    <xf numFmtId="164" fontId="11" fillId="0" borderId="0" xfId="0" applyFont="1" applyFill="1"/>
    <xf numFmtId="37" fontId="2" fillId="0" borderId="3" xfId="12" applyNumberFormat="1" applyFont="1" applyFill="1" applyBorder="1" applyAlignment="1"/>
    <xf numFmtId="0" fontId="2" fillId="0" borderId="0" xfId="12" applyNumberFormat="1" applyFont="1" applyFill="1" applyAlignment="1"/>
    <xf numFmtId="0" fontId="9" fillId="0" borderId="0" xfId="12" applyNumberFormat="1" applyFont="1" applyFill="1" applyAlignment="1"/>
    <xf numFmtId="3" fontId="2" fillId="0" borderId="0" xfId="0" applyNumberFormat="1" applyFont="1" applyFill="1" applyAlignment="1" applyProtection="1">
      <protection locked="0"/>
    </xf>
    <xf numFmtId="182" fontId="15" fillId="0" borderId="0" xfId="2" applyNumberFormat="1" applyFont="1" applyAlignment="1" applyProtection="1">
      <protection locked="0"/>
    </xf>
    <xf numFmtId="2" fontId="15" fillId="0" borderId="0" xfId="6" applyNumberFormat="1" applyFont="1" applyFill="1" applyAlignment="1"/>
    <xf numFmtId="2" fontId="15" fillId="0" borderId="0" xfId="7" applyNumberFormat="1" applyFont="1" applyFill="1" applyAlignment="1"/>
    <xf numFmtId="0" fontId="15" fillId="0" borderId="0" xfId="7" applyNumberFormat="1" applyFont="1" applyFill="1" applyAlignment="1"/>
    <xf numFmtId="3" fontId="15" fillId="0" borderId="1" xfId="8" applyNumberFormat="1" applyFont="1" applyFill="1" applyBorder="1" applyAlignment="1"/>
    <xf numFmtId="166" fontId="15" fillId="0" borderId="0" xfId="7" applyNumberFormat="1" applyFont="1" applyFill="1" applyAlignment="1"/>
    <xf numFmtId="0" fontId="4" fillId="0" borderId="0" xfId="0" applyNumberFormat="1" applyFont="1" applyAlignment="1" applyProtection="1">
      <alignment horizontal="center"/>
      <protection locked="0"/>
    </xf>
    <xf numFmtId="0" fontId="15" fillId="0" borderId="0" xfId="7" applyNumberFormat="1" applyFont="1" applyAlignment="1">
      <alignment horizontal="center"/>
    </xf>
    <xf numFmtId="0" fontId="15" fillId="0" borderId="0" xfId="0" applyNumberFormat="1" applyFont="1" applyAlignment="1" applyProtection="1">
      <protection locked="0"/>
    </xf>
    <xf numFmtId="175" fontId="4" fillId="0" borderId="0" xfId="11" applyFont="1" applyAlignment="1">
      <alignment horizontal="center"/>
    </xf>
    <xf numFmtId="37" fontId="26" fillId="0" borderId="0" xfId="0" applyNumberFormat="1" applyFont="1" applyFill="1" applyAlignment="1" applyProtection="1">
      <protection locked="0"/>
    </xf>
    <xf numFmtId="4" fontId="2" fillId="0" borderId="0" xfId="0" applyNumberFormat="1" applyFont="1" applyAlignment="1" applyProtection="1">
      <protection locked="0"/>
    </xf>
    <xf numFmtId="4" fontId="26" fillId="0" borderId="0" xfId="0" applyNumberFormat="1" applyFont="1" applyAlignment="1" applyProtection="1">
      <protection locked="0"/>
    </xf>
    <xf numFmtId="37" fontId="2" fillId="0" borderId="6" xfId="0" applyNumberFormat="1" applyFont="1" applyFill="1" applyBorder="1"/>
    <xf numFmtId="176" fontId="8" fillId="0" borderId="0" xfId="2" applyNumberFormat="1" applyFont="1"/>
    <xf numFmtId="176" fontId="8" fillId="0" borderId="0" xfId="2" applyNumberFormat="1" applyFont="1" applyAlignment="1" applyProtection="1">
      <protection locked="0"/>
    </xf>
    <xf numFmtId="0" fontId="1" fillId="0" borderId="0" xfId="0" applyNumberFormat="1" applyFont="1" applyAlignment="1" applyProtection="1">
      <protection locked="0"/>
    </xf>
    <xf numFmtId="44" fontId="26" fillId="0" borderId="0" xfId="0" applyNumberFormat="1" applyFont="1" applyAlignment="1" applyProtection="1">
      <protection locked="0"/>
    </xf>
    <xf numFmtId="182" fontId="26" fillId="0" borderId="0" xfId="0" applyNumberFormat="1" applyFont="1" applyAlignment="1" applyProtection="1">
      <protection locked="0"/>
    </xf>
    <xf numFmtId="0" fontId="25" fillId="0" borderId="0" xfId="0" applyNumberFormat="1" applyFont="1" applyAlignment="1">
      <alignment horizontal="centerContinuous"/>
    </xf>
    <xf numFmtId="0" fontId="30" fillId="0" borderId="0" xfId="4" applyNumberFormat="1" applyFont="1" applyAlignment="1">
      <alignment horizontal="centerContinuous"/>
    </xf>
    <xf numFmtId="0" fontId="25" fillId="0" borderId="0" xfId="7" applyFont="1" applyAlignment="1"/>
    <xf numFmtId="0" fontId="30" fillId="0" borderId="0" xfId="0" applyNumberFormat="1" applyFont="1" applyAlignment="1">
      <alignment horizontal="centerContinuous"/>
    </xf>
    <xf numFmtId="0" fontId="25" fillId="0" borderId="0" xfId="7" applyFont="1" applyBorder="1" applyAlignment="1"/>
    <xf numFmtId="185" fontId="25" fillId="0" borderId="0" xfId="7" applyNumberFormat="1" applyFont="1" applyBorder="1" applyAlignment="1"/>
    <xf numFmtId="164" fontId="26" fillId="0" borderId="0" xfId="7" applyNumberFormat="1" applyFont="1" applyBorder="1" applyAlignment="1"/>
    <xf numFmtId="0" fontId="26" fillId="0" borderId="0" xfId="7" applyNumberFormat="1" applyFont="1" applyBorder="1" applyAlignment="1"/>
    <xf numFmtId="37" fontId="26" fillId="0" borderId="0" xfId="7" applyNumberFormat="1" applyFont="1" applyBorder="1" applyAlignment="1"/>
    <xf numFmtId="173" fontId="26" fillId="0" borderId="0" xfId="4" applyNumberFormat="1" applyFont="1" applyAlignment="1"/>
    <xf numFmtId="188" fontId="2" fillId="0" borderId="0" xfId="7" applyNumberFormat="1" applyFont="1" applyAlignment="1"/>
    <xf numFmtId="0" fontId="4" fillId="0" borderId="0" xfId="6" applyFont="1" applyAlignment="1"/>
    <xf numFmtId="37" fontId="4" fillId="0" borderId="0" xfId="6" applyNumberFormat="1" applyFont="1" applyAlignment="1"/>
    <xf numFmtId="3" fontId="4" fillId="0" borderId="0" xfId="6" applyNumberFormat="1" applyFont="1" applyAlignment="1"/>
    <xf numFmtId="164" fontId="4" fillId="0" borderId="0" xfId="6" applyNumberFormat="1" applyFont="1" applyAlignment="1"/>
    <xf numFmtId="173" fontId="4" fillId="0" borderId="0" xfId="1" applyNumberFormat="1" applyFont="1" applyAlignment="1">
      <alignment horizontal="center"/>
    </xf>
    <xf numFmtId="0" fontId="2" fillId="0" borderId="0" xfId="12" applyFont="1" applyAlignment="1"/>
    <xf numFmtId="0" fontId="4" fillId="0" borderId="0" xfId="12" applyNumberFormat="1" applyFont="1" applyAlignment="1">
      <alignment horizontal="centerContinuous"/>
    </xf>
    <xf numFmtId="0" fontId="2" fillId="0" borderId="0" xfId="12" applyNumberFormat="1" applyFont="1" applyAlignment="1">
      <alignment horizontal="centerContinuous"/>
    </xf>
    <xf numFmtId="0" fontId="2" fillId="0" borderId="0" xfId="12" applyNumberFormat="1" applyFont="1" applyAlignment="1">
      <alignment horizontal="center"/>
    </xf>
    <xf numFmtId="0" fontId="2" fillId="0" borderId="1" xfId="12" applyNumberFormat="1" applyFont="1" applyBorder="1" applyAlignment="1">
      <alignment horizontal="centerContinuous"/>
    </xf>
    <xf numFmtId="0" fontId="2" fillId="0" borderId="1" xfId="12" applyNumberFormat="1" applyFont="1" applyBorder="1" applyAlignment="1">
      <alignment horizontal="center"/>
    </xf>
    <xf numFmtId="165" fontId="2" fillId="0" borderId="0" xfId="12" applyNumberFormat="1" applyFont="1" applyAlignment="1"/>
    <xf numFmtId="0" fontId="2" fillId="0" borderId="1" xfId="12" applyNumberFormat="1" applyFont="1" applyFill="1" applyBorder="1" applyAlignment="1">
      <alignment horizontal="right"/>
    </xf>
    <xf numFmtId="0" fontId="2" fillId="0" borderId="1" xfId="12" applyNumberFormat="1" applyFont="1" applyFill="1" applyBorder="1" applyAlignment="1"/>
    <xf numFmtId="165" fontId="2" fillId="0" borderId="0" xfId="12" applyNumberFormat="1" applyFont="1" applyFill="1" applyAlignment="1"/>
    <xf numFmtId="37" fontId="2" fillId="0" borderId="0" xfId="12" applyNumberFormat="1" applyFont="1" applyFill="1" applyBorder="1" applyAlignment="1"/>
    <xf numFmtId="3" fontId="2" fillId="0" borderId="0" xfId="12" applyNumberFormat="1" applyFont="1" applyFill="1" applyBorder="1" applyAlignment="1"/>
    <xf numFmtId="0" fontId="2" fillId="0" borderId="0" xfId="12" applyNumberFormat="1" applyFont="1" applyFill="1" applyAlignment="1">
      <alignment horizontal="right"/>
    </xf>
    <xf numFmtId="166" fontId="2" fillId="0" borderId="0" xfId="9" applyNumberFormat="1" applyFont="1" applyFill="1"/>
    <xf numFmtId="3" fontId="2" fillId="0" borderId="3" xfId="12" applyNumberFormat="1" applyFont="1" applyFill="1" applyBorder="1" applyAlignment="1"/>
    <xf numFmtId="173" fontId="2" fillId="0" borderId="4" xfId="1" applyNumberFormat="1" applyFont="1" applyFill="1" applyBorder="1" applyAlignment="1"/>
    <xf numFmtId="3" fontId="2" fillId="0" borderId="4" xfId="12" applyNumberFormat="1" applyFont="1" applyFill="1" applyBorder="1" applyAlignment="1"/>
    <xf numFmtId="164" fontId="2" fillId="0" borderId="4" xfId="12" applyNumberFormat="1" applyFont="1" applyFill="1" applyBorder="1" applyAlignment="1"/>
    <xf numFmtId="3" fontId="2" fillId="0" borderId="0" xfId="12" applyNumberFormat="1" applyFont="1" applyFill="1" applyAlignment="1"/>
    <xf numFmtId="164" fontId="2" fillId="0" borderId="0" xfId="12" applyNumberFormat="1" applyFont="1" applyFill="1" applyAlignment="1"/>
    <xf numFmtId="0" fontId="2" fillId="0" borderId="0" xfId="9" applyNumberFormat="1" applyFont="1" applyFill="1" applyAlignment="1"/>
    <xf numFmtId="3" fontId="2" fillId="0" borderId="0" xfId="9" applyNumberFormat="1" applyFont="1" applyFill="1" applyAlignment="1"/>
    <xf numFmtId="0" fontId="2" fillId="0" borderId="0" xfId="12" applyNumberFormat="1" applyFont="1" applyFill="1" applyAlignment="1">
      <alignment horizontal="center"/>
    </xf>
    <xf numFmtId="0" fontId="2" fillId="0" borderId="3" xfId="12" applyNumberFormat="1" applyFont="1" applyFill="1" applyBorder="1" applyAlignment="1">
      <alignment horizontal="center"/>
    </xf>
    <xf numFmtId="3" fontId="2" fillId="0" borderId="1" xfId="12" applyNumberFormat="1" applyFont="1" applyFill="1" applyBorder="1" applyAlignment="1"/>
    <xf numFmtId="167" fontId="2" fillId="0" borderId="4" xfId="12" applyNumberFormat="1" applyFont="1" applyFill="1" applyBorder="1" applyAlignment="1"/>
    <xf numFmtId="0" fontId="2" fillId="0" borderId="3" xfId="0" applyNumberFormat="1" applyFont="1" applyFill="1" applyBorder="1" applyAlignment="1" applyProtection="1">
      <protection locked="0"/>
    </xf>
    <xf numFmtId="0" fontId="4" fillId="0" borderId="0" xfId="10" applyNumberFormat="1" applyFont="1" applyAlignment="1">
      <alignment horizontal="centerContinuous"/>
    </xf>
    <xf numFmtId="0" fontId="2" fillId="0" borderId="0" xfId="10" applyNumberFormat="1" applyFont="1" applyAlignment="1">
      <alignment horizontal="centerContinuous"/>
    </xf>
    <xf numFmtId="0" fontId="4" fillId="0" borderId="0" xfId="10" applyFont="1" applyAlignment="1"/>
    <xf numFmtId="0" fontId="2" fillId="0" borderId="0" xfId="10" applyNumberFormat="1" applyFont="1" applyAlignment="1">
      <alignment horizontal="center"/>
    </xf>
    <xf numFmtId="0" fontId="2" fillId="0" borderId="1" xfId="10" applyNumberFormat="1" applyFont="1" applyBorder="1" applyAlignment="1">
      <alignment horizontal="center"/>
    </xf>
    <xf numFmtId="37" fontId="2" fillId="0" borderId="0" xfId="10" applyNumberFormat="1" applyFont="1" applyAlignment="1">
      <alignment horizontal="center"/>
    </xf>
    <xf numFmtId="3" fontId="2" fillId="0" borderId="0" xfId="10" applyNumberFormat="1" applyFont="1" applyAlignment="1">
      <alignment horizontal="center"/>
    </xf>
    <xf numFmtId="3" fontId="2" fillId="0" borderId="1" xfId="10" applyNumberFormat="1" applyFont="1" applyBorder="1" applyAlignment="1">
      <alignment horizontal="center"/>
    </xf>
    <xf numFmtId="165" fontId="2" fillId="0" borderId="0" xfId="10" applyNumberFormat="1" applyFont="1" applyAlignment="1"/>
    <xf numFmtId="165" fontId="2" fillId="0" borderId="0" xfId="10" applyNumberFormat="1" applyFont="1" applyFill="1" applyAlignment="1"/>
    <xf numFmtId="16" fontId="2" fillId="0" borderId="0" xfId="10" quotePrefix="1" applyNumberFormat="1" applyFont="1" applyAlignment="1">
      <alignment horizontal="center"/>
    </xf>
    <xf numFmtId="0" fontId="2" fillId="0" borderId="1" xfId="10" applyNumberFormat="1" applyFont="1" applyBorder="1" applyAlignment="1"/>
    <xf numFmtId="3" fontId="2" fillId="0" borderId="4" xfId="10" applyNumberFormat="1" applyFont="1" applyBorder="1" applyAlignment="1"/>
    <xf numFmtId="3" fontId="2" fillId="0" borderId="2" xfId="10" applyNumberFormat="1" applyFont="1" applyBorder="1" applyAlignment="1"/>
    <xf numFmtId="3" fontId="2" fillId="0" borderId="0" xfId="10" applyNumberFormat="1" applyFont="1" applyBorder="1" applyAlignment="1"/>
    <xf numFmtId="0" fontId="2" fillId="0" borderId="0" xfId="10" applyNumberFormat="1" applyFont="1" applyAlignment="1">
      <alignment horizontal="left"/>
    </xf>
    <xf numFmtId="0" fontId="4" fillId="0" borderId="0" xfId="10" applyFont="1"/>
    <xf numFmtId="0" fontId="2" fillId="0" borderId="0" xfId="10" applyFont="1" applyBorder="1" applyAlignment="1"/>
    <xf numFmtId="0" fontId="2" fillId="0" borderId="0" xfId="10" applyFont="1" applyBorder="1" applyAlignment="1">
      <alignment horizontal="center"/>
    </xf>
    <xf numFmtId="0" fontId="2" fillId="0" borderId="0" xfId="10" applyNumberFormat="1" applyFont="1" applyBorder="1" applyAlignment="1">
      <alignment horizontal="centerContinuous"/>
    </xf>
    <xf numFmtId="0" fontId="2" fillId="0" borderId="0" xfId="10" applyNumberFormat="1" applyFont="1" applyBorder="1" applyAlignment="1">
      <alignment horizontal="center"/>
    </xf>
    <xf numFmtId="2" fontId="2" fillId="0" borderId="0" xfId="0" applyNumberFormat="1" applyFont="1" applyAlignment="1"/>
    <xf numFmtId="165" fontId="2" fillId="0" borderId="0" xfId="10" applyNumberFormat="1" applyFont="1" applyAlignment="1">
      <alignment horizontal="right"/>
    </xf>
    <xf numFmtId="43" fontId="4" fillId="0" borderId="0" xfId="1" applyFont="1" applyAlignment="1">
      <alignment horizontal="centerContinuous"/>
    </xf>
    <xf numFmtId="43" fontId="2" fillId="0" borderId="0" xfId="1" applyFont="1" applyFill="1" applyAlignment="1"/>
    <xf numFmtId="0" fontId="17" fillId="0" borderId="0" xfId="0" applyNumberFormat="1" applyFont="1" applyAlignment="1" applyProtection="1">
      <alignment horizontal="center"/>
      <protection locked="0"/>
    </xf>
    <xf numFmtId="0" fontId="31" fillId="0" borderId="0" xfId="0" applyNumberFormat="1" applyFont="1" applyBorder="1" applyAlignment="1" applyProtection="1">
      <alignment horizontal="center"/>
      <protection locked="0"/>
    </xf>
    <xf numFmtId="0" fontId="15" fillId="0" borderId="0" xfId="0" applyNumberFormat="1" applyFont="1" applyBorder="1" applyAlignment="1" applyProtection="1">
      <protection locked="0"/>
    </xf>
    <xf numFmtId="182" fontId="15" fillId="0" borderId="0" xfId="2" applyNumberFormat="1" applyFont="1" applyBorder="1" applyAlignment="1" applyProtection="1">
      <protection locked="0"/>
    </xf>
    <xf numFmtId="183" fontId="15" fillId="0" borderId="0" xfId="2" applyNumberFormat="1" applyFont="1" applyBorder="1" applyAlignment="1" applyProtection="1">
      <protection locked="0"/>
    </xf>
    <xf numFmtId="43" fontId="15" fillId="0" borderId="0" xfId="1" applyFont="1" applyBorder="1" applyAlignment="1" applyProtection="1">
      <protection locked="0"/>
    </xf>
    <xf numFmtId="43" fontId="2" fillId="0" borderId="0" xfId="1" applyFont="1" applyFill="1" applyAlignment="1" applyProtection="1">
      <protection locked="0"/>
    </xf>
    <xf numFmtId="43" fontId="26" fillId="0" borderId="0" xfId="1" applyFont="1" applyAlignment="1" applyProtection="1">
      <protection locked="0"/>
    </xf>
    <xf numFmtId="0" fontId="2" fillId="0" borderId="0" xfId="1" applyNumberFormat="1" applyFont="1" applyBorder="1"/>
    <xf numFmtId="173" fontId="2" fillId="0" borderId="3" xfId="1" applyNumberFormat="1" applyFont="1" applyBorder="1"/>
    <xf numFmtId="173" fontId="2" fillId="0" borderId="0" xfId="1" applyNumberFormat="1" applyFont="1" applyFill="1"/>
    <xf numFmtId="1" fontId="32" fillId="0" borderId="0" xfId="0" applyNumberFormat="1" applyFont="1" applyFill="1" applyAlignment="1">
      <alignment horizontal="left"/>
    </xf>
    <xf numFmtId="189" fontId="32" fillId="0" borderId="0" xfId="0" applyNumberFormat="1" applyFont="1" applyFill="1"/>
    <xf numFmtId="43" fontId="32" fillId="0" borderId="0" xfId="1" applyFont="1" applyFill="1" applyBorder="1" applyAlignment="1"/>
    <xf numFmtId="43" fontId="32" fillId="0" borderId="7" xfId="1" applyFont="1" applyFill="1" applyBorder="1" applyAlignment="1"/>
    <xf numFmtId="37" fontId="2" fillId="0" borderId="6" xfId="0" applyNumberFormat="1" applyFont="1" applyFill="1" applyBorder="1" applyAlignment="1" applyProtection="1">
      <protection locked="0"/>
    </xf>
    <xf numFmtId="42" fontId="2" fillId="0" borderId="0" xfId="0" applyNumberFormat="1" applyFont="1" applyBorder="1"/>
    <xf numFmtId="2" fontId="2" fillId="0" borderId="0" xfId="0" applyNumberFormat="1" applyFont="1" applyBorder="1" applyAlignment="1" applyProtection="1">
      <protection locked="0"/>
    </xf>
    <xf numFmtId="175" fontId="4" fillId="0" borderId="0" xfId="11" applyFont="1" applyFill="1" applyBorder="1"/>
    <xf numFmtId="0" fontId="2" fillId="0" borderId="0" xfId="10" applyNumberFormat="1" applyFont="1" applyBorder="1" applyAlignment="1"/>
    <xf numFmtId="4" fontId="2" fillId="0" borderId="0" xfId="10" applyNumberFormat="1" applyFont="1" applyBorder="1" applyAlignment="1"/>
    <xf numFmtId="0" fontId="2" fillId="0" borderId="0" xfId="10" applyNumberFormat="1" applyFont="1" applyBorder="1" applyAlignment="1">
      <alignment horizontal="right"/>
    </xf>
    <xf numFmtId="165" fontId="2" fillId="0" borderId="0" xfId="10" applyNumberFormat="1" applyFont="1" applyBorder="1" applyAlignment="1"/>
    <xf numFmtId="2" fontId="2" fillId="0" borderId="0" xfId="0" applyNumberFormat="1" applyFont="1" applyBorder="1" applyAlignment="1"/>
    <xf numFmtId="0" fontId="2" fillId="0" borderId="0" xfId="0" applyNumberFormat="1" applyFont="1" applyBorder="1" applyAlignment="1"/>
    <xf numFmtId="176" fontId="2" fillId="0" borderId="0" xfId="2" applyNumberFormat="1" applyFont="1" applyFill="1"/>
    <xf numFmtId="176" fontId="8" fillId="0" borderId="0" xfId="2" applyNumberFormat="1" applyFont="1" applyBorder="1"/>
    <xf numFmtId="176" fontId="2" fillId="0" borderId="0" xfId="2" applyNumberFormat="1" applyFont="1" applyBorder="1"/>
    <xf numFmtId="43" fontId="4" fillId="0" borderId="0" xfId="4" applyNumberFormat="1" applyFont="1" applyAlignment="1"/>
    <xf numFmtId="179" fontId="2" fillId="0" borderId="0" xfId="1" applyNumberFormat="1" applyFont="1" applyAlignment="1" applyProtection="1">
      <protection locked="0"/>
    </xf>
    <xf numFmtId="0" fontId="15" fillId="0" borderId="0" xfId="0" applyNumberFormat="1" applyFont="1" applyAlignment="1" applyProtection="1">
      <protection locked="0"/>
    </xf>
    <xf numFmtId="176" fontId="15" fillId="0" borderId="1" xfId="2" applyNumberFormat="1" applyFont="1" applyBorder="1" applyAlignment="1"/>
    <xf numFmtId="176" fontId="15" fillId="0" borderId="4" xfId="2" applyNumberFormat="1" applyFont="1" applyBorder="1" applyAlignment="1"/>
    <xf numFmtId="173" fontId="15" fillId="0" borderId="0" xfId="1" applyNumberFormat="1" applyFont="1" applyAlignment="1"/>
    <xf numFmtId="173" fontId="29" fillId="0" borderId="0" xfId="1" applyNumberFormat="1" applyFont="1" applyAlignment="1"/>
    <xf numFmtId="173" fontId="15" fillId="0" borderId="1" xfId="1" applyNumberFormat="1" applyFont="1" applyBorder="1" applyAlignment="1"/>
    <xf numFmtId="173" fontId="15" fillId="0" borderId="2" xfId="1" applyNumberFormat="1" applyFont="1" applyBorder="1" applyAlignment="1"/>
    <xf numFmtId="173" fontId="15" fillId="0" borderId="0" xfId="1" applyNumberFormat="1" applyFont="1" applyAlignment="1">
      <alignment horizontal="center"/>
    </xf>
    <xf numFmtId="173" fontId="15" fillId="0" borderId="1" xfId="1" quotePrefix="1" applyNumberFormat="1" applyFont="1" applyBorder="1" applyAlignment="1">
      <alignment horizontal="center"/>
    </xf>
    <xf numFmtId="173" fontId="15" fillId="0" borderId="4" xfId="1" applyNumberFormat="1" applyFont="1" applyBorder="1" applyAlignment="1"/>
    <xf numFmtId="177" fontId="15" fillId="0" borderId="0" xfId="1" applyNumberFormat="1" applyFont="1" applyAlignment="1"/>
    <xf numFmtId="179" fontId="15" fillId="0" borderId="0" xfId="1" applyNumberFormat="1" applyFont="1" applyAlignment="1"/>
    <xf numFmtId="179" fontId="15" fillId="0" borderId="1" xfId="1" applyNumberFormat="1" applyFont="1" applyBorder="1" applyAlignment="1"/>
    <xf numFmtId="177" fontId="15" fillId="0" borderId="1" xfId="0" applyNumberFormat="1" applyFont="1" applyBorder="1" applyAlignment="1"/>
    <xf numFmtId="174" fontId="2" fillId="0" borderId="0" xfId="1" applyNumberFormat="1" applyFont="1" applyFill="1"/>
    <xf numFmtId="10" fontId="10" fillId="0" borderId="0" xfId="13" applyNumberFormat="1" applyFont="1" applyAlignment="1"/>
    <xf numFmtId="170" fontId="15" fillId="0" borderId="0" xfId="0" applyNumberFormat="1" applyFont="1" applyBorder="1" applyAlignment="1"/>
    <xf numFmtId="170" fontId="15" fillId="0" borderId="3" xfId="0" applyNumberFormat="1" applyFont="1" applyBorder="1" applyAlignment="1"/>
    <xf numFmtId="10" fontId="10" fillId="0" borderId="6" xfId="13" applyNumberFormat="1" applyFont="1" applyBorder="1" applyAlignment="1"/>
    <xf numFmtId="175" fontId="10" fillId="0" borderId="6" xfId="11" applyFont="1" applyBorder="1" applyAlignment="1"/>
    <xf numFmtId="172" fontId="10" fillId="0" borderId="4" xfId="13" applyNumberFormat="1" applyFont="1" applyBorder="1" applyAlignment="1"/>
    <xf numFmtId="0" fontId="10" fillId="0" borderId="0" xfId="0" applyNumberFormat="1" applyFont="1" applyFill="1" applyAlignment="1" applyProtection="1">
      <protection locked="0"/>
    </xf>
    <xf numFmtId="173" fontId="4" fillId="0" borderId="0" xfId="1" applyNumberFormat="1" applyFont="1" applyFill="1" applyAlignment="1" applyProtection="1">
      <protection locked="0"/>
    </xf>
    <xf numFmtId="0" fontId="8" fillId="0" borderId="0" xfId="0" applyNumberFormat="1" applyFont="1" applyFill="1" applyAlignment="1" applyProtection="1">
      <alignment horizontal="center"/>
      <protection locked="0"/>
    </xf>
    <xf numFmtId="168" fontId="8" fillId="0" borderId="0" xfId="0" applyNumberFormat="1" applyFont="1" applyFill="1" applyAlignment="1" applyProtection="1">
      <alignment horizontal="center"/>
      <protection locked="0"/>
    </xf>
    <xf numFmtId="0" fontId="8" fillId="0" borderId="0" xfId="0" applyNumberFormat="1" applyFont="1" applyFill="1" applyAlignment="1" applyProtection="1">
      <protection locked="0"/>
    </xf>
    <xf numFmtId="173" fontId="2" fillId="0" borderId="0" xfId="1" applyNumberFormat="1" applyFont="1" applyFill="1" applyAlignment="1" applyProtection="1">
      <protection locked="0"/>
    </xf>
    <xf numFmtId="0" fontId="8" fillId="0" borderId="0" xfId="0" applyNumberFormat="1" applyFont="1" applyFill="1" applyBorder="1" applyAlignment="1" applyProtection="1">
      <protection locked="0"/>
    </xf>
    <xf numFmtId="173" fontId="2" fillId="0" borderId="0" xfId="1" applyNumberFormat="1" applyFont="1" applyFill="1" applyBorder="1" applyAlignment="1" applyProtection="1">
      <protection locked="0"/>
    </xf>
    <xf numFmtId="1" fontId="8" fillId="0" borderId="0" xfId="0" applyNumberFormat="1" applyFont="1" applyFill="1" applyBorder="1" applyAlignment="1" applyProtection="1">
      <protection locked="0"/>
    </xf>
    <xf numFmtId="0" fontId="2" fillId="0" borderId="0" xfId="0" applyNumberFormat="1" applyFont="1" applyFill="1" applyBorder="1" applyAlignment="1" applyProtection="1">
      <protection locked="0"/>
    </xf>
    <xf numFmtId="1" fontId="2" fillId="0" borderId="0" xfId="0" applyNumberFormat="1" applyFont="1" applyFill="1" applyBorder="1" applyAlignment="1" applyProtection="1">
      <protection locked="0"/>
    </xf>
    <xf numFmtId="43" fontId="2" fillId="0" borderId="0" xfId="1" applyNumberFormat="1" applyFont="1" applyFill="1" applyAlignment="1" applyProtection="1">
      <protection locked="0"/>
    </xf>
    <xf numFmtId="49" fontId="8" fillId="0" borderId="0" xfId="0" applyNumberFormat="1" applyFont="1" applyFill="1" applyBorder="1" applyAlignment="1" applyProtection="1">
      <protection locked="0"/>
    </xf>
    <xf numFmtId="2" fontId="8" fillId="0" borderId="0" xfId="0" applyNumberFormat="1" applyFont="1" applyFill="1" applyBorder="1" applyAlignment="1" applyProtection="1">
      <protection locked="0"/>
    </xf>
    <xf numFmtId="10" fontId="2" fillId="0" borderId="0" xfId="13" applyNumberFormat="1" applyFont="1" applyFill="1" applyBorder="1" applyAlignment="1" applyProtection="1">
      <protection locked="0"/>
    </xf>
    <xf numFmtId="173" fontId="26" fillId="0" borderId="0" xfId="1" applyNumberFormat="1" applyFont="1" applyFill="1" applyAlignment="1" applyProtection="1">
      <protection locked="0"/>
    </xf>
    <xf numFmtId="173" fontId="2" fillId="0" borderId="0" xfId="1" applyNumberFormat="1" applyFont="1" applyFill="1" applyBorder="1"/>
    <xf numFmtId="37" fontId="2" fillId="0" borderId="0" xfId="0" applyNumberFormat="1" applyFont="1" applyFill="1" applyBorder="1" applyAlignment="1" applyProtection="1">
      <protection locked="0"/>
    </xf>
    <xf numFmtId="3" fontId="2" fillId="0" borderId="0" xfId="0" applyNumberFormat="1" applyFont="1" applyFill="1" applyBorder="1" applyAlignment="1" applyProtection="1">
      <protection locked="0"/>
    </xf>
    <xf numFmtId="41" fontId="2" fillId="0" borderId="0" xfId="0" applyNumberFormat="1" applyFont="1" applyFill="1" applyBorder="1" applyAlignment="1" applyProtection="1">
      <protection locked="0"/>
    </xf>
    <xf numFmtId="0" fontId="2" fillId="0" borderId="0" xfId="0" applyNumberFormat="1" applyFont="1" applyFill="1" applyBorder="1" applyAlignment="1" applyProtection="1">
      <alignment horizontal="center"/>
      <protection locked="0"/>
    </xf>
    <xf numFmtId="37" fontId="8" fillId="0" borderId="0" xfId="0" applyNumberFormat="1" applyFont="1" applyFill="1" applyBorder="1" applyAlignment="1" applyProtection="1">
      <protection locked="0"/>
    </xf>
    <xf numFmtId="5" fontId="8" fillId="0" borderId="0" xfId="0" applyNumberFormat="1" applyFont="1" applyFill="1" applyBorder="1" applyAlignment="1" applyProtection="1">
      <protection locked="0"/>
    </xf>
    <xf numFmtId="173" fontId="26" fillId="0" borderId="0" xfId="1" applyNumberFormat="1" applyFont="1" applyFill="1" applyBorder="1" applyAlignment="1" applyProtection="1">
      <protection locked="0"/>
    </xf>
    <xf numFmtId="173" fontId="26" fillId="0" borderId="0" xfId="1" applyNumberFormat="1" applyFont="1" applyFill="1" applyBorder="1" applyAlignment="1" applyProtection="1">
      <alignment horizontal="center"/>
      <protection locked="0"/>
    </xf>
    <xf numFmtId="173" fontId="26" fillId="0" borderId="0" xfId="1" applyNumberFormat="1" applyFont="1" applyFill="1" applyBorder="1"/>
    <xf numFmtId="0" fontId="4" fillId="0" borderId="0" xfId="10" applyFont="1" applyBorder="1" applyAlignment="1"/>
    <xf numFmtId="0" fontId="26" fillId="0" borderId="0" xfId="0" applyNumberFormat="1" applyFont="1" applyBorder="1" applyAlignment="1" applyProtection="1">
      <protection locked="0"/>
    </xf>
    <xf numFmtId="37" fontId="26" fillId="0" borderId="0" xfId="0" applyNumberFormat="1" applyFont="1" applyBorder="1" applyAlignment="1" applyProtection="1">
      <protection locked="0"/>
    </xf>
    <xf numFmtId="0" fontId="26" fillId="0" borderId="0" xfId="0" applyNumberFormat="1" applyFont="1" applyBorder="1" applyAlignment="1" applyProtection="1">
      <alignment horizontal="center"/>
      <protection locked="0"/>
    </xf>
    <xf numFmtId="3" fontId="26" fillId="0" borderId="0" xfId="10" applyNumberFormat="1" applyFont="1" applyBorder="1" applyAlignment="1"/>
    <xf numFmtId="175" fontId="10" fillId="0" borderId="3" xfId="11" applyFont="1" applyBorder="1" applyAlignment="1">
      <alignment horizontal="center"/>
    </xf>
    <xf numFmtId="175" fontId="10" fillId="0" borderId="0" xfId="11" applyFont="1" applyAlignment="1">
      <alignment horizontal="center"/>
    </xf>
    <xf numFmtId="175" fontId="4" fillId="0" borderId="0" xfId="11" applyFont="1" applyAlignment="1">
      <alignment horizontal="center"/>
    </xf>
    <xf numFmtId="174" fontId="2" fillId="0" borderId="6" xfId="0" quotePrefix="1" applyNumberFormat="1" applyFont="1" applyBorder="1" applyAlignment="1">
      <alignment horizontal="center"/>
    </xf>
    <xf numFmtId="174" fontId="8" fillId="0" borderId="6" xfId="0" applyNumberFormat="1" applyFont="1" applyBorder="1" applyAlignment="1">
      <alignment horizontal="center"/>
    </xf>
    <xf numFmtId="0" fontId="8" fillId="0" borderId="0" xfId="0" applyNumberFormat="1" applyFont="1" applyAlignment="1" applyProtection="1">
      <alignment horizontal="center"/>
      <protection locked="0"/>
    </xf>
    <xf numFmtId="0" fontId="2" fillId="0" borderId="3" xfId="0" applyNumberFormat="1" applyFont="1" applyBorder="1" applyAlignment="1" applyProtection="1">
      <alignment horizontal="center"/>
      <protection locked="0"/>
    </xf>
    <xf numFmtId="0" fontId="10" fillId="0" borderId="0" xfId="0" applyNumberFormat="1" applyFont="1" applyAlignment="1" applyProtection="1">
      <alignment horizontal="center"/>
      <protection locked="0"/>
    </xf>
    <xf numFmtId="0" fontId="4" fillId="0" borderId="0" xfId="0" applyNumberFormat="1" applyFont="1" applyAlignment="1" applyProtection="1">
      <alignment horizontal="center"/>
      <protection locked="0"/>
    </xf>
    <xf numFmtId="0" fontId="15" fillId="0" borderId="0" xfId="0" applyNumberFormat="1" applyFont="1" applyAlignment="1">
      <alignment horizontal="justify" vertical="top" wrapText="1"/>
    </xf>
    <xf numFmtId="0" fontId="15" fillId="0" borderId="0" xfId="0" applyNumberFormat="1" applyFont="1" applyAlignment="1">
      <alignment horizontal="justify" wrapText="1"/>
    </xf>
    <xf numFmtId="0" fontId="15" fillId="0" borderId="0" xfId="6" applyNumberFormat="1" applyFont="1" applyAlignment="1">
      <alignment horizontal="justify" vertical="top" wrapText="1"/>
    </xf>
    <xf numFmtId="0" fontId="2" fillId="0" borderId="0" xfId="0" applyNumberFormat="1" applyFont="1" applyAlignment="1">
      <alignment horizontal="justify" vertical="top" wrapText="1"/>
    </xf>
    <xf numFmtId="0" fontId="2" fillId="0" borderId="0" xfId="0" applyNumberFormat="1" applyFont="1" applyAlignment="1">
      <alignment horizontal="justify"/>
    </xf>
    <xf numFmtId="0" fontId="2" fillId="0" borderId="0" xfId="0" applyNumberFormat="1" applyFont="1" applyAlignment="1">
      <alignment horizontal="left" wrapText="1"/>
    </xf>
    <xf numFmtId="0" fontId="15" fillId="0" borderId="0" xfId="0" applyNumberFormat="1" applyFont="1" applyAlignment="1">
      <alignment horizontal="justify"/>
    </xf>
    <xf numFmtId="0" fontId="15" fillId="0" borderId="0" xfId="7" applyNumberFormat="1" applyFont="1" applyAlignment="1">
      <alignment horizontal="center"/>
    </xf>
    <xf numFmtId="0" fontId="15" fillId="0" borderId="0" xfId="7" applyNumberFormat="1" applyFont="1" applyAlignment="1">
      <alignment horizontal="justify" vertical="top" wrapText="1"/>
    </xf>
    <xf numFmtId="0" fontId="15" fillId="0" borderId="0" xfId="3" applyNumberFormat="1" applyFont="1" applyAlignment="1">
      <alignment horizontal="justify" vertical="top" wrapText="1"/>
    </xf>
    <xf numFmtId="0" fontId="15" fillId="0" borderId="5" xfId="7" applyNumberFormat="1" applyFont="1" applyBorder="1" applyAlignment="1">
      <alignment horizontal="center"/>
    </xf>
    <xf numFmtId="0" fontId="15" fillId="0" borderId="0" xfId="8" applyNumberFormat="1" applyFont="1" applyAlignment="1">
      <alignment horizontal="justify" vertical="top" wrapText="1"/>
    </xf>
    <xf numFmtId="0" fontId="15" fillId="0" borderId="0" xfId="0" applyNumberFormat="1" applyFont="1" applyAlignment="1" applyProtection="1">
      <protection locked="0"/>
    </xf>
    <xf numFmtId="0" fontId="15" fillId="0" borderId="0" xfId="4" applyNumberFormat="1" applyFont="1" applyAlignment="1">
      <alignment horizontal="justify" vertical="top" wrapText="1"/>
    </xf>
    <xf numFmtId="0" fontId="15" fillId="0" borderId="0" xfId="5" applyNumberFormat="1" applyFont="1" applyAlignment="1">
      <alignment horizontal="justify" vertical="top" wrapText="1"/>
    </xf>
    <xf numFmtId="0" fontId="15" fillId="0" borderId="0" xfId="5" applyNumberFormat="1" applyFont="1" applyAlignment="1">
      <alignment horizontal="center"/>
    </xf>
    <xf numFmtId="0" fontId="4" fillId="0" borderId="0" xfId="0" applyNumberFormat="1" applyFont="1" applyAlignment="1">
      <alignment horizontal="center"/>
    </xf>
    <xf numFmtId="0" fontId="4" fillId="0" borderId="0" xfId="0" applyNumberFormat="1" applyFont="1" applyFill="1" applyAlignment="1" applyProtection="1">
      <alignment horizontal="center"/>
      <protection locked="0"/>
    </xf>
    <xf numFmtId="0" fontId="2" fillId="0" borderId="5" xfId="12" applyNumberFormat="1" applyFont="1" applyBorder="1" applyAlignment="1">
      <alignment horizontal="center"/>
    </xf>
    <xf numFmtId="0" fontId="2" fillId="0" borderId="0" xfId="12" applyNumberFormat="1" applyFont="1" applyFill="1" applyAlignment="1">
      <alignment horizontal="center"/>
    </xf>
    <xf numFmtId="175" fontId="15" fillId="0" borderId="3" xfId="11" applyFont="1" applyBorder="1" applyAlignment="1">
      <alignment horizontal="center"/>
    </xf>
    <xf numFmtId="41" fontId="15" fillId="0" borderId="6" xfId="11" quotePrefix="1" applyNumberFormat="1" applyFont="1" applyBorder="1" applyAlignment="1">
      <alignment horizontal="center"/>
    </xf>
    <xf numFmtId="43" fontId="15" fillId="0" borderId="3" xfId="1" applyFont="1" applyBorder="1" applyAlignment="1" applyProtection="1">
      <alignment horizontal="center"/>
      <protection locked="0"/>
    </xf>
    <xf numFmtId="43" fontId="4" fillId="0" borderId="3" xfId="1" applyFont="1" applyBorder="1" applyAlignment="1" applyProtection="1">
      <alignment horizontal="center"/>
      <protection locked="0"/>
    </xf>
    <xf numFmtId="0" fontId="17" fillId="0" borderId="0" xfId="0" applyNumberFormat="1" applyFont="1" applyAlignment="1" applyProtection="1">
      <alignment horizontal="center"/>
      <protection locked="0"/>
    </xf>
  </cellXfs>
  <cellStyles count="19">
    <cellStyle name="Comma" xfId="1" builtinId="3"/>
    <cellStyle name="Comma 2" xfId="16"/>
    <cellStyle name="Currency" xfId="2" builtinId="4"/>
    <cellStyle name="Currency 2" xfId="15"/>
    <cellStyle name="Normal" xfId="0" builtinId="0"/>
    <cellStyle name="Normal 2" xfId="14"/>
    <cellStyle name="Normal 2 2" xfId="17"/>
    <cellStyle name="Normal 3" xfId="18"/>
    <cellStyle name="Normal_F   5" xfId="3"/>
    <cellStyle name="Normal_F   6   7" xfId="4"/>
    <cellStyle name="Normal_F   8  9  10" xfId="5"/>
    <cellStyle name="Normal_F 2 B" xfId="6"/>
    <cellStyle name="Normal_F 3B 4B" xfId="7"/>
    <cellStyle name="Normal_F 5B" xfId="8"/>
    <cellStyle name="Normal_Factors" xfId="9"/>
    <cellStyle name="Normal_MetersServices" xfId="10"/>
    <cellStyle name="Normal_Sch M" xfId="11"/>
    <cellStyle name="Normal_Sched G" xfId="12"/>
    <cellStyle name="Percent"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workbookViewId="0"/>
  </sheetViews>
  <sheetFormatPr defaultRowHeight="12.75" x14ac:dyDescent="0.2"/>
  <cols>
    <col min="2" max="2" width="14.33203125" bestFit="1" customWidth="1"/>
  </cols>
  <sheetData>
    <row r="2" spans="1:4" x14ac:dyDescent="0.2">
      <c r="A2" t="s">
        <v>289</v>
      </c>
    </row>
    <row r="3" spans="1:4" x14ac:dyDescent="0.2">
      <c r="A3" t="s">
        <v>287</v>
      </c>
      <c r="B3" s="80">
        <f>+'COS 1'!J117</f>
        <v>3332126.2667117738</v>
      </c>
      <c r="C3" t="s">
        <v>359</v>
      </c>
    </row>
    <row r="4" spans="1:4" x14ac:dyDescent="0.2">
      <c r="A4" t="s">
        <v>288</v>
      </c>
      <c r="B4" s="80">
        <v>3332126.2667117738</v>
      </c>
      <c r="C4" s="304" t="s">
        <v>288</v>
      </c>
    </row>
    <row r="5" spans="1:4" x14ac:dyDescent="0.2">
      <c r="B5" s="80">
        <f>+B4-B3</f>
        <v>0</v>
      </c>
      <c r="D5" s="286"/>
    </row>
    <row r="6" spans="1:4" x14ac:dyDescent="0.2">
      <c r="A6" t="s">
        <v>286</v>
      </c>
    </row>
    <row r="7" spans="1:4" x14ac:dyDescent="0.2">
      <c r="A7" t="s">
        <v>287</v>
      </c>
      <c r="B7" s="80">
        <f>+'COS 1'!J166</f>
        <v>6104404.5853390777</v>
      </c>
      <c r="C7" s="371" t="s">
        <v>359</v>
      </c>
    </row>
    <row r="8" spans="1:4" x14ac:dyDescent="0.2">
      <c r="A8" t="s">
        <v>288</v>
      </c>
      <c r="B8" s="244">
        <v>6104404.5853390824</v>
      </c>
      <c r="C8" s="371" t="s">
        <v>288</v>
      </c>
    </row>
    <row r="9" spans="1:4" x14ac:dyDescent="0.2">
      <c r="B9" s="244">
        <f>+B7-B8</f>
        <v>0</v>
      </c>
    </row>
    <row r="11" spans="1:4" x14ac:dyDescent="0.2">
      <c r="A11" t="s">
        <v>358</v>
      </c>
      <c r="B11" s="103">
        <v>2211628.3041567942</v>
      </c>
      <c r="C11" t="s">
        <v>288</v>
      </c>
    </row>
    <row r="12" spans="1:4" x14ac:dyDescent="0.2">
      <c r="B12" s="80">
        <f>+'COS 1'!J67</f>
        <v>2211628.3041567942</v>
      </c>
      <c r="C12" t="s">
        <v>359</v>
      </c>
    </row>
    <row r="13" spans="1:4" x14ac:dyDescent="0.2">
      <c r="B13" s="105">
        <f>+B11-B12</f>
        <v>0</v>
      </c>
    </row>
    <row r="15" spans="1:4" x14ac:dyDescent="0.2">
      <c r="A15" t="s">
        <v>220</v>
      </c>
      <c r="B15" s="286">
        <v>447860.79134128249</v>
      </c>
      <c r="C15" s="308" t="s">
        <v>288</v>
      </c>
    </row>
    <row r="16" spans="1:4" x14ac:dyDescent="0.2">
      <c r="B16" s="105">
        <f>+'COS 1'!J97</f>
        <v>447860.79134128249</v>
      </c>
      <c r="C16" s="308" t="s">
        <v>359</v>
      </c>
    </row>
    <row r="17" spans="2:2" x14ac:dyDescent="0.2">
      <c r="B17" s="105">
        <f>+B15-B16</f>
        <v>0</v>
      </c>
    </row>
  </sheetData>
  <phoneticPr fontId="14"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65"/>
  <sheetViews>
    <sheetView workbookViewId="0"/>
  </sheetViews>
  <sheetFormatPr defaultColWidth="9.77734375" defaultRowHeight="15" x14ac:dyDescent="0.2"/>
  <cols>
    <col min="1" max="2" width="7.77734375" style="28" customWidth="1"/>
    <col min="3" max="3" width="2.21875" style="28" customWidth="1"/>
    <col min="4" max="4" width="7.77734375" style="28" customWidth="1"/>
    <col min="5" max="5" width="2.21875" style="28" customWidth="1"/>
    <col min="6" max="6" width="7.77734375" style="28" customWidth="1"/>
    <col min="7" max="7" width="2.109375" style="28" customWidth="1"/>
    <col min="8" max="8" width="7.77734375" style="28" customWidth="1"/>
    <col min="9" max="9" width="2.109375" style="28" customWidth="1"/>
    <col min="10" max="10" width="7.77734375" style="28" customWidth="1"/>
    <col min="11" max="11" width="2.109375" style="28" customWidth="1"/>
    <col min="12" max="12" width="7.77734375" style="28" customWidth="1"/>
    <col min="13" max="13" width="2.109375" style="28" customWidth="1"/>
    <col min="14" max="14" width="7.77734375" style="28" customWidth="1"/>
    <col min="15" max="15" width="2.109375" style="28" customWidth="1"/>
    <col min="16" max="16" width="7.77734375" style="28" customWidth="1"/>
    <col min="17" max="17" width="2.109375" style="28" customWidth="1"/>
    <col min="18" max="18" width="11.21875" style="28" customWidth="1"/>
    <col min="19" max="22" width="9.77734375" style="28" customWidth="1"/>
    <col min="23" max="23" width="10.77734375" style="28" customWidth="1"/>
    <col min="24" max="25" width="6.77734375" style="28" customWidth="1"/>
    <col min="26" max="28" width="7.77734375" style="28" customWidth="1"/>
    <col min="29" max="29" width="4.77734375" style="28" customWidth="1"/>
    <col min="30" max="16384" width="9.77734375" style="28"/>
  </cols>
  <sheetData>
    <row r="1" spans="1:31" x14ac:dyDescent="0.2">
      <c r="A1" s="15" t="s">
        <v>386</v>
      </c>
      <c r="B1" s="26"/>
      <c r="C1" s="26"/>
      <c r="D1" s="26"/>
      <c r="E1" s="26"/>
      <c r="F1" s="26"/>
      <c r="G1" s="25"/>
      <c r="H1" s="26"/>
      <c r="I1" s="26"/>
      <c r="J1" s="26"/>
      <c r="K1" s="26"/>
      <c r="L1" s="26"/>
      <c r="M1" s="26"/>
      <c r="N1" s="26"/>
      <c r="O1" s="26"/>
      <c r="P1" s="26"/>
      <c r="Q1" s="26"/>
      <c r="R1" s="26"/>
      <c r="S1" s="27"/>
      <c r="T1" s="27"/>
      <c r="U1" s="27"/>
      <c r="V1" s="27"/>
      <c r="W1" s="27"/>
      <c r="X1" s="27"/>
      <c r="Y1" s="27"/>
      <c r="Z1" s="27"/>
      <c r="AA1" s="27"/>
      <c r="AB1" s="27"/>
      <c r="AC1" s="27"/>
      <c r="AD1" s="27"/>
      <c r="AE1" s="27"/>
    </row>
    <row r="2" spans="1:31" x14ac:dyDescent="0.2">
      <c r="A2" s="26"/>
      <c r="B2" s="26"/>
      <c r="C2" s="26"/>
      <c r="D2" s="26"/>
      <c r="E2" s="26"/>
      <c r="F2" s="26"/>
      <c r="G2" s="26"/>
      <c r="H2" s="26"/>
      <c r="I2" s="26"/>
      <c r="J2" s="26"/>
      <c r="K2" s="26"/>
      <c r="L2" s="26"/>
      <c r="M2" s="26"/>
      <c r="N2" s="26"/>
      <c r="O2" s="26"/>
      <c r="P2" s="26"/>
      <c r="Q2" s="26"/>
      <c r="R2" s="26"/>
      <c r="S2" s="27"/>
      <c r="T2" s="27"/>
      <c r="U2" s="27"/>
      <c r="V2" s="27"/>
      <c r="W2" s="27"/>
      <c r="X2" s="27"/>
      <c r="Y2" s="27"/>
      <c r="Z2" s="27"/>
      <c r="AA2" s="27"/>
      <c r="AB2" s="27"/>
      <c r="AC2" s="27"/>
      <c r="AD2" s="27"/>
      <c r="AE2" s="27"/>
    </row>
    <row r="3" spans="1:31" x14ac:dyDescent="0.2">
      <c r="A3" s="402" t="s">
        <v>95</v>
      </c>
      <c r="B3" s="402"/>
      <c r="C3" s="402"/>
      <c r="D3" s="402"/>
      <c r="E3" s="402"/>
      <c r="F3" s="402"/>
      <c r="G3" s="402"/>
      <c r="H3" s="402"/>
      <c r="I3" s="402"/>
      <c r="J3" s="402"/>
      <c r="K3" s="402"/>
      <c r="L3" s="402"/>
      <c r="M3" s="402"/>
      <c r="N3" s="402"/>
      <c r="O3" s="402"/>
      <c r="P3" s="402"/>
      <c r="Q3" s="402"/>
      <c r="R3" s="402"/>
      <c r="S3" s="27"/>
      <c r="T3" s="27"/>
      <c r="U3" s="27"/>
      <c r="V3" s="27"/>
      <c r="W3" s="27"/>
      <c r="X3" s="27"/>
      <c r="Y3" s="27"/>
      <c r="Z3" s="27"/>
      <c r="AA3" s="27"/>
      <c r="AB3" s="27"/>
      <c r="AC3" s="27"/>
      <c r="AD3" s="27"/>
      <c r="AE3" s="27"/>
    </row>
    <row r="4" spans="1:31" x14ac:dyDescent="0.2">
      <c r="A4" s="403"/>
      <c r="B4" s="403"/>
      <c r="C4" s="403"/>
      <c r="D4" s="403"/>
      <c r="E4" s="403"/>
      <c r="F4" s="403"/>
      <c r="G4" s="403"/>
      <c r="H4" s="403"/>
      <c r="I4" s="403"/>
      <c r="J4" s="403"/>
      <c r="K4" s="403"/>
      <c r="L4" s="403"/>
      <c r="M4" s="403"/>
      <c r="N4" s="403"/>
      <c r="O4" s="403"/>
      <c r="P4" s="403"/>
      <c r="Q4" s="403"/>
      <c r="R4" s="403"/>
      <c r="S4" s="27"/>
      <c r="T4" s="27"/>
      <c r="U4" s="27"/>
      <c r="V4" s="27"/>
      <c r="W4" s="27"/>
      <c r="X4" s="27"/>
      <c r="Y4" s="27"/>
      <c r="Z4" s="27"/>
      <c r="AA4" s="27"/>
      <c r="AB4" s="27"/>
      <c r="AC4" s="27"/>
      <c r="AD4" s="27"/>
      <c r="AE4" s="27"/>
    </row>
    <row r="5" spans="1:31" x14ac:dyDescent="0.2">
      <c r="A5" s="403" t="s">
        <v>139</v>
      </c>
      <c r="B5" s="403"/>
      <c r="C5" s="403"/>
      <c r="D5" s="403"/>
      <c r="E5" s="403"/>
      <c r="F5" s="403"/>
      <c r="G5" s="403"/>
      <c r="H5" s="403"/>
      <c r="I5" s="403"/>
      <c r="J5" s="403"/>
      <c r="K5" s="403"/>
      <c r="L5" s="403"/>
      <c r="M5" s="403"/>
      <c r="N5" s="403"/>
      <c r="O5" s="403"/>
      <c r="P5" s="403"/>
      <c r="Q5" s="403"/>
      <c r="R5" s="403"/>
      <c r="S5" s="27"/>
      <c r="T5" s="27"/>
      <c r="U5" s="27"/>
      <c r="V5" s="27"/>
      <c r="W5" s="27"/>
      <c r="X5" s="27"/>
      <c r="Y5" s="27"/>
      <c r="Z5" s="27"/>
      <c r="AA5" s="27"/>
      <c r="AB5" s="27"/>
      <c r="AC5" s="27"/>
      <c r="AD5" s="27"/>
      <c r="AE5" s="27"/>
    </row>
    <row r="6" spans="1:31" x14ac:dyDescent="0.2">
      <c r="A6" s="403"/>
      <c r="B6" s="403"/>
      <c r="C6" s="403"/>
      <c r="D6" s="403"/>
      <c r="E6" s="403"/>
      <c r="F6" s="403"/>
      <c r="G6" s="403"/>
      <c r="H6" s="403"/>
      <c r="I6" s="403"/>
      <c r="J6" s="403"/>
      <c r="K6" s="403"/>
      <c r="L6" s="403"/>
      <c r="M6" s="403"/>
      <c r="N6" s="403"/>
      <c r="O6" s="403"/>
      <c r="P6" s="403"/>
      <c r="Q6" s="403"/>
      <c r="R6" s="403"/>
      <c r="S6" s="27"/>
      <c r="T6" s="27"/>
      <c r="U6" s="27"/>
      <c r="V6" s="27"/>
      <c r="W6" s="27"/>
      <c r="X6" s="27"/>
      <c r="Y6" s="27"/>
      <c r="Z6" s="27"/>
      <c r="AA6" s="27"/>
      <c r="AB6" s="27"/>
      <c r="AC6" s="27"/>
      <c r="AD6" s="27"/>
      <c r="AE6" s="27"/>
    </row>
    <row r="7" spans="1:31" ht="27.6" customHeight="1" x14ac:dyDescent="0.2">
      <c r="A7" s="708" t="s">
        <v>140</v>
      </c>
      <c r="B7" s="708"/>
      <c r="C7" s="708"/>
      <c r="D7" s="708"/>
      <c r="E7" s="708"/>
      <c r="F7" s="708"/>
      <c r="G7" s="708"/>
      <c r="H7" s="708"/>
      <c r="I7" s="708"/>
      <c r="J7" s="708"/>
      <c r="K7" s="708"/>
      <c r="L7" s="708"/>
      <c r="M7" s="708"/>
      <c r="N7" s="708"/>
      <c r="O7" s="708"/>
      <c r="P7" s="708"/>
      <c r="Q7" s="708"/>
      <c r="R7" s="708"/>
      <c r="S7" s="27"/>
      <c r="T7" s="27"/>
      <c r="U7" s="27"/>
      <c r="V7" s="27"/>
      <c r="W7" s="27"/>
      <c r="X7" s="27"/>
      <c r="Y7" s="27"/>
      <c r="Z7" s="27"/>
      <c r="AA7" s="27"/>
      <c r="AB7" s="27"/>
      <c r="AC7" s="27"/>
      <c r="AD7" s="27"/>
      <c r="AE7" s="27"/>
    </row>
    <row r="8" spans="1:31" x14ac:dyDescent="0.2">
      <c r="A8" s="403"/>
      <c r="B8" s="403"/>
      <c r="C8" s="403"/>
      <c r="D8" s="403"/>
      <c r="E8" s="403"/>
      <c r="F8" s="403"/>
      <c r="G8" s="403"/>
      <c r="H8" s="403"/>
      <c r="I8" s="403"/>
      <c r="J8" s="404"/>
      <c r="K8" s="403"/>
      <c r="L8" s="403"/>
      <c r="M8" s="403"/>
      <c r="N8" s="403"/>
      <c r="O8" s="403"/>
      <c r="P8" s="403"/>
      <c r="Q8" s="403"/>
      <c r="R8" s="403"/>
      <c r="S8" s="27"/>
      <c r="T8" s="27"/>
      <c r="U8" s="27"/>
      <c r="V8" s="27"/>
      <c r="W8" s="27"/>
      <c r="X8" s="27"/>
      <c r="Y8" s="27"/>
      <c r="Z8" s="27"/>
      <c r="AA8" s="27"/>
      <c r="AB8" s="27"/>
      <c r="AC8" s="27"/>
      <c r="AD8" s="27"/>
      <c r="AE8" s="27"/>
    </row>
    <row r="9" spans="1:31" x14ac:dyDescent="0.2">
      <c r="A9" s="403"/>
      <c r="B9" s="403"/>
      <c r="C9" s="403"/>
      <c r="D9" s="404"/>
      <c r="E9" s="403"/>
      <c r="F9" s="403"/>
      <c r="G9" s="403"/>
      <c r="H9" s="403"/>
      <c r="I9" s="403"/>
      <c r="J9" s="402" t="s">
        <v>119</v>
      </c>
      <c r="K9" s="402"/>
      <c r="L9" s="402"/>
      <c r="M9" s="403"/>
      <c r="N9" s="404"/>
      <c r="O9" s="403"/>
      <c r="P9" s="403"/>
      <c r="Q9" s="403"/>
      <c r="R9" s="403"/>
      <c r="S9" s="27"/>
      <c r="T9" s="27"/>
      <c r="U9" s="27"/>
      <c r="V9" s="27"/>
      <c r="W9" s="27"/>
      <c r="X9" s="27"/>
      <c r="Y9" s="27"/>
      <c r="Z9" s="27"/>
      <c r="AA9" s="27"/>
      <c r="AB9" s="27"/>
      <c r="AC9" s="27"/>
      <c r="AD9" s="27"/>
      <c r="AE9" s="27"/>
    </row>
    <row r="10" spans="1:31" x14ac:dyDescent="0.2">
      <c r="A10" s="403"/>
      <c r="B10" s="403"/>
      <c r="C10" s="403"/>
      <c r="D10" s="402" t="s">
        <v>120</v>
      </c>
      <c r="E10" s="402"/>
      <c r="F10" s="402"/>
      <c r="G10" s="402"/>
      <c r="H10" s="402"/>
      <c r="I10" s="403"/>
      <c r="J10" s="402" t="s">
        <v>85</v>
      </c>
      <c r="K10" s="402"/>
      <c r="L10" s="402"/>
      <c r="M10" s="403"/>
      <c r="N10" s="402" t="s">
        <v>112</v>
      </c>
      <c r="O10" s="402"/>
      <c r="P10" s="402"/>
      <c r="Q10" s="403"/>
      <c r="R10" s="403"/>
      <c r="S10" s="27"/>
      <c r="T10" s="27"/>
      <c r="U10" s="27"/>
      <c r="V10" s="27"/>
      <c r="W10" s="27"/>
      <c r="X10" s="27"/>
      <c r="Y10" s="27"/>
      <c r="Z10" s="27"/>
      <c r="AA10" s="27"/>
      <c r="AB10" s="27"/>
      <c r="AC10" s="27"/>
      <c r="AD10" s="27"/>
      <c r="AE10" s="27"/>
    </row>
    <row r="11" spans="1:31" x14ac:dyDescent="0.2">
      <c r="A11" s="402" t="s">
        <v>113</v>
      </c>
      <c r="B11" s="402"/>
      <c r="C11" s="403"/>
      <c r="D11" s="405" t="s">
        <v>319</v>
      </c>
      <c r="E11" s="405"/>
      <c r="F11" s="405" t="s">
        <v>67</v>
      </c>
      <c r="G11" s="405"/>
      <c r="H11" s="405" t="s">
        <v>86</v>
      </c>
      <c r="I11" s="406"/>
      <c r="J11" s="405" t="s">
        <v>67</v>
      </c>
      <c r="K11" s="405"/>
      <c r="L11" s="405" t="s">
        <v>86</v>
      </c>
      <c r="M11" s="406"/>
      <c r="N11" s="405" t="s">
        <v>67</v>
      </c>
      <c r="O11" s="405"/>
      <c r="P11" s="405" t="s">
        <v>86</v>
      </c>
      <c r="Q11" s="406"/>
      <c r="R11" s="406" t="s">
        <v>67</v>
      </c>
      <c r="S11" s="27"/>
      <c r="T11" s="27"/>
      <c r="U11" s="27"/>
      <c r="V11" s="27"/>
      <c r="W11" s="27"/>
      <c r="X11" s="27"/>
      <c r="Y11" s="27"/>
      <c r="Z11" s="27"/>
      <c r="AA11" s="27"/>
      <c r="AB11" s="27"/>
      <c r="AC11" s="27"/>
      <c r="AD11" s="27"/>
      <c r="AE11" s="27"/>
    </row>
    <row r="12" spans="1:31" x14ac:dyDescent="0.2">
      <c r="A12" s="402" t="s">
        <v>68</v>
      </c>
      <c r="B12" s="402"/>
      <c r="C12" s="403"/>
      <c r="D12" s="406" t="s">
        <v>213</v>
      </c>
      <c r="E12" s="406"/>
      <c r="F12" s="406" t="s">
        <v>69</v>
      </c>
      <c r="G12" s="406"/>
      <c r="H12" s="406" t="s">
        <v>69</v>
      </c>
      <c r="I12" s="406"/>
      <c r="J12" s="406" t="s">
        <v>69</v>
      </c>
      <c r="K12" s="406"/>
      <c r="L12" s="406" t="s">
        <v>69</v>
      </c>
      <c r="M12" s="406"/>
      <c r="N12" s="406" t="s">
        <v>69</v>
      </c>
      <c r="O12" s="406"/>
      <c r="P12" s="406" t="s">
        <v>69</v>
      </c>
      <c r="Q12" s="406"/>
      <c r="R12" s="406" t="s">
        <v>69</v>
      </c>
      <c r="S12" s="27"/>
      <c r="T12" s="27"/>
      <c r="U12" s="27"/>
      <c r="V12" s="27"/>
      <c r="W12" s="27"/>
      <c r="X12" s="27"/>
      <c r="Y12" s="27"/>
      <c r="Z12" s="27"/>
      <c r="AA12" s="27"/>
      <c r="AB12" s="27"/>
      <c r="AC12" s="27"/>
      <c r="AD12" s="27"/>
      <c r="AE12" s="27"/>
    </row>
    <row r="13" spans="1:31" x14ac:dyDescent="0.2">
      <c r="A13" s="407" t="s">
        <v>70</v>
      </c>
      <c r="B13" s="407"/>
      <c r="C13" s="403"/>
      <c r="D13" s="405" t="s">
        <v>88</v>
      </c>
      <c r="E13" s="403"/>
      <c r="F13" s="405" t="s">
        <v>72</v>
      </c>
      <c r="G13" s="403"/>
      <c r="H13" s="408" t="s">
        <v>121</v>
      </c>
      <c r="I13" s="403"/>
      <c r="J13" s="405" t="s">
        <v>102</v>
      </c>
      <c r="K13" s="403"/>
      <c r="L13" s="408" t="s">
        <v>122</v>
      </c>
      <c r="M13" s="403"/>
      <c r="N13" s="405" t="s">
        <v>123</v>
      </c>
      <c r="O13" s="403"/>
      <c r="P13" s="408" t="s">
        <v>124</v>
      </c>
      <c r="Q13" s="403"/>
      <c r="R13" s="405" t="s">
        <v>125</v>
      </c>
      <c r="S13" s="27"/>
      <c r="T13" s="27"/>
      <c r="U13" s="27"/>
      <c r="V13" s="27"/>
      <c r="W13" s="27"/>
      <c r="X13" s="27"/>
      <c r="Y13" s="27"/>
      <c r="Z13" s="27"/>
      <c r="AA13" s="27"/>
      <c r="AB13" s="27"/>
      <c r="AC13" s="27"/>
      <c r="AD13" s="27"/>
      <c r="AE13" s="27"/>
    </row>
    <row r="14" spans="1:31" x14ac:dyDescent="0.2">
      <c r="A14" s="403"/>
      <c r="B14" s="403"/>
      <c r="C14" s="403"/>
      <c r="D14" s="403"/>
      <c r="E14" s="403"/>
      <c r="F14" s="403"/>
      <c r="G14" s="403"/>
      <c r="H14" s="409">
        <f>'F 5B'!$H$22</f>
        <v>0.31940000000000002</v>
      </c>
      <c r="I14" s="409"/>
      <c r="J14" s="409"/>
      <c r="K14" s="409"/>
      <c r="L14" s="409">
        <f>'F 5B'!$H$25</f>
        <v>0.63880000000000003</v>
      </c>
      <c r="M14" s="409"/>
      <c r="N14" s="409"/>
      <c r="O14" s="409"/>
      <c r="P14" s="409">
        <f>'F 5B'!$H$10</f>
        <v>4.1799999999999997E-2</v>
      </c>
      <c r="Q14" s="409"/>
      <c r="R14" s="403"/>
      <c r="S14" s="27"/>
      <c r="T14" s="27"/>
      <c r="U14" s="27"/>
      <c r="V14" s="27"/>
      <c r="W14" s="27"/>
      <c r="X14" s="27"/>
      <c r="Y14" s="27"/>
      <c r="Z14" s="27"/>
      <c r="AA14" s="27"/>
      <c r="AB14" s="27"/>
      <c r="AC14" s="27"/>
      <c r="AD14" s="27"/>
      <c r="AE14" s="27"/>
    </row>
    <row r="15" spans="1:31" x14ac:dyDescent="0.2">
      <c r="A15" s="403"/>
      <c r="B15" s="403"/>
      <c r="C15" s="403"/>
      <c r="D15" s="403"/>
      <c r="E15" s="403"/>
      <c r="F15" s="403"/>
      <c r="G15" s="403"/>
      <c r="H15" s="403"/>
      <c r="I15" s="403"/>
      <c r="J15" s="403"/>
      <c r="K15" s="403"/>
      <c r="L15" s="403"/>
      <c r="M15" s="403"/>
      <c r="N15" s="403"/>
      <c r="O15" s="403"/>
      <c r="P15" s="403"/>
      <c r="Q15" s="403"/>
      <c r="R15" s="403"/>
      <c r="S15" s="27"/>
      <c r="T15" s="27"/>
      <c r="U15" s="27"/>
      <c r="V15" s="27"/>
      <c r="W15" s="27"/>
      <c r="X15" s="27"/>
      <c r="Y15" s="27"/>
      <c r="Z15" s="27"/>
      <c r="AA15" s="27"/>
      <c r="AB15" s="27"/>
      <c r="AC15" s="27"/>
      <c r="AD15" s="27"/>
      <c r="AE15" s="27"/>
    </row>
    <row r="16" spans="1:31" x14ac:dyDescent="0.2">
      <c r="A16" s="403" t="s">
        <v>73</v>
      </c>
      <c r="B16" s="403"/>
      <c r="C16" s="403"/>
      <c r="D16" s="410">
        <f>ROUND(('F 1-2'!$G$15/24),1)</f>
        <v>26.3</v>
      </c>
      <c r="E16" s="403"/>
      <c r="F16" s="409">
        <f>ROUND(+D16/$D$24,4)</f>
        <v>0.56079999999999997</v>
      </c>
      <c r="G16" s="403"/>
      <c r="H16" s="411">
        <f>ROUND(F16*$H$14,4)</f>
        <v>0.17910000000000001</v>
      </c>
      <c r="I16" s="403"/>
      <c r="J16" s="409">
        <f>+'F 5B'!J36</f>
        <v>0.69850000000000001</v>
      </c>
      <c r="K16" s="403"/>
      <c r="L16" s="412">
        <f>ROUND(J16*$L$14,4)</f>
        <v>0.44619999999999999</v>
      </c>
      <c r="M16" s="403"/>
      <c r="N16" s="409"/>
      <c r="O16" s="403"/>
      <c r="P16" s="409"/>
      <c r="Q16" s="403"/>
      <c r="R16" s="409">
        <f t="shared" ref="R16:R22" si="0">H16+L16+P16</f>
        <v>0.62529999999999997</v>
      </c>
      <c r="S16" s="27"/>
      <c r="T16" s="29"/>
      <c r="U16" s="27"/>
      <c r="V16" s="27"/>
      <c r="W16" s="27"/>
      <c r="X16" s="27"/>
      <c r="Y16" s="27"/>
      <c r="Z16" s="27"/>
      <c r="AA16" s="27"/>
      <c r="AB16" s="27"/>
      <c r="AC16" s="27"/>
      <c r="AD16" s="27"/>
      <c r="AE16" s="27"/>
    </row>
    <row r="17" spans="1:31" x14ac:dyDescent="0.2">
      <c r="A17" s="334" t="s">
        <v>543</v>
      </c>
      <c r="B17" s="403"/>
      <c r="C17" s="403"/>
      <c r="D17" s="410">
        <f>ROUND(('F 1-2'!$G$16/24),1)</f>
        <v>14.7</v>
      </c>
      <c r="E17" s="403"/>
      <c r="F17" s="409">
        <f t="shared" ref="F17:F22" si="1">ROUND(+D17/$D$24,4)</f>
        <v>0.31340000000000001</v>
      </c>
      <c r="G17" s="403"/>
      <c r="H17" s="411">
        <f t="shared" ref="H17:H22" si="2">ROUND(F17*$H$14,4)</f>
        <v>0.10009999999999999</v>
      </c>
      <c r="I17" s="403"/>
      <c r="J17" s="409">
        <f>+'F 5B'!J37</f>
        <v>0.24440000000000001</v>
      </c>
      <c r="K17" s="403"/>
      <c r="L17" s="409">
        <f>ROUND(J17*$L$14,4)</f>
        <v>0.15609999999999999</v>
      </c>
      <c r="M17" s="403"/>
      <c r="N17" s="403"/>
      <c r="O17" s="403"/>
      <c r="P17" s="403"/>
      <c r="Q17" s="403"/>
      <c r="R17" s="409">
        <f t="shared" si="0"/>
        <v>0.25619999999999998</v>
      </c>
      <c r="S17" s="27"/>
      <c r="T17" s="29"/>
      <c r="U17" s="27"/>
      <c r="V17" s="27"/>
      <c r="W17" s="27"/>
      <c r="X17" s="27"/>
      <c r="Y17" s="27"/>
      <c r="Z17" s="27"/>
      <c r="AA17" s="27"/>
      <c r="AB17" s="27"/>
      <c r="AC17" s="27"/>
      <c r="AD17" s="27"/>
      <c r="AE17" s="27"/>
    </row>
    <row r="18" spans="1:31" x14ac:dyDescent="0.2">
      <c r="A18" s="403" t="s">
        <v>75</v>
      </c>
      <c r="B18" s="403"/>
      <c r="C18" s="403"/>
      <c r="D18" s="410">
        <f>ROUND(('F 1-2'!$G$17/24),1)</f>
        <v>5.7</v>
      </c>
      <c r="E18" s="403"/>
      <c r="F18" s="409">
        <f t="shared" si="1"/>
        <v>0.1215</v>
      </c>
      <c r="G18" s="403"/>
      <c r="H18" s="411">
        <f t="shared" si="2"/>
        <v>3.8800000000000001E-2</v>
      </c>
      <c r="I18" s="403"/>
      <c r="J18" s="409">
        <f>+'F 5B'!J38</f>
        <v>5.7099999999999998E-2</v>
      </c>
      <c r="K18" s="403"/>
      <c r="L18" s="409">
        <f>ROUND(J18*$L$14,4)</f>
        <v>3.6499999999999998E-2</v>
      </c>
      <c r="M18" s="403"/>
      <c r="N18" s="403"/>
      <c r="O18" s="403"/>
      <c r="P18" s="403"/>
      <c r="Q18" s="403"/>
      <c r="R18" s="409">
        <f t="shared" si="0"/>
        <v>7.5300000000000006E-2</v>
      </c>
      <c r="S18" s="27"/>
      <c r="T18" s="29"/>
      <c r="U18" s="27"/>
      <c r="V18" s="27"/>
      <c r="W18" s="27"/>
      <c r="X18" s="27"/>
      <c r="Y18" s="27"/>
      <c r="Z18" s="27"/>
      <c r="AA18" s="27"/>
      <c r="AB18" s="27"/>
      <c r="AC18" s="27"/>
      <c r="AD18" s="27"/>
      <c r="AE18" s="27"/>
    </row>
    <row r="19" spans="1:31" hidden="1" x14ac:dyDescent="0.2">
      <c r="A19" s="403" t="s">
        <v>76</v>
      </c>
      <c r="B19" s="403"/>
      <c r="C19" s="403"/>
      <c r="D19" s="410">
        <f>ROUND(('F 1-2'!$G$18/24),1)</f>
        <v>0</v>
      </c>
      <c r="E19" s="403"/>
      <c r="F19" s="409">
        <f t="shared" si="1"/>
        <v>0</v>
      </c>
      <c r="G19" s="403"/>
      <c r="H19" s="411">
        <f t="shared" si="2"/>
        <v>0</v>
      </c>
      <c r="I19" s="403"/>
      <c r="J19" s="409">
        <f>+'F 5B'!J39</f>
        <v>0</v>
      </c>
      <c r="K19" s="403"/>
      <c r="L19" s="409">
        <f>ROUND(J19*$L$14,4)</f>
        <v>0</v>
      </c>
      <c r="M19" s="403"/>
      <c r="N19" s="403"/>
      <c r="O19" s="403"/>
      <c r="P19" s="403"/>
      <c r="Q19" s="403"/>
      <c r="R19" s="409">
        <f t="shared" si="0"/>
        <v>0</v>
      </c>
      <c r="S19" s="27"/>
      <c r="T19" s="29"/>
      <c r="U19" s="27"/>
      <c r="V19" s="27"/>
      <c r="W19" s="27"/>
      <c r="X19" s="27"/>
      <c r="Y19" s="27"/>
      <c r="Z19" s="27"/>
      <c r="AA19" s="27"/>
      <c r="AB19" s="27"/>
      <c r="AC19" s="27"/>
      <c r="AD19" s="27"/>
      <c r="AE19" s="27"/>
    </row>
    <row r="20" spans="1:31" hidden="1" x14ac:dyDescent="0.2">
      <c r="A20" s="403" t="s">
        <v>179</v>
      </c>
      <c r="B20" s="403"/>
      <c r="C20" s="403"/>
      <c r="D20" s="410">
        <f>ROUND(('F 1-2'!$G$19/24),1)</f>
        <v>0</v>
      </c>
      <c r="E20" s="403"/>
      <c r="F20" s="409">
        <f t="shared" si="1"/>
        <v>0</v>
      </c>
      <c r="G20" s="403"/>
      <c r="H20" s="411">
        <f t="shared" si="2"/>
        <v>0</v>
      </c>
      <c r="I20" s="403"/>
      <c r="J20" s="409">
        <f>+'F 5B'!J40</f>
        <v>0</v>
      </c>
      <c r="K20" s="403"/>
      <c r="L20" s="409">
        <f>ROUND(J20*$L$14,4)</f>
        <v>0</v>
      </c>
      <c r="M20" s="403"/>
      <c r="N20" s="403"/>
      <c r="O20" s="403"/>
      <c r="P20" s="403"/>
      <c r="Q20" s="403"/>
      <c r="R20" s="409">
        <f t="shared" si="0"/>
        <v>0</v>
      </c>
      <c r="S20" s="27"/>
      <c r="T20" s="29"/>
      <c r="U20" s="27"/>
      <c r="V20" s="27"/>
      <c r="W20" s="27"/>
      <c r="X20" s="27"/>
      <c r="Y20" s="27"/>
      <c r="Z20" s="27"/>
      <c r="AA20" s="27"/>
      <c r="AB20" s="27"/>
      <c r="AC20" s="27"/>
      <c r="AD20" s="27"/>
      <c r="AE20" s="27"/>
    </row>
    <row r="21" spans="1:31" x14ac:dyDescent="0.2">
      <c r="A21" s="403" t="s">
        <v>77</v>
      </c>
      <c r="B21" s="403"/>
      <c r="C21" s="403"/>
      <c r="D21" s="410">
        <f>ROUND(('F 1-2'!$G$20/24),1)</f>
        <v>0</v>
      </c>
      <c r="E21" s="403"/>
      <c r="F21" s="409">
        <f t="shared" si="1"/>
        <v>0</v>
      </c>
      <c r="G21" s="403"/>
      <c r="H21" s="411">
        <f t="shared" si="2"/>
        <v>0</v>
      </c>
      <c r="I21" s="403"/>
      <c r="J21" s="403"/>
      <c r="K21" s="403"/>
      <c r="L21" s="403"/>
      <c r="M21" s="403"/>
      <c r="N21" s="409">
        <f>'SCH-E'!$O$26</f>
        <v>0.23419999999999999</v>
      </c>
      <c r="O21" s="403"/>
      <c r="P21" s="409">
        <f>ROUND(N21*$P$14,4)</f>
        <v>9.7999999999999997E-3</v>
      </c>
      <c r="Q21" s="403"/>
      <c r="R21" s="409">
        <f t="shared" si="0"/>
        <v>9.7999999999999997E-3</v>
      </c>
      <c r="S21" s="27"/>
      <c r="T21" s="29"/>
      <c r="U21" s="27"/>
      <c r="V21" s="27"/>
      <c r="W21" s="27"/>
      <c r="X21" s="27"/>
      <c r="Y21" s="27"/>
      <c r="Z21" s="27"/>
      <c r="AA21" s="27"/>
      <c r="AB21" s="27"/>
      <c r="AC21" s="27"/>
      <c r="AD21" s="27"/>
      <c r="AE21" s="27"/>
    </row>
    <row r="22" spans="1:31" x14ac:dyDescent="0.2">
      <c r="A22" s="403" t="s">
        <v>78</v>
      </c>
      <c r="B22" s="403"/>
      <c r="C22" s="403"/>
      <c r="D22" s="410">
        <f>ROUND(('F 1-2'!$G$21/24),1)</f>
        <v>0.2</v>
      </c>
      <c r="E22" s="403"/>
      <c r="F22" s="409">
        <f t="shared" si="1"/>
        <v>4.3E-3</v>
      </c>
      <c r="G22" s="403"/>
      <c r="H22" s="409">
        <f t="shared" si="2"/>
        <v>1.4E-3</v>
      </c>
      <c r="I22" s="403"/>
      <c r="J22" s="403"/>
      <c r="K22" s="403"/>
      <c r="L22" s="403"/>
      <c r="M22" s="403"/>
      <c r="N22" s="409">
        <f>'SCH-E'!$O$33</f>
        <v>0.76580000000000004</v>
      </c>
      <c r="O22" s="403"/>
      <c r="P22" s="409">
        <f>ROUND(N22*$P$14,4)</f>
        <v>3.2000000000000001E-2</v>
      </c>
      <c r="Q22" s="403"/>
      <c r="R22" s="409">
        <f t="shared" si="0"/>
        <v>3.3399999999999999E-2</v>
      </c>
      <c r="S22" s="29"/>
      <c r="T22" s="29"/>
      <c r="U22" s="27"/>
      <c r="V22" s="27"/>
      <c r="W22" s="27"/>
      <c r="X22" s="27"/>
      <c r="Y22" s="27"/>
      <c r="Z22" s="27"/>
      <c r="AA22" s="27"/>
      <c r="AB22" s="27"/>
      <c r="AC22" s="27"/>
      <c r="AD22" s="27"/>
      <c r="AE22" s="27"/>
    </row>
    <row r="23" spans="1:31" x14ac:dyDescent="0.2">
      <c r="A23" s="403"/>
      <c r="B23" s="403"/>
      <c r="C23" s="403"/>
      <c r="D23" s="413"/>
      <c r="E23" s="403"/>
      <c r="F23" s="414"/>
      <c r="G23" s="403"/>
      <c r="H23" s="414"/>
      <c r="I23" s="403"/>
      <c r="J23" s="414"/>
      <c r="K23" s="403"/>
      <c r="L23" s="414"/>
      <c r="M23" s="403"/>
      <c r="N23" s="414"/>
      <c r="O23" s="403"/>
      <c r="P23" s="414"/>
      <c r="Q23" s="403"/>
      <c r="R23" s="414"/>
      <c r="S23" s="27"/>
      <c r="T23" s="27"/>
      <c r="U23" s="27"/>
      <c r="V23" s="27"/>
      <c r="W23" s="27"/>
      <c r="X23" s="27"/>
      <c r="Y23" s="27"/>
      <c r="Z23" s="27"/>
      <c r="AA23" s="27"/>
      <c r="AB23" s="27"/>
      <c r="AC23" s="27"/>
      <c r="AD23" s="27"/>
      <c r="AE23" s="27"/>
    </row>
    <row r="24" spans="1:31" ht="15.75" thickBot="1" x14ac:dyDescent="0.25">
      <c r="A24" s="403" t="s">
        <v>79</v>
      </c>
      <c r="B24" s="403"/>
      <c r="C24" s="403"/>
      <c r="D24" s="415">
        <f>SUM(D16:D23)</f>
        <v>46.900000000000006</v>
      </c>
      <c r="E24" s="403"/>
      <c r="F24" s="409">
        <f>SUM(F16:F23)</f>
        <v>1</v>
      </c>
      <c r="G24" s="403"/>
      <c r="H24" s="409">
        <f>SUM(H16:H23)</f>
        <v>0.31940000000000002</v>
      </c>
      <c r="I24" s="403"/>
      <c r="J24" s="409">
        <f>SUM(J16:J23)</f>
        <v>1</v>
      </c>
      <c r="K24" s="403"/>
      <c r="L24" s="409">
        <f>SUM(L16:L23)</f>
        <v>0.63879999999999992</v>
      </c>
      <c r="M24" s="403"/>
      <c r="N24" s="409">
        <f>SUM(N16:N23)</f>
        <v>1</v>
      </c>
      <c r="O24" s="403"/>
      <c r="P24" s="409">
        <f>SUM(P16:P23)</f>
        <v>4.1800000000000004E-2</v>
      </c>
      <c r="Q24" s="403"/>
      <c r="R24" s="409">
        <f>SUM(R16:R23)</f>
        <v>1</v>
      </c>
      <c r="S24" s="27"/>
      <c r="T24" s="27"/>
      <c r="U24" s="27"/>
      <c r="V24" s="27"/>
      <c r="W24" s="27"/>
      <c r="X24" s="27"/>
      <c r="Y24" s="27"/>
      <c r="Z24" s="27"/>
      <c r="AA24" s="27"/>
      <c r="AB24" s="27"/>
      <c r="AC24" s="27"/>
      <c r="AD24" s="27"/>
      <c r="AE24" s="27"/>
    </row>
    <row r="25" spans="1:31" ht="15.75" thickTop="1" x14ac:dyDescent="0.2">
      <c r="A25" s="403"/>
      <c r="B25" s="403"/>
      <c r="C25" s="403"/>
      <c r="D25" s="416"/>
      <c r="E25" s="403"/>
      <c r="F25" s="417"/>
      <c r="G25" s="403"/>
      <c r="H25" s="417"/>
      <c r="I25" s="403"/>
      <c r="J25" s="417"/>
      <c r="K25" s="403"/>
      <c r="L25" s="417"/>
      <c r="M25" s="403"/>
      <c r="N25" s="417"/>
      <c r="O25" s="403"/>
      <c r="P25" s="417"/>
      <c r="Q25" s="403"/>
      <c r="R25" s="417"/>
      <c r="S25" s="27"/>
      <c r="T25" s="27"/>
      <c r="U25" s="27"/>
      <c r="V25" s="27"/>
      <c r="W25" s="27"/>
      <c r="X25" s="27"/>
      <c r="Y25" s="27"/>
      <c r="Z25" s="27"/>
      <c r="AA25" s="27"/>
      <c r="AB25" s="27"/>
      <c r="AC25" s="27"/>
      <c r="AD25" s="27"/>
      <c r="AE25" s="27"/>
    </row>
    <row r="26" spans="1:31" x14ac:dyDescent="0.2">
      <c r="A26" s="403"/>
      <c r="B26" s="403"/>
      <c r="C26" s="403"/>
      <c r="D26" s="403"/>
      <c r="E26" s="403"/>
      <c r="F26" s="403"/>
      <c r="G26" s="403"/>
      <c r="H26" s="403"/>
      <c r="I26" s="403"/>
      <c r="J26" s="403"/>
      <c r="K26" s="403"/>
      <c r="L26" s="403"/>
      <c r="M26" s="403"/>
      <c r="N26" s="403"/>
      <c r="O26" s="403"/>
      <c r="P26" s="403"/>
      <c r="Q26" s="403"/>
      <c r="R26" s="403"/>
      <c r="S26" s="27"/>
      <c r="T26" s="27"/>
      <c r="U26" s="27"/>
      <c r="V26" s="27"/>
      <c r="W26" s="27"/>
      <c r="X26" s="27"/>
      <c r="Y26" s="27"/>
      <c r="Z26" s="27"/>
      <c r="AA26" s="27"/>
      <c r="AB26" s="27"/>
      <c r="AC26" s="27"/>
      <c r="AD26" s="27"/>
      <c r="AE26" s="27"/>
    </row>
    <row r="27" spans="1:31" ht="27.2" customHeight="1" x14ac:dyDescent="0.2">
      <c r="A27" s="708" t="s">
        <v>368</v>
      </c>
      <c r="B27" s="708"/>
      <c r="C27" s="708"/>
      <c r="D27" s="708"/>
      <c r="E27" s="708"/>
      <c r="F27" s="708"/>
      <c r="G27" s="708"/>
      <c r="H27" s="708"/>
      <c r="I27" s="708"/>
      <c r="J27" s="708"/>
      <c r="K27" s="708"/>
      <c r="L27" s="708"/>
      <c r="M27" s="708"/>
      <c r="N27" s="708"/>
      <c r="O27" s="708"/>
      <c r="P27" s="708"/>
      <c r="Q27" s="708"/>
      <c r="R27" s="708"/>
      <c r="S27" s="27"/>
      <c r="T27" s="27"/>
      <c r="U27" s="27"/>
      <c r="V27" s="27"/>
      <c r="W27" s="27"/>
      <c r="X27" s="27"/>
      <c r="Y27" s="27"/>
      <c r="Z27" s="27"/>
      <c r="AA27" s="27"/>
      <c r="AB27" s="27"/>
      <c r="AC27" s="27"/>
      <c r="AD27" s="27"/>
      <c r="AE27" s="27"/>
    </row>
    <row r="28" spans="1:31" x14ac:dyDescent="0.2">
      <c r="A28" s="27"/>
      <c r="B28" s="27"/>
      <c r="C28" s="27"/>
      <c r="D28" s="27"/>
      <c r="E28" s="27"/>
      <c r="F28" s="27"/>
      <c r="G28" s="27"/>
      <c r="H28" s="27"/>
      <c r="I28" s="27"/>
      <c r="J28" s="27"/>
      <c r="K28" s="27"/>
      <c r="L28" s="27"/>
      <c r="M28" s="27"/>
      <c r="N28" s="27"/>
      <c r="O28" s="27"/>
      <c r="P28" s="27"/>
      <c r="Q28" s="27"/>
      <c r="R28" s="27"/>
      <c r="S28" s="27"/>
      <c r="T28" s="27"/>
      <c r="U28" s="30"/>
      <c r="V28" s="27"/>
      <c r="W28" s="27"/>
      <c r="X28" s="27"/>
      <c r="Y28" s="27"/>
      <c r="Z28" s="27"/>
      <c r="AA28" s="27"/>
      <c r="AB28" s="27"/>
      <c r="AC28" s="27"/>
      <c r="AD28" s="27"/>
      <c r="AE28" s="27"/>
    </row>
    <row r="29" spans="1:31" x14ac:dyDescent="0.2">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row>
    <row r="30" spans="1:31" x14ac:dyDescent="0.2">
      <c r="A30" s="27"/>
      <c r="B30" s="27"/>
      <c r="C30" s="27"/>
      <c r="D30" s="27"/>
      <c r="E30" s="27"/>
      <c r="F30" s="27"/>
      <c r="G30" s="27"/>
      <c r="H30" s="27"/>
      <c r="I30" s="27"/>
      <c r="J30" s="27"/>
      <c r="K30" s="27"/>
      <c r="L30" s="27"/>
      <c r="M30" s="27"/>
      <c r="N30" s="27"/>
      <c r="O30" s="27"/>
      <c r="P30" s="27"/>
      <c r="Q30" s="27"/>
      <c r="R30" s="27"/>
      <c r="S30" s="27"/>
      <c r="T30" s="27"/>
      <c r="AE30" s="27"/>
    </row>
    <row r="31" spans="1:31" x14ac:dyDescent="0.2">
      <c r="A31" s="27"/>
      <c r="B31" s="27"/>
      <c r="C31" s="27"/>
      <c r="D31" s="27"/>
      <c r="E31" s="27"/>
      <c r="F31" s="27"/>
      <c r="G31" s="27"/>
      <c r="H31" s="27"/>
      <c r="I31" s="27"/>
      <c r="J31" s="27"/>
      <c r="K31" s="27"/>
      <c r="L31" s="27"/>
      <c r="M31" s="27"/>
      <c r="N31" s="27"/>
      <c r="O31" s="27"/>
      <c r="P31" s="27"/>
      <c r="Q31" s="27"/>
      <c r="R31" s="27"/>
      <c r="S31" s="27"/>
      <c r="T31" s="27"/>
      <c r="AE31" s="27"/>
    </row>
    <row r="32" spans="1:31" x14ac:dyDescent="0.2">
      <c r="A32" s="27"/>
      <c r="B32" s="27"/>
      <c r="C32" s="27"/>
      <c r="D32" s="27"/>
      <c r="E32" s="27"/>
      <c r="F32" s="27"/>
      <c r="G32" s="27"/>
      <c r="H32" s="27"/>
      <c r="I32" s="27"/>
      <c r="J32" s="27"/>
      <c r="K32" s="27"/>
      <c r="L32" s="27"/>
      <c r="M32" s="27"/>
      <c r="N32" s="27"/>
      <c r="O32" s="27"/>
      <c r="P32" s="27"/>
      <c r="Q32" s="27"/>
      <c r="R32" s="27"/>
      <c r="S32" s="27"/>
      <c r="T32" s="27"/>
      <c r="AE32" s="27"/>
    </row>
    <row r="33" spans="1:31" x14ac:dyDescent="0.2">
      <c r="A33" s="27"/>
      <c r="B33" s="27"/>
      <c r="C33" s="27"/>
      <c r="D33" s="27"/>
      <c r="E33" s="27"/>
      <c r="F33" s="27"/>
      <c r="G33" s="27"/>
      <c r="H33" s="27"/>
      <c r="I33" s="27"/>
      <c r="J33" s="27"/>
      <c r="K33" s="27"/>
      <c r="L33" s="27"/>
      <c r="M33" s="27"/>
      <c r="N33" s="27"/>
      <c r="O33" s="27"/>
      <c r="P33" s="27"/>
      <c r="Q33" s="27"/>
      <c r="R33" s="27"/>
      <c r="S33" s="27"/>
      <c r="T33" s="27"/>
      <c r="AE33" s="27"/>
    </row>
    <row r="34" spans="1:31" x14ac:dyDescent="0.2">
      <c r="A34" s="27"/>
      <c r="B34" s="27"/>
      <c r="C34" s="27"/>
      <c r="D34" s="27"/>
      <c r="E34" s="27"/>
      <c r="F34" s="27"/>
      <c r="G34" s="27"/>
      <c r="H34" s="27"/>
      <c r="I34" s="27"/>
      <c r="J34" s="27"/>
      <c r="K34" s="27"/>
      <c r="L34" s="27"/>
      <c r="M34" s="27"/>
      <c r="N34" s="27"/>
      <c r="O34" s="27"/>
      <c r="P34" s="27"/>
      <c r="Q34" s="27"/>
      <c r="R34" s="27"/>
      <c r="S34" s="27"/>
      <c r="T34" s="27"/>
      <c r="AE34" s="27"/>
    </row>
    <row r="35" spans="1:31" x14ac:dyDescent="0.2">
      <c r="A35" s="27"/>
      <c r="B35" s="27"/>
      <c r="C35" s="27"/>
      <c r="D35" s="27"/>
      <c r="E35" s="27"/>
      <c r="F35" s="27"/>
      <c r="G35" s="27"/>
      <c r="H35" s="27"/>
      <c r="I35" s="27"/>
      <c r="J35" s="27"/>
      <c r="K35" s="27"/>
      <c r="L35" s="27"/>
      <c r="M35" s="27"/>
      <c r="N35" s="27"/>
      <c r="O35" s="27"/>
      <c r="P35" s="27"/>
      <c r="Q35" s="27"/>
      <c r="R35" s="27"/>
      <c r="S35" s="27"/>
      <c r="T35" s="27"/>
      <c r="AE35" s="27"/>
    </row>
    <row r="36" spans="1:31" x14ac:dyDescent="0.2">
      <c r="A36" s="27"/>
      <c r="B36" s="27"/>
      <c r="C36" s="27"/>
      <c r="D36" s="27"/>
      <c r="E36" s="27"/>
      <c r="F36" s="27"/>
      <c r="G36" s="27"/>
      <c r="H36" s="27"/>
      <c r="I36" s="27"/>
      <c r="J36" s="27"/>
      <c r="K36" s="27"/>
      <c r="L36" s="27"/>
      <c r="M36" s="27"/>
      <c r="N36" s="27"/>
      <c r="O36" s="27"/>
      <c r="P36" s="27"/>
      <c r="Q36" s="27"/>
      <c r="R36" s="27"/>
      <c r="S36" s="27"/>
      <c r="T36" s="27"/>
      <c r="AE36" s="27"/>
    </row>
    <row r="37" spans="1:31" x14ac:dyDescent="0.2">
      <c r="A37" s="27"/>
      <c r="B37" s="27"/>
      <c r="C37" s="27"/>
      <c r="D37" s="27"/>
      <c r="E37" s="27"/>
      <c r="F37" s="27"/>
      <c r="G37" s="27"/>
      <c r="H37" s="27"/>
      <c r="I37" s="27"/>
      <c r="J37" s="27"/>
      <c r="K37" s="27"/>
      <c r="L37" s="27"/>
      <c r="M37" s="27"/>
      <c r="N37" s="27"/>
      <c r="O37" s="27"/>
      <c r="P37" s="27"/>
      <c r="Q37" s="27"/>
      <c r="R37" s="27"/>
      <c r="S37" s="27"/>
      <c r="T37" s="27"/>
      <c r="AE37" s="27"/>
    </row>
    <row r="38" spans="1:31" x14ac:dyDescent="0.2">
      <c r="A38" s="27"/>
      <c r="B38" s="27"/>
      <c r="C38" s="27"/>
      <c r="D38" s="27"/>
      <c r="E38" s="27"/>
      <c r="F38" s="27"/>
      <c r="G38" s="27"/>
      <c r="H38" s="27"/>
      <c r="I38" s="27"/>
      <c r="J38" s="27"/>
      <c r="K38" s="27"/>
      <c r="L38" s="27"/>
      <c r="M38" s="27"/>
      <c r="N38" s="27"/>
      <c r="O38" s="27"/>
      <c r="P38" s="27"/>
      <c r="Q38" s="27"/>
      <c r="R38" s="27"/>
      <c r="S38" s="27"/>
      <c r="T38" s="27"/>
      <c r="AE38" s="27"/>
    </row>
    <row r="39" spans="1:31" x14ac:dyDescent="0.2">
      <c r="A39" s="27"/>
      <c r="B39" s="27"/>
      <c r="C39" s="27"/>
      <c r="D39" s="27"/>
      <c r="E39" s="27"/>
      <c r="F39" s="27"/>
      <c r="G39" s="27"/>
      <c r="H39" s="27"/>
      <c r="I39" s="27"/>
      <c r="J39" s="27"/>
      <c r="K39" s="27"/>
      <c r="L39" s="27"/>
      <c r="M39" s="27"/>
      <c r="N39" s="27"/>
      <c r="O39" s="27"/>
      <c r="P39" s="27"/>
      <c r="Q39" s="27"/>
      <c r="R39" s="27"/>
      <c r="S39" s="27"/>
      <c r="T39" s="27"/>
      <c r="AE39" s="27"/>
    </row>
    <row r="40" spans="1:31" x14ac:dyDescent="0.2">
      <c r="A40" s="27"/>
      <c r="B40" s="27"/>
      <c r="C40" s="27"/>
      <c r="D40" s="27"/>
      <c r="E40" s="27"/>
      <c r="F40" s="27"/>
      <c r="G40" s="27"/>
      <c r="H40" s="27"/>
      <c r="I40" s="27"/>
      <c r="J40" s="27"/>
      <c r="K40" s="27"/>
      <c r="L40" s="27"/>
      <c r="M40" s="27"/>
      <c r="N40" s="27"/>
      <c r="O40" s="27"/>
      <c r="P40" s="27"/>
      <c r="Q40" s="27"/>
      <c r="R40" s="27"/>
      <c r="S40" s="27"/>
      <c r="T40" s="27"/>
      <c r="AE40" s="27"/>
    </row>
    <row r="41" spans="1:31" x14ac:dyDescent="0.2">
      <c r="A41" s="27"/>
      <c r="B41" s="27"/>
      <c r="C41" s="27"/>
      <c r="D41" s="27"/>
      <c r="E41" s="27"/>
      <c r="F41" s="27"/>
      <c r="G41" s="27"/>
      <c r="H41" s="27"/>
      <c r="I41" s="27"/>
      <c r="J41" s="27"/>
      <c r="K41" s="27"/>
      <c r="L41" s="27"/>
      <c r="M41" s="27"/>
      <c r="N41" s="27"/>
      <c r="O41" s="27"/>
      <c r="P41" s="27"/>
      <c r="Q41" s="27"/>
      <c r="R41" s="27"/>
      <c r="S41" s="27"/>
      <c r="T41" s="27"/>
      <c r="AE41" s="27"/>
    </row>
    <row r="42" spans="1:31" x14ac:dyDescent="0.2">
      <c r="A42" s="27"/>
      <c r="B42" s="27"/>
      <c r="C42" s="27"/>
      <c r="D42" s="27"/>
      <c r="E42" s="27"/>
      <c r="F42" s="27"/>
      <c r="G42" s="27"/>
      <c r="H42" s="27"/>
      <c r="I42" s="27"/>
      <c r="J42" s="27"/>
      <c r="K42" s="27"/>
      <c r="L42" s="27"/>
      <c r="M42" s="27"/>
      <c r="N42" s="27"/>
      <c r="O42" s="27"/>
      <c r="P42" s="27"/>
      <c r="Q42" s="27"/>
      <c r="R42" s="27"/>
      <c r="S42" s="27"/>
      <c r="T42" s="27"/>
      <c r="AE42" s="27"/>
    </row>
    <row r="43" spans="1:31" x14ac:dyDescent="0.2">
      <c r="A43" s="27"/>
      <c r="B43" s="27"/>
      <c r="C43" s="27"/>
      <c r="D43" s="27"/>
      <c r="E43" s="27"/>
      <c r="F43" s="27"/>
      <c r="G43" s="27"/>
      <c r="H43" s="27"/>
      <c r="I43" s="27"/>
      <c r="J43" s="27"/>
      <c r="K43" s="27"/>
      <c r="L43" s="27"/>
      <c r="M43" s="27"/>
      <c r="N43" s="27"/>
      <c r="O43" s="27"/>
      <c r="P43" s="27"/>
      <c r="Q43" s="27"/>
      <c r="R43" s="27"/>
      <c r="S43" s="27"/>
      <c r="T43" s="27"/>
      <c r="AE43" s="27"/>
    </row>
    <row r="44" spans="1:31" x14ac:dyDescent="0.2">
      <c r="A44" s="27"/>
      <c r="B44" s="27"/>
      <c r="C44" s="27"/>
      <c r="D44" s="27"/>
      <c r="E44" s="27"/>
      <c r="F44" s="27"/>
      <c r="G44" s="27"/>
      <c r="H44" s="27"/>
      <c r="I44" s="27"/>
      <c r="J44" s="27"/>
      <c r="K44" s="27"/>
      <c r="L44" s="27"/>
      <c r="M44" s="27"/>
      <c r="N44" s="27"/>
      <c r="O44" s="27"/>
      <c r="P44" s="27"/>
      <c r="Q44" s="27"/>
      <c r="R44" s="27"/>
      <c r="S44" s="27"/>
      <c r="T44" s="27"/>
      <c r="AE44" s="27"/>
    </row>
    <row r="45" spans="1:31" x14ac:dyDescent="0.2">
      <c r="A45" s="27"/>
      <c r="B45" s="27"/>
      <c r="C45" s="27"/>
      <c r="D45" s="27"/>
      <c r="E45" s="27"/>
      <c r="F45" s="27"/>
      <c r="G45" s="27"/>
      <c r="H45" s="27"/>
      <c r="I45" s="27"/>
      <c r="J45" s="27"/>
      <c r="K45" s="27"/>
      <c r="L45" s="27"/>
      <c r="M45" s="27"/>
      <c r="N45" s="27"/>
      <c r="O45" s="27"/>
      <c r="P45" s="27"/>
      <c r="Q45" s="27"/>
      <c r="R45" s="27"/>
      <c r="S45" s="27"/>
      <c r="T45" s="27"/>
      <c r="AE45" s="27"/>
    </row>
    <row r="46" spans="1:31" x14ac:dyDescent="0.2">
      <c r="A46" s="27"/>
      <c r="B46" s="27"/>
      <c r="C46" s="27"/>
      <c r="D46" s="27"/>
      <c r="E46" s="27"/>
      <c r="F46" s="27"/>
      <c r="G46" s="27"/>
      <c r="H46" s="27"/>
      <c r="I46" s="27"/>
      <c r="J46" s="27"/>
      <c r="K46" s="27"/>
      <c r="L46" s="27"/>
      <c r="M46" s="27"/>
      <c r="N46" s="27"/>
      <c r="O46" s="27"/>
      <c r="P46" s="27"/>
      <c r="Q46" s="27"/>
      <c r="R46" s="27"/>
      <c r="S46" s="27"/>
      <c r="T46" s="27"/>
      <c r="AE46" s="27"/>
    </row>
    <row r="47" spans="1:31" x14ac:dyDescent="0.2">
      <c r="A47" s="27"/>
      <c r="B47" s="27"/>
      <c r="C47" s="27"/>
      <c r="D47" s="27"/>
      <c r="E47" s="27"/>
      <c r="F47" s="27"/>
      <c r="G47" s="27"/>
      <c r="H47" s="27"/>
      <c r="I47" s="27"/>
      <c r="J47" s="27"/>
      <c r="K47" s="27"/>
      <c r="L47" s="27"/>
      <c r="M47" s="27"/>
      <c r="N47" s="27"/>
      <c r="O47" s="27"/>
      <c r="P47" s="27"/>
      <c r="Q47" s="27"/>
      <c r="R47" s="27"/>
      <c r="S47" s="27"/>
      <c r="T47" s="27"/>
      <c r="AE47" s="27"/>
    </row>
    <row r="48" spans="1:31" x14ac:dyDescent="0.2">
      <c r="A48" s="27"/>
      <c r="B48" s="27"/>
      <c r="C48" s="27"/>
      <c r="D48" s="27"/>
      <c r="E48" s="27"/>
      <c r="F48" s="27"/>
      <c r="G48" s="27"/>
      <c r="H48" s="27"/>
      <c r="I48" s="27"/>
      <c r="J48" s="27"/>
      <c r="K48" s="27"/>
      <c r="L48" s="27"/>
      <c r="M48" s="27"/>
      <c r="N48" s="27"/>
      <c r="O48" s="27"/>
      <c r="P48" s="27"/>
      <c r="Q48" s="27"/>
      <c r="R48" s="27"/>
      <c r="S48" s="27"/>
      <c r="T48" s="27"/>
      <c r="AE48" s="27"/>
    </row>
    <row r="49" spans="1:31" x14ac:dyDescent="0.2">
      <c r="A49" s="27"/>
      <c r="B49" s="27"/>
      <c r="C49" s="27"/>
      <c r="D49" s="27"/>
      <c r="E49" s="27"/>
      <c r="F49" s="27"/>
      <c r="G49" s="27"/>
      <c r="H49" s="27"/>
      <c r="I49" s="27"/>
      <c r="J49" s="27"/>
      <c r="K49" s="27"/>
      <c r="L49" s="27"/>
      <c r="M49" s="27"/>
      <c r="N49" s="27"/>
      <c r="O49" s="27"/>
      <c r="P49" s="27"/>
      <c r="Q49" s="27"/>
      <c r="R49" s="27"/>
      <c r="S49" s="27"/>
      <c r="T49" s="27"/>
      <c r="AE49" s="27"/>
    </row>
    <row r="50" spans="1:31" x14ac:dyDescent="0.2">
      <c r="A50" s="27"/>
      <c r="B50" s="27"/>
      <c r="C50" s="27"/>
      <c r="D50" s="27"/>
      <c r="E50" s="27"/>
      <c r="F50" s="27"/>
      <c r="G50" s="27"/>
      <c r="H50" s="27"/>
      <c r="I50" s="27"/>
      <c r="J50" s="27"/>
      <c r="K50" s="27"/>
      <c r="L50" s="27"/>
      <c r="M50" s="27"/>
      <c r="N50" s="27"/>
      <c r="O50" s="27"/>
      <c r="P50" s="27"/>
      <c r="Q50" s="27"/>
      <c r="R50" s="27"/>
      <c r="S50" s="27"/>
      <c r="T50" s="27"/>
      <c r="AE50" s="27"/>
    </row>
    <row r="51" spans="1:31" x14ac:dyDescent="0.2">
      <c r="A51" s="27"/>
      <c r="B51" s="27"/>
      <c r="C51" s="27"/>
      <c r="D51" s="27"/>
      <c r="E51" s="27"/>
      <c r="F51" s="27"/>
      <c r="G51" s="27"/>
      <c r="H51" s="27"/>
      <c r="I51" s="27"/>
      <c r="J51" s="27"/>
      <c r="K51" s="27"/>
      <c r="L51" s="27"/>
      <c r="M51" s="27"/>
      <c r="N51" s="27"/>
      <c r="O51" s="27"/>
      <c r="P51" s="27"/>
      <c r="Q51" s="27"/>
      <c r="R51" s="27"/>
      <c r="S51" s="27"/>
      <c r="T51" s="27"/>
      <c r="AE51" s="27"/>
    </row>
    <row r="52" spans="1:31" x14ac:dyDescent="0.2">
      <c r="A52" s="27"/>
      <c r="B52" s="27"/>
      <c r="C52" s="27"/>
      <c r="D52" s="27"/>
      <c r="E52" s="27"/>
      <c r="F52" s="27"/>
      <c r="G52" s="27"/>
      <c r="H52" s="27"/>
      <c r="I52" s="27"/>
      <c r="J52" s="27"/>
      <c r="K52" s="27"/>
      <c r="L52" s="27"/>
      <c r="M52" s="27"/>
      <c r="N52" s="27"/>
      <c r="O52" s="27"/>
      <c r="P52" s="27"/>
      <c r="Q52" s="27"/>
      <c r="R52" s="27"/>
      <c r="S52" s="27"/>
      <c r="T52" s="27"/>
      <c r="AE52" s="27"/>
    </row>
    <row r="53" spans="1:31" x14ac:dyDescent="0.2">
      <c r="A53" s="27"/>
      <c r="B53" s="27"/>
      <c r="C53" s="27"/>
      <c r="D53" s="27"/>
      <c r="E53" s="27"/>
      <c r="F53" s="27"/>
      <c r="G53" s="27"/>
      <c r="H53" s="27"/>
      <c r="I53" s="27"/>
      <c r="J53" s="27"/>
      <c r="K53" s="27"/>
      <c r="L53" s="27"/>
      <c r="M53" s="27"/>
      <c r="N53" s="27"/>
      <c r="O53" s="27"/>
      <c r="P53" s="27"/>
      <c r="Q53" s="27"/>
      <c r="R53" s="27"/>
      <c r="S53" s="27"/>
      <c r="T53" s="27"/>
      <c r="AE53" s="27"/>
    </row>
    <row r="54" spans="1:31" x14ac:dyDescent="0.2">
      <c r="A54" s="27"/>
      <c r="B54" s="27"/>
      <c r="C54" s="27"/>
      <c r="D54" s="27"/>
      <c r="E54" s="27"/>
      <c r="F54" s="27"/>
      <c r="G54" s="27"/>
      <c r="H54" s="27"/>
      <c r="I54" s="27"/>
      <c r="J54" s="27"/>
      <c r="K54" s="27"/>
      <c r="L54" s="27"/>
      <c r="M54" s="27"/>
      <c r="N54" s="27"/>
      <c r="O54" s="27"/>
      <c r="P54" s="27"/>
      <c r="Q54" s="27"/>
      <c r="R54" s="27"/>
      <c r="S54" s="27"/>
      <c r="T54" s="27"/>
      <c r="AE54" s="27"/>
    </row>
    <row r="55" spans="1:31" x14ac:dyDescent="0.2">
      <c r="A55" s="27"/>
      <c r="B55" s="27"/>
      <c r="C55" s="27"/>
      <c r="D55" s="27"/>
      <c r="E55" s="27"/>
      <c r="F55" s="27"/>
      <c r="G55" s="27"/>
      <c r="H55" s="27"/>
      <c r="I55" s="27"/>
      <c r="J55" s="27"/>
      <c r="K55" s="27"/>
      <c r="L55" s="27"/>
      <c r="M55" s="27"/>
      <c r="N55" s="27"/>
      <c r="O55" s="27"/>
      <c r="P55" s="27"/>
      <c r="Q55" s="27"/>
      <c r="R55" s="27"/>
      <c r="S55" s="27"/>
      <c r="T55" s="27"/>
      <c r="AE55" s="27"/>
    </row>
    <row r="56" spans="1:31" x14ac:dyDescent="0.2">
      <c r="A56" s="27"/>
      <c r="B56" s="27"/>
      <c r="C56" s="27"/>
      <c r="D56" s="27"/>
      <c r="E56" s="27"/>
      <c r="F56" s="27"/>
      <c r="G56" s="27"/>
      <c r="H56" s="27"/>
      <c r="I56" s="27"/>
      <c r="J56" s="27"/>
      <c r="K56" s="27"/>
      <c r="L56" s="27"/>
      <c r="M56" s="27"/>
      <c r="N56" s="27"/>
      <c r="O56" s="27"/>
      <c r="P56" s="27"/>
      <c r="Q56" s="27"/>
      <c r="R56" s="27"/>
      <c r="S56" s="27"/>
      <c r="T56" s="27"/>
      <c r="AE56" s="27"/>
    </row>
    <row r="57" spans="1:31" x14ac:dyDescent="0.2">
      <c r="A57" s="27"/>
      <c r="B57" s="27"/>
      <c r="C57" s="27"/>
      <c r="D57" s="27"/>
      <c r="E57" s="27"/>
      <c r="F57" s="27"/>
      <c r="G57" s="27"/>
      <c r="H57" s="27"/>
      <c r="I57" s="27"/>
      <c r="J57" s="27"/>
      <c r="K57" s="27"/>
      <c r="L57" s="27"/>
      <c r="M57" s="27"/>
      <c r="N57" s="27"/>
      <c r="O57" s="27"/>
      <c r="P57" s="27"/>
      <c r="Q57" s="27"/>
      <c r="R57" s="27"/>
      <c r="S57" s="27"/>
      <c r="T57" s="27"/>
      <c r="AE57" s="27"/>
    </row>
    <row r="58" spans="1:31" x14ac:dyDescent="0.2">
      <c r="A58" s="27"/>
      <c r="B58" s="27"/>
      <c r="C58" s="27"/>
      <c r="D58" s="27"/>
      <c r="E58" s="27"/>
      <c r="F58" s="27"/>
      <c r="G58" s="27"/>
      <c r="H58" s="27"/>
      <c r="I58" s="27"/>
      <c r="J58" s="27"/>
      <c r="K58" s="27"/>
      <c r="L58" s="27"/>
      <c r="M58" s="27"/>
      <c r="N58" s="27"/>
      <c r="O58" s="27"/>
      <c r="P58" s="27"/>
      <c r="Q58" s="27"/>
      <c r="R58" s="27"/>
      <c r="S58" s="27"/>
      <c r="T58" s="27"/>
      <c r="AE58" s="27"/>
    </row>
    <row r="59" spans="1:31" x14ac:dyDescent="0.2">
      <c r="A59" s="27"/>
      <c r="B59" s="27"/>
      <c r="C59" s="27"/>
      <c r="D59" s="27"/>
      <c r="E59" s="27"/>
      <c r="F59" s="27"/>
      <c r="G59" s="27"/>
      <c r="H59" s="27"/>
      <c r="I59" s="27"/>
      <c r="J59" s="27"/>
      <c r="K59" s="27"/>
      <c r="L59" s="27"/>
      <c r="M59" s="27"/>
      <c r="N59" s="27"/>
      <c r="O59" s="27"/>
      <c r="P59" s="27"/>
      <c r="Q59" s="27"/>
      <c r="R59" s="27"/>
      <c r="S59" s="27"/>
      <c r="T59" s="27"/>
      <c r="AE59" s="27"/>
    </row>
    <row r="60" spans="1:31" x14ac:dyDescent="0.2">
      <c r="A60" s="27"/>
      <c r="B60" s="27"/>
      <c r="C60" s="27"/>
      <c r="D60" s="27"/>
      <c r="E60" s="27"/>
      <c r="F60" s="27"/>
      <c r="G60" s="27"/>
      <c r="H60" s="27"/>
      <c r="I60" s="27"/>
      <c r="J60" s="27"/>
      <c r="K60" s="27"/>
      <c r="L60" s="27"/>
      <c r="M60" s="27"/>
      <c r="N60" s="27"/>
      <c r="O60" s="27"/>
      <c r="P60" s="27"/>
      <c r="Q60" s="27"/>
      <c r="R60" s="27"/>
      <c r="S60" s="27"/>
      <c r="T60" s="27"/>
      <c r="AE60" s="27"/>
    </row>
    <row r="61" spans="1:31" x14ac:dyDescent="0.2">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row>
    <row r="62" spans="1:31" x14ac:dyDescent="0.2">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row>
    <row r="63" spans="1:31" x14ac:dyDescent="0.2">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row>
    <row r="64" spans="1:31" x14ac:dyDescent="0.2">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row>
    <row r="65" spans="1:31" x14ac:dyDescent="0.2">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row>
  </sheetData>
  <mergeCells count="2">
    <mergeCell ref="A7:R7"/>
    <mergeCell ref="A27:R27"/>
  </mergeCells>
  <phoneticPr fontId="14" type="noConversion"/>
  <printOptions horizontalCentered="1"/>
  <pageMargins left="0.5" right="0.5" top="1" bottom="0.5"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44"/>
  <sheetViews>
    <sheetView workbookViewId="0"/>
  </sheetViews>
  <sheetFormatPr defaultColWidth="9.77734375" defaultRowHeight="15" x14ac:dyDescent="0.2"/>
  <cols>
    <col min="1" max="1" width="5" style="181" customWidth="1"/>
    <col min="2" max="2" width="13.21875" style="181" customWidth="1"/>
    <col min="3" max="3" width="6.88671875" style="181" customWidth="1"/>
    <col min="4" max="4" width="12.33203125" style="181" customWidth="1"/>
    <col min="5" max="5" width="8" style="181" customWidth="1"/>
    <col min="6" max="6" width="9.77734375" style="181" customWidth="1"/>
    <col min="7" max="7" width="2.5546875" style="181" customWidth="1"/>
    <col min="8" max="8" width="9.77734375" style="181" customWidth="1"/>
    <col min="9" max="9" width="3.5546875" style="181" customWidth="1"/>
    <col min="10" max="13" width="9.77734375" style="181" customWidth="1"/>
    <col min="14" max="14" width="12.77734375" style="181" bestFit="1" customWidth="1"/>
    <col min="15" max="16384" width="9.77734375" style="181"/>
  </cols>
  <sheetData>
    <row r="1" spans="1:19" x14ac:dyDescent="0.2">
      <c r="A1" s="15" t="s">
        <v>386</v>
      </c>
      <c r="B1" s="15"/>
      <c r="C1" s="15"/>
      <c r="D1" s="15"/>
      <c r="E1" s="15"/>
      <c r="F1" s="15"/>
      <c r="G1" s="15"/>
      <c r="H1" s="15"/>
      <c r="I1" s="15"/>
      <c r="J1" s="15"/>
    </row>
    <row r="2" spans="1:19" x14ac:dyDescent="0.2">
      <c r="A2" s="31"/>
      <c r="B2" s="31"/>
      <c r="C2" s="31"/>
      <c r="D2" s="31"/>
      <c r="E2" s="31"/>
      <c r="F2" s="31"/>
      <c r="G2" s="31"/>
      <c r="H2" s="31"/>
      <c r="I2" s="32"/>
      <c r="N2" s="555"/>
    </row>
    <row r="3" spans="1:19" x14ac:dyDescent="0.2">
      <c r="A3" s="16" t="s">
        <v>95</v>
      </c>
      <c r="B3" s="16"/>
      <c r="C3" s="16"/>
      <c r="D3" s="16"/>
      <c r="E3" s="16"/>
      <c r="F3" s="16"/>
      <c r="G3" s="16"/>
      <c r="H3" s="16"/>
      <c r="I3" s="32"/>
      <c r="N3" s="555"/>
    </row>
    <row r="4" spans="1:19" x14ac:dyDescent="0.2">
      <c r="A4" s="32"/>
      <c r="B4" s="32"/>
      <c r="C4" s="32"/>
      <c r="D4" s="32"/>
      <c r="E4" s="32"/>
      <c r="F4" s="32"/>
      <c r="G4" s="32"/>
      <c r="H4" s="32"/>
      <c r="I4" s="32"/>
      <c r="N4" s="195"/>
    </row>
    <row r="5" spans="1:19" x14ac:dyDescent="0.2">
      <c r="A5" s="373" t="s">
        <v>42</v>
      </c>
      <c r="B5" s="373"/>
      <c r="C5" s="373"/>
      <c r="D5" s="373"/>
      <c r="E5" s="373"/>
      <c r="F5" s="373"/>
      <c r="G5" s="373"/>
      <c r="H5" s="373"/>
      <c r="I5" s="373"/>
      <c r="J5" s="374"/>
      <c r="N5" s="195"/>
    </row>
    <row r="6" spans="1:19" x14ac:dyDescent="0.2">
      <c r="A6" s="373"/>
      <c r="B6" s="373"/>
      <c r="C6" s="373"/>
      <c r="D6" s="373"/>
      <c r="E6" s="373"/>
      <c r="F6" s="373"/>
      <c r="G6" s="373"/>
      <c r="H6" s="373"/>
      <c r="I6" s="373"/>
      <c r="J6" s="374"/>
      <c r="N6" s="195"/>
    </row>
    <row r="7" spans="1:19" ht="28.15" customHeight="1" x14ac:dyDescent="0.2">
      <c r="A7" s="710" t="s">
        <v>428</v>
      </c>
      <c r="B7" s="711"/>
      <c r="C7" s="711"/>
      <c r="D7" s="711"/>
      <c r="E7" s="711"/>
      <c r="F7" s="711"/>
      <c r="G7" s="711"/>
      <c r="H7" s="711"/>
      <c r="I7" s="711"/>
      <c r="J7" s="711"/>
      <c r="N7" s="195"/>
    </row>
    <row r="8" spans="1:19" x14ac:dyDescent="0.2">
      <c r="A8" s="373"/>
      <c r="B8" s="373"/>
      <c r="C8" s="373"/>
      <c r="D8" s="373"/>
      <c r="E8" s="373"/>
      <c r="F8" s="373"/>
      <c r="G8" s="373"/>
      <c r="H8" s="373"/>
      <c r="I8" s="373"/>
      <c r="J8" s="374"/>
      <c r="N8" s="273"/>
    </row>
    <row r="9" spans="1:19" x14ac:dyDescent="0.2">
      <c r="A9" s="373"/>
      <c r="B9" s="373"/>
      <c r="C9" s="373"/>
      <c r="D9" s="374"/>
      <c r="E9" s="373"/>
      <c r="F9" s="373"/>
      <c r="G9" s="373"/>
      <c r="H9" s="373"/>
      <c r="I9" s="373"/>
      <c r="J9" s="374"/>
      <c r="N9" s="195"/>
    </row>
    <row r="10" spans="1:19" x14ac:dyDescent="0.2">
      <c r="A10" s="373" t="s">
        <v>143</v>
      </c>
      <c r="B10" s="373"/>
      <c r="C10" s="375">
        <f>+'F 3B 4B'!G46</f>
        <v>1000</v>
      </c>
      <c r="D10" s="376" t="s">
        <v>427</v>
      </c>
      <c r="E10" s="377"/>
      <c r="F10" s="378" t="s">
        <v>144</v>
      </c>
      <c r="G10" s="374"/>
      <c r="H10" s="379">
        <f>ROUND((+C10*60*2)/D11,4)</f>
        <v>4.1799999999999997E-2</v>
      </c>
      <c r="I10" s="373"/>
      <c r="J10" s="374"/>
      <c r="N10" s="273"/>
      <c r="Q10" s="108"/>
    </row>
    <row r="11" spans="1:19" x14ac:dyDescent="0.2">
      <c r="A11" s="373"/>
      <c r="B11" s="373"/>
      <c r="C11" s="374"/>
      <c r="D11" s="525">
        <v>2871000</v>
      </c>
      <c r="E11" s="380" t="s">
        <v>213</v>
      </c>
      <c r="F11" s="378"/>
      <c r="G11" s="373"/>
      <c r="H11" s="374"/>
      <c r="I11" s="373"/>
      <c r="J11" s="374"/>
      <c r="N11" s="273"/>
    </row>
    <row r="12" spans="1:19" x14ac:dyDescent="0.2">
      <c r="A12" s="373"/>
      <c r="B12" s="373"/>
      <c r="C12" s="373"/>
      <c r="D12" s="373"/>
      <c r="E12" s="373"/>
      <c r="F12" s="378"/>
      <c r="G12" s="373"/>
      <c r="H12" s="374"/>
      <c r="I12" s="373"/>
      <c r="J12" s="374"/>
      <c r="N12" s="273"/>
    </row>
    <row r="13" spans="1:19" x14ac:dyDescent="0.2">
      <c r="A13" s="373" t="s">
        <v>145</v>
      </c>
      <c r="B13" s="373"/>
      <c r="C13" s="374"/>
      <c r="D13" s="379">
        <v>1</v>
      </c>
      <c r="E13" s="378" t="s">
        <v>146</v>
      </c>
      <c r="F13" s="379">
        <f>H10</f>
        <v>4.1799999999999997E-2</v>
      </c>
      <c r="G13" s="381" t="s">
        <v>144</v>
      </c>
      <c r="H13" s="379">
        <f>D13-F13</f>
        <v>0.95820000000000005</v>
      </c>
      <c r="I13" s="373"/>
      <c r="J13" s="374"/>
      <c r="N13" s="273"/>
    </row>
    <row r="14" spans="1:19" x14ac:dyDescent="0.2">
      <c r="A14" s="373"/>
      <c r="B14" s="373"/>
      <c r="C14" s="373"/>
      <c r="D14" s="373"/>
      <c r="E14" s="373"/>
      <c r="F14" s="373"/>
      <c r="G14" s="373"/>
      <c r="H14" s="373"/>
      <c r="I14" s="373"/>
      <c r="J14" s="374"/>
      <c r="N14" s="273"/>
    </row>
    <row r="15" spans="1:19" x14ac:dyDescent="0.2">
      <c r="A15" s="373"/>
      <c r="B15" s="373"/>
      <c r="C15" s="373"/>
      <c r="D15" s="373"/>
      <c r="E15" s="373"/>
      <c r="F15" s="373"/>
      <c r="G15" s="373"/>
      <c r="H15" s="373"/>
      <c r="I15" s="373"/>
      <c r="J15" s="382"/>
      <c r="K15" s="151"/>
      <c r="L15" s="151"/>
      <c r="M15" s="151"/>
      <c r="N15" s="274"/>
      <c r="O15" s="189"/>
      <c r="P15" s="151"/>
      <c r="Q15" s="151"/>
      <c r="R15" s="151"/>
      <c r="S15" s="151"/>
    </row>
    <row r="16" spans="1:19" ht="29.25" customHeight="1" x14ac:dyDescent="0.2">
      <c r="A16" s="710" t="s">
        <v>147</v>
      </c>
      <c r="B16" s="710"/>
      <c r="C16" s="710"/>
      <c r="D16" s="710"/>
      <c r="E16" s="710"/>
      <c r="F16" s="710"/>
      <c r="G16" s="710"/>
      <c r="H16" s="710"/>
      <c r="I16" s="373"/>
      <c r="J16" s="374"/>
      <c r="N16" s="273"/>
    </row>
    <row r="17" spans="1:14" x14ac:dyDescent="0.2">
      <c r="A17" s="373"/>
      <c r="B17" s="373"/>
      <c r="C17" s="373"/>
      <c r="D17" s="373"/>
      <c r="E17" s="373"/>
      <c r="F17" s="373"/>
      <c r="G17" s="373"/>
      <c r="H17" s="373"/>
      <c r="I17" s="373"/>
      <c r="J17" s="374"/>
      <c r="N17" s="273"/>
    </row>
    <row r="18" spans="1:14" x14ac:dyDescent="0.2">
      <c r="A18" s="373"/>
      <c r="B18" s="373"/>
      <c r="C18" s="373"/>
      <c r="D18" s="378" t="s">
        <v>103</v>
      </c>
      <c r="E18" s="373"/>
      <c r="F18" s="373"/>
      <c r="G18" s="373"/>
      <c r="H18" s="373"/>
      <c r="I18" s="373"/>
      <c r="J18" s="374"/>
      <c r="N18" s="273"/>
    </row>
    <row r="19" spans="1:14" x14ac:dyDescent="0.2">
      <c r="A19" s="373"/>
      <c r="B19" s="373"/>
      <c r="C19" s="373"/>
      <c r="D19" s="378" t="s">
        <v>148</v>
      </c>
      <c r="E19" s="373"/>
      <c r="F19" s="373"/>
      <c r="G19" s="373"/>
      <c r="H19" s="373"/>
      <c r="I19" s="373"/>
      <c r="J19" s="374"/>
      <c r="N19" s="273"/>
    </row>
    <row r="20" spans="1:14" x14ac:dyDescent="0.2">
      <c r="A20" s="373"/>
      <c r="B20" s="373"/>
      <c r="C20" s="373"/>
      <c r="D20" s="378" t="s">
        <v>105</v>
      </c>
      <c r="E20" s="373"/>
      <c r="F20" s="378" t="s">
        <v>149</v>
      </c>
      <c r="G20" s="373"/>
      <c r="H20" s="378" t="s">
        <v>106</v>
      </c>
      <c r="I20" s="373"/>
      <c r="J20" s="374"/>
      <c r="N20" s="273"/>
    </row>
    <row r="21" spans="1:14" x14ac:dyDescent="0.2">
      <c r="A21" s="373"/>
      <c r="B21" s="373"/>
      <c r="C21" s="373"/>
      <c r="D21" s="380"/>
      <c r="E21" s="373"/>
      <c r="F21" s="380"/>
      <c r="G21" s="373"/>
      <c r="H21" s="380"/>
      <c r="I21" s="373"/>
      <c r="J21" s="374"/>
      <c r="N21" s="273"/>
    </row>
    <row r="22" spans="1:14" x14ac:dyDescent="0.2">
      <c r="A22" s="373"/>
      <c r="B22" s="373" t="s">
        <v>127</v>
      </c>
      <c r="C22" s="373"/>
      <c r="D22" s="383">
        <v>1</v>
      </c>
      <c r="E22" s="373"/>
      <c r="F22" s="383">
        <f>D22/D27*100</f>
        <v>33.333333333333329</v>
      </c>
      <c r="G22" s="373"/>
      <c r="H22" s="379">
        <f>ROUND(F22/100*(1-H10),4)</f>
        <v>0.31940000000000002</v>
      </c>
      <c r="I22" s="373"/>
      <c r="J22" s="374"/>
      <c r="N22" s="273"/>
    </row>
    <row r="23" spans="1:14" ht="8.4499999999999993" customHeight="1" x14ac:dyDescent="0.2">
      <c r="A23" s="373"/>
      <c r="B23" s="373"/>
      <c r="C23" s="373"/>
      <c r="D23" s="373"/>
      <c r="E23" s="373"/>
      <c r="F23" s="373"/>
      <c r="G23" s="373"/>
      <c r="H23" s="373"/>
      <c r="I23" s="373"/>
      <c r="J23" s="374"/>
      <c r="N23" s="273"/>
    </row>
    <row r="24" spans="1:14" x14ac:dyDescent="0.2">
      <c r="A24" s="373"/>
      <c r="B24" s="373" t="s">
        <v>85</v>
      </c>
      <c r="C24" s="373"/>
      <c r="D24" s="373"/>
      <c r="E24" s="373"/>
      <c r="F24" s="373"/>
      <c r="G24" s="373"/>
      <c r="H24" s="373"/>
      <c r="I24" s="373"/>
      <c r="J24" s="374"/>
      <c r="N24" s="273"/>
    </row>
    <row r="25" spans="1:14" x14ac:dyDescent="0.2">
      <c r="A25" s="373"/>
      <c r="B25" s="373" t="s">
        <v>150</v>
      </c>
      <c r="C25" s="373"/>
      <c r="D25" s="383">
        <f>'F 3B 4B'!$E$42</f>
        <v>2</v>
      </c>
      <c r="E25" s="373"/>
      <c r="F25" s="383">
        <f>D25/D27*100</f>
        <v>66.666666666666657</v>
      </c>
      <c r="G25" s="373"/>
      <c r="H25" s="379">
        <f>ROUND(F25/100*(1-H10),4)</f>
        <v>0.63880000000000003</v>
      </c>
      <c r="I25" s="373"/>
      <c r="J25" s="374"/>
      <c r="N25" s="273"/>
    </row>
    <row r="26" spans="1:14" x14ac:dyDescent="0.2">
      <c r="A26" s="373"/>
      <c r="B26" s="373"/>
      <c r="C26" s="373"/>
      <c r="D26" s="384"/>
      <c r="E26" s="373"/>
      <c r="F26" s="384"/>
      <c r="G26" s="373"/>
      <c r="H26" s="384"/>
      <c r="I26" s="373"/>
      <c r="J26" s="374"/>
      <c r="N26" s="273"/>
    </row>
    <row r="27" spans="1:14" ht="15.75" thickBot="1" x14ac:dyDescent="0.25">
      <c r="A27" s="373"/>
      <c r="B27" s="373" t="s">
        <v>109</v>
      </c>
      <c r="C27" s="373"/>
      <c r="D27" s="383">
        <f>SUM(D22:D26)</f>
        <v>3</v>
      </c>
      <c r="E27" s="373"/>
      <c r="F27" s="383">
        <f>SUM(F22:F26)</f>
        <v>99.999999999999986</v>
      </c>
      <c r="G27" s="373"/>
      <c r="H27" s="385">
        <f>SUM(H22:H26)</f>
        <v>0.95820000000000005</v>
      </c>
      <c r="I27" s="373"/>
      <c r="J27" s="374"/>
      <c r="N27" s="273"/>
    </row>
    <row r="28" spans="1:14" ht="15.75" thickTop="1" x14ac:dyDescent="0.2">
      <c r="A28" s="373"/>
      <c r="B28" s="373"/>
      <c r="C28" s="373"/>
      <c r="D28" s="386"/>
      <c r="E28" s="373"/>
      <c r="F28" s="386"/>
      <c r="G28" s="373"/>
      <c r="H28" s="387"/>
      <c r="I28" s="373"/>
      <c r="J28" s="374"/>
      <c r="N28" s="273"/>
    </row>
    <row r="29" spans="1:14" x14ac:dyDescent="0.2">
      <c r="A29" s="374"/>
      <c r="B29" s="374"/>
      <c r="C29" s="374"/>
      <c r="D29" s="374"/>
      <c r="E29" s="374"/>
      <c r="F29" s="374"/>
      <c r="G29" s="374"/>
      <c r="H29" s="374"/>
      <c r="I29" s="374"/>
      <c r="J29" s="374"/>
      <c r="N29" s="273"/>
    </row>
    <row r="30" spans="1:14" x14ac:dyDescent="0.2">
      <c r="A30" s="388"/>
      <c r="B30" s="388"/>
      <c r="C30" s="388"/>
      <c r="D30" s="389" t="s">
        <v>133</v>
      </c>
      <c r="E30" s="374"/>
      <c r="F30" s="388"/>
      <c r="G30" s="390"/>
      <c r="H30" s="388"/>
      <c r="I30" s="388"/>
      <c r="J30" s="388"/>
      <c r="K30" s="22"/>
      <c r="N30" s="273"/>
    </row>
    <row r="31" spans="1:14" x14ac:dyDescent="0.2">
      <c r="A31" s="388"/>
      <c r="B31" s="388"/>
      <c r="C31" s="388"/>
      <c r="D31" s="389" t="s">
        <v>134</v>
      </c>
      <c r="E31" s="374"/>
      <c r="F31" s="391" t="s">
        <v>135</v>
      </c>
      <c r="G31" s="391"/>
      <c r="H31" s="391"/>
      <c r="I31" s="391"/>
      <c r="J31" s="391"/>
    </row>
    <row r="32" spans="1:14" x14ac:dyDescent="0.2">
      <c r="A32" s="706" t="s">
        <v>113</v>
      </c>
      <c r="B32" s="706"/>
      <c r="C32" s="391"/>
      <c r="D32" s="389" t="s">
        <v>84</v>
      </c>
      <c r="E32" s="374"/>
      <c r="F32" s="392"/>
      <c r="G32" s="392"/>
      <c r="H32" s="392" t="s">
        <v>279</v>
      </c>
      <c r="I32" s="392"/>
      <c r="J32" s="392" t="s">
        <v>67</v>
      </c>
    </row>
    <row r="33" spans="1:11" x14ac:dyDescent="0.2">
      <c r="A33" s="709" t="s">
        <v>68</v>
      </c>
      <c r="B33" s="709"/>
      <c r="C33" s="373"/>
      <c r="D33" s="389" t="s">
        <v>318</v>
      </c>
      <c r="E33" s="374"/>
      <c r="F33" s="389" t="s">
        <v>99</v>
      </c>
      <c r="G33" s="389"/>
      <c r="H33" s="389" t="s">
        <v>136</v>
      </c>
      <c r="I33" s="389"/>
      <c r="J33" s="389" t="s">
        <v>69</v>
      </c>
    </row>
    <row r="34" spans="1:11" x14ac:dyDescent="0.2">
      <c r="A34" s="393" t="s">
        <v>70</v>
      </c>
      <c r="B34" s="393"/>
      <c r="C34" s="374"/>
      <c r="D34" s="392" t="s">
        <v>88</v>
      </c>
      <c r="E34" s="374"/>
      <c r="F34" s="392" t="s">
        <v>72</v>
      </c>
      <c r="G34" s="389"/>
      <c r="H34" s="392" t="s">
        <v>101</v>
      </c>
      <c r="I34" s="389"/>
      <c r="J34" s="392" t="s">
        <v>102</v>
      </c>
    </row>
    <row r="35" spans="1:11" x14ac:dyDescent="0.2">
      <c r="A35" s="390"/>
      <c r="B35" s="390"/>
      <c r="C35" s="388"/>
      <c r="D35" s="388"/>
      <c r="E35" s="374"/>
      <c r="F35" s="388"/>
      <c r="G35" s="388"/>
      <c r="H35" s="388"/>
      <c r="I35" s="388"/>
      <c r="J35" s="388"/>
    </row>
    <row r="36" spans="1:11" x14ac:dyDescent="0.2">
      <c r="A36" s="388" t="s">
        <v>73</v>
      </c>
      <c r="B36" s="388"/>
      <c r="C36" s="388"/>
      <c r="D36" s="394">
        <f>+'F 5'!D16</f>
        <v>26.3</v>
      </c>
      <c r="E36" s="374"/>
      <c r="F36" s="526">
        <f>+'F 3B 4B'!G58</f>
        <v>4</v>
      </c>
      <c r="G36" s="388"/>
      <c r="H36" s="395">
        <f>ROUND(D36*F36,1)</f>
        <v>105.2</v>
      </c>
      <c r="I36" s="388"/>
      <c r="J36" s="396">
        <f>ROUND(+H36/H$42,4)</f>
        <v>0.69850000000000001</v>
      </c>
    </row>
    <row r="37" spans="1:11" x14ac:dyDescent="0.2">
      <c r="A37" s="334" t="s">
        <v>543</v>
      </c>
      <c r="B37" s="388"/>
      <c r="C37" s="388"/>
      <c r="D37" s="394">
        <f>+'F 5'!D17</f>
        <v>14.7</v>
      </c>
      <c r="E37" s="374"/>
      <c r="F37" s="526">
        <f>+'F 3B 4B'!G59</f>
        <v>2.5</v>
      </c>
      <c r="G37" s="388"/>
      <c r="H37" s="395">
        <f>ROUND(D37*F37,1)</f>
        <v>36.799999999999997</v>
      </c>
      <c r="I37" s="388"/>
      <c r="J37" s="396">
        <f>ROUND(+H37/H$42,4)</f>
        <v>0.24440000000000001</v>
      </c>
    </row>
    <row r="38" spans="1:11" x14ac:dyDescent="0.2">
      <c r="A38" s="388" t="s">
        <v>75</v>
      </c>
      <c r="B38" s="388"/>
      <c r="C38" s="388"/>
      <c r="D38" s="394">
        <f>+'F 5'!D18</f>
        <v>5.7</v>
      </c>
      <c r="E38" s="374"/>
      <c r="F38" s="526">
        <f>+'F 3B 4B'!G60</f>
        <v>1.5</v>
      </c>
      <c r="G38" s="388"/>
      <c r="H38" s="395">
        <f>ROUND(D38*F38,1)</f>
        <v>8.6</v>
      </c>
      <c r="I38" s="388"/>
      <c r="J38" s="396">
        <f>ROUND(+H38/H$42,4)</f>
        <v>5.7099999999999998E-2</v>
      </c>
    </row>
    <row r="39" spans="1:11" hidden="1" x14ac:dyDescent="0.2">
      <c r="A39" s="388" t="s">
        <v>76</v>
      </c>
      <c r="B39" s="388"/>
      <c r="C39" s="388"/>
      <c r="D39" s="394">
        <f>+'F 5'!D19</f>
        <v>0</v>
      </c>
      <c r="E39" s="374"/>
      <c r="F39" s="526"/>
      <c r="G39" s="388"/>
      <c r="H39" s="395">
        <f>ROUND(D39*F39,1)</f>
        <v>0</v>
      </c>
      <c r="I39" s="388"/>
      <c r="J39" s="396">
        <f>ROUND(+H39/H$42,4)</f>
        <v>0</v>
      </c>
    </row>
    <row r="40" spans="1:11" hidden="1" x14ac:dyDescent="0.2">
      <c r="A40" s="388" t="s">
        <v>179</v>
      </c>
      <c r="B40" s="388"/>
      <c r="C40" s="388"/>
      <c r="D40" s="394">
        <f>+'F 5'!D20</f>
        <v>0</v>
      </c>
      <c r="E40" s="374"/>
      <c r="F40" s="526"/>
      <c r="G40" s="388"/>
      <c r="H40" s="395">
        <f>ROUND(D40*F40,1)</f>
        <v>0</v>
      </c>
      <c r="I40" s="388"/>
      <c r="J40" s="396">
        <f>ROUND(+H40/H$42,4)</f>
        <v>0</v>
      </c>
    </row>
    <row r="41" spans="1:11" x14ac:dyDescent="0.2">
      <c r="A41" s="388"/>
      <c r="B41" s="388"/>
      <c r="C41" s="388"/>
      <c r="D41" s="397"/>
      <c r="E41" s="374"/>
      <c r="F41" s="524"/>
      <c r="G41" s="388"/>
      <c r="H41" s="398"/>
      <c r="I41" s="388"/>
      <c r="J41" s="399"/>
    </row>
    <row r="42" spans="1:11" ht="15.75" thickBot="1" x14ac:dyDescent="0.25">
      <c r="A42" s="388" t="s">
        <v>137</v>
      </c>
      <c r="B42" s="388"/>
      <c r="C42" s="388"/>
      <c r="D42" s="400">
        <f>SUM(D36:D41)</f>
        <v>46.7</v>
      </c>
      <c r="E42" s="374"/>
      <c r="F42" s="395"/>
      <c r="G42" s="395"/>
      <c r="H42" s="400">
        <f>SUM(H36:H41)</f>
        <v>150.6</v>
      </c>
      <c r="I42" s="388"/>
      <c r="J42" s="401">
        <f>SUM(J36:J41)</f>
        <v>1</v>
      </c>
    </row>
    <row r="43" spans="1:11" ht="15.75" thickTop="1" x14ac:dyDescent="0.2">
      <c r="A43" s="390"/>
      <c r="B43" s="390"/>
      <c r="C43" s="390"/>
      <c r="D43" s="390"/>
      <c r="E43" s="390"/>
      <c r="F43" s="390"/>
      <c r="G43" s="390"/>
      <c r="H43" s="390"/>
      <c r="I43" s="390"/>
      <c r="J43" s="390"/>
      <c r="K43" s="108"/>
    </row>
    <row r="44" spans="1:11" x14ac:dyDescent="0.2">
      <c r="A44" s="388" t="s">
        <v>138</v>
      </c>
      <c r="B44" s="374"/>
      <c r="C44" s="374"/>
      <c r="D44" s="374"/>
      <c r="E44" s="374"/>
      <c r="F44" s="374"/>
      <c r="G44" s="374"/>
      <c r="H44" s="374"/>
      <c r="I44" s="374"/>
      <c r="J44" s="374"/>
    </row>
  </sheetData>
  <mergeCells count="4">
    <mergeCell ref="A32:B32"/>
    <mergeCell ref="A33:B33"/>
    <mergeCell ref="A7:J7"/>
    <mergeCell ref="A16:H16"/>
  </mergeCells>
  <phoneticPr fontId="14" type="noConversion"/>
  <printOptions horizontalCentered="1"/>
  <pageMargins left="1" right="1" top="1" bottom="0.5" header="0.5" footer="0.5"/>
  <pageSetup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76"/>
  <sheetViews>
    <sheetView workbookViewId="0"/>
  </sheetViews>
  <sheetFormatPr defaultColWidth="9.77734375" defaultRowHeight="15" x14ac:dyDescent="0.2"/>
  <cols>
    <col min="1" max="2" width="7.77734375" style="91" customWidth="1"/>
    <col min="3" max="3" width="1.21875" style="91" customWidth="1"/>
    <col min="4" max="4" width="7.77734375" style="91" customWidth="1"/>
    <col min="5" max="5" width="1.21875" style="91" customWidth="1"/>
    <col min="6" max="6" width="7.77734375" style="91" customWidth="1"/>
    <col min="7" max="7" width="1.21875" style="91" customWidth="1"/>
    <col min="8" max="8" width="8.88671875" style="91" customWidth="1"/>
    <col min="9" max="9" width="1.21875" style="91" customWidth="1"/>
    <col min="10" max="10" width="7.77734375" style="91" customWidth="1"/>
    <col min="11" max="11" width="1.21875" style="91" customWidth="1"/>
    <col min="12" max="12" width="7.77734375" style="91" customWidth="1"/>
    <col min="13" max="13" width="1.21875" style="91" customWidth="1"/>
    <col min="14" max="14" width="7.77734375" style="91" customWidth="1"/>
    <col min="15" max="15" width="1.21875" style="91" customWidth="1"/>
    <col min="16" max="16" width="7.77734375" style="91" customWidth="1"/>
    <col min="17" max="18" width="9.77734375" style="91"/>
    <col min="19" max="19" width="12.44140625" style="91" bestFit="1" customWidth="1"/>
    <col min="20" max="20" width="9.77734375" style="91"/>
    <col min="21" max="21" width="13.5546875" style="91" bestFit="1" customWidth="1"/>
    <col min="22" max="27" width="9.77734375" style="91"/>
    <col min="28" max="28" width="12.44140625" style="91" bestFit="1" customWidth="1"/>
    <col min="29" max="29" width="9.77734375" style="91"/>
    <col min="30" max="30" width="12.44140625" style="91" bestFit="1" customWidth="1"/>
    <col min="31" max="16384" width="9.77734375" style="91"/>
  </cols>
  <sheetData>
    <row r="1" spans="1:25" x14ac:dyDescent="0.2">
      <c r="A1" s="15" t="s">
        <v>386</v>
      </c>
      <c r="B1" s="418"/>
      <c r="C1" s="418"/>
      <c r="D1" s="418"/>
      <c r="E1" s="418"/>
      <c r="F1" s="418"/>
      <c r="G1" s="418"/>
      <c r="H1" s="418"/>
      <c r="I1" s="418"/>
      <c r="J1" s="418"/>
      <c r="K1" s="418"/>
      <c r="L1" s="418"/>
      <c r="M1" s="418"/>
      <c r="N1" s="418"/>
      <c r="O1" s="418"/>
      <c r="P1" s="418"/>
    </row>
    <row r="2" spans="1:25" s="276" customFormat="1" x14ac:dyDescent="0.2">
      <c r="A2" s="543"/>
      <c r="B2" s="541"/>
      <c r="C2" s="541"/>
      <c r="D2" s="541"/>
      <c r="E2" s="541"/>
      <c r="F2" s="541"/>
      <c r="G2" s="541"/>
      <c r="H2" s="541"/>
      <c r="I2" s="541"/>
      <c r="J2" s="541"/>
      <c r="K2" s="541"/>
      <c r="L2" s="541"/>
      <c r="M2" s="541"/>
      <c r="N2" s="541"/>
      <c r="O2" s="541"/>
      <c r="P2" s="541"/>
    </row>
    <row r="3" spans="1:25" x14ac:dyDescent="0.2">
      <c r="A3" s="418" t="s">
        <v>95</v>
      </c>
      <c r="B3" s="418"/>
      <c r="C3" s="418"/>
      <c r="D3" s="418"/>
      <c r="E3" s="418"/>
      <c r="F3" s="418"/>
      <c r="G3" s="418"/>
      <c r="H3" s="418"/>
      <c r="I3" s="418"/>
      <c r="J3" s="418"/>
      <c r="K3" s="418"/>
      <c r="L3" s="418"/>
      <c r="M3" s="418"/>
      <c r="N3" s="418"/>
      <c r="O3" s="418"/>
      <c r="P3" s="418"/>
    </row>
    <row r="4" spans="1:25" x14ac:dyDescent="0.2">
      <c r="A4" s="419"/>
      <c r="B4" s="419"/>
      <c r="C4" s="419"/>
      <c r="D4" s="419"/>
      <c r="E4" s="419"/>
      <c r="F4" s="419"/>
      <c r="G4" s="419"/>
      <c r="H4" s="419"/>
      <c r="I4" s="419"/>
      <c r="J4" s="419"/>
      <c r="K4" s="419"/>
      <c r="L4" s="419"/>
      <c r="M4" s="419"/>
      <c r="N4" s="419"/>
      <c r="O4" s="419"/>
      <c r="P4" s="419"/>
    </row>
    <row r="5" spans="1:25" x14ac:dyDescent="0.2">
      <c r="A5" s="419" t="s">
        <v>538</v>
      </c>
      <c r="B5" s="419"/>
      <c r="C5" s="419"/>
      <c r="D5" s="419"/>
      <c r="E5" s="419"/>
      <c r="F5" s="419"/>
      <c r="G5" s="419"/>
      <c r="H5" s="419"/>
      <c r="I5" s="419"/>
      <c r="J5" s="419"/>
      <c r="K5" s="419"/>
      <c r="L5" s="419"/>
      <c r="M5" s="419"/>
      <c r="N5" s="419"/>
      <c r="O5" s="419"/>
      <c r="P5" s="419"/>
    </row>
    <row r="6" spans="1:25" x14ac:dyDescent="0.2">
      <c r="A6" s="419"/>
      <c r="B6" s="419"/>
      <c r="C6" s="419"/>
      <c r="D6" s="419"/>
      <c r="E6" s="419"/>
      <c r="F6" s="419"/>
      <c r="G6" s="419"/>
      <c r="H6" s="419"/>
      <c r="I6" s="419"/>
      <c r="J6" s="419"/>
      <c r="K6" s="419"/>
      <c r="L6" s="419"/>
      <c r="M6" s="419"/>
      <c r="N6" s="419"/>
      <c r="O6" s="419"/>
      <c r="P6" s="419"/>
    </row>
    <row r="7" spans="1:25" ht="30.2" customHeight="1" x14ac:dyDescent="0.2">
      <c r="A7" s="712" t="s">
        <v>46</v>
      </c>
      <c r="B7" s="712"/>
      <c r="C7" s="712"/>
      <c r="D7" s="712"/>
      <c r="E7" s="712"/>
      <c r="F7" s="712"/>
      <c r="G7" s="712"/>
      <c r="H7" s="712"/>
      <c r="I7" s="712"/>
      <c r="J7" s="712"/>
      <c r="K7" s="712"/>
      <c r="L7" s="712"/>
      <c r="M7" s="712"/>
      <c r="N7" s="712"/>
      <c r="O7" s="712"/>
      <c r="P7" s="712"/>
    </row>
    <row r="8" spans="1:25" x14ac:dyDescent="0.2">
      <c r="A8" s="419"/>
      <c r="B8" s="419"/>
      <c r="C8" s="419"/>
      <c r="D8" s="419"/>
      <c r="E8" s="419"/>
      <c r="F8" s="419"/>
      <c r="G8" s="419"/>
      <c r="H8" s="419"/>
      <c r="I8" s="419"/>
      <c r="J8" s="419"/>
      <c r="K8" s="419"/>
      <c r="L8" s="419"/>
      <c r="M8" s="419"/>
      <c r="N8" s="419"/>
      <c r="O8" s="419"/>
      <c r="P8" s="419"/>
    </row>
    <row r="9" spans="1:25" x14ac:dyDescent="0.2">
      <c r="A9" s="419"/>
      <c r="B9" s="419"/>
      <c r="C9" s="419"/>
      <c r="D9" s="430"/>
      <c r="E9" s="430"/>
      <c r="F9" s="418" t="s">
        <v>151</v>
      </c>
      <c r="G9" s="418"/>
      <c r="H9" s="418"/>
      <c r="I9" s="419"/>
      <c r="J9" s="418" t="s">
        <v>152</v>
      </c>
      <c r="K9" s="418"/>
      <c r="L9" s="418"/>
      <c r="M9" s="419"/>
      <c r="N9" s="419"/>
      <c r="O9" s="430"/>
      <c r="P9" s="430"/>
    </row>
    <row r="10" spans="1:25" x14ac:dyDescent="0.2">
      <c r="A10" s="430"/>
      <c r="B10" s="419"/>
      <c r="C10" s="419"/>
      <c r="D10" s="430"/>
      <c r="E10" s="430"/>
      <c r="F10" s="418" t="s">
        <v>0</v>
      </c>
      <c r="G10" s="418"/>
      <c r="H10" s="418"/>
      <c r="I10" s="419"/>
      <c r="J10" s="418" t="s">
        <v>84</v>
      </c>
      <c r="K10" s="418"/>
      <c r="L10" s="418"/>
      <c r="M10" s="419"/>
      <c r="N10" s="419"/>
      <c r="O10" s="430"/>
      <c r="P10" s="430"/>
    </row>
    <row r="11" spans="1:25" x14ac:dyDescent="0.2">
      <c r="A11" s="430"/>
      <c r="B11" s="418" t="s">
        <v>65</v>
      </c>
      <c r="C11" s="418"/>
      <c r="D11" s="418"/>
      <c r="E11" s="430"/>
      <c r="F11" s="420" t="s">
        <v>67</v>
      </c>
      <c r="G11" s="420"/>
      <c r="H11" s="420" t="s">
        <v>86</v>
      </c>
      <c r="I11" s="421"/>
      <c r="J11" s="420" t="s">
        <v>67</v>
      </c>
      <c r="K11" s="420"/>
      <c r="L11" s="420" t="s">
        <v>86</v>
      </c>
      <c r="M11" s="421"/>
      <c r="N11" s="421" t="s">
        <v>67</v>
      </c>
      <c r="O11" s="430"/>
      <c r="P11" s="430"/>
    </row>
    <row r="12" spans="1:25" x14ac:dyDescent="0.2">
      <c r="A12" s="430"/>
      <c r="B12" s="418" t="s">
        <v>68</v>
      </c>
      <c r="C12" s="418"/>
      <c r="D12" s="418"/>
      <c r="E12" s="430"/>
      <c r="F12" s="421" t="s">
        <v>153</v>
      </c>
      <c r="G12" s="421"/>
      <c r="H12" s="421" t="s">
        <v>69</v>
      </c>
      <c r="I12" s="421"/>
      <c r="J12" s="421" t="s">
        <v>154</v>
      </c>
      <c r="K12" s="421"/>
      <c r="L12" s="421" t="s">
        <v>69</v>
      </c>
      <c r="M12" s="421"/>
      <c r="N12" s="421" t="s">
        <v>69</v>
      </c>
      <c r="O12" s="430"/>
      <c r="P12" s="430"/>
      <c r="Y12" s="91" t="s">
        <v>67</v>
      </c>
    </row>
    <row r="13" spans="1:25" x14ac:dyDescent="0.2">
      <c r="A13" s="430"/>
      <c r="B13" s="422" t="s">
        <v>70</v>
      </c>
      <c r="C13" s="422"/>
      <c r="D13" s="422"/>
      <c r="E13" s="430"/>
      <c r="F13" s="420" t="s">
        <v>88</v>
      </c>
      <c r="G13" s="419"/>
      <c r="H13" s="423" t="s">
        <v>155</v>
      </c>
      <c r="I13" s="419"/>
      <c r="J13" s="420" t="s">
        <v>90</v>
      </c>
      <c r="K13" s="419"/>
      <c r="L13" s="423" t="s">
        <v>156</v>
      </c>
      <c r="M13" s="419"/>
      <c r="N13" s="420" t="s">
        <v>92</v>
      </c>
      <c r="O13" s="430"/>
      <c r="P13" s="430"/>
      <c r="S13" s="91" t="s">
        <v>57</v>
      </c>
      <c r="T13" s="141">
        <f>+H14</f>
        <v>5.8400000000000001E-2</v>
      </c>
      <c r="U13" s="91" t="s">
        <v>58</v>
      </c>
      <c r="V13" s="141">
        <f>+L14</f>
        <v>0.94159999999999999</v>
      </c>
      <c r="Y13" s="91" t="s">
        <v>69</v>
      </c>
    </row>
    <row r="14" spans="1:25" x14ac:dyDescent="0.2">
      <c r="A14" s="430"/>
      <c r="B14" s="419"/>
      <c r="C14" s="419"/>
      <c r="D14" s="430"/>
      <c r="E14" s="430"/>
      <c r="F14" s="424"/>
      <c r="G14" s="424"/>
      <c r="H14" s="424">
        <f>N32</f>
        <v>5.8400000000000001E-2</v>
      </c>
      <c r="I14" s="424"/>
      <c r="J14" s="424"/>
      <c r="K14" s="424"/>
      <c r="L14" s="424">
        <f>N34</f>
        <v>0.94159999999999999</v>
      </c>
      <c r="M14" s="424"/>
      <c r="N14" s="425"/>
      <c r="O14" s="430"/>
      <c r="P14" s="430"/>
    </row>
    <row r="15" spans="1:25" x14ac:dyDescent="0.2">
      <c r="A15" s="430"/>
      <c r="B15" s="419"/>
      <c r="C15" s="419"/>
      <c r="D15" s="430"/>
      <c r="E15" s="430"/>
      <c r="F15" s="419"/>
      <c r="G15" s="419"/>
      <c r="H15" s="419"/>
      <c r="I15" s="419"/>
      <c r="J15" s="419"/>
      <c r="K15" s="419"/>
      <c r="L15" s="419"/>
      <c r="M15" s="419"/>
      <c r="N15" s="419"/>
      <c r="O15" s="430"/>
      <c r="P15" s="430"/>
      <c r="R15" s="34" t="s">
        <v>157</v>
      </c>
      <c r="S15" s="91">
        <f>+'F 3-4'!F15-'F 3-4'!F22-'F 3-4'!F23</f>
        <v>0.49759999999999999</v>
      </c>
      <c r="T15" s="171">
        <f>ROUND(S15*$H$14,4)</f>
        <v>2.9100000000000001E-2</v>
      </c>
      <c r="U15" s="172">
        <f>+'F 3-4'!H43-'F 3-4'!H50-'F 3-4'!H51</f>
        <v>0.2379</v>
      </c>
      <c r="V15" s="171">
        <f>ROUND(U15*$L$14,4)</f>
        <v>0.224</v>
      </c>
      <c r="X15" s="171"/>
      <c r="Y15" s="141">
        <f>T15+V15+X15-0</f>
        <v>0.25309999999999999</v>
      </c>
    </row>
    <row r="16" spans="1:25" x14ac:dyDescent="0.2">
      <c r="A16" s="430"/>
      <c r="B16" s="419" t="s">
        <v>73</v>
      </c>
      <c r="C16" s="419"/>
      <c r="D16" s="430"/>
      <c r="E16" s="430"/>
      <c r="F16" s="424">
        <f>'F 3-4'!$P$17</f>
        <v>0.5847</v>
      </c>
      <c r="G16" s="424"/>
      <c r="H16" s="424">
        <f>ROUND($H$14*F16,4)</f>
        <v>3.4099999999999998E-2</v>
      </c>
      <c r="I16" s="424"/>
      <c r="J16" s="424">
        <f>+'F 3-4'!R45</f>
        <v>0.46829999999999999</v>
      </c>
      <c r="K16" s="424"/>
      <c r="L16" s="424">
        <f>ROUND($L$14*J16,4)</f>
        <v>0.441</v>
      </c>
      <c r="M16" s="424"/>
      <c r="N16" s="424">
        <f t="shared" ref="N16:N22" si="0">H16+L16</f>
        <v>0.47510000000000002</v>
      </c>
      <c r="O16" s="430"/>
      <c r="P16" s="430"/>
      <c r="R16" s="34" t="s">
        <v>158</v>
      </c>
      <c r="S16" s="91">
        <f>+'F 3-4'!J15</f>
        <v>0.45040000000000002</v>
      </c>
      <c r="T16" s="171">
        <f>ROUND(S16*$H$14,4)</f>
        <v>2.63E-2</v>
      </c>
      <c r="U16" s="172"/>
      <c r="V16" s="171">
        <f>ROUND(U16*$L$14,4)</f>
        <v>0</v>
      </c>
      <c r="X16" s="171"/>
      <c r="Y16" s="171">
        <f>T16+V16+X16</f>
        <v>2.63E-2</v>
      </c>
    </row>
    <row r="17" spans="1:34" x14ac:dyDescent="0.2">
      <c r="A17" s="430"/>
      <c r="B17" s="334" t="s">
        <v>543</v>
      </c>
      <c r="C17" s="419"/>
      <c r="D17" s="430"/>
      <c r="E17" s="430"/>
      <c r="F17" s="424">
        <f>'F 3-4'!$P$18</f>
        <v>0.2732</v>
      </c>
      <c r="G17" s="424"/>
      <c r="H17" s="424">
        <f t="shared" ref="H17:H22" si="1">ROUND($H$14*F17,4)</f>
        <v>1.6E-2</v>
      </c>
      <c r="I17" s="424"/>
      <c r="J17" s="424">
        <f>+'F 3-4'!R46</f>
        <v>0.19219999999999998</v>
      </c>
      <c r="K17" s="424"/>
      <c r="L17" s="424">
        <f t="shared" ref="L17:L22" si="2">ROUND($L$14*J17,4)</f>
        <v>0.18099999999999999</v>
      </c>
      <c r="M17" s="424"/>
      <c r="N17" s="424">
        <f t="shared" si="0"/>
        <v>0.19700000000000001</v>
      </c>
      <c r="O17" s="430"/>
      <c r="P17" s="430"/>
      <c r="R17" s="34" t="s">
        <v>159</v>
      </c>
      <c r="S17" s="91">
        <f>'F 3B 4B'!I16</f>
        <v>0</v>
      </c>
      <c r="T17" s="171">
        <f>ROUND(S17*$H$14,4)</f>
        <v>0</v>
      </c>
      <c r="U17" s="172">
        <f>+'F 3-4'!L43</f>
        <v>0.47839999999999999</v>
      </c>
      <c r="V17" s="171">
        <f>ROUND(U17*$L$14,4)</f>
        <v>0.45050000000000001</v>
      </c>
      <c r="X17" s="171"/>
      <c r="Y17" s="171">
        <f>T17+V17+X17</f>
        <v>0.45050000000000001</v>
      </c>
    </row>
    <row r="18" spans="1:34" x14ac:dyDescent="0.2">
      <c r="A18" s="430"/>
      <c r="B18" s="419" t="s">
        <v>75</v>
      </c>
      <c r="C18" s="419"/>
      <c r="D18" s="430"/>
      <c r="E18" s="430"/>
      <c r="F18" s="424">
        <f>'F 3-4'!$P$19</f>
        <v>9.01E-2</v>
      </c>
      <c r="G18" s="424"/>
      <c r="H18" s="424">
        <f t="shared" si="1"/>
        <v>5.3E-3</v>
      </c>
      <c r="I18" s="424"/>
      <c r="J18" s="424">
        <f>+'F 3-4'!R47</f>
        <v>5.5800000000000002E-2</v>
      </c>
      <c r="K18" s="424"/>
      <c r="L18" s="424">
        <f t="shared" si="2"/>
        <v>5.2499999999999998E-2</v>
      </c>
      <c r="M18" s="424"/>
      <c r="N18" s="424">
        <f t="shared" si="0"/>
        <v>5.7799999999999997E-2</v>
      </c>
      <c r="O18" s="430"/>
      <c r="P18" s="430"/>
      <c r="R18" s="34" t="s">
        <v>160</v>
      </c>
      <c r="S18" s="171">
        <f>+'F 3-4'!P22</f>
        <v>1.2E-2</v>
      </c>
      <c r="T18" s="171">
        <f>ROUND(S18*$H$14,4)</f>
        <v>6.9999999999999999E-4</v>
      </c>
      <c r="U18" s="172">
        <f>+'F 3-4'!R50</f>
        <v>6.6300000000000012E-2</v>
      </c>
      <c r="V18" s="171">
        <f>ROUND(U18*$L$14,4)</f>
        <v>6.2399999999999997E-2</v>
      </c>
      <c r="X18" s="171"/>
      <c r="Y18" s="171">
        <f>T18+V18+X18</f>
        <v>6.3100000000000003E-2</v>
      </c>
    </row>
    <row r="19" spans="1:34" hidden="1" x14ac:dyDescent="0.2">
      <c r="A19" s="430"/>
      <c r="B19" s="419" t="s">
        <v>76</v>
      </c>
      <c r="C19" s="419"/>
      <c r="D19" s="430"/>
      <c r="E19" s="430"/>
      <c r="F19" s="424">
        <f>'F 3-4'!$P$20</f>
        <v>0</v>
      </c>
      <c r="G19" s="424"/>
      <c r="H19" s="424">
        <f t="shared" si="1"/>
        <v>0</v>
      </c>
      <c r="I19" s="424"/>
      <c r="J19" s="424">
        <f>+'F 3-4'!R48</f>
        <v>0</v>
      </c>
      <c r="K19" s="424"/>
      <c r="L19" s="424">
        <f t="shared" si="2"/>
        <v>0</v>
      </c>
      <c r="M19" s="424"/>
      <c r="N19" s="424">
        <f t="shared" si="0"/>
        <v>0</v>
      </c>
      <c r="O19" s="430"/>
      <c r="P19" s="430"/>
      <c r="R19" s="34" t="s">
        <v>161</v>
      </c>
      <c r="S19" s="171">
        <f>+'F 3-4'!P23</f>
        <v>0.04</v>
      </c>
      <c r="T19" s="171">
        <f>ROUND(S19*$H$14,4)</f>
        <v>2.3E-3</v>
      </c>
      <c r="U19" s="172">
        <f>+'F 3-4'!R51</f>
        <v>0.21739999999999998</v>
      </c>
      <c r="V19" s="171">
        <f>ROUND(U19*$L$14,4)</f>
        <v>0.20469999999999999</v>
      </c>
      <c r="X19" s="171"/>
      <c r="Y19" s="171">
        <f>T19+V19+X19</f>
        <v>0.20699999999999999</v>
      </c>
    </row>
    <row r="20" spans="1:34" hidden="1" x14ac:dyDescent="0.2">
      <c r="A20" s="430"/>
      <c r="B20" s="419" t="s">
        <v>179</v>
      </c>
      <c r="C20" s="419"/>
      <c r="D20" s="430"/>
      <c r="E20" s="430"/>
      <c r="F20" s="424">
        <f>'F 3-4'!$P$21</f>
        <v>0</v>
      </c>
      <c r="G20" s="424"/>
      <c r="H20" s="424">
        <f t="shared" si="1"/>
        <v>0</v>
      </c>
      <c r="I20" s="424"/>
      <c r="J20" s="424">
        <f>+'F 3-4'!R49</f>
        <v>0</v>
      </c>
      <c r="K20" s="424"/>
      <c r="L20" s="424">
        <f t="shared" si="2"/>
        <v>0</v>
      </c>
      <c r="M20" s="424"/>
      <c r="N20" s="424">
        <f t="shared" si="0"/>
        <v>0</v>
      </c>
      <c r="O20" s="430"/>
      <c r="P20" s="430"/>
      <c r="R20" s="34"/>
      <c r="U20" s="172"/>
      <c r="V20" s="171"/>
      <c r="X20" s="171"/>
      <c r="Y20" s="171"/>
    </row>
    <row r="21" spans="1:34" x14ac:dyDescent="0.2">
      <c r="A21" s="430"/>
      <c r="B21" s="419" t="s">
        <v>77</v>
      </c>
      <c r="C21" s="419"/>
      <c r="D21" s="430"/>
      <c r="E21" s="430"/>
      <c r="F21" s="424">
        <f>'F 3-4'!$P$22</f>
        <v>1.2E-2</v>
      </c>
      <c r="G21" s="424"/>
      <c r="H21" s="424">
        <f t="shared" si="1"/>
        <v>6.9999999999999999E-4</v>
      </c>
      <c r="I21" s="424"/>
      <c r="J21" s="424">
        <f>+'F 3-4'!R50</f>
        <v>6.6300000000000012E-2</v>
      </c>
      <c r="K21" s="424"/>
      <c r="L21" s="424">
        <f t="shared" si="2"/>
        <v>6.2399999999999997E-2</v>
      </c>
      <c r="M21" s="424"/>
      <c r="N21" s="424">
        <f t="shared" si="0"/>
        <v>6.3100000000000003E-2</v>
      </c>
      <c r="O21" s="430"/>
      <c r="P21" s="430"/>
      <c r="R21" s="34"/>
      <c r="S21" s="171">
        <f>SUM(S15:S20)</f>
        <v>1</v>
      </c>
      <c r="T21" s="171">
        <f>SUM(T15:T20)</f>
        <v>5.8400000000000007E-2</v>
      </c>
      <c r="U21" s="174">
        <f>SUM(U15:U20)</f>
        <v>1</v>
      </c>
      <c r="V21" s="171">
        <f>SUM(V15:V20)</f>
        <v>0.94159999999999999</v>
      </c>
      <c r="W21" s="171"/>
      <c r="X21" s="171"/>
      <c r="Y21" s="171">
        <f>SUM(Y15:Y20)</f>
        <v>1</v>
      </c>
    </row>
    <row r="22" spans="1:34" x14ac:dyDescent="0.2">
      <c r="A22" s="430"/>
      <c r="B22" s="419" t="s">
        <v>78</v>
      </c>
      <c r="C22" s="419"/>
      <c r="D22" s="430"/>
      <c r="E22" s="430"/>
      <c r="F22" s="424">
        <f>'F 3-4'!$P$23</f>
        <v>0.04</v>
      </c>
      <c r="G22" s="424"/>
      <c r="H22" s="424">
        <f t="shared" si="1"/>
        <v>2.3E-3</v>
      </c>
      <c r="I22" s="424"/>
      <c r="J22" s="424">
        <f>+'F 3-4'!R51</f>
        <v>0.21739999999999998</v>
      </c>
      <c r="K22" s="424"/>
      <c r="L22" s="424">
        <f t="shared" si="2"/>
        <v>0.20469999999999999</v>
      </c>
      <c r="M22" s="424"/>
      <c r="N22" s="424">
        <f t="shared" si="0"/>
        <v>0.20699999999999999</v>
      </c>
      <c r="O22" s="430"/>
      <c r="P22" s="430"/>
    </row>
    <row r="23" spans="1:34" x14ac:dyDescent="0.2">
      <c r="A23" s="430"/>
      <c r="B23" s="419"/>
      <c r="C23" s="419"/>
      <c r="D23" s="430"/>
      <c r="E23" s="430"/>
      <c r="F23" s="426"/>
      <c r="G23" s="424"/>
      <c r="H23" s="426"/>
      <c r="I23" s="424"/>
      <c r="J23" s="426"/>
      <c r="K23" s="424"/>
      <c r="L23" s="426"/>
      <c r="M23" s="424"/>
      <c r="N23" s="426"/>
      <c r="O23" s="430"/>
      <c r="P23" s="430"/>
    </row>
    <row r="24" spans="1:34" ht="15.75" thickBot="1" x14ac:dyDescent="0.25">
      <c r="A24" s="430"/>
      <c r="B24" s="419" t="s">
        <v>79</v>
      </c>
      <c r="C24" s="419"/>
      <c r="D24" s="430"/>
      <c r="E24" s="430"/>
      <c r="F24" s="424">
        <f>SUM(F16:F23)</f>
        <v>1</v>
      </c>
      <c r="G24" s="424"/>
      <c r="H24" s="424">
        <f>SUM(H16:H23)</f>
        <v>5.8399999999999994E-2</v>
      </c>
      <c r="I24" s="424"/>
      <c r="J24" s="427">
        <f>SUM(J16:J23)</f>
        <v>1</v>
      </c>
      <c r="K24" s="424"/>
      <c r="L24" s="424">
        <f>SUM(L16:L23)</f>
        <v>0.94159999999999999</v>
      </c>
      <c r="M24" s="424"/>
      <c r="N24" s="424">
        <f>SUM(N16:N23)</f>
        <v>1</v>
      </c>
      <c r="O24" s="430"/>
      <c r="P24" s="430"/>
    </row>
    <row r="25" spans="1:34" ht="15.75" thickTop="1" x14ac:dyDescent="0.2">
      <c r="A25" s="419"/>
      <c r="B25" s="419"/>
      <c r="C25" s="419"/>
      <c r="D25" s="430"/>
      <c r="E25" s="430"/>
      <c r="F25" s="428"/>
      <c r="G25" s="419"/>
      <c r="H25" s="428"/>
      <c r="I25" s="419"/>
      <c r="J25" s="429"/>
      <c r="K25" s="419"/>
      <c r="L25" s="428"/>
      <c r="M25" s="419"/>
      <c r="N25" s="428"/>
      <c r="O25" s="430"/>
      <c r="P25" s="430"/>
    </row>
    <row r="26" spans="1:34" x14ac:dyDescent="0.2">
      <c r="A26" s="419"/>
      <c r="B26" s="419"/>
      <c r="C26" s="419"/>
      <c r="D26" s="419"/>
      <c r="E26" s="419"/>
      <c r="F26" s="419"/>
      <c r="G26" s="419"/>
      <c r="H26" s="419"/>
      <c r="I26" s="419"/>
      <c r="J26" s="419"/>
      <c r="K26" s="419"/>
      <c r="L26" s="419"/>
      <c r="M26" s="419"/>
      <c r="N26" s="419"/>
      <c r="O26" s="419"/>
      <c r="P26" s="419"/>
    </row>
    <row r="27" spans="1:34" ht="29.85" customHeight="1" x14ac:dyDescent="0.2">
      <c r="A27" s="712" t="s">
        <v>163</v>
      </c>
      <c r="B27" s="712"/>
      <c r="C27" s="712"/>
      <c r="D27" s="712"/>
      <c r="E27" s="712"/>
      <c r="F27" s="712"/>
      <c r="G27" s="712"/>
      <c r="H27" s="712"/>
      <c r="I27" s="712"/>
      <c r="J27" s="712"/>
      <c r="K27" s="712"/>
      <c r="L27" s="712"/>
      <c r="M27" s="712"/>
      <c r="N27" s="712"/>
      <c r="O27" s="712"/>
      <c r="P27" s="712"/>
    </row>
    <row r="28" spans="1:34" x14ac:dyDescent="0.2">
      <c r="A28" s="419"/>
      <c r="B28" s="419"/>
      <c r="C28" s="419"/>
      <c r="D28" s="419"/>
      <c r="E28" s="419"/>
      <c r="F28" s="419"/>
      <c r="G28" s="419"/>
      <c r="H28" s="419"/>
      <c r="I28" s="419"/>
      <c r="J28" s="419"/>
      <c r="K28" s="419"/>
      <c r="L28" s="419"/>
      <c r="M28" s="419"/>
      <c r="N28" s="419"/>
      <c r="O28" s="419"/>
      <c r="P28" s="419"/>
      <c r="S28" s="269"/>
      <c r="T28" s="269"/>
      <c r="U28" s="269"/>
      <c r="V28" s="277"/>
      <c r="W28" s="269"/>
      <c r="X28" s="269"/>
      <c r="Y28" s="269"/>
      <c r="AA28" s="33"/>
      <c r="AB28" s="264"/>
      <c r="AC28" s="57"/>
      <c r="AD28" s="57"/>
      <c r="AF28" s="269"/>
      <c r="AG28" s="269"/>
      <c r="AH28" s="269"/>
    </row>
    <row r="29" spans="1:34" x14ac:dyDescent="0.2">
      <c r="A29" s="419"/>
      <c r="B29" s="419"/>
      <c r="C29" s="419"/>
      <c r="D29" s="419"/>
      <c r="E29" s="419"/>
      <c r="F29" s="430"/>
      <c r="G29" s="421"/>
      <c r="H29" s="421" t="s">
        <v>164</v>
      </c>
      <c r="I29" s="421"/>
      <c r="J29" s="430"/>
      <c r="K29" s="421"/>
      <c r="L29" s="421"/>
      <c r="M29" s="421"/>
      <c r="N29" s="421"/>
      <c r="O29" s="419"/>
      <c r="P29" s="419"/>
      <c r="S29" s="269"/>
      <c r="T29" s="269"/>
      <c r="U29" s="269"/>
      <c r="V29" s="277"/>
      <c r="W29" s="269"/>
      <c r="X29" s="269"/>
      <c r="Y29" s="269"/>
      <c r="AA29" s="222"/>
      <c r="AB29" s="57"/>
      <c r="AC29" s="57"/>
      <c r="AD29" s="57"/>
      <c r="AF29" s="279"/>
      <c r="AG29" s="279"/>
      <c r="AH29" s="279"/>
    </row>
    <row r="30" spans="1:34" x14ac:dyDescent="0.2">
      <c r="A30" s="419"/>
      <c r="B30" s="419"/>
      <c r="C30" s="419"/>
      <c r="D30" s="419"/>
      <c r="E30" s="419"/>
      <c r="F30" s="430"/>
      <c r="G30" s="421"/>
      <c r="H30" s="421" t="s">
        <v>165</v>
      </c>
      <c r="I30" s="421"/>
      <c r="J30" s="430"/>
      <c r="K30" s="421"/>
      <c r="L30" s="421"/>
      <c r="M30" s="421"/>
      <c r="N30" s="421" t="s">
        <v>106</v>
      </c>
      <c r="O30" s="419"/>
      <c r="P30" s="419"/>
      <c r="S30" s="195"/>
      <c r="T30" s="311"/>
      <c r="V30" s="549"/>
      <c r="W30" s="266"/>
      <c r="X30" s="266"/>
      <c r="Y30" s="266"/>
      <c r="AA30" s="222"/>
      <c r="AB30" s="190"/>
      <c r="AC30" s="190"/>
      <c r="AD30" s="190"/>
      <c r="AF30" s="279"/>
      <c r="AG30" s="279"/>
      <c r="AH30" s="279"/>
    </row>
    <row r="31" spans="1:34" x14ac:dyDescent="0.2">
      <c r="A31" s="419"/>
      <c r="B31" s="432"/>
      <c r="C31" s="419"/>
      <c r="D31" s="419"/>
      <c r="E31" s="419"/>
      <c r="F31" s="430"/>
      <c r="G31" s="419"/>
      <c r="H31" s="431"/>
      <c r="I31" s="419"/>
      <c r="J31" s="430"/>
      <c r="K31" s="419"/>
      <c r="L31" s="419"/>
      <c r="M31" s="419"/>
      <c r="N31" s="431"/>
      <c r="O31" s="419"/>
      <c r="P31" s="419"/>
      <c r="S31" s="195"/>
      <c r="T31" s="311"/>
      <c r="V31" s="549"/>
      <c r="W31" s="266"/>
      <c r="X31" s="266"/>
      <c r="Y31" s="266"/>
      <c r="AA31" s="222"/>
      <c r="AB31" s="190"/>
      <c r="AC31" s="190"/>
      <c r="AD31" s="190"/>
      <c r="AF31" s="279"/>
      <c r="AG31" s="279"/>
      <c r="AH31" s="279"/>
    </row>
    <row r="32" spans="1:34" x14ac:dyDescent="0.2">
      <c r="A32" s="419" t="s">
        <v>166</v>
      </c>
      <c r="B32" s="430"/>
      <c r="C32" s="419"/>
      <c r="D32" s="419"/>
      <c r="E32" s="419"/>
      <c r="F32" s="430"/>
      <c r="G32" s="419"/>
      <c r="H32" s="641">
        <v>30036</v>
      </c>
      <c r="I32" s="419"/>
      <c r="J32" s="430"/>
      <c r="K32" s="419"/>
      <c r="L32" s="419"/>
      <c r="M32" s="419"/>
      <c r="N32" s="424">
        <f>ROUND(H32/H36,4)</f>
        <v>5.8400000000000001E-2</v>
      </c>
      <c r="O32" s="419"/>
      <c r="P32" s="419"/>
      <c r="S32" s="195"/>
      <c r="T32" s="311"/>
      <c r="V32" s="549"/>
      <c r="W32" s="266"/>
      <c r="X32" s="266"/>
      <c r="Y32" s="266"/>
      <c r="AA32" s="222"/>
      <c r="AB32" s="190"/>
      <c r="AC32" s="190"/>
      <c r="AD32" s="190"/>
      <c r="AF32" s="279"/>
      <c r="AG32" s="279"/>
      <c r="AH32" s="279"/>
    </row>
    <row r="33" spans="1:34" x14ac:dyDescent="0.2">
      <c r="A33" s="419"/>
      <c r="B33" s="430"/>
      <c r="C33" s="419"/>
      <c r="D33" s="419"/>
      <c r="E33" s="419"/>
      <c r="F33" s="430"/>
      <c r="G33" s="419"/>
      <c r="H33" s="641"/>
      <c r="I33" s="419"/>
      <c r="J33" s="430"/>
      <c r="K33" s="419"/>
      <c r="L33" s="419"/>
      <c r="M33" s="419"/>
      <c r="N33" s="424"/>
      <c r="O33" s="419"/>
      <c r="P33" s="419"/>
      <c r="S33" s="195"/>
      <c r="T33" s="311"/>
      <c r="U33" s="195"/>
      <c r="V33" s="549"/>
      <c r="W33" s="266"/>
      <c r="X33" s="266"/>
      <c r="Y33" s="266"/>
      <c r="AA33" s="222"/>
      <c r="AB33" s="190"/>
      <c r="AC33" s="190"/>
      <c r="AD33" s="190"/>
      <c r="AF33" s="279"/>
      <c r="AG33" s="279"/>
      <c r="AH33" s="279"/>
    </row>
    <row r="34" spans="1:34" x14ac:dyDescent="0.2">
      <c r="A34" s="419" t="s">
        <v>167</v>
      </c>
      <c r="B34" s="430"/>
      <c r="C34" s="419"/>
      <c r="D34" s="419"/>
      <c r="E34" s="419"/>
      <c r="F34" s="430"/>
      <c r="G34" s="419"/>
      <c r="H34" s="641">
        <v>483915</v>
      </c>
      <c r="I34" s="419"/>
      <c r="J34" s="430"/>
      <c r="K34" s="419"/>
      <c r="L34" s="419"/>
      <c r="M34" s="419"/>
      <c r="N34" s="424">
        <f>ROUND(H34/H36,4)</f>
        <v>0.94159999999999999</v>
      </c>
      <c r="O34" s="419"/>
      <c r="P34" s="419"/>
      <c r="S34" s="195"/>
      <c r="T34" s="311"/>
      <c r="U34" s="195"/>
      <c r="V34" s="549"/>
      <c r="W34" s="266"/>
      <c r="X34" s="266"/>
      <c r="Y34" s="266"/>
      <c r="AA34" s="222"/>
      <c r="AB34" s="190"/>
      <c r="AC34" s="190"/>
      <c r="AD34" s="190"/>
      <c r="AF34" s="279"/>
      <c r="AG34" s="279"/>
      <c r="AH34" s="279"/>
    </row>
    <row r="35" spans="1:34" x14ac:dyDescent="0.2">
      <c r="A35" s="419"/>
      <c r="B35" s="419"/>
      <c r="C35" s="419"/>
      <c r="D35" s="419"/>
      <c r="E35" s="419"/>
      <c r="F35" s="430"/>
      <c r="G35" s="419"/>
      <c r="H35" s="643"/>
      <c r="I35" s="419"/>
      <c r="J35" s="430"/>
      <c r="K35" s="419"/>
      <c r="L35" s="419"/>
      <c r="M35" s="419"/>
      <c r="N35" s="426"/>
      <c r="O35" s="419"/>
      <c r="P35" s="419"/>
      <c r="R35" s="311"/>
      <c r="S35" s="195"/>
      <c r="T35" s="311"/>
      <c r="U35" s="195"/>
      <c r="V35" s="549"/>
      <c r="W35" s="266"/>
      <c r="X35" s="266"/>
      <c r="Y35" s="266"/>
      <c r="AA35" s="222"/>
      <c r="AB35" s="190"/>
      <c r="AC35" s="190"/>
      <c r="AD35" s="190"/>
      <c r="AF35" s="279"/>
      <c r="AG35" s="279"/>
      <c r="AH35" s="279"/>
    </row>
    <row r="36" spans="1:34" ht="15.75" thickBot="1" x14ac:dyDescent="0.25">
      <c r="A36" s="419"/>
      <c r="B36" s="419" t="s">
        <v>162</v>
      </c>
      <c r="C36" s="419"/>
      <c r="D36" s="419"/>
      <c r="E36" s="419"/>
      <c r="F36" s="430"/>
      <c r="G36" s="419"/>
      <c r="H36" s="647">
        <f>SUM(H32:H35)</f>
        <v>513951</v>
      </c>
      <c r="I36" s="419"/>
      <c r="J36" s="430"/>
      <c r="K36" s="419"/>
      <c r="L36" s="419"/>
      <c r="M36" s="419"/>
      <c r="N36" s="424">
        <f>SUM(N32:N35)</f>
        <v>1</v>
      </c>
      <c r="O36" s="419"/>
      <c r="P36" s="419"/>
      <c r="S36" s="195"/>
      <c r="T36" s="311"/>
      <c r="U36" s="195"/>
      <c r="V36" s="549"/>
      <c r="W36" s="266"/>
      <c r="X36" s="266"/>
      <c r="Y36" s="266"/>
      <c r="AA36" s="222"/>
      <c r="AB36" s="190"/>
      <c r="AC36" s="190"/>
      <c r="AD36" s="190"/>
      <c r="AF36" s="279"/>
      <c r="AG36" s="279"/>
      <c r="AH36" s="279"/>
    </row>
    <row r="37" spans="1:34" ht="15.75" thickTop="1" x14ac:dyDescent="0.2">
      <c r="A37" s="419"/>
      <c r="B37" s="419"/>
      <c r="C37" s="419"/>
      <c r="D37" s="419"/>
      <c r="E37" s="419"/>
      <c r="F37" s="419"/>
      <c r="G37" s="419"/>
      <c r="H37" s="429"/>
      <c r="I37" s="419"/>
      <c r="J37" s="419"/>
      <c r="K37" s="419"/>
      <c r="L37" s="419"/>
      <c r="M37" s="419"/>
      <c r="N37" s="428"/>
      <c r="O37" s="419"/>
      <c r="P37" s="419"/>
      <c r="S37" s="195"/>
      <c r="T37" s="311"/>
      <c r="U37" s="195"/>
      <c r="V37" s="549"/>
      <c r="W37" s="266"/>
      <c r="X37" s="266"/>
      <c r="Y37" s="266"/>
      <c r="AA37" s="222"/>
      <c r="AB37" s="190"/>
      <c r="AC37" s="190"/>
      <c r="AD37" s="190"/>
      <c r="AF37" s="279"/>
      <c r="AG37" s="279"/>
      <c r="AH37" s="279"/>
    </row>
    <row r="38" spans="1:34" x14ac:dyDescent="0.2">
      <c r="A38" s="33"/>
      <c r="B38" s="33"/>
      <c r="C38" s="33"/>
      <c r="D38" s="33"/>
      <c r="E38" s="33"/>
      <c r="F38" s="33"/>
      <c r="G38" s="33"/>
      <c r="H38" s="173"/>
      <c r="I38" s="33"/>
      <c r="J38" s="33"/>
      <c r="K38" s="33"/>
      <c r="L38" s="33"/>
      <c r="M38" s="33"/>
      <c r="N38" s="33"/>
      <c r="O38" s="33"/>
      <c r="P38" s="33"/>
      <c r="S38" s="195"/>
      <c r="T38" s="311"/>
      <c r="U38" s="195"/>
      <c r="V38" s="549"/>
      <c r="W38" s="266"/>
      <c r="X38" s="266"/>
      <c r="Y38" s="266"/>
      <c r="AA38" s="222"/>
      <c r="AB38" s="190"/>
      <c r="AC38" s="190"/>
      <c r="AD38" s="190"/>
      <c r="AF38" s="279"/>
      <c r="AG38" s="279"/>
      <c r="AH38" s="279"/>
    </row>
    <row r="39" spans="1:34" x14ac:dyDescent="0.2">
      <c r="S39" s="195"/>
      <c r="T39" s="311"/>
      <c r="U39" s="195"/>
      <c r="V39" s="269"/>
      <c r="W39" s="266"/>
      <c r="X39" s="266"/>
      <c r="Y39" s="266"/>
      <c r="AA39" s="57"/>
      <c r="AB39" s="190"/>
      <c r="AC39" s="190"/>
      <c r="AD39" s="190"/>
      <c r="AF39" s="279"/>
      <c r="AG39" s="279"/>
      <c r="AH39" s="279"/>
    </row>
    <row r="40" spans="1:34" x14ac:dyDescent="0.2">
      <c r="S40" s="195"/>
      <c r="T40" s="195"/>
      <c r="U40" s="195"/>
      <c r="V40" s="195"/>
      <c r="W40" s="195"/>
      <c r="X40" s="266"/>
      <c r="Y40" s="266"/>
      <c r="AA40" s="57"/>
      <c r="AB40" s="190"/>
      <c r="AC40" s="190"/>
      <c r="AD40" s="190"/>
      <c r="AF40" s="279"/>
      <c r="AG40" s="279"/>
      <c r="AH40" s="279"/>
    </row>
    <row r="41" spans="1:34" x14ac:dyDescent="0.2">
      <c r="S41" s="195"/>
      <c r="T41" s="195"/>
      <c r="U41" s="195"/>
      <c r="V41" s="269"/>
      <c r="W41" s="266"/>
      <c r="X41" s="272"/>
      <c r="Y41" s="266"/>
      <c r="AA41" s="57"/>
      <c r="AB41" s="190"/>
      <c r="AC41" s="190"/>
      <c r="AD41" s="190"/>
      <c r="AF41" s="279"/>
      <c r="AG41" s="279"/>
      <c r="AH41" s="279"/>
    </row>
    <row r="42" spans="1:34" x14ac:dyDescent="0.2">
      <c r="S42" s="195"/>
      <c r="T42" s="195"/>
      <c r="U42" s="195"/>
      <c r="V42" s="269"/>
      <c r="W42" s="266"/>
      <c r="X42" s="272"/>
      <c r="Y42" s="266"/>
      <c r="AA42" s="57"/>
      <c r="AB42" s="190"/>
      <c r="AC42" s="190"/>
      <c r="AD42" s="190"/>
      <c r="AF42" s="279"/>
      <c r="AG42" s="279"/>
      <c r="AH42" s="279"/>
    </row>
    <row r="43" spans="1:34" x14ac:dyDescent="0.2">
      <c r="S43" s="636"/>
      <c r="V43" s="269"/>
      <c r="W43" s="266"/>
      <c r="X43" s="266"/>
      <c r="Y43" s="266"/>
      <c r="AA43" s="57"/>
      <c r="AB43" s="190"/>
      <c r="AC43" s="190"/>
      <c r="AD43" s="190"/>
      <c r="AF43" s="279"/>
      <c r="AG43" s="279"/>
      <c r="AH43" s="279"/>
    </row>
    <row r="44" spans="1:34" x14ac:dyDescent="0.2">
      <c r="V44" s="269"/>
      <c r="W44" s="266"/>
      <c r="X44" s="266"/>
      <c r="Y44" s="266"/>
      <c r="AA44" s="57"/>
      <c r="AB44" s="190"/>
      <c r="AC44" s="190"/>
      <c r="AD44" s="190"/>
      <c r="AF44" s="279"/>
      <c r="AG44" s="279"/>
      <c r="AH44" s="279"/>
    </row>
    <row r="45" spans="1:34" x14ac:dyDescent="0.2">
      <c r="V45" s="269"/>
      <c r="W45" s="266"/>
      <c r="X45" s="266"/>
      <c r="Y45" s="266"/>
      <c r="AA45" s="57"/>
      <c r="AB45" s="190"/>
      <c r="AC45" s="190"/>
      <c r="AD45" s="190"/>
      <c r="AF45" s="279"/>
      <c r="AG45" s="279"/>
      <c r="AH45" s="279"/>
    </row>
    <row r="46" spans="1:34" x14ac:dyDescent="0.2">
      <c r="V46" s="269"/>
      <c r="W46" s="266"/>
      <c r="X46" s="266"/>
      <c r="Y46" s="266"/>
      <c r="AA46" s="57"/>
      <c r="AB46" s="190"/>
      <c r="AC46" s="190"/>
      <c r="AD46" s="190"/>
      <c r="AF46" s="279"/>
      <c r="AG46" s="279"/>
      <c r="AH46" s="279"/>
    </row>
    <row r="47" spans="1:34" x14ac:dyDescent="0.2">
      <c r="V47" s="269"/>
      <c r="W47" s="266"/>
      <c r="X47" s="266"/>
      <c r="Y47" s="266"/>
      <c r="AA47" s="57"/>
      <c r="AB47" s="190"/>
      <c r="AC47" s="190"/>
      <c r="AD47" s="190"/>
      <c r="AF47" s="279"/>
      <c r="AG47" s="279"/>
      <c r="AH47" s="279"/>
    </row>
    <row r="48" spans="1:34" x14ac:dyDescent="0.2">
      <c r="V48" s="269"/>
      <c r="W48" s="266"/>
      <c r="X48" s="266"/>
      <c r="Y48" s="266"/>
      <c r="AA48" s="57"/>
      <c r="AB48" s="190"/>
      <c r="AC48" s="190"/>
      <c r="AD48" s="190"/>
      <c r="AF48" s="279"/>
      <c r="AG48" s="279"/>
      <c r="AH48" s="279"/>
    </row>
    <row r="49" spans="22:34" x14ac:dyDescent="0.2">
      <c r="V49" s="269"/>
      <c r="W49" s="266"/>
      <c r="X49" s="266"/>
      <c r="Y49" s="266"/>
      <c r="AA49" s="57"/>
      <c r="AB49" s="190"/>
      <c r="AC49" s="190"/>
      <c r="AD49" s="190"/>
      <c r="AF49" s="279"/>
      <c r="AG49" s="279"/>
      <c r="AH49" s="279"/>
    </row>
    <row r="50" spans="22:34" x14ac:dyDescent="0.2">
      <c r="V50" s="269"/>
      <c r="W50" s="266"/>
      <c r="X50" s="266"/>
      <c r="Y50" s="266"/>
      <c r="AA50" s="57"/>
      <c r="AB50" s="190"/>
      <c r="AC50" s="190"/>
      <c r="AD50" s="190"/>
      <c r="AF50" s="279"/>
      <c r="AG50" s="279"/>
      <c r="AH50" s="279"/>
    </row>
    <row r="51" spans="22:34" x14ac:dyDescent="0.2">
      <c r="V51" s="269"/>
      <c r="W51" s="266"/>
      <c r="X51" s="266"/>
      <c r="Y51" s="266"/>
      <c r="AA51" s="57"/>
      <c r="AB51" s="190"/>
      <c r="AC51" s="190"/>
      <c r="AD51" s="190"/>
      <c r="AF51" s="279"/>
      <c r="AG51" s="279"/>
      <c r="AH51" s="279"/>
    </row>
    <row r="52" spans="22:34" x14ac:dyDescent="0.2">
      <c r="V52" s="269"/>
      <c r="W52" s="266"/>
      <c r="X52" s="266"/>
      <c r="Y52" s="266"/>
      <c r="AA52" s="57"/>
      <c r="AB52" s="190"/>
      <c r="AC52" s="190"/>
      <c r="AD52" s="190"/>
      <c r="AF52" s="279"/>
      <c r="AG52" s="279"/>
      <c r="AH52" s="279"/>
    </row>
    <row r="53" spans="22:34" x14ac:dyDescent="0.2">
      <c r="V53" s="269"/>
      <c r="W53" s="266"/>
      <c r="X53" s="266"/>
      <c r="Y53" s="266"/>
      <c r="AA53" s="57"/>
      <c r="AB53" s="190"/>
      <c r="AC53" s="190"/>
      <c r="AD53" s="190"/>
      <c r="AF53" s="279"/>
      <c r="AG53" s="279"/>
      <c r="AH53" s="279"/>
    </row>
    <row r="54" spans="22:34" x14ac:dyDescent="0.2">
      <c r="V54" s="269"/>
      <c r="W54" s="266"/>
      <c r="X54" s="266"/>
      <c r="Y54" s="266"/>
      <c r="AA54" s="57"/>
      <c r="AB54" s="190"/>
      <c r="AC54" s="190"/>
      <c r="AD54" s="190"/>
      <c r="AF54" s="279"/>
      <c r="AG54" s="279"/>
      <c r="AH54" s="279"/>
    </row>
    <row r="55" spans="22:34" x14ac:dyDescent="0.2">
      <c r="V55" s="269"/>
      <c r="W55" s="266"/>
      <c r="X55" s="266"/>
      <c r="Y55" s="266"/>
      <c r="AA55" s="57"/>
      <c r="AB55" s="190"/>
      <c r="AC55" s="190"/>
      <c r="AD55" s="190"/>
      <c r="AF55" s="279"/>
      <c r="AG55" s="279"/>
      <c r="AH55" s="279"/>
    </row>
    <row r="56" spans="22:34" x14ac:dyDescent="0.2">
      <c r="V56" s="269"/>
      <c r="W56" s="266"/>
      <c r="X56" s="266"/>
      <c r="Y56" s="266"/>
      <c r="AA56" s="57"/>
      <c r="AB56" s="190"/>
      <c r="AC56" s="190"/>
      <c r="AD56" s="190"/>
    </row>
    <row r="57" spans="22:34" x14ac:dyDescent="0.2">
      <c r="V57" s="269"/>
      <c r="W57" s="266"/>
      <c r="X57" s="266"/>
      <c r="Y57" s="266"/>
      <c r="AA57" s="57"/>
      <c r="AB57" s="190"/>
      <c r="AC57" s="190"/>
      <c r="AD57" s="190"/>
    </row>
    <row r="58" spans="22:34" x14ac:dyDescent="0.2">
      <c r="V58" s="269"/>
      <c r="W58" s="266"/>
      <c r="X58" s="266"/>
      <c r="Y58" s="266"/>
      <c r="AA58" s="57"/>
      <c r="AB58" s="190"/>
      <c r="AC58" s="190"/>
      <c r="AD58" s="190"/>
    </row>
    <row r="59" spans="22:34" x14ac:dyDescent="0.2">
      <c r="V59" s="278"/>
      <c r="W59" s="266"/>
      <c r="X59" s="266"/>
      <c r="Y59" s="266"/>
      <c r="AA59" s="246"/>
      <c r="AB59" s="190"/>
      <c r="AC59" s="190"/>
      <c r="AD59" s="190"/>
    </row>
    <row r="60" spans="22:34" x14ac:dyDescent="0.2">
      <c r="V60" s="269"/>
      <c r="W60" s="266"/>
      <c r="X60" s="266"/>
      <c r="Y60" s="266"/>
      <c r="AA60" s="57"/>
      <c r="AB60" s="190"/>
      <c r="AC60" s="190"/>
      <c r="AD60" s="190"/>
    </row>
    <row r="61" spans="22:34" x14ac:dyDescent="0.2">
      <c r="V61" s="269"/>
      <c r="W61" s="266"/>
      <c r="X61" s="266"/>
      <c r="Y61" s="266"/>
      <c r="AA61" s="57"/>
      <c r="AB61" s="190"/>
      <c r="AC61" s="190"/>
      <c r="AD61" s="190"/>
    </row>
    <row r="62" spans="22:34" x14ac:dyDescent="0.2">
      <c r="V62" s="269"/>
      <c r="W62" s="266"/>
      <c r="X62" s="266"/>
      <c r="Y62" s="266"/>
      <c r="AA62" s="57"/>
      <c r="AB62" s="190"/>
      <c r="AC62" s="190"/>
      <c r="AD62" s="190"/>
    </row>
    <row r="63" spans="22:34" x14ac:dyDescent="0.2">
      <c r="V63" s="269"/>
      <c r="W63" s="266"/>
      <c r="X63" s="266"/>
      <c r="Y63" s="266"/>
      <c r="AA63" s="57"/>
      <c r="AB63" s="190"/>
      <c r="AC63" s="190"/>
      <c r="AD63" s="190"/>
    </row>
    <row r="64" spans="22:34" x14ac:dyDescent="0.2">
      <c r="V64" s="269"/>
      <c r="W64" s="266"/>
      <c r="X64" s="266"/>
      <c r="Y64" s="266"/>
      <c r="AA64" s="57"/>
      <c r="AB64" s="190"/>
      <c r="AC64" s="190"/>
      <c r="AD64" s="190"/>
    </row>
    <row r="65" spans="22:30" x14ac:dyDescent="0.2">
      <c r="V65" s="269"/>
      <c r="W65" s="266"/>
      <c r="X65" s="266"/>
      <c r="Y65" s="266"/>
      <c r="AA65" s="57"/>
      <c r="AB65" s="190"/>
      <c r="AC65" s="190"/>
      <c r="AD65" s="190"/>
    </row>
    <row r="66" spans="22:30" x14ac:dyDescent="0.2">
      <c r="V66" s="269"/>
      <c r="W66" s="266"/>
      <c r="X66" s="266"/>
      <c r="Y66" s="266"/>
      <c r="AA66" s="57"/>
      <c r="AB66" s="190"/>
      <c r="AC66" s="190"/>
      <c r="AD66" s="190"/>
    </row>
    <row r="67" spans="22:30" x14ac:dyDescent="0.2">
      <c r="V67" s="269"/>
      <c r="W67" s="266"/>
      <c r="X67" s="266"/>
      <c r="Y67" s="266"/>
      <c r="AA67" s="57"/>
      <c r="AB67" s="190"/>
      <c r="AC67" s="190"/>
      <c r="AD67" s="190"/>
    </row>
    <row r="68" spans="22:30" x14ac:dyDescent="0.2">
      <c r="V68" s="269"/>
      <c r="W68" s="266"/>
      <c r="X68" s="266"/>
      <c r="Y68" s="266"/>
      <c r="AA68" s="57"/>
      <c r="AB68" s="190"/>
      <c r="AC68" s="190"/>
      <c r="AD68" s="190"/>
    </row>
    <row r="69" spans="22:30" x14ac:dyDescent="0.2">
      <c r="V69" s="269"/>
      <c r="W69" s="266"/>
      <c r="X69" s="266"/>
      <c r="Y69" s="266"/>
      <c r="AA69" s="57"/>
      <c r="AB69" s="190"/>
      <c r="AC69" s="190"/>
      <c r="AD69" s="190"/>
    </row>
    <row r="70" spans="22:30" x14ac:dyDescent="0.2">
      <c r="V70" s="269"/>
      <c r="W70" s="266"/>
      <c r="X70" s="266"/>
      <c r="Y70" s="266"/>
      <c r="AA70" s="57"/>
      <c r="AB70" s="190"/>
      <c r="AC70" s="190"/>
      <c r="AD70" s="190"/>
    </row>
    <row r="71" spans="22:30" x14ac:dyDescent="0.2">
      <c r="V71" s="269"/>
      <c r="W71" s="266"/>
      <c r="X71" s="266"/>
      <c r="Y71" s="266"/>
      <c r="AA71" s="57"/>
      <c r="AB71" s="190"/>
      <c r="AC71" s="190"/>
      <c r="AD71" s="190"/>
    </row>
    <row r="72" spans="22:30" x14ac:dyDescent="0.2">
      <c r="V72" s="269"/>
      <c r="W72" s="269"/>
      <c r="X72" s="269"/>
      <c r="Y72" s="269"/>
    </row>
    <row r="73" spans="22:30" x14ac:dyDescent="0.2">
      <c r="V73" s="269"/>
      <c r="W73" s="269"/>
      <c r="X73" s="269"/>
      <c r="Y73" s="271"/>
    </row>
    <row r="74" spans="22:30" x14ac:dyDescent="0.2">
      <c r="V74" s="269"/>
      <c r="W74" s="269"/>
      <c r="X74" s="269"/>
      <c r="Y74" s="269"/>
    </row>
    <row r="75" spans="22:30" x14ac:dyDescent="0.2">
      <c r="V75" s="269"/>
      <c r="W75" s="269"/>
      <c r="X75" s="269"/>
      <c r="Y75" s="266"/>
    </row>
    <row r="76" spans="22:30" x14ac:dyDescent="0.2">
      <c r="V76" s="269"/>
      <c r="W76" s="269"/>
      <c r="X76" s="269"/>
      <c r="Y76" s="271"/>
    </row>
  </sheetData>
  <mergeCells count="2">
    <mergeCell ref="A7:P7"/>
    <mergeCell ref="A27:P27"/>
  </mergeCells>
  <phoneticPr fontId="14" type="noConversion"/>
  <printOptions horizontalCentered="1"/>
  <pageMargins left="1" right="0.75" top="1" bottom="0.5" header="0.5" footer="0.5"/>
  <pageSetup scale="90"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X193"/>
  <sheetViews>
    <sheetView workbookViewId="0">
      <selection sqref="A1:F1"/>
    </sheetView>
  </sheetViews>
  <sheetFormatPr defaultColWidth="9.77734375" defaultRowHeight="15" x14ac:dyDescent="0.2"/>
  <cols>
    <col min="1" max="1" width="16.77734375" style="37" customWidth="1"/>
    <col min="2" max="2" width="10.33203125" style="37" customWidth="1"/>
    <col min="3" max="3" width="13.33203125" style="37" customWidth="1"/>
    <col min="4" max="4" width="10.6640625" style="37" customWidth="1"/>
    <col min="5" max="5" width="14.109375" style="37" customWidth="1"/>
    <col min="6" max="6" width="10.6640625" style="37" customWidth="1"/>
    <col min="7" max="8" width="9.77734375" style="37" customWidth="1"/>
    <col min="9" max="9" width="5.77734375" style="37" customWidth="1"/>
    <col min="10" max="10" width="8.6640625" style="37" customWidth="1"/>
    <col min="11" max="11" width="7.77734375" style="37" customWidth="1"/>
    <col min="12" max="12" width="1.77734375" style="37" customWidth="1"/>
    <col min="13" max="13" width="7.77734375" style="37" customWidth="1"/>
    <col min="14" max="14" width="1.77734375" style="37" customWidth="1"/>
    <col min="15" max="15" width="7.77734375" style="37" customWidth="1"/>
    <col min="16" max="16" width="1.77734375" style="37" customWidth="1"/>
    <col min="17" max="17" width="7.77734375" style="37" customWidth="1"/>
    <col min="18" max="18" width="1.77734375" style="37" customWidth="1"/>
    <col min="19" max="19" width="7.77734375" style="37" customWidth="1"/>
    <col min="20" max="20" width="1.77734375" style="37" customWidth="1"/>
    <col min="21" max="21" width="7.77734375" style="37" customWidth="1"/>
    <col min="22" max="22" width="1.77734375" style="37" customWidth="1"/>
    <col min="23" max="23" width="8.77734375" style="37" customWidth="1"/>
    <col min="24" max="24" width="1.77734375" style="37" customWidth="1"/>
    <col min="25" max="25" width="7.77734375" style="37" customWidth="1"/>
    <col min="26" max="26" width="1.77734375" style="37" customWidth="1"/>
    <col min="27" max="27" width="8.77734375" style="37" customWidth="1"/>
    <col min="28" max="28" width="1.77734375" style="37" customWidth="1"/>
    <col min="29" max="29" width="7.77734375" style="37" customWidth="1"/>
    <col min="30" max="30" width="1.77734375" style="37" customWidth="1"/>
    <col min="31" max="31" width="9.77734375" style="37" customWidth="1"/>
    <col min="32" max="32" width="1.77734375" style="37" customWidth="1"/>
    <col min="33" max="33" width="7.77734375" style="37" customWidth="1"/>
    <col min="34" max="34" width="1.77734375" style="37" customWidth="1"/>
    <col min="35" max="35" width="9.77734375" style="37" customWidth="1"/>
    <col min="36" max="36" width="1.77734375" style="37" customWidth="1"/>
    <col min="37" max="37" width="7.77734375" style="37" customWidth="1"/>
    <col min="38" max="38" width="1.77734375" style="37" customWidth="1"/>
    <col min="39" max="39" width="7.77734375" style="37" customWidth="1"/>
    <col min="40" max="41" width="9.77734375" style="37" customWidth="1"/>
    <col min="42" max="42" width="6.77734375" style="37" customWidth="1"/>
    <col min="43" max="43" width="4.77734375" style="37" customWidth="1"/>
    <col min="44" max="44" width="9.77734375" style="37" customWidth="1"/>
    <col min="45" max="45" width="4.77734375" style="37" customWidth="1"/>
    <col min="46" max="46" width="9.77734375" style="37" customWidth="1"/>
    <col min="47" max="47" width="4.77734375" style="37" customWidth="1"/>
    <col min="48" max="48" width="9.77734375" style="37" customWidth="1"/>
    <col min="49" max="49" width="4.77734375" style="37" customWidth="1"/>
    <col min="50" max="50" width="8.77734375" style="37" customWidth="1"/>
    <col min="51" max="16384" width="9.77734375" style="37"/>
  </cols>
  <sheetData>
    <row r="1" spans="1:6" x14ac:dyDescent="0.2">
      <c r="A1" s="715" t="s">
        <v>386</v>
      </c>
      <c r="B1" s="715"/>
      <c r="C1" s="715"/>
      <c r="D1" s="715"/>
      <c r="E1" s="715"/>
      <c r="F1" s="715"/>
    </row>
    <row r="2" spans="1:6" x14ac:dyDescent="0.2">
      <c r="A2" s="36"/>
      <c r="B2" s="36"/>
      <c r="C2" s="36"/>
      <c r="D2" s="36"/>
      <c r="E2" s="36"/>
      <c r="F2" s="36"/>
    </row>
    <row r="3" spans="1:6" x14ac:dyDescent="0.2">
      <c r="A3" s="714" t="s">
        <v>95</v>
      </c>
      <c r="B3" s="714"/>
      <c r="C3" s="714"/>
      <c r="D3" s="714"/>
      <c r="E3" s="714"/>
      <c r="F3" s="714"/>
    </row>
    <row r="4" spans="1:6" x14ac:dyDescent="0.2">
      <c r="A4" s="347"/>
      <c r="B4" s="347"/>
      <c r="C4" s="347"/>
      <c r="D4" s="347"/>
      <c r="E4" s="347"/>
      <c r="F4" s="347"/>
    </row>
    <row r="5" spans="1:6" x14ac:dyDescent="0.2">
      <c r="A5" s="347" t="s">
        <v>446</v>
      </c>
      <c r="B5" s="347"/>
      <c r="C5" s="347"/>
      <c r="D5" s="347"/>
      <c r="E5" s="347"/>
      <c r="F5" s="347"/>
    </row>
    <row r="6" spans="1:6" x14ac:dyDescent="0.2">
      <c r="A6" s="347"/>
      <c r="B6" s="347"/>
      <c r="C6" s="347"/>
      <c r="D6" s="347"/>
      <c r="E6" s="347"/>
      <c r="F6" s="347"/>
    </row>
    <row r="7" spans="1:6" x14ac:dyDescent="0.2">
      <c r="A7" s="347" t="s">
        <v>47</v>
      </c>
      <c r="B7" s="347"/>
      <c r="C7" s="347"/>
      <c r="D7" s="347"/>
      <c r="E7" s="347"/>
      <c r="F7" s="347"/>
    </row>
    <row r="8" spans="1:6" x14ac:dyDescent="0.2">
      <c r="A8" s="347"/>
      <c r="B8" s="347"/>
      <c r="C8" s="347"/>
      <c r="D8" s="347"/>
      <c r="E8" s="347"/>
      <c r="F8" s="347"/>
    </row>
    <row r="9" spans="1:6" x14ac:dyDescent="0.2">
      <c r="A9" s="348" t="s">
        <v>65</v>
      </c>
      <c r="B9" s="348"/>
      <c r="C9" s="347"/>
      <c r="D9" s="338"/>
      <c r="E9" s="349"/>
      <c r="F9" s="349" t="s">
        <v>67</v>
      </c>
    </row>
    <row r="10" spans="1:6" x14ac:dyDescent="0.2">
      <c r="A10" s="348" t="s">
        <v>68</v>
      </c>
      <c r="B10" s="348"/>
      <c r="C10" s="347"/>
      <c r="D10" s="338"/>
      <c r="E10" s="349"/>
      <c r="F10" s="349" t="s">
        <v>69</v>
      </c>
    </row>
    <row r="11" spans="1:6" x14ac:dyDescent="0.2">
      <c r="A11" s="350" t="s">
        <v>70</v>
      </c>
      <c r="B11" s="350"/>
      <c r="C11" s="347"/>
      <c r="D11" s="338"/>
      <c r="E11" s="349"/>
      <c r="F11" s="351" t="s">
        <v>72</v>
      </c>
    </row>
    <row r="12" spans="1:6" ht="12.75" customHeight="1" x14ac:dyDescent="0.2">
      <c r="A12" s="347"/>
      <c r="B12" s="352"/>
      <c r="C12" s="347"/>
      <c r="D12" s="338"/>
      <c r="E12" s="347"/>
      <c r="F12" s="347"/>
    </row>
    <row r="13" spans="1:6" x14ac:dyDescent="0.2">
      <c r="A13" s="363" t="s">
        <v>78</v>
      </c>
      <c r="B13" s="352"/>
      <c r="C13" s="347"/>
      <c r="D13" s="338"/>
      <c r="E13" s="347"/>
      <c r="F13" s="353">
        <v>1</v>
      </c>
    </row>
    <row r="14" spans="1:6" x14ac:dyDescent="0.2">
      <c r="A14" s="347"/>
      <c r="B14" s="347"/>
      <c r="C14" s="347"/>
      <c r="D14" s="338"/>
      <c r="E14" s="347"/>
      <c r="F14" s="364"/>
    </row>
    <row r="15" spans="1:6" ht="15.75" thickBot="1" x14ac:dyDescent="0.25">
      <c r="A15" s="347" t="s">
        <v>169</v>
      </c>
      <c r="B15" s="347"/>
      <c r="C15" s="347"/>
      <c r="D15" s="338"/>
      <c r="E15" s="347"/>
      <c r="F15" s="353">
        <f>SUM(F13:F13)</f>
        <v>1</v>
      </c>
    </row>
    <row r="16" spans="1:6" ht="15.75" thickTop="1" x14ac:dyDescent="0.2">
      <c r="A16" s="347"/>
      <c r="B16" s="347"/>
      <c r="C16" s="347"/>
      <c r="D16" s="338"/>
      <c r="E16" s="347"/>
      <c r="F16" s="365"/>
    </row>
    <row r="17" spans="1:10" x14ac:dyDescent="0.2">
      <c r="A17" s="347"/>
      <c r="B17" s="347"/>
      <c r="C17" s="347"/>
      <c r="D17" s="347"/>
      <c r="E17" s="347"/>
      <c r="F17" s="347"/>
    </row>
    <row r="18" spans="1:10" x14ac:dyDescent="0.2">
      <c r="A18" s="347"/>
      <c r="B18" s="347"/>
      <c r="C18" s="347"/>
      <c r="D18" s="347"/>
      <c r="E18" s="347"/>
      <c r="F18" s="347"/>
    </row>
    <row r="19" spans="1:10" x14ac:dyDescent="0.2">
      <c r="A19" s="347" t="s">
        <v>445</v>
      </c>
      <c r="B19" s="347"/>
      <c r="C19" s="347"/>
      <c r="D19" s="347"/>
      <c r="E19" s="347"/>
      <c r="F19" s="347"/>
    </row>
    <row r="20" spans="1:10" x14ac:dyDescent="0.2">
      <c r="A20" s="347"/>
      <c r="B20" s="347"/>
      <c r="C20" s="347"/>
      <c r="D20" s="347"/>
      <c r="E20" s="347"/>
      <c r="F20" s="347"/>
    </row>
    <row r="21" spans="1:10" ht="28.15" customHeight="1" x14ac:dyDescent="0.2">
      <c r="A21" s="713" t="s">
        <v>170</v>
      </c>
      <c r="B21" s="713"/>
      <c r="C21" s="713"/>
      <c r="D21" s="713"/>
      <c r="E21" s="713"/>
      <c r="F21" s="713"/>
    </row>
    <row r="22" spans="1:10" x14ac:dyDescent="0.2">
      <c r="A22" s="347"/>
      <c r="B22" s="347"/>
      <c r="C22" s="347"/>
      <c r="D22" s="347"/>
      <c r="E22" s="347"/>
      <c r="F22" s="347"/>
    </row>
    <row r="23" spans="1:10" x14ac:dyDescent="0.2">
      <c r="A23" s="348" t="s">
        <v>65</v>
      </c>
      <c r="B23" s="348"/>
      <c r="C23" s="347"/>
      <c r="D23" s="349" t="s">
        <v>228</v>
      </c>
      <c r="E23" s="349"/>
      <c r="F23" s="349" t="s">
        <v>67</v>
      </c>
    </row>
    <row r="24" spans="1:10" x14ac:dyDescent="0.2">
      <c r="A24" s="348" t="s">
        <v>68</v>
      </c>
      <c r="B24" s="348"/>
      <c r="C24" s="347"/>
      <c r="D24" s="349" t="s">
        <v>171</v>
      </c>
      <c r="E24" s="349"/>
      <c r="F24" s="349" t="s">
        <v>69</v>
      </c>
    </row>
    <row r="25" spans="1:10" x14ac:dyDescent="0.2">
      <c r="A25" s="350" t="s">
        <v>70</v>
      </c>
      <c r="B25" s="350"/>
      <c r="C25" s="347"/>
      <c r="D25" s="351" t="s">
        <v>88</v>
      </c>
      <c r="E25" s="349" t="s">
        <v>172</v>
      </c>
      <c r="F25" s="351" t="s">
        <v>72</v>
      </c>
    </row>
    <row r="26" spans="1:10" ht="12.75" customHeight="1" x14ac:dyDescent="0.2">
      <c r="A26" s="347"/>
      <c r="B26" s="352"/>
      <c r="C26" s="347"/>
      <c r="D26" s="347"/>
      <c r="E26" s="347"/>
      <c r="F26" s="353"/>
      <c r="H26" s="198"/>
      <c r="I26" s="198"/>
      <c r="J26" s="198"/>
    </row>
    <row r="27" spans="1:10" x14ac:dyDescent="0.2">
      <c r="A27" s="347" t="s">
        <v>73</v>
      </c>
      <c r="B27" s="352"/>
      <c r="C27" s="347"/>
      <c r="D27" s="641">
        <f>+'Meters &amp; Services'!H21</f>
        <v>5509</v>
      </c>
      <c r="E27" s="347"/>
      <c r="F27" s="366">
        <f>ROUND(+D27/D$34,4)</f>
        <v>0.80659999999999998</v>
      </c>
      <c r="H27" s="199"/>
      <c r="I27" s="198"/>
      <c r="J27" s="197"/>
    </row>
    <row r="28" spans="1:10" ht="16.149999999999999" customHeight="1" x14ac:dyDescent="0.2">
      <c r="A28" s="347" t="s">
        <v>543</v>
      </c>
      <c r="B28" s="352"/>
      <c r="C28" s="347"/>
      <c r="D28" s="641">
        <f>+'Meters &amp; Services'!L21</f>
        <v>1234</v>
      </c>
      <c r="E28" s="347"/>
      <c r="F28" s="353">
        <f t="shared" ref="F28:F32" si="0">ROUND(+D28/D$34,4)</f>
        <v>0.1807</v>
      </c>
      <c r="H28" s="199"/>
      <c r="I28" s="198"/>
      <c r="J28" s="200"/>
    </row>
    <row r="29" spans="1:10" x14ac:dyDescent="0.2">
      <c r="A29" s="347" t="s">
        <v>75</v>
      </c>
      <c r="B29" s="352"/>
      <c r="C29" s="347"/>
      <c r="D29" s="641">
        <f>+'Meters &amp; Services'!P21</f>
        <v>87</v>
      </c>
      <c r="E29" s="347"/>
      <c r="F29" s="353">
        <f t="shared" si="0"/>
        <v>1.2699999999999999E-2</v>
      </c>
      <c r="H29" s="199"/>
      <c r="I29" s="198"/>
      <c r="J29" s="200"/>
    </row>
    <row r="30" spans="1:10" hidden="1" x14ac:dyDescent="0.2">
      <c r="A30" s="347" t="s">
        <v>76</v>
      </c>
      <c r="B30" s="352"/>
      <c r="C30" s="347"/>
      <c r="D30" s="641">
        <f>+'Meters &amp; Services'!T21</f>
        <v>0</v>
      </c>
      <c r="E30" s="347"/>
      <c r="F30" s="353">
        <f t="shared" si="0"/>
        <v>0</v>
      </c>
      <c r="H30" s="199"/>
      <c r="I30" s="198"/>
      <c r="J30" s="200"/>
    </row>
    <row r="31" spans="1:10" hidden="1" x14ac:dyDescent="0.2">
      <c r="A31" s="347" t="s">
        <v>179</v>
      </c>
      <c r="B31" s="352"/>
      <c r="C31" s="347"/>
      <c r="D31" s="641">
        <f>+'Meters &amp; Services'!X21</f>
        <v>0</v>
      </c>
      <c r="E31" s="347"/>
      <c r="F31" s="353">
        <f t="shared" si="0"/>
        <v>0</v>
      </c>
      <c r="H31" s="198"/>
      <c r="I31" s="198"/>
      <c r="J31" s="200"/>
    </row>
    <row r="32" spans="1:10" x14ac:dyDescent="0.2">
      <c r="A32" s="347" t="s">
        <v>38</v>
      </c>
      <c r="B32" s="352"/>
      <c r="C32" s="347"/>
      <c r="D32" s="641">
        <f>+'Meters &amp; Services'!AB21</f>
        <v>0</v>
      </c>
      <c r="E32" s="347"/>
      <c r="F32" s="353">
        <f t="shared" si="0"/>
        <v>0</v>
      </c>
      <c r="H32" s="198"/>
      <c r="I32" s="198"/>
      <c r="J32" s="200"/>
    </row>
    <row r="33" spans="1:50" x14ac:dyDescent="0.2">
      <c r="A33" s="347"/>
      <c r="B33" s="352"/>
      <c r="C33" s="347"/>
      <c r="D33" s="650"/>
      <c r="E33" s="347"/>
      <c r="F33" s="367"/>
      <c r="H33" s="198"/>
      <c r="I33" s="198"/>
      <c r="J33" s="92"/>
    </row>
    <row r="34" spans="1:50" ht="15.75" thickBot="1" x14ac:dyDescent="0.25">
      <c r="A34" s="347" t="s">
        <v>79</v>
      </c>
      <c r="B34" s="352"/>
      <c r="C34" s="347"/>
      <c r="D34" s="649">
        <f>SUM(D27:D33)</f>
        <v>6830</v>
      </c>
      <c r="E34" s="347"/>
      <c r="F34" s="355">
        <f>SUM(F27:F33)</f>
        <v>1</v>
      </c>
      <c r="H34" s="201"/>
      <c r="I34" s="198"/>
      <c r="J34" s="200"/>
    </row>
    <row r="35" spans="1:50" ht="15.75" thickTop="1" x14ac:dyDescent="0.2">
      <c r="A35" s="347"/>
      <c r="B35" s="347"/>
      <c r="C35" s="347"/>
      <c r="D35" s="368"/>
      <c r="E35" s="369"/>
      <c r="F35" s="354"/>
      <c r="H35" s="198"/>
      <c r="I35" s="198"/>
      <c r="J35" s="198"/>
    </row>
    <row r="36" spans="1:50" x14ac:dyDescent="0.2">
      <c r="A36" s="15" t="s">
        <v>386</v>
      </c>
      <c r="B36" s="348"/>
      <c r="C36" s="348"/>
      <c r="D36" s="348"/>
      <c r="E36" s="348"/>
      <c r="F36" s="348"/>
      <c r="G36" s="43"/>
      <c r="H36" s="202"/>
      <c r="I36" s="202"/>
      <c r="J36" s="202"/>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row>
    <row r="37" spans="1:50" x14ac:dyDescent="0.2">
      <c r="A37" s="348"/>
      <c r="B37" s="348"/>
      <c r="C37" s="348"/>
      <c r="D37" s="348"/>
      <c r="E37" s="348"/>
      <c r="F37" s="348"/>
    </row>
    <row r="38" spans="1:50" x14ac:dyDescent="0.2">
      <c r="A38" s="714" t="s">
        <v>95</v>
      </c>
      <c r="B38" s="714"/>
      <c r="C38" s="714"/>
      <c r="D38" s="714"/>
      <c r="E38" s="714"/>
      <c r="F38" s="714"/>
    </row>
    <row r="39" spans="1:50" x14ac:dyDescent="0.2">
      <c r="A39" s="347"/>
      <c r="B39" s="347"/>
      <c r="C39" s="347"/>
      <c r="D39" s="347"/>
      <c r="E39" s="347"/>
      <c r="F39" s="347"/>
    </row>
    <row r="40" spans="1:50" x14ac:dyDescent="0.2">
      <c r="A40" s="347" t="s">
        <v>444</v>
      </c>
      <c r="B40" s="347"/>
      <c r="C40" s="347"/>
      <c r="D40" s="347"/>
      <c r="E40" s="347"/>
      <c r="F40" s="347"/>
    </row>
    <row r="41" spans="1:50" x14ac:dyDescent="0.2">
      <c r="A41" s="347"/>
      <c r="B41" s="347"/>
      <c r="C41" s="347"/>
      <c r="D41" s="347"/>
      <c r="E41" s="347"/>
      <c r="F41" s="347"/>
    </row>
    <row r="42" spans="1:50" ht="27.6" customHeight="1" x14ac:dyDescent="0.2">
      <c r="A42" s="713" t="s">
        <v>173</v>
      </c>
      <c r="B42" s="713"/>
      <c r="C42" s="713"/>
      <c r="D42" s="713"/>
      <c r="E42" s="713"/>
      <c r="F42" s="713"/>
    </row>
    <row r="43" spans="1:50" x14ac:dyDescent="0.2">
      <c r="A43" s="347"/>
      <c r="B43" s="347"/>
      <c r="C43" s="347"/>
      <c r="D43" s="347"/>
      <c r="E43" s="347"/>
      <c r="F43" s="347"/>
    </row>
    <row r="44" spans="1:50" x14ac:dyDescent="0.2">
      <c r="A44" s="348" t="s">
        <v>65</v>
      </c>
      <c r="B44" s="348"/>
      <c r="C44" s="347"/>
      <c r="D44" s="349" t="s">
        <v>174</v>
      </c>
      <c r="E44" s="349"/>
      <c r="F44" s="349" t="s">
        <v>67</v>
      </c>
    </row>
    <row r="45" spans="1:50" x14ac:dyDescent="0.2">
      <c r="A45" s="348" t="s">
        <v>68</v>
      </c>
      <c r="B45" s="348"/>
      <c r="C45" s="347"/>
      <c r="D45" s="349" t="s">
        <v>171</v>
      </c>
      <c r="E45" s="349"/>
      <c r="F45" s="349" t="s">
        <v>69</v>
      </c>
    </row>
    <row r="46" spans="1:50" x14ac:dyDescent="0.2">
      <c r="A46" s="350" t="s">
        <v>70</v>
      </c>
      <c r="B46" s="350"/>
      <c r="C46" s="347"/>
      <c r="D46" s="351" t="s">
        <v>88</v>
      </c>
      <c r="E46" s="349" t="s">
        <v>172</v>
      </c>
      <c r="F46" s="351" t="s">
        <v>72</v>
      </c>
    </row>
    <row r="47" spans="1:50" ht="12.75" customHeight="1" x14ac:dyDescent="0.2">
      <c r="A47" s="347"/>
      <c r="B47" s="352"/>
      <c r="C47" s="347"/>
      <c r="D47" s="347"/>
      <c r="E47" s="347"/>
      <c r="F47" s="353"/>
    </row>
    <row r="48" spans="1:50" x14ac:dyDescent="0.2">
      <c r="A48" s="347" t="s">
        <v>73</v>
      </c>
      <c r="B48" s="352"/>
      <c r="C48" s="347"/>
      <c r="D48" s="641">
        <f>+'Meters &amp; Services'!H53</f>
        <v>5333</v>
      </c>
      <c r="E48" s="347"/>
      <c r="F48" s="366">
        <f t="shared" ref="F48:F53" si="1">ROUND(D48/D$55,4)</f>
        <v>0.82940000000000003</v>
      </c>
    </row>
    <row r="49" spans="1:6" x14ac:dyDescent="0.2">
      <c r="A49" s="347" t="s">
        <v>424</v>
      </c>
      <c r="B49" s="352"/>
      <c r="C49" s="347"/>
      <c r="D49" s="641">
        <f>+'Meters &amp; Services'!L53</f>
        <v>950</v>
      </c>
      <c r="E49" s="347"/>
      <c r="F49" s="353">
        <f t="shared" si="1"/>
        <v>0.1477</v>
      </c>
    </row>
    <row r="50" spans="1:6" hidden="1" x14ac:dyDescent="0.2">
      <c r="A50" s="347" t="s">
        <v>75</v>
      </c>
      <c r="B50" s="352"/>
      <c r="C50" s="347"/>
      <c r="D50" s="641">
        <f>+'Meters &amp; Services'!P53</f>
        <v>32</v>
      </c>
      <c r="E50" s="347"/>
      <c r="F50" s="353">
        <f t="shared" si="1"/>
        <v>5.0000000000000001E-3</v>
      </c>
    </row>
    <row r="51" spans="1:6" hidden="1" x14ac:dyDescent="0.2">
      <c r="A51" s="347" t="s">
        <v>76</v>
      </c>
      <c r="B51" s="352"/>
      <c r="C51" s="347"/>
      <c r="D51" s="641">
        <f>+'Meters &amp; Services'!T53</f>
        <v>0</v>
      </c>
      <c r="E51" s="347"/>
      <c r="F51" s="353">
        <f t="shared" si="1"/>
        <v>0</v>
      </c>
    </row>
    <row r="52" spans="1:6" hidden="1" x14ac:dyDescent="0.2">
      <c r="A52" s="347" t="s">
        <v>179</v>
      </c>
      <c r="B52" s="352"/>
      <c r="C52" s="347"/>
      <c r="D52" s="641">
        <f>+'Meters &amp; Services'!X53</f>
        <v>0</v>
      </c>
      <c r="E52" s="347"/>
      <c r="F52" s="353">
        <f t="shared" si="1"/>
        <v>0</v>
      </c>
    </row>
    <row r="53" spans="1:6" x14ac:dyDescent="0.2">
      <c r="A53" s="347" t="s">
        <v>77</v>
      </c>
      <c r="B53" s="352"/>
      <c r="C53" s="347"/>
      <c r="D53" s="641">
        <f>+'Meters &amp; Services'!AB53</f>
        <v>115</v>
      </c>
      <c r="E53" s="347"/>
      <c r="F53" s="353">
        <f t="shared" si="1"/>
        <v>1.7899999999999999E-2</v>
      </c>
    </row>
    <row r="54" spans="1:6" x14ac:dyDescent="0.2">
      <c r="A54" s="347"/>
      <c r="B54" s="352"/>
      <c r="C54" s="347"/>
      <c r="D54" s="643"/>
      <c r="E54" s="347"/>
      <c r="F54" s="367"/>
    </row>
    <row r="55" spans="1:6" ht="15.75" thickBot="1" x14ac:dyDescent="0.25">
      <c r="A55" s="347" t="s">
        <v>79</v>
      </c>
      <c r="B55" s="352"/>
      <c r="C55" s="347"/>
      <c r="D55" s="641">
        <f>SUM(D48:D54)</f>
        <v>6430</v>
      </c>
      <c r="E55" s="347"/>
      <c r="F55" s="355">
        <f>SUM(F48:F54)</f>
        <v>1</v>
      </c>
    </row>
    <row r="56" spans="1:6" ht="15.75" thickTop="1" x14ac:dyDescent="0.2">
      <c r="A56" s="347"/>
      <c r="B56" s="347"/>
      <c r="C56" s="347"/>
      <c r="D56" s="368"/>
      <c r="E56" s="369"/>
      <c r="F56" s="370"/>
    </row>
    <row r="57" spans="1:6" x14ac:dyDescent="0.2">
      <c r="A57" s="347"/>
      <c r="B57" s="347"/>
      <c r="C57" s="347"/>
      <c r="D57" s="347"/>
      <c r="E57" s="347"/>
      <c r="F57" s="347"/>
    </row>
    <row r="58" spans="1:6" x14ac:dyDescent="0.2">
      <c r="A58" s="347"/>
      <c r="B58" s="347"/>
      <c r="C58" s="347"/>
      <c r="D58" s="347"/>
      <c r="E58" s="347"/>
      <c r="F58" s="347"/>
    </row>
    <row r="59" spans="1:6" x14ac:dyDescent="0.2">
      <c r="A59" s="347"/>
      <c r="B59" s="347"/>
      <c r="C59" s="347"/>
      <c r="D59" s="347"/>
      <c r="E59" s="347"/>
      <c r="F59" s="347"/>
    </row>
    <row r="60" spans="1:6" x14ac:dyDescent="0.2">
      <c r="A60" s="347"/>
      <c r="B60" s="347"/>
      <c r="C60" s="347"/>
      <c r="D60" s="347"/>
      <c r="E60" s="347"/>
      <c r="F60" s="347"/>
    </row>
    <row r="61" spans="1:6" x14ac:dyDescent="0.2">
      <c r="A61" s="347"/>
      <c r="B61" s="347"/>
      <c r="C61" s="347"/>
      <c r="D61" s="347"/>
      <c r="E61" s="347"/>
      <c r="F61" s="347"/>
    </row>
    <row r="62" spans="1:6" x14ac:dyDescent="0.2">
      <c r="A62" s="347"/>
      <c r="B62" s="347"/>
      <c r="C62" s="347"/>
      <c r="D62" s="347"/>
      <c r="E62" s="347"/>
      <c r="F62" s="347"/>
    </row>
    <row r="63" spans="1:6" x14ac:dyDescent="0.2">
      <c r="A63" s="347"/>
      <c r="B63" s="347"/>
      <c r="C63" s="347"/>
      <c r="D63" s="347"/>
      <c r="E63" s="347"/>
      <c r="F63" s="347"/>
    </row>
    <row r="64" spans="1:6" x14ac:dyDescent="0.2">
      <c r="A64" s="347"/>
      <c r="B64" s="347"/>
      <c r="C64" s="347"/>
      <c r="D64" s="347"/>
      <c r="E64" s="347"/>
      <c r="F64" s="347"/>
    </row>
    <row r="65" spans="1:50" x14ac:dyDescent="0.2">
      <c r="A65" s="347"/>
      <c r="B65" s="347"/>
      <c r="C65" s="347"/>
      <c r="D65" s="347"/>
      <c r="E65" s="347"/>
      <c r="F65" s="347"/>
    </row>
    <row r="66" spans="1:50" x14ac:dyDescent="0.2">
      <c r="A66" s="352"/>
      <c r="B66" s="352"/>
      <c r="C66" s="352"/>
      <c r="D66" s="352"/>
      <c r="E66" s="352"/>
      <c r="F66" s="352"/>
    </row>
    <row r="67" spans="1:50" x14ac:dyDescent="0.2">
      <c r="A67" s="352"/>
      <c r="B67" s="352"/>
      <c r="C67" s="352"/>
      <c r="D67" s="352"/>
      <c r="E67" s="352"/>
      <c r="F67" s="352"/>
    </row>
    <row r="68" spans="1:50" x14ac:dyDescent="0.2">
      <c r="A68" s="352"/>
      <c r="B68" s="352"/>
      <c r="C68" s="352"/>
      <c r="D68" s="352"/>
      <c r="E68" s="352"/>
      <c r="F68" s="352"/>
    </row>
    <row r="69" spans="1:50" x14ac:dyDescent="0.2">
      <c r="A69" s="352"/>
      <c r="B69" s="352"/>
      <c r="C69" s="352"/>
      <c r="D69" s="352"/>
      <c r="E69" s="352"/>
      <c r="F69" s="352"/>
      <c r="AN69" s="38"/>
      <c r="AP69" s="35"/>
      <c r="AQ69" s="35"/>
      <c r="AR69" s="35"/>
      <c r="AS69" s="35"/>
      <c r="AT69" s="35"/>
      <c r="AU69" s="35"/>
      <c r="AV69" s="35"/>
      <c r="AW69" s="35"/>
      <c r="AX69" s="35"/>
    </row>
    <row r="70" spans="1:50" x14ac:dyDescent="0.2">
      <c r="A70" s="352"/>
      <c r="B70" s="352"/>
      <c r="C70" s="352"/>
      <c r="D70" s="352"/>
      <c r="E70" s="352"/>
      <c r="F70" s="352"/>
      <c r="AN70" s="38">
        <f>14*15</f>
        <v>210</v>
      </c>
      <c r="AP70" s="35"/>
      <c r="AQ70" s="35"/>
      <c r="AR70" s="35"/>
      <c r="AS70" s="35"/>
      <c r="AT70" s="35"/>
      <c r="AU70" s="35"/>
      <c r="AV70" s="35"/>
      <c r="AW70" s="35"/>
      <c r="AX70" s="35"/>
    </row>
    <row r="71" spans="1:50" x14ac:dyDescent="0.2">
      <c r="A71" s="352"/>
      <c r="B71" s="352"/>
      <c r="C71" s="352"/>
      <c r="D71" s="352"/>
      <c r="E71" s="352"/>
      <c r="F71" s="352"/>
      <c r="AN71" s="38"/>
      <c r="AP71" s="36"/>
      <c r="AQ71" s="35"/>
      <c r="AR71" s="35"/>
      <c r="AS71" s="35"/>
      <c r="AT71" s="35"/>
      <c r="AU71" s="35"/>
      <c r="AV71" s="35"/>
      <c r="AW71" s="35"/>
      <c r="AX71" s="35"/>
    </row>
    <row r="72" spans="1:50" x14ac:dyDescent="0.2">
      <c r="A72" s="352"/>
      <c r="B72" s="352"/>
      <c r="C72" s="352"/>
      <c r="D72" s="352"/>
      <c r="E72" s="352"/>
      <c r="F72" s="352"/>
      <c r="AN72" s="38"/>
      <c r="AP72" s="36"/>
      <c r="AQ72" s="35"/>
      <c r="AR72" s="35"/>
      <c r="AS72" s="35"/>
      <c r="AT72" s="35"/>
      <c r="AU72" s="35"/>
      <c r="AV72" s="35"/>
      <c r="AW72" s="35"/>
      <c r="AX72" s="35"/>
    </row>
    <row r="73" spans="1:50" x14ac:dyDescent="0.2">
      <c r="A73" s="352"/>
      <c r="B73" s="352"/>
      <c r="C73" s="352"/>
      <c r="D73" s="352"/>
      <c r="E73" s="352"/>
      <c r="F73" s="352"/>
      <c r="AN73" s="38"/>
    </row>
    <row r="74" spans="1:50" x14ac:dyDescent="0.2">
      <c r="A74" s="352"/>
      <c r="B74" s="352"/>
      <c r="C74" s="352"/>
      <c r="D74" s="352"/>
      <c r="E74" s="352"/>
      <c r="F74" s="352"/>
      <c r="AN74" s="38"/>
      <c r="AP74" s="38"/>
      <c r="AQ74" s="38"/>
      <c r="AR74" s="38"/>
      <c r="AS74" s="38"/>
      <c r="AT74" s="38"/>
      <c r="AU74" s="38"/>
      <c r="AV74" s="38"/>
      <c r="AW74" s="38"/>
      <c r="AX74" s="38"/>
    </row>
    <row r="75" spans="1:50" x14ac:dyDescent="0.2">
      <c r="A75" s="352"/>
      <c r="B75" s="352"/>
      <c r="C75" s="352"/>
      <c r="D75" s="352"/>
      <c r="E75" s="352"/>
      <c r="F75" s="352"/>
      <c r="AN75" s="38"/>
      <c r="AP75" s="38"/>
      <c r="AQ75" s="38"/>
      <c r="AR75" s="39"/>
      <c r="AS75" s="39"/>
      <c r="AT75" s="39"/>
      <c r="AU75" s="39"/>
      <c r="AV75" s="39"/>
      <c r="AW75" s="39"/>
      <c r="AX75" s="39"/>
    </row>
    <row r="76" spans="1:50" x14ac:dyDescent="0.2">
      <c r="AN76" s="38"/>
      <c r="AP76" s="39"/>
      <c r="AQ76" s="38"/>
      <c r="AR76" s="39"/>
      <c r="AS76" s="39"/>
      <c r="AT76" s="39"/>
      <c r="AU76" s="39"/>
      <c r="AV76" s="39"/>
      <c r="AW76" s="39"/>
      <c r="AX76" s="39"/>
    </row>
    <row r="77" spans="1:50" x14ac:dyDescent="0.2">
      <c r="AN77" s="38"/>
      <c r="AP77" s="39"/>
      <c r="AQ77" s="38"/>
      <c r="AR77" s="39"/>
      <c r="AS77" s="39"/>
      <c r="AT77" s="39"/>
      <c r="AU77" s="39"/>
      <c r="AV77" s="39"/>
      <c r="AW77" s="39"/>
      <c r="AX77" s="39"/>
    </row>
    <row r="78" spans="1:50" x14ac:dyDescent="0.2">
      <c r="AN78" s="38"/>
      <c r="AP78" s="44"/>
      <c r="AQ78" s="38"/>
      <c r="AR78" s="44"/>
      <c r="AS78" s="44"/>
      <c r="AT78" s="44"/>
      <c r="AU78" s="38"/>
      <c r="AV78" s="44"/>
      <c r="AW78" s="44"/>
      <c r="AX78" s="44"/>
    </row>
    <row r="79" spans="1:50" x14ac:dyDescent="0.2">
      <c r="AN79" s="38"/>
      <c r="AP79" s="38"/>
      <c r="AQ79" s="38"/>
      <c r="AR79" s="38"/>
      <c r="AS79" s="38"/>
      <c r="AT79" s="38"/>
      <c r="AU79" s="38"/>
      <c r="AV79" s="38"/>
      <c r="AW79" s="38"/>
      <c r="AX79" s="38"/>
    </row>
    <row r="80" spans="1:50" x14ac:dyDescent="0.2">
      <c r="AN80" s="38"/>
      <c r="AP80" s="39"/>
      <c r="AQ80" s="38"/>
      <c r="AR80" s="41"/>
      <c r="AS80" s="41"/>
      <c r="AT80" s="41"/>
      <c r="AU80" s="41"/>
      <c r="AV80" s="41"/>
      <c r="AW80" s="45"/>
      <c r="AX80" s="45"/>
    </row>
    <row r="81" spans="40:50" x14ac:dyDescent="0.2">
      <c r="AN81" s="38"/>
      <c r="AP81" s="39"/>
      <c r="AQ81" s="38"/>
      <c r="AR81" s="41"/>
      <c r="AS81" s="41"/>
      <c r="AT81" s="41"/>
      <c r="AU81" s="41"/>
      <c r="AV81" s="41"/>
      <c r="AW81" s="45"/>
      <c r="AX81" s="45"/>
    </row>
    <row r="82" spans="40:50" x14ac:dyDescent="0.2">
      <c r="AN82" s="38"/>
      <c r="AP82" s="39"/>
      <c r="AQ82" s="38"/>
      <c r="AR82" s="41"/>
      <c r="AS82" s="41"/>
      <c r="AT82" s="41"/>
      <c r="AU82" s="41"/>
      <c r="AV82" s="41"/>
      <c r="AW82" s="45"/>
      <c r="AX82" s="45"/>
    </row>
    <row r="83" spans="40:50" x14ac:dyDescent="0.2">
      <c r="AN83" s="38"/>
      <c r="AP83" s="39"/>
      <c r="AQ83" s="38"/>
      <c r="AR83" s="41"/>
      <c r="AS83" s="41"/>
      <c r="AT83" s="41"/>
      <c r="AU83" s="41"/>
      <c r="AV83" s="41"/>
      <c r="AW83" s="45"/>
      <c r="AX83" s="45"/>
    </row>
    <row r="84" spans="40:50" x14ac:dyDescent="0.2">
      <c r="AN84" s="38"/>
      <c r="AP84" s="39"/>
      <c r="AQ84" s="38"/>
      <c r="AR84" s="41"/>
      <c r="AS84" s="41"/>
      <c r="AT84" s="41"/>
      <c r="AU84" s="41"/>
      <c r="AV84" s="41"/>
      <c r="AW84" s="45"/>
      <c r="AX84" s="45"/>
    </row>
    <row r="85" spans="40:50" x14ac:dyDescent="0.2">
      <c r="AN85" s="38"/>
      <c r="AP85" s="39"/>
      <c r="AQ85" s="38"/>
      <c r="AR85" s="41"/>
      <c r="AS85" s="41"/>
      <c r="AT85" s="41"/>
      <c r="AU85" s="41"/>
      <c r="AV85" s="41"/>
      <c r="AW85" s="45"/>
      <c r="AX85" s="45"/>
    </row>
    <row r="86" spans="40:50" x14ac:dyDescent="0.2">
      <c r="AN86" s="38"/>
      <c r="AP86" s="39"/>
      <c r="AQ86" s="38"/>
      <c r="AR86" s="41"/>
      <c r="AS86" s="41"/>
      <c r="AT86" s="41"/>
      <c r="AU86" s="41"/>
      <c r="AV86" s="41"/>
      <c r="AW86" s="45"/>
      <c r="AX86" s="45"/>
    </row>
    <row r="87" spans="40:50" x14ac:dyDescent="0.2">
      <c r="AN87" s="38"/>
      <c r="AP87" s="39"/>
      <c r="AQ87" s="38"/>
      <c r="AR87" s="41"/>
      <c r="AS87" s="41"/>
      <c r="AT87" s="41"/>
      <c r="AU87" s="41"/>
      <c r="AV87" s="41"/>
      <c r="AW87" s="45"/>
      <c r="AX87" s="45"/>
    </row>
    <row r="88" spans="40:50" x14ac:dyDescent="0.2">
      <c r="AN88" s="38"/>
      <c r="AP88" s="39"/>
      <c r="AQ88" s="38"/>
      <c r="AR88" s="41"/>
      <c r="AS88" s="41"/>
      <c r="AT88" s="41"/>
      <c r="AU88" s="41"/>
      <c r="AV88" s="41"/>
      <c r="AW88" s="45"/>
      <c r="AX88" s="45"/>
    </row>
    <row r="89" spans="40:50" x14ac:dyDescent="0.2">
      <c r="AN89" s="38"/>
      <c r="AP89" s="39"/>
      <c r="AQ89" s="38"/>
      <c r="AR89" s="41"/>
      <c r="AS89" s="41"/>
      <c r="AT89" s="41"/>
      <c r="AU89" s="41"/>
      <c r="AV89" s="41"/>
      <c r="AW89" s="45"/>
      <c r="AX89" s="45"/>
    </row>
    <row r="90" spans="40:50" x14ac:dyDescent="0.2">
      <c r="AN90" s="38"/>
      <c r="AP90" s="39"/>
      <c r="AQ90" s="38"/>
      <c r="AR90" s="41"/>
      <c r="AS90" s="41"/>
      <c r="AT90" s="41"/>
      <c r="AU90" s="41"/>
      <c r="AV90" s="41"/>
      <c r="AW90" s="45"/>
      <c r="AX90" s="45"/>
    </row>
    <row r="91" spans="40:50" x14ac:dyDescent="0.2">
      <c r="AN91" s="38"/>
      <c r="AP91" s="39"/>
      <c r="AQ91" s="38"/>
      <c r="AR91" s="41"/>
      <c r="AS91" s="41"/>
      <c r="AT91" s="41"/>
      <c r="AU91" s="41"/>
      <c r="AV91" s="41"/>
      <c r="AW91" s="45"/>
      <c r="AX91" s="45"/>
    </row>
    <row r="92" spans="40:50" x14ac:dyDescent="0.2">
      <c r="AN92" s="38"/>
      <c r="AP92" s="39"/>
      <c r="AQ92" s="38"/>
      <c r="AR92" s="41"/>
      <c r="AS92" s="41"/>
      <c r="AT92" s="41"/>
      <c r="AU92" s="41"/>
      <c r="AV92" s="41"/>
      <c r="AW92" s="45"/>
      <c r="AX92" s="45"/>
    </row>
    <row r="93" spans="40:50" x14ac:dyDescent="0.2">
      <c r="AN93" s="38"/>
      <c r="AP93" s="39"/>
      <c r="AQ93" s="38"/>
      <c r="AR93" s="41"/>
      <c r="AS93" s="41"/>
      <c r="AT93" s="41"/>
      <c r="AU93" s="41"/>
      <c r="AV93" s="41"/>
      <c r="AW93" s="45"/>
      <c r="AX93" s="45"/>
    </row>
    <row r="94" spans="40:50" x14ac:dyDescent="0.2">
      <c r="AN94" s="38"/>
      <c r="AP94" s="39"/>
      <c r="AQ94" s="38"/>
      <c r="AR94" s="41"/>
      <c r="AS94" s="41"/>
      <c r="AT94" s="41"/>
      <c r="AU94" s="41"/>
      <c r="AV94" s="41"/>
      <c r="AW94" s="45"/>
      <c r="AX94" s="45"/>
    </row>
    <row r="95" spans="40:50" x14ac:dyDescent="0.2">
      <c r="AN95" s="38"/>
      <c r="AP95" s="39"/>
    </row>
    <row r="96" spans="40:50" x14ac:dyDescent="0.2">
      <c r="AN96" s="38"/>
      <c r="AP96" s="39"/>
      <c r="AR96" s="41"/>
      <c r="AT96" s="41"/>
      <c r="AV96" s="41"/>
      <c r="AX96" s="45"/>
    </row>
    <row r="97" spans="9:50" x14ac:dyDescent="0.2">
      <c r="AN97" s="38"/>
      <c r="AP97" s="39"/>
      <c r="AR97" s="41"/>
      <c r="AT97" s="41"/>
      <c r="AV97" s="41"/>
      <c r="AX97" s="45"/>
    </row>
    <row r="98" spans="9:50" x14ac:dyDescent="0.2">
      <c r="AN98" s="38"/>
      <c r="AP98" s="39"/>
      <c r="AR98" s="41"/>
      <c r="AT98" s="41"/>
      <c r="AV98" s="41"/>
      <c r="AX98" s="45"/>
    </row>
    <row r="99" spans="9:50" x14ac:dyDescent="0.2">
      <c r="AN99" s="38"/>
      <c r="AP99" s="39"/>
      <c r="AR99" s="41"/>
      <c r="AT99" s="41"/>
      <c r="AV99" s="41"/>
      <c r="AX99" s="45"/>
    </row>
    <row r="100" spans="9:50" x14ac:dyDescent="0.2">
      <c r="AN100" s="38"/>
      <c r="AP100" s="39"/>
      <c r="AR100" s="41"/>
      <c r="AT100" s="41"/>
      <c r="AV100" s="41"/>
      <c r="AX100" s="45"/>
    </row>
    <row r="101" spans="9:50" x14ac:dyDescent="0.2">
      <c r="AN101" s="38"/>
      <c r="AP101" s="39"/>
      <c r="AR101" s="41"/>
      <c r="AT101" s="41"/>
      <c r="AV101" s="41"/>
      <c r="AX101" s="45"/>
    </row>
    <row r="102" spans="9:50" x14ac:dyDescent="0.2">
      <c r="AN102" s="38"/>
      <c r="AP102" s="39"/>
      <c r="AR102" s="41"/>
      <c r="AT102" s="41"/>
      <c r="AV102" s="41"/>
      <c r="AX102" s="45"/>
    </row>
    <row r="103" spans="9:50" x14ac:dyDescent="0.2">
      <c r="AN103" s="38"/>
    </row>
    <row r="104" spans="9:50" x14ac:dyDescent="0.2">
      <c r="AN104" s="38"/>
    </row>
    <row r="105" spans="9:50" x14ac:dyDescent="0.2">
      <c r="AN105" s="38"/>
    </row>
    <row r="106" spans="9:50" x14ac:dyDescent="0.2">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row>
    <row r="107" spans="9:50" x14ac:dyDescent="0.2">
      <c r="I107" s="38"/>
      <c r="J107" s="38"/>
      <c r="K107" s="38"/>
      <c r="L107" s="38"/>
      <c r="M107" s="38"/>
      <c r="N107" s="38"/>
      <c r="O107" s="46"/>
      <c r="P107" s="38"/>
      <c r="Q107" s="38"/>
      <c r="R107" s="38"/>
      <c r="S107" s="46"/>
      <c r="T107" s="38"/>
      <c r="U107" s="38"/>
      <c r="V107" s="38"/>
      <c r="W107" s="46"/>
      <c r="X107" s="38"/>
      <c r="Y107" s="38"/>
      <c r="Z107" s="38"/>
      <c r="AA107" s="46"/>
      <c r="AB107" s="38"/>
      <c r="AC107" s="38"/>
      <c r="AD107" s="38"/>
      <c r="AE107" s="46"/>
      <c r="AF107" s="38"/>
      <c r="AG107" s="38"/>
      <c r="AH107" s="38"/>
      <c r="AI107" s="47"/>
      <c r="AJ107" s="38"/>
      <c r="AK107" s="38"/>
      <c r="AL107" s="38"/>
      <c r="AM107" s="46"/>
      <c r="AN107" s="38"/>
    </row>
    <row r="108" spans="9:50" x14ac:dyDescent="0.2">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row>
    <row r="109" spans="9:50" x14ac:dyDescent="0.2">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row>
    <row r="110" spans="9:50" x14ac:dyDescent="0.2">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row>
    <row r="111" spans="9:50" x14ac:dyDescent="0.2">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row>
    <row r="112" spans="9:50" x14ac:dyDescent="0.2">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row>
    <row r="113" spans="9:40" x14ac:dyDescent="0.2">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row>
    <row r="114" spans="9:40" x14ac:dyDescent="0.2">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row>
    <row r="115" spans="9:40" x14ac:dyDescent="0.2">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row>
    <row r="116" spans="9:40" x14ac:dyDescent="0.2">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row>
    <row r="117" spans="9:40" x14ac:dyDescent="0.2">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row>
    <row r="118" spans="9:40" x14ac:dyDescent="0.2">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row>
    <row r="119" spans="9:40" x14ac:dyDescent="0.2">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row>
    <row r="120" spans="9:40" x14ac:dyDescent="0.2">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row>
    <row r="121" spans="9:40" x14ac:dyDescent="0.2">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row>
    <row r="122" spans="9:40" x14ac:dyDescent="0.2">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row>
    <row r="123" spans="9:40" x14ac:dyDescent="0.2">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row>
    <row r="124" spans="9:40" x14ac:dyDescent="0.2">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row>
    <row r="125" spans="9:40" x14ac:dyDescent="0.2">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row>
    <row r="126" spans="9:40" x14ac:dyDescent="0.2">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row>
    <row r="127" spans="9:40" x14ac:dyDescent="0.2">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row>
    <row r="128" spans="9:40" x14ac:dyDescent="0.2">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row>
    <row r="129" spans="9:40" x14ac:dyDescent="0.2">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row>
    <row r="130" spans="9:40" x14ac:dyDescent="0.2">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row>
    <row r="131" spans="9:40" x14ac:dyDescent="0.2">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row>
    <row r="132" spans="9:40" x14ac:dyDescent="0.2">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row>
    <row r="133" spans="9:40" x14ac:dyDescent="0.2">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row>
    <row r="134" spans="9:40" x14ac:dyDescent="0.2">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row>
    <row r="135" spans="9:40" x14ac:dyDescent="0.2">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row>
    <row r="136" spans="9:40" x14ac:dyDescent="0.2">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row>
    <row r="137" spans="9:40" x14ac:dyDescent="0.2">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row>
    <row r="138" spans="9:40" x14ac:dyDescent="0.2">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row>
    <row r="139" spans="9:40" x14ac:dyDescent="0.2">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row>
    <row r="140" spans="9:40" x14ac:dyDescent="0.2">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row>
    <row r="141" spans="9:40" x14ac:dyDescent="0.2">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row>
    <row r="142" spans="9:40" x14ac:dyDescent="0.2">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row>
    <row r="143" spans="9:40" x14ac:dyDescent="0.2">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row>
    <row r="144" spans="9:40" x14ac:dyDescent="0.2">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row>
    <row r="145" spans="9:50" x14ac:dyDescent="0.2">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row>
    <row r="146" spans="9:50" x14ac:dyDescent="0.2">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row>
    <row r="147" spans="9:50" x14ac:dyDescent="0.2">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row>
    <row r="148" spans="9:50" x14ac:dyDescent="0.2">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row>
    <row r="149" spans="9:50" x14ac:dyDescent="0.2">
      <c r="I149" s="38" t="s">
        <v>175</v>
      </c>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row>
    <row r="150" spans="9:50" x14ac:dyDescent="0.2">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row>
    <row r="151" spans="9:50" x14ac:dyDescent="0.2">
      <c r="I151" s="48" t="s">
        <v>176</v>
      </c>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row>
    <row r="152" spans="9:50" x14ac:dyDescent="0.2">
      <c r="I152" s="35" t="s">
        <v>60</v>
      </c>
      <c r="J152" s="36"/>
      <c r="K152" s="36"/>
      <c r="L152" s="36"/>
      <c r="M152" s="36"/>
      <c r="N152" s="36"/>
      <c r="O152" s="36"/>
      <c r="P152" s="36"/>
      <c r="Q152" s="36"/>
      <c r="R152" s="36"/>
      <c r="S152" s="36"/>
      <c r="T152" s="36"/>
      <c r="U152" s="35"/>
      <c r="V152" s="36"/>
      <c r="W152" s="36"/>
      <c r="X152" s="36"/>
      <c r="Y152" s="36"/>
      <c r="Z152" s="36"/>
      <c r="AA152" s="36"/>
      <c r="AB152" s="36"/>
      <c r="AC152" s="36"/>
      <c r="AD152" s="36"/>
      <c r="AE152" s="36"/>
      <c r="AF152" s="36"/>
      <c r="AG152" s="36"/>
      <c r="AH152" s="36"/>
      <c r="AI152" s="36"/>
      <c r="AJ152" s="36"/>
      <c r="AK152" s="36"/>
      <c r="AL152" s="36"/>
      <c r="AM152" s="36"/>
      <c r="AN152" s="38"/>
      <c r="AP152" s="35"/>
      <c r="AQ152" s="35"/>
      <c r="AR152" s="35"/>
      <c r="AS152" s="35"/>
      <c r="AT152" s="35"/>
      <c r="AU152" s="35"/>
      <c r="AV152" s="35"/>
      <c r="AW152" s="35"/>
      <c r="AX152" s="35"/>
    </row>
    <row r="153" spans="9:50" x14ac:dyDescent="0.2">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8"/>
      <c r="AP153" s="35"/>
      <c r="AQ153" s="35"/>
      <c r="AR153" s="35"/>
      <c r="AS153" s="35"/>
      <c r="AT153" s="35"/>
      <c r="AU153" s="35"/>
      <c r="AV153" s="35"/>
      <c r="AW153" s="35"/>
      <c r="AX153" s="35"/>
    </row>
    <row r="154" spans="9:50" x14ac:dyDescent="0.2">
      <c r="I154" s="36" t="s">
        <v>177</v>
      </c>
      <c r="J154" s="36"/>
      <c r="K154" s="36"/>
      <c r="L154" s="36"/>
      <c r="M154" s="36"/>
      <c r="N154" s="36"/>
      <c r="O154" s="36"/>
      <c r="P154" s="36"/>
      <c r="Q154" s="36"/>
      <c r="R154" s="36"/>
      <c r="S154" s="35"/>
      <c r="T154" s="36"/>
      <c r="U154" s="36"/>
      <c r="V154" s="36"/>
      <c r="W154" s="36"/>
      <c r="X154" s="36"/>
      <c r="Y154" s="36"/>
      <c r="Z154" s="36"/>
      <c r="AA154" s="36"/>
      <c r="AB154" s="36"/>
      <c r="AC154" s="36"/>
      <c r="AD154" s="36"/>
      <c r="AE154" s="36"/>
      <c r="AF154" s="36"/>
      <c r="AG154" s="36"/>
      <c r="AH154" s="36"/>
      <c r="AI154" s="36"/>
      <c r="AJ154" s="36"/>
      <c r="AK154" s="36"/>
      <c r="AL154" s="36"/>
      <c r="AM154" s="36"/>
      <c r="AN154" s="38"/>
      <c r="AP154" s="36"/>
      <c r="AQ154" s="35"/>
      <c r="AR154" s="35"/>
      <c r="AS154" s="35"/>
      <c r="AT154" s="35"/>
      <c r="AU154" s="35"/>
      <c r="AV154" s="35"/>
      <c r="AW154" s="35"/>
      <c r="AX154" s="35"/>
    </row>
    <row r="155" spans="9:50" x14ac:dyDescent="0.2">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P155" s="36"/>
      <c r="AQ155" s="35"/>
      <c r="AR155" s="35"/>
      <c r="AS155" s="35"/>
      <c r="AT155" s="35"/>
      <c r="AU155" s="35"/>
      <c r="AV155" s="35"/>
      <c r="AW155" s="35"/>
      <c r="AX155" s="35"/>
    </row>
    <row r="156" spans="9:50" x14ac:dyDescent="0.2">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row>
    <row r="157" spans="9:50" x14ac:dyDescent="0.2">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P157" s="38"/>
      <c r="AQ157" s="38"/>
      <c r="AR157" s="38"/>
      <c r="AS157" s="38"/>
      <c r="AT157" s="38"/>
      <c r="AU157" s="38"/>
      <c r="AV157" s="38"/>
      <c r="AW157" s="38"/>
      <c r="AX157" s="38"/>
    </row>
    <row r="158" spans="9:50" x14ac:dyDescent="0.2">
      <c r="I158" s="39"/>
      <c r="J158" s="39"/>
      <c r="K158" s="39" t="s">
        <v>178</v>
      </c>
      <c r="L158" s="39"/>
      <c r="M158" s="36" t="s">
        <v>73</v>
      </c>
      <c r="N158" s="36"/>
      <c r="O158" s="36"/>
      <c r="P158" s="39"/>
      <c r="Q158" s="36" t="s">
        <v>74</v>
      </c>
      <c r="R158" s="36"/>
      <c r="S158" s="36"/>
      <c r="T158" s="39"/>
      <c r="U158" s="36" t="s">
        <v>75</v>
      </c>
      <c r="V158" s="36"/>
      <c r="W158" s="36"/>
      <c r="X158" s="39"/>
      <c r="Y158" s="36" t="s">
        <v>76</v>
      </c>
      <c r="Z158" s="36"/>
      <c r="AA158" s="36"/>
      <c r="AB158" s="39"/>
      <c r="AC158" s="36" t="s">
        <v>182</v>
      </c>
      <c r="AD158" s="36"/>
      <c r="AE158" s="36"/>
      <c r="AF158" s="39"/>
      <c r="AG158" s="36" t="s">
        <v>77</v>
      </c>
      <c r="AH158" s="36"/>
      <c r="AI158" s="36"/>
      <c r="AJ158" s="39"/>
      <c r="AK158" s="36" t="s">
        <v>183</v>
      </c>
      <c r="AL158" s="36"/>
      <c r="AM158" s="36"/>
      <c r="AN158" s="38"/>
      <c r="AP158" s="38"/>
      <c r="AQ158" s="38"/>
      <c r="AR158" s="39"/>
      <c r="AS158" s="39"/>
      <c r="AT158" s="39"/>
      <c r="AU158" s="39"/>
      <c r="AV158" s="39"/>
      <c r="AW158" s="39"/>
      <c r="AX158" s="39"/>
    </row>
    <row r="159" spans="9:50" x14ac:dyDescent="0.2">
      <c r="I159" s="39" t="s">
        <v>184</v>
      </c>
      <c r="J159" s="39"/>
      <c r="K159" s="39" t="s">
        <v>185</v>
      </c>
      <c r="L159" s="39"/>
      <c r="M159" s="40" t="s">
        <v>168</v>
      </c>
      <c r="N159" s="40"/>
      <c r="O159" s="40"/>
      <c r="P159" s="39"/>
      <c r="Q159" s="40" t="s">
        <v>168</v>
      </c>
      <c r="R159" s="40"/>
      <c r="S159" s="40"/>
      <c r="T159" s="39"/>
      <c r="U159" s="40" t="s">
        <v>168</v>
      </c>
      <c r="V159" s="40"/>
      <c r="W159" s="40"/>
      <c r="X159" s="39"/>
      <c r="Y159" s="40" t="s">
        <v>168</v>
      </c>
      <c r="Z159" s="40"/>
      <c r="AA159" s="40"/>
      <c r="AB159" s="39"/>
      <c r="AC159" s="40" t="s">
        <v>168</v>
      </c>
      <c r="AD159" s="40"/>
      <c r="AE159" s="40"/>
      <c r="AF159" s="39"/>
      <c r="AG159" s="40" t="s">
        <v>168</v>
      </c>
      <c r="AH159" s="40"/>
      <c r="AI159" s="40"/>
      <c r="AJ159" s="39"/>
      <c r="AK159" s="40" t="s">
        <v>168</v>
      </c>
      <c r="AL159" s="40"/>
      <c r="AM159" s="40"/>
      <c r="AN159" s="38"/>
      <c r="AP159" s="39"/>
      <c r="AQ159" s="38"/>
      <c r="AR159" s="39"/>
      <c r="AS159" s="39"/>
      <c r="AT159" s="39"/>
      <c r="AU159" s="39"/>
      <c r="AV159" s="39"/>
      <c r="AW159" s="39"/>
      <c r="AX159" s="39"/>
    </row>
    <row r="160" spans="9:50" x14ac:dyDescent="0.2">
      <c r="I160" s="39" t="s">
        <v>186</v>
      </c>
      <c r="J160" s="39"/>
      <c r="K160" s="39" t="s">
        <v>187</v>
      </c>
      <c r="L160" s="39"/>
      <c r="M160" s="39" t="s">
        <v>188</v>
      </c>
      <c r="N160" s="39"/>
      <c r="O160" s="39" t="s">
        <v>189</v>
      </c>
      <c r="P160" s="39"/>
      <c r="Q160" s="39" t="s">
        <v>188</v>
      </c>
      <c r="R160" s="39"/>
      <c r="S160" s="39" t="s">
        <v>189</v>
      </c>
      <c r="T160" s="39"/>
      <c r="U160" s="39" t="s">
        <v>188</v>
      </c>
      <c r="V160" s="39"/>
      <c r="W160" s="39" t="s">
        <v>189</v>
      </c>
      <c r="X160" s="39"/>
      <c r="Y160" s="39" t="s">
        <v>188</v>
      </c>
      <c r="Z160" s="39"/>
      <c r="AA160" s="39" t="s">
        <v>189</v>
      </c>
      <c r="AB160" s="39"/>
      <c r="AC160" s="39" t="s">
        <v>188</v>
      </c>
      <c r="AD160" s="39"/>
      <c r="AE160" s="39" t="s">
        <v>189</v>
      </c>
      <c r="AF160" s="39"/>
      <c r="AG160" s="39" t="s">
        <v>188</v>
      </c>
      <c r="AH160" s="39"/>
      <c r="AI160" s="39" t="s">
        <v>189</v>
      </c>
      <c r="AJ160" s="39"/>
      <c r="AK160" s="39" t="s">
        <v>188</v>
      </c>
      <c r="AL160" s="39"/>
      <c r="AM160" s="39" t="s">
        <v>189</v>
      </c>
      <c r="AN160" s="38"/>
      <c r="AP160" s="39"/>
      <c r="AQ160" s="38"/>
      <c r="AR160" s="39"/>
      <c r="AS160" s="39"/>
      <c r="AT160" s="39"/>
      <c r="AU160" s="39"/>
      <c r="AV160" s="39"/>
      <c r="AW160" s="39"/>
      <c r="AX160" s="39"/>
    </row>
    <row r="161" spans="9:50" x14ac:dyDescent="0.2">
      <c r="I161" s="49">
        <v>-1</v>
      </c>
      <c r="J161" s="44"/>
      <c r="K161" s="49">
        <v>-2</v>
      </c>
      <c r="L161" s="44"/>
      <c r="M161" s="49">
        <v>-3</v>
      </c>
      <c r="N161" s="44"/>
      <c r="O161" s="49" t="s">
        <v>190</v>
      </c>
      <c r="P161" s="44"/>
      <c r="Q161" s="49">
        <v>-5</v>
      </c>
      <c r="R161" s="44"/>
      <c r="S161" s="49" t="s">
        <v>191</v>
      </c>
      <c r="T161" s="44"/>
      <c r="U161" s="49">
        <v>-7</v>
      </c>
      <c r="V161" s="44"/>
      <c r="W161" s="49" t="s">
        <v>192</v>
      </c>
      <c r="X161" s="44"/>
      <c r="Y161" s="49">
        <v>-9</v>
      </c>
      <c r="Z161" s="44"/>
      <c r="AA161" s="49" t="s">
        <v>193</v>
      </c>
      <c r="AB161" s="44"/>
      <c r="AC161" s="49">
        <v>-11</v>
      </c>
      <c r="AD161" s="44"/>
      <c r="AE161" s="49" t="s">
        <v>194</v>
      </c>
      <c r="AF161" s="44"/>
      <c r="AG161" s="49">
        <v>-13</v>
      </c>
      <c r="AH161" s="44"/>
      <c r="AI161" s="49" t="s">
        <v>195</v>
      </c>
      <c r="AJ161" s="44"/>
      <c r="AK161" s="49">
        <v>-15</v>
      </c>
      <c r="AL161" s="44"/>
      <c r="AM161" s="49">
        <v>-16</v>
      </c>
      <c r="AN161" s="38"/>
      <c r="AP161" s="44"/>
      <c r="AQ161" s="38"/>
      <c r="AR161" s="44"/>
      <c r="AS161" s="44"/>
      <c r="AT161" s="44"/>
      <c r="AU161" s="38"/>
      <c r="AV161" s="44"/>
      <c r="AW161" s="44"/>
      <c r="AX161" s="44"/>
    </row>
    <row r="162" spans="9:50" x14ac:dyDescent="0.2">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P162" s="38"/>
      <c r="AQ162" s="38"/>
      <c r="AR162" s="38"/>
      <c r="AS162" s="38"/>
      <c r="AT162" s="38"/>
      <c r="AU162" s="38"/>
      <c r="AV162" s="38"/>
      <c r="AW162" s="38"/>
      <c r="AX162" s="38"/>
    </row>
    <row r="163" spans="9:50" x14ac:dyDescent="0.2">
      <c r="I163" s="38" t="s">
        <v>196</v>
      </c>
      <c r="J163" s="38"/>
      <c r="K163" s="45">
        <v>1</v>
      </c>
      <c r="L163" s="38"/>
      <c r="M163" s="41">
        <v>262484</v>
      </c>
      <c r="N163" s="38"/>
      <c r="O163" s="41">
        <f>ROUND(+M163*$K163,0)</f>
        <v>262484</v>
      </c>
      <c r="P163" s="38"/>
      <c r="Q163" s="41">
        <v>7892</v>
      </c>
      <c r="R163" s="38"/>
      <c r="S163" s="41">
        <f>ROUND(+Q163*$K163,0)</f>
        <v>7892</v>
      </c>
      <c r="T163" s="38"/>
      <c r="U163" s="41">
        <v>272</v>
      </c>
      <c r="V163" s="38"/>
      <c r="W163" s="41">
        <f>ROUND(+U163*$K163,0)</f>
        <v>272</v>
      </c>
      <c r="X163" s="38"/>
      <c r="Y163" s="41">
        <v>299</v>
      </c>
      <c r="Z163" s="38"/>
      <c r="AA163" s="41">
        <f>ROUND(+Y163*$K163,0)</f>
        <v>299</v>
      </c>
      <c r="AB163" s="38"/>
      <c r="AC163" s="41">
        <v>0</v>
      </c>
      <c r="AD163" s="38"/>
      <c r="AE163" s="41">
        <f>ROUND(+AC163*$K163,0)</f>
        <v>0</v>
      </c>
      <c r="AF163" s="38"/>
      <c r="AG163" s="41">
        <v>0</v>
      </c>
      <c r="AH163" s="38"/>
      <c r="AI163" s="41">
        <f>ROUND(+AG163*$K163,0)</f>
        <v>0</v>
      </c>
      <c r="AJ163" s="38"/>
      <c r="AK163" s="41">
        <f>M163+Q163+U163+Y163+AC163+AG163</f>
        <v>270947</v>
      </c>
      <c r="AL163" s="38"/>
      <c r="AM163" s="41">
        <f>O163+S163+W163+AA163+AE163+AI163</f>
        <v>270947</v>
      </c>
      <c r="AN163" s="38"/>
      <c r="AP163" s="39"/>
      <c r="AQ163" s="38"/>
      <c r="AR163" s="41"/>
      <c r="AS163" s="41"/>
      <c r="AT163" s="41"/>
      <c r="AU163" s="41"/>
      <c r="AV163" s="41"/>
      <c r="AW163" s="45"/>
      <c r="AX163" s="45"/>
    </row>
    <row r="164" spans="9:50" x14ac:dyDescent="0.2">
      <c r="I164" s="38"/>
      <c r="J164" s="38"/>
      <c r="K164" s="45"/>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P164" s="39"/>
      <c r="AQ164" s="38"/>
      <c r="AR164" s="41"/>
      <c r="AS164" s="41"/>
      <c r="AT164" s="41"/>
      <c r="AU164" s="41"/>
      <c r="AV164" s="41"/>
      <c r="AW164" s="45"/>
      <c r="AX164" s="45"/>
    </row>
    <row r="165" spans="9:50" x14ac:dyDescent="0.2">
      <c r="I165" s="38" t="s">
        <v>197</v>
      </c>
      <c r="J165" s="38"/>
      <c r="K165" s="45">
        <v>1.19</v>
      </c>
      <c r="L165" s="38"/>
      <c r="M165" s="41">
        <v>4546</v>
      </c>
      <c r="N165" s="38"/>
      <c r="O165" s="41">
        <f>ROUND(+M165*$K165,0)</f>
        <v>5410</v>
      </c>
      <c r="P165" s="38"/>
      <c r="Q165" s="41">
        <v>2180</v>
      </c>
      <c r="R165" s="38"/>
      <c r="S165" s="41">
        <f>ROUND(+Q165*$K165,0)</f>
        <v>2594</v>
      </c>
      <c r="T165" s="38"/>
      <c r="U165" s="41">
        <v>146</v>
      </c>
      <c r="V165" s="38"/>
      <c r="W165" s="41">
        <f>ROUND(+U165*$K165,0)</f>
        <v>174</v>
      </c>
      <c r="X165" s="38"/>
      <c r="Y165" s="41">
        <v>179</v>
      </c>
      <c r="Z165" s="38"/>
      <c r="AA165" s="41">
        <f>ROUND(+Y165*$K165,0)</f>
        <v>213</v>
      </c>
      <c r="AB165" s="38"/>
      <c r="AC165" s="41">
        <v>1</v>
      </c>
      <c r="AD165" s="38"/>
      <c r="AE165" s="41">
        <f>ROUND(+AC165*$K165,0)</f>
        <v>1</v>
      </c>
      <c r="AF165" s="38"/>
      <c r="AG165" s="41">
        <v>2</v>
      </c>
      <c r="AH165" s="38"/>
      <c r="AI165" s="41">
        <f>ROUND(+AG165*$K165,0)</f>
        <v>2</v>
      </c>
      <c r="AJ165" s="38"/>
      <c r="AK165" s="41">
        <f>M165+Q165+U165+Y165+AC165+AG165</f>
        <v>7054</v>
      </c>
      <c r="AL165" s="38"/>
      <c r="AM165" s="41">
        <f>O165+S165+W165+AA165+AE165+AI165</f>
        <v>8394</v>
      </c>
      <c r="AN165" s="38"/>
      <c r="AP165" s="39"/>
      <c r="AQ165" s="38"/>
      <c r="AR165" s="41"/>
      <c r="AS165" s="41"/>
      <c r="AT165" s="41"/>
      <c r="AU165" s="41"/>
      <c r="AV165" s="41"/>
      <c r="AW165" s="45"/>
      <c r="AX165" s="45"/>
    </row>
    <row r="166" spans="9:50" x14ac:dyDescent="0.2">
      <c r="I166" s="38"/>
      <c r="J166" s="38"/>
      <c r="K166" s="45"/>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P166" s="39"/>
      <c r="AQ166" s="38"/>
      <c r="AR166" s="41"/>
      <c r="AS166" s="41"/>
      <c r="AT166" s="41"/>
      <c r="AU166" s="41"/>
      <c r="AV166" s="41"/>
      <c r="AW166" s="45"/>
      <c r="AX166" s="45"/>
    </row>
    <row r="167" spans="9:50" x14ac:dyDescent="0.2">
      <c r="I167" s="38" t="s">
        <v>198</v>
      </c>
      <c r="J167" s="38"/>
      <c r="K167" s="45">
        <v>1.72</v>
      </c>
      <c r="L167" s="38"/>
      <c r="M167" s="41">
        <v>149</v>
      </c>
      <c r="N167" s="38"/>
      <c r="O167" s="41">
        <f>ROUND(+M167*$K167,0)</f>
        <v>256</v>
      </c>
      <c r="P167" s="38"/>
      <c r="Q167" s="41">
        <v>1409</v>
      </c>
      <c r="R167" s="38"/>
      <c r="S167" s="41">
        <f>ROUND(+Q167*$K167,0)</f>
        <v>2423</v>
      </c>
      <c r="T167" s="38"/>
      <c r="U167" s="41">
        <v>53</v>
      </c>
      <c r="V167" s="38"/>
      <c r="W167" s="41">
        <f>ROUND(+U167*$K167,0)</f>
        <v>91</v>
      </c>
      <c r="X167" s="38"/>
      <c r="Y167" s="41">
        <v>64</v>
      </c>
      <c r="Z167" s="38"/>
      <c r="AA167" s="41">
        <f>ROUND(+Y167*$K167,0)</f>
        <v>110</v>
      </c>
      <c r="AB167" s="38"/>
      <c r="AC167" s="41">
        <v>0</v>
      </c>
      <c r="AD167" s="38"/>
      <c r="AE167" s="41">
        <f>ROUND(+AC167*$K167,0)</f>
        <v>0</v>
      </c>
      <c r="AF167" s="38"/>
      <c r="AG167" s="41">
        <v>61</v>
      </c>
      <c r="AH167" s="38"/>
      <c r="AI167" s="41">
        <f>ROUND(+AG167*$K167,0)</f>
        <v>105</v>
      </c>
      <c r="AJ167" s="38"/>
      <c r="AK167" s="41">
        <f>M167+Q167+U167+Y167+AC167+AG167</f>
        <v>1736</v>
      </c>
      <c r="AL167" s="38"/>
      <c r="AM167" s="41">
        <f>O167+S167+W167+AA167+AE167+AI167</f>
        <v>2985</v>
      </c>
      <c r="AN167" s="38"/>
      <c r="AP167" s="39"/>
      <c r="AQ167" s="38"/>
      <c r="AR167" s="41"/>
      <c r="AS167" s="41"/>
      <c r="AT167" s="41"/>
      <c r="AU167" s="41"/>
      <c r="AV167" s="41"/>
      <c r="AW167" s="45"/>
      <c r="AX167" s="45"/>
    </row>
    <row r="168" spans="9:50" x14ac:dyDescent="0.2">
      <c r="I168" s="38"/>
      <c r="J168" s="38"/>
      <c r="K168" s="45"/>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P168" s="39"/>
      <c r="AQ168" s="38"/>
      <c r="AR168" s="41"/>
      <c r="AS168" s="41"/>
      <c r="AT168" s="41"/>
      <c r="AU168" s="41"/>
      <c r="AV168" s="41"/>
      <c r="AW168" s="45"/>
      <c r="AX168" s="45"/>
    </row>
    <row r="169" spans="9:50" x14ac:dyDescent="0.2">
      <c r="I169" s="38" t="s">
        <v>199</v>
      </c>
      <c r="J169" s="38"/>
      <c r="K169" s="45">
        <v>2.38</v>
      </c>
      <c r="L169" s="38"/>
      <c r="M169" s="41">
        <v>79</v>
      </c>
      <c r="N169" s="38"/>
      <c r="O169" s="41">
        <f>ROUND(+M169*$K169,0)</f>
        <v>188</v>
      </c>
      <c r="P169" s="38"/>
      <c r="Q169" s="41">
        <v>1311</v>
      </c>
      <c r="R169" s="38"/>
      <c r="S169" s="41">
        <f>ROUND(+Q169*$K169,0)</f>
        <v>3120</v>
      </c>
      <c r="T169" s="38"/>
      <c r="U169" s="41">
        <v>123</v>
      </c>
      <c r="V169" s="38"/>
      <c r="W169" s="41">
        <f>ROUND(+U169*$K169,0)</f>
        <v>293</v>
      </c>
      <c r="X169" s="38"/>
      <c r="Y169" s="41">
        <v>115</v>
      </c>
      <c r="Z169" s="38"/>
      <c r="AA169" s="41">
        <f>ROUND(+Y169*$K169,0)</f>
        <v>274</v>
      </c>
      <c r="AB169" s="38"/>
      <c r="AC169" s="41">
        <v>1</v>
      </c>
      <c r="AD169" s="38"/>
      <c r="AE169" s="41">
        <f>ROUND(+AC169*$K169,0)</f>
        <v>2</v>
      </c>
      <c r="AF169" s="38"/>
      <c r="AG169" s="41">
        <v>51</v>
      </c>
      <c r="AH169" s="38"/>
      <c r="AI169" s="41">
        <f>ROUND(+AG169*$K169,0)</f>
        <v>121</v>
      </c>
      <c r="AJ169" s="38"/>
      <c r="AK169" s="41">
        <f>M169+Q169+U169+Y169+AC169+AG169</f>
        <v>1680</v>
      </c>
      <c r="AL169" s="38"/>
      <c r="AM169" s="41">
        <f>O169+S169+W169+AA169+AE169+AI169</f>
        <v>3998</v>
      </c>
      <c r="AN169" s="38"/>
      <c r="AP169" s="39"/>
      <c r="AQ169" s="38"/>
      <c r="AR169" s="41"/>
      <c r="AS169" s="41"/>
      <c r="AT169" s="41"/>
      <c r="AU169" s="41"/>
      <c r="AV169" s="41"/>
      <c r="AW169" s="45"/>
      <c r="AX169" s="45"/>
    </row>
    <row r="170" spans="9:50" x14ac:dyDescent="0.2">
      <c r="I170" s="38"/>
      <c r="J170" s="38"/>
      <c r="K170" s="45"/>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P170" s="39"/>
      <c r="AQ170" s="38"/>
      <c r="AR170" s="41"/>
      <c r="AS170" s="41"/>
      <c r="AT170" s="41"/>
      <c r="AU170" s="41"/>
      <c r="AV170" s="41"/>
      <c r="AW170" s="45"/>
      <c r="AX170" s="45"/>
    </row>
    <row r="171" spans="9:50" x14ac:dyDescent="0.2">
      <c r="I171" s="38" t="s">
        <v>200</v>
      </c>
      <c r="J171" s="38"/>
      <c r="K171" s="45">
        <v>2.92</v>
      </c>
      <c r="L171" s="38"/>
      <c r="M171" s="41">
        <v>2</v>
      </c>
      <c r="N171" s="38"/>
      <c r="O171" s="41">
        <f>ROUND(+M171*$K171,0)</f>
        <v>6</v>
      </c>
      <c r="P171" s="38"/>
      <c r="Q171" s="41">
        <v>530</v>
      </c>
      <c r="R171" s="38"/>
      <c r="S171" s="41">
        <f>ROUND(+Q171*$K171,0)</f>
        <v>1548</v>
      </c>
      <c r="T171" s="38"/>
      <c r="U171" s="41">
        <v>82</v>
      </c>
      <c r="V171" s="38"/>
      <c r="W171" s="41">
        <f>ROUND(+U171*$K171,0)</f>
        <v>239</v>
      </c>
      <c r="X171" s="38"/>
      <c r="Y171" s="41">
        <v>123</v>
      </c>
      <c r="Z171" s="38"/>
      <c r="AA171" s="41">
        <f>ROUND(+Y171*$K171,0)</f>
        <v>359</v>
      </c>
      <c r="AB171" s="38"/>
      <c r="AC171" s="41">
        <v>6</v>
      </c>
      <c r="AD171" s="38"/>
      <c r="AE171" s="41">
        <f>ROUND(+AC171*$K171,0)</f>
        <v>18</v>
      </c>
      <c r="AF171" s="38"/>
      <c r="AG171" s="41">
        <v>622</v>
      </c>
      <c r="AH171" s="38"/>
      <c r="AI171" s="41">
        <f>ROUND(+AG171*$K171,0)</f>
        <v>1816</v>
      </c>
      <c r="AJ171" s="38"/>
      <c r="AK171" s="41">
        <f>M171+Q171+U171+Y171+AC171+AG171</f>
        <v>1365</v>
      </c>
      <c r="AL171" s="38"/>
      <c r="AM171" s="41">
        <f>O171+S171+W171+AA171+AE171+AI171</f>
        <v>3986</v>
      </c>
      <c r="AN171" s="38"/>
      <c r="AP171" s="39"/>
      <c r="AQ171" s="38"/>
      <c r="AR171" s="41"/>
      <c r="AS171" s="41"/>
      <c r="AT171" s="41"/>
      <c r="AU171" s="41"/>
      <c r="AV171" s="41"/>
      <c r="AW171" s="45"/>
      <c r="AX171" s="45"/>
    </row>
    <row r="172" spans="9:50" x14ac:dyDescent="0.2">
      <c r="I172" s="38"/>
      <c r="J172" s="38"/>
      <c r="K172" s="45"/>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P172" s="39"/>
      <c r="AQ172" s="38"/>
      <c r="AR172" s="41"/>
      <c r="AS172" s="41"/>
      <c r="AT172" s="41"/>
      <c r="AU172" s="41"/>
      <c r="AV172" s="41"/>
      <c r="AW172" s="45"/>
      <c r="AX172" s="45"/>
    </row>
    <row r="173" spans="9:50" x14ac:dyDescent="0.2">
      <c r="I173" s="38" t="s">
        <v>201</v>
      </c>
      <c r="J173" s="38"/>
      <c r="K173" s="45">
        <v>3.96</v>
      </c>
      <c r="L173" s="38"/>
      <c r="M173" s="41">
        <v>16</v>
      </c>
      <c r="N173" s="38"/>
      <c r="O173" s="41">
        <f>ROUND(+M173*$K173,0)</f>
        <v>63</v>
      </c>
      <c r="P173" s="38"/>
      <c r="Q173" s="41">
        <v>144</v>
      </c>
      <c r="R173" s="38"/>
      <c r="S173" s="41">
        <f>ROUND(+Q173*$K173,0)</f>
        <v>570</v>
      </c>
      <c r="T173" s="38"/>
      <c r="U173" s="41">
        <v>61</v>
      </c>
      <c r="V173" s="38"/>
      <c r="W173" s="41">
        <f>ROUND(+U173*$K173,0)</f>
        <v>242</v>
      </c>
      <c r="X173" s="38"/>
      <c r="Y173" s="41">
        <v>9</v>
      </c>
      <c r="Z173" s="38"/>
      <c r="AA173" s="41">
        <f>ROUND(+Y173*$K173,0)</f>
        <v>36</v>
      </c>
      <c r="AB173" s="38"/>
      <c r="AC173" s="41">
        <v>2</v>
      </c>
      <c r="AD173" s="38"/>
      <c r="AE173" s="41">
        <f>ROUND(+AC173*$K173,0)</f>
        <v>8</v>
      </c>
      <c r="AF173" s="38"/>
      <c r="AG173" s="41">
        <v>988</v>
      </c>
      <c r="AH173" s="38"/>
      <c r="AI173" s="41">
        <f>ROUND(+AG173*$K173,0)</f>
        <v>3912</v>
      </c>
      <c r="AJ173" s="38"/>
      <c r="AK173" s="41">
        <f>M173+Q173+U173+Y173+AC173+AG173</f>
        <v>1220</v>
      </c>
      <c r="AL173" s="38"/>
      <c r="AM173" s="41">
        <f>O173+S173+W173+AA173+AE173+AI173</f>
        <v>4831</v>
      </c>
      <c r="AN173" s="38"/>
      <c r="AP173" s="39"/>
      <c r="AQ173" s="38"/>
      <c r="AR173" s="41"/>
      <c r="AS173" s="41"/>
      <c r="AT173" s="41"/>
      <c r="AU173" s="41"/>
      <c r="AV173" s="41"/>
      <c r="AW173" s="45"/>
      <c r="AX173" s="45"/>
    </row>
    <row r="174" spans="9:50" x14ac:dyDescent="0.2">
      <c r="I174" s="38"/>
      <c r="J174" s="38"/>
      <c r="K174" s="45"/>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P174" s="39"/>
      <c r="AQ174" s="38"/>
      <c r="AR174" s="41"/>
      <c r="AS174" s="41"/>
      <c r="AT174" s="41"/>
      <c r="AU174" s="41"/>
      <c r="AV174" s="41"/>
      <c r="AW174" s="45"/>
      <c r="AX174" s="45"/>
    </row>
    <row r="175" spans="9:50" x14ac:dyDescent="0.2">
      <c r="I175" s="38" t="s">
        <v>202</v>
      </c>
      <c r="J175" s="38"/>
      <c r="K175" s="45">
        <v>6.46</v>
      </c>
      <c r="L175" s="38"/>
      <c r="M175" s="41">
        <v>1</v>
      </c>
      <c r="N175" s="38"/>
      <c r="O175" s="41">
        <f>ROUND(+M175*$K175,0)</f>
        <v>6</v>
      </c>
      <c r="P175" s="38"/>
      <c r="Q175" s="41">
        <v>12</v>
      </c>
      <c r="R175" s="38"/>
      <c r="S175" s="41">
        <f>ROUND(+Q175*$K175,0)</f>
        <v>78</v>
      </c>
      <c r="T175" s="38"/>
      <c r="U175" s="41">
        <v>10</v>
      </c>
      <c r="V175" s="38"/>
      <c r="W175" s="41">
        <f>ROUND(+U175*$K175,0)</f>
        <v>65</v>
      </c>
      <c r="X175" s="38"/>
      <c r="Y175" s="41">
        <v>0</v>
      </c>
      <c r="Z175" s="38"/>
      <c r="AA175" s="41">
        <f>ROUND(+Y175*$K175,0)</f>
        <v>0</v>
      </c>
      <c r="AB175" s="38"/>
      <c r="AC175" s="41">
        <v>1</v>
      </c>
      <c r="AD175" s="38"/>
      <c r="AE175" s="41">
        <f>ROUND(+AC175*$K175,0)</f>
        <v>6</v>
      </c>
      <c r="AF175" s="38"/>
      <c r="AG175" s="41">
        <v>445</v>
      </c>
      <c r="AH175" s="38"/>
      <c r="AI175" s="41">
        <f>ROUND(+AG175*$K175,0)</f>
        <v>2875</v>
      </c>
      <c r="AJ175" s="38"/>
      <c r="AK175" s="41">
        <f>M175+Q175+U175+Y175+AC175+AG175</f>
        <v>469</v>
      </c>
      <c r="AL175" s="38"/>
      <c r="AM175" s="41">
        <f>O175+S175+W175+AA175+AE175+AI175</f>
        <v>3030</v>
      </c>
      <c r="AN175" s="38"/>
      <c r="AP175" s="39"/>
      <c r="AQ175" s="38"/>
      <c r="AR175" s="41"/>
      <c r="AS175" s="41"/>
      <c r="AT175" s="41"/>
      <c r="AU175" s="41"/>
      <c r="AV175" s="41"/>
      <c r="AW175" s="45"/>
      <c r="AX175" s="45"/>
    </row>
    <row r="176" spans="9:50" x14ac:dyDescent="0.2">
      <c r="I176" s="38"/>
      <c r="J176" s="38"/>
      <c r="K176" s="45"/>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P176" s="39"/>
      <c r="AQ176" s="38"/>
      <c r="AR176" s="41"/>
      <c r="AS176" s="41"/>
      <c r="AT176" s="41"/>
      <c r="AU176" s="41"/>
      <c r="AV176" s="41"/>
      <c r="AW176" s="45"/>
      <c r="AX176" s="45"/>
    </row>
    <row r="177" spans="8:50" x14ac:dyDescent="0.2">
      <c r="I177" s="38" t="s">
        <v>203</v>
      </c>
      <c r="J177" s="38"/>
      <c r="K177" s="45">
        <v>8.68</v>
      </c>
      <c r="L177" s="38"/>
      <c r="M177" s="41">
        <v>0</v>
      </c>
      <c r="N177" s="38"/>
      <c r="O177" s="41">
        <f>ROUND(+M177*$K177,0)</f>
        <v>0</v>
      </c>
      <c r="P177" s="38"/>
      <c r="Q177" s="41">
        <v>12</v>
      </c>
      <c r="R177" s="38"/>
      <c r="S177" s="41">
        <f>ROUND(+Q177*$K177,0)</f>
        <v>104</v>
      </c>
      <c r="T177" s="38"/>
      <c r="U177" s="41">
        <v>10</v>
      </c>
      <c r="V177" s="38"/>
      <c r="W177" s="41">
        <f>ROUND(+U177*$K177,0)</f>
        <v>87</v>
      </c>
      <c r="X177" s="38"/>
      <c r="Y177" s="41">
        <v>0</v>
      </c>
      <c r="Z177" s="38"/>
      <c r="AA177" s="41">
        <f>ROUND(+Y177*$K177,0)</f>
        <v>0</v>
      </c>
      <c r="AB177" s="38"/>
      <c r="AC177" s="41">
        <v>1</v>
      </c>
      <c r="AD177" s="38"/>
      <c r="AE177" s="41">
        <f>ROUND(+AC177*$K177,0)</f>
        <v>9</v>
      </c>
      <c r="AF177" s="38"/>
      <c r="AG177" s="41">
        <v>20</v>
      </c>
      <c r="AH177" s="38"/>
      <c r="AI177" s="41">
        <f>ROUND(+AG177*$K177,0)</f>
        <v>174</v>
      </c>
      <c r="AJ177" s="38"/>
      <c r="AK177" s="41">
        <f>M177+Q177+U177+Y177+AC177+AG177</f>
        <v>43</v>
      </c>
      <c r="AL177" s="38"/>
      <c r="AM177" s="41">
        <f>O177+S177+W177+AA177+AE177+AI177</f>
        <v>374</v>
      </c>
      <c r="AN177" s="38"/>
      <c r="AP177" s="39"/>
      <c r="AQ177" s="38"/>
      <c r="AR177" s="41"/>
      <c r="AS177" s="41"/>
      <c r="AT177" s="41"/>
      <c r="AU177" s="41"/>
      <c r="AV177" s="41"/>
      <c r="AW177" s="45"/>
      <c r="AX177" s="45"/>
    </row>
    <row r="178" spans="8:50" x14ac:dyDescent="0.2">
      <c r="I178" s="38"/>
      <c r="J178" s="38"/>
      <c r="K178" s="45"/>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P178" s="39"/>
      <c r="AQ178" s="38"/>
      <c r="AR178" s="41"/>
      <c r="AS178" s="41"/>
      <c r="AT178" s="41"/>
      <c r="AU178" s="41"/>
      <c r="AV178" s="41"/>
      <c r="AW178" s="45"/>
      <c r="AX178" s="45"/>
    </row>
    <row r="179" spans="8:50" x14ac:dyDescent="0.2">
      <c r="I179" s="38" t="s">
        <v>204</v>
      </c>
      <c r="J179" s="38"/>
      <c r="K179" s="45">
        <v>11.11</v>
      </c>
      <c r="L179" s="38"/>
      <c r="M179" s="41">
        <v>0</v>
      </c>
      <c r="N179" s="38"/>
      <c r="O179" s="41">
        <f>ROUND(+M179*$K179,0)</f>
        <v>0</v>
      </c>
      <c r="P179" s="38"/>
      <c r="Q179" s="41">
        <v>0</v>
      </c>
      <c r="R179" s="38"/>
      <c r="S179" s="41">
        <f>ROUND(+Q179*$K179,0)</f>
        <v>0</v>
      </c>
      <c r="T179" s="38"/>
      <c r="U179" s="41">
        <v>0</v>
      </c>
      <c r="V179" s="38"/>
      <c r="W179" s="41">
        <f>ROUND(+U179*$K179,0)</f>
        <v>0</v>
      </c>
      <c r="X179" s="38"/>
      <c r="Y179" s="41">
        <v>0</v>
      </c>
      <c r="Z179" s="38"/>
      <c r="AA179" s="41">
        <f>ROUND(+Y179*$K179,0)</f>
        <v>0</v>
      </c>
      <c r="AB179" s="38"/>
      <c r="AC179" s="41">
        <v>1</v>
      </c>
      <c r="AD179" s="38"/>
      <c r="AE179" s="41">
        <f>ROUND(+AC179*$K179,0)</f>
        <v>11</v>
      </c>
      <c r="AF179" s="38"/>
      <c r="AG179" s="41">
        <v>0</v>
      </c>
      <c r="AH179" s="38"/>
      <c r="AI179" s="41">
        <f>ROUND(+AG179*$K179,0)</f>
        <v>0</v>
      </c>
      <c r="AJ179" s="38"/>
      <c r="AK179" s="41">
        <f>M179+Q179+U179+Y179+AC179+AG179</f>
        <v>1</v>
      </c>
      <c r="AL179" s="38"/>
      <c r="AM179" s="41">
        <f>O179+S179+W179+AA179+AE179+AI179</f>
        <v>11</v>
      </c>
      <c r="AN179" s="38"/>
      <c r="AP179" s="39"/>
      <c r="AQ179" s="38"/>
      <c r="AR179" s="41"/>
      <c r="AS179" s="41"/>
      <c r="AT179" s="41"/>
      <c r="AU179" s="41"/>
      <c r="AV179" s="41"/>
      <c r="AW179" s="45"/>
      <c r="AX179" s="45"/>
    </row>
    <row r="180" spans="8:50" x14ac:dyDescent="0.2">
      <c r="I180" s="38"/>
      <c r="J180" s="38"/>
      <c r="K180" s="45"/>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P180" s="39"/>
      <c r="AQ180" s="38"/>
      <c r="AR180" s="41"/>
      <c r="AS180" s="41"/>
      <c r="AT180" s="41"/>
      <c r="AU180" s="41"/>
      <c r="AV180" s="41"/>
      <c r="AW180" s="45"/>
      <c r="AX180" s="45"/>
    </row>
    <row r="181" spans="8:50" x14ac:dyDescent="0.2">
      <c r="H181" s="50"/>
      <c r="I181" s="38" t="s">
        <v>205</v>
      </c>
      <c r="J181" s="38"/>
      <c r="K181" s="45">
        <v>15.97</v>
      </c>
      <c r="L181" s="38"/>
      <c r="M181" s="41">
        <v>0</v>
      </c>
      <c r="N181" s="38"/>
      <c r="O181" s="41">
        <f>ROUND(+M181*$K181,0)</f>
        <v>0</v>
      </c>
      <c r="P181" s="38"/>
      <c r="Q181" s="41">
        <v>0</v>
      </c>
      <c r="R181" s="38"/>
      <c r="S181" s="41">
        <f>ROUND(+Q181*$K181,0)</f>
        <v>0</v>
      </c>
      <c r="T181" s="38"/>
      <c r="U181" s="41">
        <v>0</v>
      </c>
      <c r="V181" s="38"/>
      <c r="W181" s="41">
        <f>ROUND(+U181*$K181,0)</f>
        <v>0</v>
      </c>
      <c r="X181" s="38"/>
      <c r="Y181" s="41">
        <v>0</v>
      </c>
      <c r="Z181" s="38"/>
      <c r="AA181" s="41">
        <f>ROUND(+Y181*$K181,0)</f>
        <v>0</v>
      </c>
      <c r="AB181" s="38"/>
      <c r="AC181" s="41">
        <v>1</v>
      </c>
      <c r="AD181" s="38"/>
      <c r="AE181" s="41">
        <f>ROUND(+AC181*$K181,0)</f>
        <v>16</v>
      </c>
      <c r="AF181" s="38"/>
      <c r="AG181" s="41">
        <v>0</v>
      </c>
      <c r="AH181" s="38"/>
      <c r="AI181" s="41">
        <f>ROUND(+AG181*$K181,0)</f>
        <v>0</v>
      </c>
      <c r="AJ181" s="38"/>
      <c r="AK181" s="41">
        <f>M181+Q181+U181+Y181+AC181+AG181</f>
        <v>1</v>
      </c>
      <c r="AL181" s="38"/>
      <c r="AM181" s="41">
        <f>O181+S181+W181+AA181+AE181+AI181</f>
        <v>16</v>
      </c>
      <c r="AN181" s="38"/>
      <c r="AP181" s="39"/>
      <c r="AQ181" s="38"/>
      <c r="AR181" s="41"/>
      <c r="AS181" s="41"/>
      <c r="AT181" s="41"/>
      <c r="AU181" s="41"/>
      <c r="AV181" s="41"/>
      <c r="AW181" s="45"/>
      <c r="AX181" s="45"/>
    </row>
    <row r="182" spans="8:50" x14ac:dyDescent="0.2">
      <c r="I182" s="38"/>
      <c r="J182" s="38"/>
      <c r="K182" s="38"/>
      <c r="L182" s="38"/>
      <c r="M182" s="51"/>
      <c r="N182" s="38"/>
      <c r="O182" s="51"/>
      <c r="P182" s="38"/>
      <c r="Q182" s="51"/>
      <c r="R182" s="38"/>
      <c r="S182" s="51"/>
      <c r="T182" s="38"/>
      <c r="U182" s="51"/>
      <c r="V182" s="38"/>
      <c r="W182" s="51"/>
      <c r="X182" s="38"/>
      <c r="Y182" s="51"/>
      <c r="Z182" s="38"/>
      <c r="AA182" s="51"/>
      <c r="AB182" s="38"/>
      <c r="AC182" s="51"/>
      <c r="AD182" s="38"/>
      <c r="AE182" s="51"/>
      <c r="AF182" s="38"/>
      <c r="AG182" s="51"/>
      <c r="AH182" s="38"/>
      <c r="AI182" s="51"/>
      <c r="AJ182" s="38"/>
      <c r="AK182" s="51"/>
      <c r="AL182" s="38"/>
      <c r="AM182" s="51"/>
      <c r="AN182" s="38"/>
      <c r="AP182" s="38"/>
      <c r="AQ182" s="38"/>
      <c r="AR182" s="41"/>
      <c r="AS182" s="41"/>
      <c r="AT182" s="41"/>
      <c r="AU182" s="41"/>
      <c r="AV182" s="41"/>
      <c r="AW182" s="38"/>
      <c r="AX182" s="38"/>
    </row>
    <row r="183" spans="8:50" ht="15.75" thickBot="1" x14ac:dyDescent="0.25">
      <c r="I183" s="38" t="s">
        <v>183</v>
      </c>
      <c r="J183" s="38"/>
      <c r="K183" s="38"/>
      <c r="L183" s="38"/>
      <c r="M183" s="41">
        <f>SUM(M163:M181)</f>
        <v>267277</v>
      </c>
      <c r="N183" s="38"/>
      <c r="O183" s="41">
        <f>SUM(O163:O181)</f>
        <v>268413</v>
      </c>
      <c r="P183" s="38"/>
      <c r="Q183" s="41">
        <f>SUM(Q163:Q181)</f>
        <v>13490</v>
      </c>
      <c r="R183" s="38"/>
      <c r="S183" s="41">
        <f>SUM(S163:S181)</f>
        <v>18329</v>
      </c>
      <c r="T183" s="38"/>
      <c r="U183" s="41">
        <f>SUM(U163:U181)</f>
        <v>757</v>
      </c>
      <c r="V183" s="38"/>
      <c r="W183" s="41">
        <f>SUM(W163:W181)</f>
        <v>1463</v>
      </c>
      <c r="X183" s="38"/>
      <c r="Y183" s="41">
        <f>SUM(Y163:Y181)</f>
        <v>789</v>
      </c>
      <c r="Z183" s="38"/>
      <c r="AA183" s="41">
        <f>SUM(AA163:AA181)</f>
        <v>1291</v>
      </c>
      <c r="AB183" s="38"/>
      <c r="AC183" s="41">
        <f>SUM(AC163:AC181)</f>
        <v>14</v>
      </c>
      <c r="AD183" s="38"/>
      <c r="AE183" s="41">
        <f>SUM(AE163:AE181)</f>
        <v>71</v>
      </c>
      <c r="AF183" s="38"/>
      <c r="AG183" s="41">
        <f>SUM(AG163:AG181)</f>
        <v>2189</v>
      </c>
      <c r="AH183" s="38"/>
      <c r="AI183" s="41">
        <f>SUM(AI163:AI181)</f>
        <v>9005</v>
      </c>
      <c r="AJ183" s="38"/>
      <c r="AK183" s="41">
        <f>SUM(AK163:AK181)</f>
        <v>284516</v>
      </c>
      <c r="AL183" s="38"/>
      <c r="AM183" s="41">
        <f>SUM(AM163:AM181)</f>
        <v>298572</v>
      </c>
      <c r="AN183" s="38"/>
      <c r="AP183" s="38"/>
      <c r="AQ183" s="38"/>
      <c r="AR183" s="38"/>
      <c r="AS183" s="38"/>
      <c r="AT183" s="38"/>
      <c r="AU183" s="38"/>
      <c r="AV183" s="38"/>
      <c r="AW183" s="38"/>
      <c r="AX183" s="38"/>
    </row>
    <row r="184" spans="8:50" ht="15.75" thickTop="1" x14ac:dyDescent="0.2">
      <c r="I184" s="38"/>
      <c r="J184" s="38"/>
      <c r="K184" s="38"/>
      <c r="L184" s="38"/>
      <c r="M184" s="42"/>
      <c r="N184" s="38"/>
      <c r="O184" s="42"/>
      <c r="P184" s="38"/>
      <c r="Q184" s="42"/>
      <c r="R184" s="38"/>
      <c r="S184" s="42"/>
      <c r="T184" s="38"/>
      <c r="U184" s="42"/>
      <c r="V184" s="38"/>
      <c r="W184" s="42"/>
      <c r="X184" s="38"/>
      <c r="Y184" s="42"/>
      <c r="Z184" s="38"/>
      <c r="AA184" s="42"/>
      <c r="AB184" s="38"/>
      <c r="AC184" s="42"/>
      <c r="AD184" s="38"/>
      <c r="AE184" s="42"/>
      <c r="AF184" s="38"/>
      <c r="AG184" s="42"/>
      <c r="AH184" s="38"/>
      <c r="AI184" s="42"/>
      <c r="AJ184" s="38"/>
      <c r="AK184" s="42"/>
      <c r="AL184" s="38"/>
      <c r="AM184" s="42"/>
      <c r="AN184" s="38"/>
    </row>
    <row r="185" spans="8:50" x14ac:dyDescent="0.2">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row>
    <row r="186" spans="8:50" x14ac:dyDescent="0.2">
      <c r="I186" s="38"/>
      <c r="J186" s="38"/>
      <c r="K186" s="38"/>
      <c r="L186" s="38"/>
      <c r="M186" s="38"/>
      <c r="N186" s="38"/>
      <c r="O186" s="46"/>
      <c r="P186" s="38"/>
      <c r="Q186" s="38"/>
      <c r="R186" s="38"/>
      <c r="S186" s="46"/>
      <c r="T186" s="38"/>
      <c r="U186" s="38"/>
      <c r="V186" s="38"/>
      <c r="W186" s="46"/>
      <c r="X186" s="38"/>
      <c r="Y186" s="38"/>
      <c r="Z186" s="38"/>
      <c r="AA186" s="46"/>
      <c r="AB186" s="38"/>
      <c r="AC186" s="38"/>
      <c r="AD186" s="38"/>
      <c r="AE186" s="46"/>
      <c r="AF186" s="38"/>
      <c r="AG186" s="38"/>
      <c r="AH186" s="38"/>
      <c r="AI186" s="46"/>
      <c r="AJ186" s="38"/>
      <c r="AK186" s="38"/>
      <c r="AL186" s="38"/>
      <c r="AM186" s="46"/>
      <c r="AN186" s="38"/>
    </row>
    <row r="187" spans="8:50" x14ac:dyDescent="0.2">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row>
    <row r="188" spans="8:50" x14ac:dyDescent="0.2">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row>
    <row r="189" spans="8:50" x14ac:dyDescent="0.2">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row>
    <row r="190" spans="8:50" x14ac:dyDescent="0.2">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row>
    <row r="191" spans="8:50" x14ac:dyDescent="0.2">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row>
    <row r="192" spans="8:50" x14ac:dyDescent="0.2">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row>
    <row r="193" spans="9:40" x14ac:dyDescent="0.2">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row>
  </sheetData>
  <mergeCells count="5">
    <mergeCell ref="A21:F21"/>
    <mergeCell ref="A42:F42"/>
    <mergeCell ref="A3:F3"/>
    <mergeCell ref="A38:F38"/>
    <mergeCell ref="A1:F1"/>
  </mergeCells>
  <phoneticPr fontId="14" type="noConversion"/>
  <printOptions horizontalCentered="1"/>
  <pageMargins left="1" right="1" top="1" bottom="0.5" header="0.5" footer="0.5"/>
  <pageSetup scale="81" fitToHeight="0" orientation="portrait" r:id="rId1"/>
  <headerFooter alignWithMargins="0"/>
  <rowBreaks count="1" manualBreakCount="1">
    <brk id="35"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8"/>
  <sheetViews>
    <sheetView workbookViewId="0"/>
  </sheetViews>
  <sheetFormatPr defaultColWidth="8.77734375" defaultRowHeight="12.75" x14ac:dyDescent="0.2"/>
  <cols>
    <col min="1" max="1" width="8.77734375" style="371"/>
    <col min="2" max="2" width="6.77734375" style="371" customWidth="1"/>
    <col min="3" max="3" width="1.77734375" style="371" customWidth="1"/>
    <col min="4" max="4" width="7.77734375" style="371" customWidth="1"/>
    <col min="5" max="5" width="1.77734375" style="371" customWidth="1"/>
    <col min="6" max="6" width="7.77734375" style="371" customWidth="1"/>
    <col min="7" max="7" width="1.77734375" style="371" customWidth="1"/>
    <col min="8" max="8" width="8.88671875" style="371" customWidth="1"/>
    <col min="9" max="9" width="1.77734375" style="371" customWidth="1"/>
    <col min="10" max="10" width="7.77734375" style="371" customWidth="1"/>
    <col min="11" max="11" width="1.77734375" style="371" customWidth="1"/>
    <col min="12" max="12" width="7.77734375" style="371" customWidth="1"/>
    <col min="13" max="13" width="1.77734375" style="371" customWidth="1"/>
    <col min="14" max="14" width="7.77734375" style="371" customWidth="1"/>
    <col min="15" max="15" width="1.77734375" style="371" customWidth="1"/>
    <col min="16" max="16" width="7.77734375" style="371" customWidth="1"/>
    <col min="17" max="17" width="1.77734375" style="371" hidden="1" customWidth="1"/>
    <col min="18" max="18" width="7.77734375" style="371" hidden="1" customWidth="1"/>
    <col min="19" max="19" width="1.77734375" style="371" hidden="1" customWidth="1"/>
    <col min="20" max="20" width="7.77734375" style="371" hidden="1" customWidth="1"/>
    <col min="21" max="21" width="1.77734375" style="371" hidden="1" customWidth="1"/>
    <col min="22" max="22" width="7.77734375" style="371" hidden="1" customWidth="1"/>
    <col min="23" max="23" width="1.77734375" style="371" hidden="1" customWidth="1"/>
    <col min="24" max="24" width="7.77734375" style="371" hidden="1" customWidth="1"/>
    <col min="25" max="25" width="1.77734375" style="371" customWidth="1"/>
    <col min="26" max="26" width="7.77734375" style="371" customWidth="1"/>
    <col min="27" max="27" width="1.77734375" style="371" customWidth="1"/>
    <col min="28" max="28" width="7.77734375" style="371" customWidth="1"/>
    <col min="29" max="29" width="1.77734375" style="371" customWidth="1"/>
    <col min="30" max="30" width="7.77734375" style="371" customWidth="1"/>
    <col min="31" max="31" width="1.77734375" style="371" customWidth="1"/>
    <col min="32" max="32" width="8.88671875" style="371" customWidth="1"/>
    <col min="33" max="33" width="9.77734375" style="371" customWidth="1"/>
    <col min="34" max="37" width="8.77734375" style="269"/>
    <col min="38" max="38" width="1.77734375" style="269" customWidth="1"/>
    <col min="39" max="42" width="8.77734375" style="269"/>
    <col min="43" max="43" width="1.88671875" style="269" customWidth="1"/>
    <col min="44" max="44" width="8.77734375" style="269"/>
    <col min="45" max="45" width="10.109375" style="269" customWidth="1"/>
    <col min="46" max="16384" width="8.77734375" style="269"/>
  </cols>
  <sheetData>
    <row r="1" spans="1:48" ht="15" x14ac:dyDescent="0.2">
      <c r="B1" s="583" t="s">
        <v>386</v>
      </c>
      <c r="C1" s="584"/>
      <c r="D1" s="584"/>
      <c r="E1" s="584"/>
      <c r="F1" s="584"/>
      <c r="G1" s="584"/>
      <c r="H1" s="584"/>
      <c r="I1" s="584"/>
      <c r="J1" s="584"/>
      <c r="K1" s="584"/>
      <c r="L1" s="584"/>
      <c r="M1" s="584"/>
      <c r="N1" s="583"/>
      <c r="O1" s="584"/>
      <c r="P1" s="584"/>
      <c r="Q1" s="584"/>
      <c r="R1" s="584"/>
      <c r="S1" s="584"/>
      <c r="T1" s="584"/>
      <c r="U1" s="584"/>
      <c r="V1" s="584"/>
      <c r="W1" s="584"/>
      <c r="X1" s="584"/>
      <c r="Y1" s="584"/>
      <c r="Z1" s="584"/>
      <c r="AA1" s="584"/>
      <c r="AB1" s="584"/>
      <c r="AC1" s="584"/>
      <c r="AD1" s="584"/>
      <c r="AE1" s="584"/>
      <c r="AF1" s="584"/>
      <c r="AG1" s="585"/>
    </row>
    <row r="2" spans="1:48" ht="15" x14ac:dyDescent="0.2">
      <c r="B2" s="583" t="s">
        <v>61</v>
      </c>
      <c r="C2" s="584"/>
      <c r="D2" s="584"/>
      <c r="E2" s="584"/>
      <c r="F2" s="584"/>
      <c r="G2" s="584"/>
      <c r="H2" s="584"/>
      <c r="I2" s="584"/>
      <c r="J2" s="584"/>
      <c r="K2" s="584"/>
      <c r="L2" s="584"/>
      <c r="M2" s="584"/>
      <c r="N2" s="583"/>
      <c r="O2" s="584"/>
      <c r="P2" s="584"/>
      <c r="Q2" s="584"/>
      <c r="R2" s="584"/>
      <c r="S2" s="584"/>
      <c r="T2" s="584"/>
      <c r="U2" s="584"/>
      <c r="V2" s="584"/>
      <c r="W2" s="584"/>
      <c r="X2" s="584"/>
      <c r="Y2" s="584"/>
      <c r="Z2" s="584"/>
      <c r="AA2" s="584"/>
      <c r="AB2" s="584"/>
      <c r="AC2" s="584"/>
      <c r="AD2" s="584"/>
      <c r="AE2" s="584"/>
      <c r="AF2" s="584"/>
      <c r="AG2" s="585"/>
    </row>
    <row r="3" spans="1:48" ht="15" x14ac:dyDescent="0.2">
      <c r="B3" s="584" t="s">
        <v>227</v>
      </c>
      <c r="C3" s="584"/>
      <c r="D3" s="584"/>
      <c r="E3" s="584"/>
      <c r="F3" s="584"/>
      <c r="G3" s="584"/>
      <c r="H3" s="584"/>
      <c r="I3" s="584"/>
      <c r="J3" s="583"/>
      <c r="K3" s="584"/>
      <c r="L3" s="584"/>
      <c r="M3" s="584"/>
      <c r="N3" s="584"/>
      <c r="O3" s="584"/>
      <c r="P3" s="584"/>
      <c r="Q3" s="584"/>
      <c r="R3" s="584"/>
      <c r="S3" s="584"/>
      <c r="T3" s="584"/>
      <c r="U3" s="584"/>
      <c r="V3" s="584"/>
      <c r="W3" s="584"/>
      <c r="X3" s="584"/>
      <c r="Y3" s="584"/>
      <c r="Z3" s="584"/>
      <c r="AA3" s="584"/>
      <c r="AB3" s="584"/>
      <c r="AC3" s="584"/>
      <c r="AD3" s="584"/>
      <c r="AE3" s="584"/>
      <c r="AF3" s="584"/>
      <c r="AG3" s="585"/>
    </row>
    <row r="4" spans="1:48" ht="15" x14ac:dyDescent="0.2">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585"/>
    </row>
    <row r="5" spans="1:48" ht="15" x14ac:dyDescent="0.2">
      <c r="B5" s="319"/>
      <c r="C5" s="319"/>
      <c r="D5" s="319"/>
      <c r="E5" s="319"/>
      <c r="F5" s="585"/>
      <c r="G5" s="319"/>
      <c r="H5" s="319"/>
      <c r="I5" s="319"/>
      <c r="J5" s="585"/>
      <c r="K5" s="319"/>
      <c r="L5" s="319"/>
      <c r="M5" s="319"/>
      <c r="N5" s="585"/>
      <c r="O5" s="319"/>
      <c r="P5" s="319"/>
      <c r="Q5" s="319"/>
      <c r="R5" s="585"/>
      <c r="S5" s="319"/>
      <c r="T5" s="319"/>
      <c r="U5" s="319"/>
      <c r="V5" s="585"/>
      <c r="W5" s="319"/>
      <c r="X5" s="319"/>
      <c r="Y5" s="319"/>
      <c r="Z5" s="585"/>
      <c r="AA5" s="319"/>
      <c r="AB5" s="319"/>
      <c r="AC5" s="319"/>
      <c r="AD5" s="585"/>
      <c r="AE5" s="319"/>
      <c r="AF5" s="319"/>
      <c r="AG5" s="585"/>
    </row>
    <row r="6" spans="1:48" ht="15" x14ac:dyDescent="0.2">
      <c r="B6" s="586"/>
      <c r="C6" s="586"/>
      <c r="D6" s="586" t="s">
        <v>228</v>
      </c>
      <c r="E6" s="586"/>
      <c r="F6" s="584" t="s">
        <v>73</v>
      </c>
      <c r="G6" s="584"/>
      <c r="H6" s="584"/>
      <c r="I6" s="586"/>
      <c r="J6" s="584" t="s">
        <v>543</v>
      </c>
      <c r="K6" s="584"/>
      <c r="L6" s="584"/>
      <c r="M6" s="586"/>
      <c r="N6" s="584" t="s">
        <v>75</v>
      </c>
      <c r="O6" s="584"/>
      <c r="P6" s="584"/>
      <c r="Q6" s="586"/>
      <c r="R6" s="584" t="s">
        <v>76</v>
      </c>
      <c r="S6" s="584"/>
      <c r="T6" s="584"/>
      <c r="U6" s="586"/>
      <c r="V6" s="584" t="s">
        <v>179</v>
      </c>
      <c r="W6" s="584"/>
      <c r="X6" s="584"/>
      <c r="Y6" s="586"/>
      <c r="Z6" s="584" t="s">
        <v>77</v>
      </c>
      <c r="AA6" s="584"/>
      <c r="AB6" s="584"/>
      <c r="AC6" s="586"/>
      <c r="AD6" s="584" t="s">
        <v>183</v>
      </c>
      <c r="AE6" s="584"/>
      <c r="AF6" s="584"/>
      <c r="AG6" s="685"/>
      <c r="AH6" s="686"/>
      <c r="AI6" s="686"/>
      <c r="AJ6" s="686"/>
      <c r="AK6" s="686"/>
      <c r="AL6" s="686"/>
      <c r="AM6" s="686"/>
      <c r="AN6" s="686"/>
      <c r="AO6" s="686"/>
      <c r="AP6" s="686"/>
      <c r="AQ6" s="686"/>
      <c r="AR6" s="686"/>
      <c r="AS6" s="686"/>
      <c r="AT6" s="686"/>
      <c r="AU6" s="686"/>
      <c r="AV6" s="686"/>
    </row>
    <row r="7" spans="1:48" ht="15" x14ac:dyDescent="0.2">
      <c r="B7" s="586" t="s">
        <v>229</v>
      </c>
      <c r="C7" s="586"/>
      <c r="D7" s="586" t="s">
        <v>185</v>
      </c>
      <c r="E7" s="586"/>
      <c r="F7" s="587" t="s">
        <v>168</v>
      </c>
      <c r="G7" s="587"/>
      <c r="H7" s="587"/>
      <c r="I7" s="586"/>
      <c r="J7" s="587" t="s">
        <v>168</v>
      </c>
      <c r="K7" s="587"/>
      <c r="L7" s="587"/>
      <c r="M7" s="586"/>
      <c r="N7" s="587" t="s">
        <v>168</v>
      </c>
      <c r="O7" s="587"/>
      <c r="P7" s="587"/>
      <c r="Q7" s="586"/>
      <c r="R7" s="587" t="s">
        <v>168</v>
      </c>
      <c r="S7" s="587"/>
      <c r="T7" s="587"/>
      <c r="U7" s="586"/>
      <c r="V7" s="587" t="s">
        <v>168</v>
      </c>
      <c r="W7" s="587"/>
      <c r="X7" s="587"/>
      <c r="Y7" s="586"/>
      <c r="Z7" s="587" t="s">
        <v>168</v>
      </c>
      <c r="AA7" s="587"/>
      <c r="AB7" s="587"/>
      <c r="AC7" s="586"/>
      <c r="AD7" s="587" t="s">
        <v>168</v>
      </c>
      <c r="AE7" s="587"/>
      <c r="AF7" s="587"/>
      <c r="AG7" s="685"/>
      <c r="AH7" s="686"/>
      <c r="AI7" s="686"/>
      <c r="AJ7" s="686"/>
      <c r="AK7" s="686"/>
      <c r="AL7" s="686"/>
      <c r="AM7" s="686"/>
      <c r="AN7" s="686"/>
      <c r="AO7" s="686"/>
      <c r="AP7" s="686"/>
      <c r="AQ7" s="686"/>
      <c r="AR7" s="686"/>
      <c r="AS7" s="686"/>
      <c r="AT7" s="686"/>
      <c r="AU7" s="686"/>
      <c r="AV7" s="686"/>
    </row>
    <row r="8" spans="1:48" ht="15" x14ac:dyDescent="0.2">
      <c r="B8" s="586" t="s">
        <v>186</v>
      </c>
      <c r="C8" s="586"/>
      <c r="D8" s="586" t="s">
        <v>187</v>
      </c>
      <c r="E8" s="586"/>
      <c r="F8" s="586" t="s">
        <v>230</v>
      </c>
      <c r="G8" s="586"/>
      <c r="H8" s="586" t="s">
        <v>189</v>
      </c>
      <c r="I8" s="586"/>
      <c r="J8" s="586" t="s">
        <v>230</v>
      </c>
      <c r="K8" s="586"/>
      <c r="L8" s="586" t="s">
        <v>189</v>
      </c>
      <c r="M8" s="586"/>
      <c r="N8" s="586" t="s">
        <v>230</v>
      </c>
      <c r="O8" s="586"/>
      <c r="P8" s="586" t="s">
        <v>189</v>
      </c>
      <c r="Q8" s="586"/>
      <c r="R8" s="586" t="s">
        <v>230</v>
      </c>
      <c r="S8" s="586"/>
      <c r="T8" s="586" t="s">
        <v>189</v>
      </c>
      <c r="U8" s="586"/>
      <c r="V8" s="586" t="s">
        <v>230</v>
      </c>
      <c r="W8" s="586"/>
      <c r="X8" s="586" t="s">
        <v>189</v>
      </c>
      <c r="Y8" s="586"/>
      <c r="Z8" s="586" t="s">
        <v>230</v>
      </c>
      <c r="AA8" s="586"/>
      <c r="AB8" s="586" t="s">
        <v>189</v>
      </c>
      <c r="AC8" s="586"/>
      <c r="AD8" s="586" t="s">
        <v>230</v>
      </c>
      <c r="AE8" s="586"/>
      <c r="AF8" s="586" t="s">
        <v>189</v>
      </c>
      <c r="AG8" s="685"/>
      <c r="AH8" s="686"/>
      <c r="AI8" s="686"/>
      <c r="AJ8" s="687"/>
      <c r="AK8" s="686"/>
      <c r="AL8" s="686"/>
      <c r="AM8" s="686"/>
      <c r="AN8" s="686"/>
      <c r="AO8" s="686"/>
      <c r="AP8" s="686"/>
      <c r="AQ8" s="686"/>
      <c r="AR8" s="686"/>
      <c r="AS8" s="686"/>
      <c r="AT8" s="686"/>
      <c r="AU8" s="686"/>
      <c r="AV8" s="686"/>
    </row>
    <row r="9" spans="1:48" ht="15" x14ac:dyDescent="0.2">
      <c r="B9" s="318">
        <v>-1</v>
      </c>
      <c r="C9" s="588"/>
      <c r="D9" s="318">
        <v>-2</v>
      </c>
      <c r="E9" s="588"/>
      <c r="F9" s="318">
        <v>-3</v>
      </c>
      <c r="G9" s="589"/>
      <c r="H9" s="590" t="s">
        <v>190</v>
      </c>
      <c r="I9" s="589"/>
      <c r="J9" s="318">
        <v>-5</v>
      </c>
      <c r="K9" s="588"/>
      <c r="L9" s="318" t="s">
        <v>191</v>
      </c>
      <c r="M9" s="588"/>
      <c r="N9" s="318">
        <v>-7</v>
      </c>
      <c r="O9" s="588"/>
      <c r="P9" s="318" t="s">
        <v>192</v>
      </c>
      <c r="Q9" s="588"/>
      <c r="R9" s="318">
        <v>-9</v>
      </c>
      <c r="S9" s="588"/>
      <c r="T9" s="318" t="s">
        <v>193</v>
      </c>
      <c r="U9" s="588"/>
      <c r="V9" s="318">
        <v>-11</v>
      </c>
      <c r="W9" s="588"/>
      <c r="X9" s="318" t="s">
        <v>194</v>
      </c>
      <c r="Y9" s="588"/>
      <c r="Z9" s="318">
        <v>-9</v>
      </c>
      <c r="AA9" s="588"/>
      <c r="AB9" s="318" t="s">
        <v>193</v>
      </c>
      <c r="AC9" s="588"/>
      <c r="AD9" s="318">
        <v>-11</v>
      </c>
      <c r="AE9" s="588"/>
      <c r="AF9" s="318">
        <v>-12</v>
      </c>
      <c r="AG9" s="685"/>
      <c r="AH9" s="686"/>
      <c r="AI9" s="686"/>
      <c r="AJ9" s="686"/>
      <c r="AK9" s="686"/>
      <c r="AL9" s="686"/>
      <c r="AM9" s="686"/>
      <c r="AN9" s="686"/>
      <c r="AO9" s="686"/>
      <c r="AP9" s="686"/>
      <c r="AQ9" s="686"/>
      <c r="AR9" s="688"/>
      <c r="AS9" s="688"/>
      <c r="AT9" s="688"/>
      <c r="AU9" s="686"/>
      <c r="AV9" s="686"/>
    </row>
    <row r="10" spans="1:48" ht="15" x14ac:dyDescent="0.2">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685"/>
      <c r="AH10" s="688"/>
      <c r="AI10" s="688"/>
      <c r="AJ10" s="688"/>
      <c r="AK10" s="688"/>
      <c r="AL10" s="686"/>
      <c r="AM10" s="688"/>
      <c r="AN10" s="688"/>
      <c r="AO10" s="688"/>
      <c r="AP10" s="688"/>
      <c r="AQ10" s="686"/>
      <c r="AR10" s="686"/>
      <c r="AS10" s="686"/>
      <c r="AT10" s="686"/>
      <c r="AU10" s="686"/>
      <c r="AV10" s="686"/>
    </row>
    <row r="11" spans="1:48" ht="15" x14ac:dyDescent="0.2">
      <c r="A11" s="591">
        <v>1</v>
      </c>
      <c r="B11" s="586" t="s">
        <v>231</v>
      </c>
      <c r="C11" s="319"/>
      <c r="D11" s="592">
        <v>1</v>
      </c>
      <c r="E11" s="319"/>
      <c r="F11" s="313">
        <v>4838</v>
      </c>
      <c r="G11" s="319"/>
      <c r="H11" s="313">
        <f t="shared" ref="H11:H19" si="0">ROUND(+F11*$D11,0)</f>
        <v>4838</v>
      </c>
      <c r="I11" s="319"/>
      <c r="J11" s="313">
        <v>520</v>
      </c>
      <c r="K11" s="319"/>
      <c r="L11" s="313">
        <f t="shared" ref="L11:L19" si="1">ROUND(+J11*$D11,0)</f>
        <v>520</v>
      </c>
      <c r="M11" s="319"/>
      <c r="N11" s="313">
        <v>4</v>
      </c>
      <c r="P11" s="313">
        <f t="shared" ref="P11:P19" si="2">ROUND(+N11*$D11,0)</f>
        <v>4</v>
      </c>
      <c r="Q11" s="319"/>
      <c r="R11" s="313">
        <f t="shared" ref="R11:R19" si="3">ROUND(AS11/12,0)</f>
        <v>0</v>
      </c>
      <c r="S11" s="319"/>
      <c r="T11" s="313">
        <f t="shared" ref="T11:T19" si="4">ROUND(+R11*$D11,0)</f>
        <v>0</v>
      </c>
      <c r="U11" s="319"/>
      <c r="V11" s="313">
        <f t="shared" ref="V11:V19" si="5">ROUND(AT11/12,0)</f>
        <v>0</v>
      </c>
      <c r="W11" s="319"/>
      <c r="X11" s="313">
        <f t="shared" ref="X11:X19" si="6">ROUND(+V11*$D11,0)</f>
        <v>0</v>
      </c>
      <c r="Y11" s="319"/>
      <c r="Z11" s="313">
        <v>0</v>
      </c>
      <c r="AA11" s="319"/>
      <c r="AB11" s="313">
        <f t="shared" ref="AB11:AB19" si="7">ROUND(+Z11*$D11,0)</f>
        <v>0</v>
      </c>
      <c r="AC11" s="319"/>
      <c r="AD11" s="313">
        <f t="shared" ref="AD11:AD19" si="8">F11+J11+N11+R11+V11+Z11</f>
        <v>5362</v>
      </c>
      <c r="AE11" s="319"/>
      <c r="AF11" s="313">
        <f t="shared" ref="AF11:AF19" si="9">H11+L11+P11+T11+X11+AB11</f>
        <v>5362</v>
      </c>
      <c r="AG11" s="685"/>
      <c r="AH11" s="687"/>
      <c r="AI11" s="687"/>
      <c r="AJ11" s="687"/>
      <c r="AK11" s="686"/>
      <c r="AL11" s="686"/>
      <c r="AM11" s="687"/>
      <c r="AN11" s="687"/>
      <c r="AO11" s="687"/>
      <c r="AP11" s="686"/>
      <c r="AQ11" s="686"/>
      <c r="AR11" s="686"/>
      <c r="AS11" s="687"/>
      <c r="AT11" s="687"/>
      <c r="AU11" s="686"/>
      <c r="AV11" s="686"/>
    </row>
    <row r="12" spans="1:48" ht="23.45" customHeight="1" x14ac:dyDescent="0.2">
      <c r="A12" s="591"/>
      <c r="B12" s="593" t="s">
        <v>297</v>
      </c>
      <c r="C12" s="319"/>
      <c r="D12" s="592">
        <v>1.4</v>
      </c>
      <c r="E12" s="319"/>
      <c r="F12" s="313">
        <v>451</v>
      </c>
      <c r="G12" s="319"/>
      <c r="H12" s="313">
        <f t="shared" si="0"/>
        <v>631</v>
      </c>
      <c r="I12" s="319"/>
      <c r="J12" s="313">
        <v>65</v>
      </c>
      <c r="K12" s="319"/>
      <c r="L12" s="313">
        <f t="shared" si="1"/>
        <v>91</v>
      </c>
      <c r="M12" s="319"/>
      <c r="N12" s="313">
        <v>0</v>
      </c>
      <c r="O12" s="319"/>
      <c r="P12" s="313">
        <f t="shared" si="2"/>
        <v>0</v>
      </c>
      <c r="Q12" s="319"/>
      <c r="R12" s="313">
        <f t="shared" si="3"/>
        <v>0</v>
      </c>
      <c r="S12" s="319"/>
      <c r="T12" s="313">
        <f t="shared" si="4"/>
        <v>0</v>
      </c>
      <c r="U12" s="319"/>
      <c r="V12" s="313">
        <f t="shared" si="5"/>
        <v>0</v>
      </c>
      <c r="W12" s="319"/>
      <c r="X12" s="313">
        <f t="shared" si="6"/>
        <v>0</v>
      </c>
      <c r="Y12" s="319"/>
      <c r="Z12" s="313">
        <v>0</v>
      </c>
      <c r="AA12" s="319"/>
      <c r="AB12" s="313">
        <f t="shared" si="7"/>
        <v>0</v>
      </c>
      <c r="AC12" s="319"/>
      <c r="AD12" s="313">
        <f t="shared" si="8"/>
        <v>516</v>
      </c>
      <c r="AE12" s="319"/>
      <c r="AF12" s="313">
        <f t="shared" si="9"/>
        <v>722</v>
      </c>
      <c r="AG12" s="685"/>
      <c r="AH12" s="687"/>
      <c r="AI12" s="687"/>
      <c r="AJ12" s="687"/>
      <c r="AK12" s="686"/>
      <c r="AL12" s="686"/>
      <c r="AM12" s="687"/>
      <c r="AN12" s="687"/>
      <c r="AO12" s="687"/>
      <c r="AP12" s="686"/>
      <c r="AQ12" s="686"/>
      <c r="AR12" s="687"/>
      <c r="AS12" s="687"/>
      <c r="AT12" s="687"/>
      <c r="AU12" s="686"/>
      <c r="AV12" s="686"/>
    </row>
    <row r="13" spans="1:48" ht="23.45" customHeight="1" x14ac:dyDescent="0.2">
      <c r="A13" s="591">
        <v>2</v>
      </c>
      <c r="B13" s="586" t="s">
        <v>232</v>
      </c>
      <c r="C13" s="319"/>
      <c r="D13" s="592">
        <v>1.8</v>
      </c>
      <c r="E13" s="319"/>
      <c r="F13" s="313">
        <v>22</v>
      </c>
      <c r="G13" s="319"/>
      <c r="H13" s="313">
        <f t="shared" si="0"/>
        <v>40</v>
      </c>
      <c r="I13" s="319"/>
      <c r="J13" s="313">
        <v>81</v>
      </c>
      <c r="K13" s="319"/>
      <c r="L13" s="313">
        <f t="shared" si="1"/>
        <v>146</v>
      </c>
      <c r="M13" s="319"/>
      <c r="N13" s="313">
        <v>1</v>
      </c>
      <c r="O13" s="319"/>
      <c r="P13" s="313">
        <f t="shared" si="2"/>
        <v>2</v>
      </c>
      <c r="Q13" s="319"/>
      <c r="R13" s="313">
        <f t="shared" si="3"/>
        <v>0</v>
      </c>
      <c r="S13" s="319"/>
      <c r="T13" s="313">
        <f t="shared" si="4"/>
        <v>0</v>
      </c>
      <c r="U13" s="319"/>
      <c r="V13" s="313">
        <f t="shared" si="5"/>
        <v>0</v>
      </c>
      <c r="W13" s="319"/>
      <c r="X13" s="313">
        <f t="shared" si="6"/>
        <v>0</v>
      </c>
      <c r="Y13" s="319"/>
      <c r="Z13" s="319">
        <v>0</v>
      </c>
      <c r="AA13" s="319"/>
      <c r="AB13" s="313">
        <f t="shared" si="7"/>
        <v>0</v>
      </c>
      <c r="AC13" s="319"/>
      <c r="AD13" s="313">
        <f t="shared" si="8"/>
        <v>104</v>
      </c>
      <c r="AE13" s="319"/>
      <c r="AF13" s="313">
        <f t="shared" si="9"/>
        <v>188</v>
      </c>
      <c r="AG13" s="685"/>
      <c r="AH13" s="687"/>
      <c r="AI13" s="687"/>
      <c r="AJ13" s="687"/>
      <c r="AK13" s="686"/>
      <c r="AL13" s="686"/>
      <c r="AM13" s="687"/>
      <c r="AN13" s="687"/>
      <c r="AO13" s="687"/>
      <c r="AP13" s="686"/>
      <c r="AQ13" s="686"/>
      <c r="AR13" s="687"/>
      <c r="AS13" s="687"/>
      <c r="AT13" s="687"/>
      <c r="AU13" s="686"/>
      <c r="AV13" s="686"/>
    </row>
    <row r="14" spans="1:48" ht="22.9" customHeight="1" x14ac:dyDescent="0.2">
      <c r="A14" s="591">
        <v>7.4</v>
      </c>
      <c r="B14" s="586" t="s">
        <v>233</v>
      </c>
      <c r="C14" s="319"/>
      <c r="D14" s="592">
        <v>3</v>
      </c>
      <c r="E14" s="319"/>
      <c r="F14" s="313">
        <v>0</v>
      </c>
      <c r="G14" s="319"/>
      <c r="H14" s="313">
        <f t="shared" si="0"/>
        <v>0</v>
      </c>
      <c r="I14" s="319"/>
      <c r="J14" s="313">
        <v>31</v>
      </c>
      <c r="K14" s="319"/>
      <c r="L14" s="313">
        <f t="shared" si="1"/>
        <v>93</v>
      </c>
      <c r="M14" s="319"/>
      <c r="N14" s="313">
        <v>1</v>
      </c>
      <c r="O14" s="319"/>
      <c r="P14" s="313">
        <f t="shared" si="2"/>
        <v>3</v>
      </c>
      <c r="Q14" s="319"/>
      <c r="R14" s="313">
        <f t="shared" si="3"/>
        <v>0</v>
      </c>
      <c r="S14" s="319"/>
      <c r="T14" s="313">
        <f t="shared" si="4"/>
        <v>0</v>
      </c>
      <c r="U14" s="319"/>
      <c r="V14" s="313">
        <f t="shared" si="5"/>
        <v>0</v>
      </c>
      <c r="W14" s="319"/>
      <c r="X14" s="313">
        <f t="shared" si="6"/>
        <v>0</v>
      </c>
      <c r="Y14" s="319"/>
      <c r="Z14" s="319">
        <v>0</v>
      </c>
      <c r="AA14" s="319"/>
      <c r="AB14" s="313">
        <f t="shared" si="7"/>
        <v>0</v>
      </c>
      <c r="AC14" s="319"/>
      <c r="AD14" s="313">
        <f t="shared" si="8"/>
        <v>32</v>
      </c>
      <c r="AE14" s="319"/>
      <c r="AF14" s="313">
        <f t="shared" si="9"/>
        <v>96</v>
      </c>
      <c r="AG14" s="685"/>
      <c r="AH14" s="687"/>
      <c r="AI14" s="687"/>
      <c r="AJ14" s="687"/>
      <c r="AK14" s="686"/>
      <c r="AL14" s="686"/>
      <c r="AM14" s="687"/>
      <c r="AN14" s="687"/>
      <c r="AO14" s="687"/>
      <c r="AP14" s="686"/>
      <c r="AQ14" s="686"/>
      <c r="AR14" s="687"/>
      <c r="AS14" s="687"/>
      <c r="AT14" s="687"/>
      <c r="AU14" s="686"/>
      <c r="AV14" s="686"/>
    </row>
    <row r="15" spans="1:48" ht="22.9" customHeight="1" x14ac:dyDescent="0.2">
      <c r="A15" s="591">
        <v>7.7</v>
      </c>
      <c r="B15" s="586" t="s">
        <v>234</v>
      </c>
      <c r="C15" s="319"/>
      <c r="D15" s="592">
        <v>4</v>
      </c>
      <c r="E15" s="319"/>
      <c r="F15" s="313">
        <v>0</v>
      </c>
      <c r="G15" s="319"/>
      <c r="H15" s="313">
        <f t="shared" si="0"/>
        <v>0</v>
      </c>
      <c r="I15" s="319"/>
      <c r="J15" s="313">
        <v>50</v>
      </c>
      <c r="K15" s="319"/>
      <c r="L15" s="313">
        <f t="shared" si="1"/>
        <v>200</v>
      </c>
      <c r="M15" s="319"/>
      <c r="N15" s="313">
        <v>4</v>
      </c>
      <c r="O15" s="319"/>
      <c r="P15" s="313">
        <f t="shared" si="2"/>
        <v>16</v>
      </c>
      <c r="Q15" s="319"/>
      <c r="R15" s="313">
        <f t="shared" si="3"/>
        <v>0</v>
      </c>
      <c r="S15" s="319"/>
      <c r="T15" s="313">
        <f t="shared" si="4"/>
        <v>0</v>
      </c>
      <c r="U15" s="319"/>
      <c r="V15" s="313">
        <f t="shared" si="5"/>
        <v>0</v>
      </c>
      <c r="W15" s="319"/>
      <c r="X15" s="313">
        <f t="shared" si="6"/>
        <v>0</v>
      </c>
      <c r="Y15" s="319"/>
      <c r="Z15" s="319">
        <v>0</v>
      </c>
      <c r="AA15" s="319"/>
      <c r="AB15" s="313">
        <f t="shared" si="7"/>
        <v>0</v>
      </c>
      <c r="AC15" s="319"/>
      <c r="AD15" s="313">
        <f t="shared" si="8"/>
        <v>54</v>
      </c>
      <c r="AE15" s="319"/>
      <c r="AF15" s="313">
        <f t="shared" si="9"/>
        <v>216</v>
      </c>
      <c r="AG15" s="685"/>
      <c r="AH15" s="687"/>
      <c r="AI15" s="687"/>
      <c r="AJ15" s="687"/>
      <c r="AK15" s="686"/>
      <c r="AL15" s="686"/>
      <c r="AM15" s="687"/>
      <c r="AN15" s="687"/>
      <c r="AO15" s="687"/>
      <c r="AP15" s="686"/>
      <c r="AQ15" s="686"/>
      <c r="AR15" s="687"/>
      <c r="AS15" s="687"/>
      <c r="AT15" s="687"/>
      <c r="AU15" s="686"/>
      <c r="AV15" s="686"/>
    </row>
    <row r="16" spans="1:48" ht="23.45" customHeight="1" x14ac:dyDescent="0.2">
      <c r="A16" s="591">
        <v>12.7</v>
      </c>
      <c r="B16" s="586" t="s">
        <v>235</v>
      </c>
      <c r="C16" s="319"/>
      <c r="D16" s="592">
        <v>12</v>
      </c>
      <c r="E16" s="319"/>
      <c r="F16" s="313">
        <v>0</v>
      </c>
      <c r="G16" s="319"/>
      <c r="H16" s="313">
        <f t="shared" si="0"/>
        <v>0</v>
      </c>
      <c r="I16" s="319"/>
      <c r="J16" s="313">
        <v>7</v>
      </c>
      <c r="K16" s="319"/>
      <c r="L16" s="313">
        <f t="shared" si="1"/>
        <v>84</v>
      </c>
      <c r="M16" s="319"/>
      <c r="N16" s="313">
        <v>1</v>
      </c>
      <c r="O16" s="319"/>
      <c r="P16" s="313">
        <f t="shared" si="2"/>
        <v>12</v>
      </c>
      <c r="Q16" s="319"/>
      <c r="R16" s="313">
        <f t="shared" si="3"/>
        <v>0</v>
      </c>
      <c r="S16" s="319"/>
      <c r="T16" s="313">
        <f t="shared" si="4"/>
        <v>0</v>
      </c>
      <c r="U16" s="319"/>
      <c r="V16" s="313">
        <f t="shared" si="5"/>
        <v>0</v>
      </c>
      <c r="W16" s="319"/>
      <c r="X16" s="313">
        <f t="shared" si="6"/>
        <v>0</v>
      </c>
      <c r="Y16" s="319"/>
      <c r="Z16" s="319">
        <v>0</v>
      </c>
      <c r="AA16" s="319"/>
      <c r="AB16" s="313">
        <f t="shared" si="7"/>
        <v>0</v>
      </c>
      <c r="AC16" s="319"/>
      <c r="AD16" s="313">
        <f t="shared" si="8"/>
        <v>8</v>
      </c>
      <c r="AE16" s="319"/>
      <c r="AF16" s="313">
        <f t="shared" si="9"/>
        <v>96</v>
      </c>
      <c r="AG16" s="685"/>
      <c r="AH16" s="687"/>
      <c r="AI16" s="687"/>
      <c r="AJ16" s="687"/>
      <c r="AK16" s="686"/>
      <c r="AL16" s="686"/>
      <c r="AM16" s="687"/>
      <c r="AN16" s="687"/>
      <c r="AO16" s="687"/>
      <c r="AP16" s="686"/>
      <c r="AQ16" s="686"/>
      <c r="AR16" s="687"/>
      <c r="AS16" s="687"/>
      <c r="AT16" s="687"/>
      <c r="AU16" s="686"/>
      <c r="AV16" s="686"/>
    </row>
    <row r="17" spans="1:48" ht="23.45" customHeight="1" x14ac:dyDescent="0.2">
      <c r="A17" s="591">
        <v>17.600000000000001</v>
      </c>
      <c r="B17" s="586" t="s">
        <v>236</v>
      </c>
      <c r="C17" s="319"/>
      <c r="D17" s="592">
        <v>20</v>
      </c>
      <c r="E17" s="319"/>
      <c r="F17" s="313">
        <v>0</v>
      </c>
      <c r="G17" s="319"/>
      <c r="H17" s="313">
        <f t="shared" si="0"/>
        <v>0</v>
      </c>
      <c r="I17" s="319"/>
      <c r="J17" s="313">
        <v>2</v>
      </c>
      <c r="K17" s="319"/>
      <c r="L17" s="313">
        <f t="shared" si="1"/>
        <v>40</v>
      </c>
      <c r="M17" s="319"/>
      <c r="N17" s="313">
        <v>1</v>
      </c>
      <c r="O17" s="319"/>
      <c r="P17" s="313">
        <f t="shared" si="2"/>
        <v>20</v>
      </c>
      <c r="Q17" s="319"/>
      <c r="R17" s="313">
        <f t="shared" si="3"/>
        <v>0</v>
      </c>
      <c r="S17" s="319"/>
      <c r="T17" s="313">
        <f t="shared" si="4"/>
        <v>0</v>
      </c>
      <c r="U17" s="319"/>
      <c r="V17" s="313">
        <f t="shared" si="5"/>
        <v>0</v>
      </c>
      <c r="W17" s="319"/>
      <c r="X17" s="313">
        <f t="shared" si="6"/>
        <v>0</v>
      </c>
      <c r="Y17" s="319"/>
      <c r="Z17" s="319">
        <v>0</v>
      </c>
      <c r="AA17" s="319"/>
      <c r="AB17" s="313">
        <f t="shared" si="7"/>
        <v>0</v>
      </c>
      <c r="AC17" s="319"/>
      <c r="AD17" s="313">
        <f t="shared" si="8"/>
        <v>3</v>
      </c>
      <c r="AE17" s="319"/>
      <c r="AF17" s="313">
        <f t="shared" si="9"/>
        <v>60</v>
      </c>
      <c r="AG17" s="685"/>
      <c r="AH17" s="687"/>
      <c r="AI17" s="687"/>
      <c r="AJ17" s="687"/>
      <c r="AK17" s="686"/>
      <c r="AL17" s="686"/>
      <c r="AM17" s="687"/>
      <c r="AN17" s="687"/>
      <c r="AO17" s="687"/>
      <c r="AP17" s="686"/>
      <c r="AQ17" s="686"/>
      <c r="AR17" s="687"/>
      <c r="AS17" s="687"/>
      <c r="AT17" s="687"/>
      <c r="AU17" s="686"/>
      <c r="AV17" s="686"/>
    </row>
    <row r="18" spans="1:48" ht="22.9" customHeight="1" x14ac:dyDescent="0.2">
      <c r="A18" s="591">
        <v>74.8</v>
      </c>
      <c r="B18" s="586" t="s">
        <v>237</v>
      </c>
      <c r="C18" s="319"/>
      <c r="D18" s="592">
        <v>30</v>
      </c>
      <c r="E18" s="319"/>
      <c r="F18" s="313">
        <v>0</v>
      </c>
      <c r="G18" s="319"/>
      <c r="H18" s="313">
        <f t="shared" si="0"/>
        <v>0</v>
      </c>
      <c r="I18" s="319"/>
      <c r="J18" s="313">
        <v>2</v>
      </c>
      <c r="K18" s="319"/>
      <c r="L18" s="313">
        <f t="shared" si="1"/>
        <v>60</v>
      </c>
      <c r="M18" s="319"/>
      <c r="N18" s="313">
        <v>1</v>
      </c>
      <c r="O18" s="319"/>
      <c r="P18" s="313">
        <f t="shared" si="2"/>
        <v>30</v>
      </c>
      <c r="Q18" s="319"/>
      <c r="R18" s="313">
        <f t="shared" si="3"/>
        <v>0</v>
      </c>
      <c r="S18" s="319"/>
      <c r="T18" s="313">
        <f t="shared" si="4"/>
        <v>0</v>
      </c>
      <c r="U18" s="319"/>
      <c r="V18" s="313">
        <f t="shared" si="5"/>
        <v>0</v>
      </c>
      <c r="W18" s="319"/>
      <c r="X18" s="313">
        <f t="shared" si="6"/>
        <v>0</v>
      </c>
      <c r="Y18" s="319"/>
      <c r="Z18" s="319">
        <v>0</v>
      </c>
      <c r="AA18" s="319"/>
      <c r="AB18" s="313">
        <f t="shared" si="7"/>
        <v>0</v>
      </c>
      <c r="AC18" s="319"/>
      <c r="AD18" s="313">
        <f t="shared" si="8"/>
        <v>3</v>
      </c>
      <c r="AE18" s="319"/>
      <c r="AF18" s="313">
        <f t="shared" si="9"/>
        <v>90</v>
      </c>
      <c r="AG18" s="685"/>
      <c r="AH18" s="687"/>
      <c r="AI18" s="687"/>
      <c r="AJ18" s="687"/>
      <c r="AK18" s="686"/>
      <c r="AL18" s="686"/>
      <c r="AM18" s="687"/>
      <c r="AN18" s="687"/>
      <c r="AO18" s="687"/>
      <c r="AP18" s="686"/>
      <c r="AQ18" s="686"/>
      <c r="AR18" s="687"/>
      <c r="AS18" s="687"/>
      <c r="AT18" s="687"/>
      <c r="AU18" s="686"/>
      <c r="AV18" s="686"/>
    </row>
    <row r="19" spans="1:48" ht="21" customHeight="1" x14ac:dyDescent="0.2">
      <c r="A19" s="591">
        <v>133</v>
      </c>
      <c r="B19" s="586" t="s">
        <v>238</v>
      </c>
      <c r="C19" s="319"/>
      <c r="D19" s="592">
        <v>40</v>
      </c>
      <c r="E19" s="319"/>
      <c r="F19" s="313">
        <v>0</v>
      </c>
      <c r="G19" s="319"/>
      <c r="H19" s="313">
        <f t="shared" si="0"/>
        <v>0</v>
      </c>
      <c r="I19" s="319"/>
      <c r="J19" s="313">
        <v>0</v>
      </c>
      <c r="K19" s="319"/>
      <c r="L19" s="313">
        <f t="shared" si="1"/>
        <v>0</v>
      </c>
      <c r="M19" s="319"/>
      <c r="N19" s="313">
        <v>0</v>
      </c>
      <c r="O19" s="319"/>
      <c r="P19" s="313">
        <f t="shared" si="2"/>
        <v>0</v>
      </c>
      <c r="Q19" s="319"/>
      <c r="R19" s="313">
        <f t="shared" si="3"/>
        <v>0</v>
      </c>
      <c r="S19" s="319"/>
      <c r="T19" s="313">
        <f t="shared" si="4"/>
        <v>0</v>
      </c>
      <c r="U19" s="319"/>
      <c r="V19" s="313">
        <f t="shared" si="5"/>
        <v>0</v>
      </c>
      <c r="W19" s="319"/>
      <c r="X19" s="313">
        <f t="shared" si="6"/>
        <v>0</v>
      </c>
      <c r="Y19" s="319"/>
      <c r="Z19" s="319">
        <v>0</v>
      </c>
      <c r="AA19" s="319"/>
      <c r="AB19" s="313">
        <f t="shared" si="7"/>
        <v>0</v>
      </c>
      <c r="AC19" s="319"/>
      <c r="AD19" s="313">
        <f t="shared" si="8"/>
        <v>0</v>
      </c>
      <c r="AE19" s="319"/>
      <c r="AF19" s="313">
        <f t="shared" si="9"/>
        <v>0</v>
      </c>
      <c r="AG19" s="685"/>
      <c r="AH19" s="687"/>
      <c r="AI19" s="687"/>
      <c r="AJ19" s="687"/>
      <c r="AK19" s="686"/>
      <c r="AL19" s="686"/>
      <c r="AM19" s="687"/>
      <c r="AN19" s="687"/>
      <c r="AO19" s="687"/>
      <c r="AP19" s="686"/>
      <c r="AQ19" s="686"/>
      <c r="AR19" s="687"/>
      <c r="AS19" s="687"/>
      <c r="AT19" s="687"/>
      <c r="AU19" s="686"/>
      <c r="AV19" s="686"/>
    </row>
    <row r="20" spans="1:48" ht="15" x14ac:dyDescent="0.2">
      <c r="A20" s="319"/>
      <c r="B20" s="319"/>
      <c r="C20" s="319"/>
      <c r="D20" s="319"/>
      <c r="E20" s="319"/>
      <c r="F20" s="594"/>
      <c r="G20" s="319"/>
      <c r="H20" s="594"/>
      <c r="I20" s="319"/>
      <c r="J20" s="594"/>
      <c r="K20" s="319"/>
      <c r="L20" s="594"/>
      <c r="M20" s="319"/>
      <c r="N20" s="594"/>
      <c r="O20" s="319"/>
      <c r="P20" s="594"/>
      <c r="Q20" s="319"/>
      <c r="R20" s="594"/>
      <c r="S20" s="319"/>
      <c r="T20" s="594"/>
      <c r="U20" s="319"/>
      <c r="V20" s="594"/>
      <c r="W20" s="319"/>
      <c r="X20" s="594"/>
      <c r="Y20" s="319"/>
      <c r="Z20" s="594"/>
      <c r="AA20" s="319"/>
      <c r="AB20" s="594"/>
      <c r="AC20" s="319"/>
      <c r="AD20" s="594"/>
      <c r="AE20" s="319"/>
      <c r="AF20" s="594"/>
      <c r="AG20" s="685"/>
      <c r="AH20" s="686"/>
      <c r="AI20" s="686"/>
      <c r="AJ20" s="686"/>
      <c r="AK20" s="686"/>
      <c r="AL20" s="686"/>
      <c r="AM20" s="686"/>
      <c r="AN20" s="686"/>
      <c r="AO20" s="686"/>
      <c r="AP20" s="686"/>
      <c r="AQ20" s="686"/>
      <c r="AR20" s="686"/>
      <c r="AS20" s="686"/>
      <c r="AT20" s="686"/>
      <c r="AU20" s="686"/>
      <c r="AV20" s="686"/>
    </row>
    <row r="21" spans="1:48" ht="15.75" thickBot="1" x14ac:dyDescent="0.25">
      <c r="B21" s="319" t="s">
        <v>183</v>
      </c>
      <c r="C21" s="319"/>
      <c r="D21" s="319"/>
      <c r="E21" s="319"/>
      <c r="F21" s="313">
        <f>SUM(F11:F19)</f>
        <v>5311</v>
      </c>
      <c r="G21" s="319"/>
      <c r="H21" s="313">
        <f>SUM(H11:H19)</f>
        <v>5509</v>
      </c>
      <c r="I21" s="319"/>
      <c r="J21" s="313">
        <f>SUM(J11:J19)</f>
        <v>758</v>
      </c>
      <c r="K21" s="319"/>
      <c r="L21" s="595">
        <f>SUM(L11:L19)</f>
        <v>1234</v>
      </c>
      <c r="M21" s="319"/>
      <c r="N21" s="313">
        <f>SUM(N11:N19)</f>
        <v>13</v>
      </c>
      <c r="O21" s="319"/>
      <c r="P21" s="313">
        <f>SUM(P11:P19)</f>
        <v>87</v>
      </c>
      <c r="Q21" s="319"/>
      <c r="R21" s="313">
        <f>SUM(R11:R19)</f>
        <v>0</v>
      </c>
      <c r="S21" s="319"/>
      <c r="T21" s="313">
        <f>SUM(T11:T19)</f>
        <v>0</v>
      </c>
      <c r="U21" s="319"/>
      <c r="V21" s="313">
        <f>SUM(V11:V19)</f>
        <v>0</v>
      </c>
      <c r="W21" s="319"/>
      <c r="X21" s="313">
        <f>SUM(X11:X19)</f>
        <v>0</v>
      </c>
      <c r="Y21" s="319"/>
      <c r="Z21" s="313">
        <f>SUM(Z11:Z19)</f>
        <v>0</v>
      </c>
      <c r="AA21" s="319"/>
      <c r="AB21" s="313">
        <f>SUM(AB11:AB19)</f>
        <v>0</v>
      </c>
      <c r="AC21" s="319"/>
      <c r="AD21" s="313">
        <f>SUM(AD11:AD19)</f>
        <v>6082</v>
      </c>
      <c r="AE21" s="319"/>
      <c r="AF21" s="313">
        <f>SUM(AF11:AF19)</f>
        <v>6830</v>
      </c>
      <c r="AG21" s="685"/>
      <c r="AH21" s="689"/>
      <c r="AI21" s="689"/>
      <c r="AJ21" s="689"/>
      <c r="AK21" s="686"/>
      <c r="AL21" s="686"/>
      <c r="AM21" s="689"/>
      <c r="AN21" s="689"/>
      <c r="AO21" s="686"/>
      <c r="AP21" s="686"/>
      <c r="AQ21" s="686"/>
      <c r="AR21" s="689"/>
      <c r="AS21" s="689"/>
      <c r="AT21" s="689"/>
      <c r="AU21" s="686"/>
      <c r="AV21" s="686"/>
    </row>
    <row r="22" spans="1:48" ht="15.75" thickTop="1" x14ac:dyDescent="0.2">
      <c r="B22" s="319"/>
      <c r="C22" s="319"/>
      <c r="D22" s="319"/>
      <c r="E22" s="319"/>
      <c r="F22" s="596"/>
      <c r="G22" s="319"/>
      <c r="H22" s="596"/>
      <c r="I22" s="319"/>
      <c r="J22" s="596"/>
      <c r="K22" s="319"/>
      <c r="L22" s="597"/>
      <c r="M22" s="319"/>
      <c r="N22" s="596"/>
      <c r="O22" s="319"/>
      <c r="P22" s="596"/>
      <c r="Q22" s="319"/>
      <c r="R22" s="596"/>
      <c r="S22" s="319"/>
      <c r="T22" s="596"/>
      <c r="U22" s="319"/>
      <c r="V22" s="596"/>
      <c r="W22" s="319"/>
      <c r="X22" s="596"/>
      <c r="Y22" s="319"/>
      <c r="Z22" s="596"/>
      <c r="AA22" s="319"/>
      <c r="AB22" s="596"/>
      <c r="AC22" s="319"/>
      <c r="AD22" s="596"/>
      <c r="AE22" s="319"/>
      <c r="AF22" s="596"/>
      <c r="AG22" s="685"/>
      <c r="AH22" s="267"/>
      <c r="AI22" s="267"/>
      <c r="AJ22" s="686"/>
      <c r="AK22" s="686"/>
      <c r="AL22" s="686"/>
      <c r="AM22" s="267"/>
      <c r="AN22" s="267"/>
      <c r="AO22" s="267"/>
      <c r="AP22" s="267"/>
      <c r="AQ22" s="267"/>
      <c r="AR22" s="267"/>
      <c r="AS22" s="686"/>
      <c r="AT22" s="686"/>
      <c r="AU22" s="686"/>
      <c r="AV22" s="686"/>
    </row>
    <row r="23" spans="1:48" ht="15" x14ac:dyDescent="0.2">
      <c r="B23" s="583" t="s">
        <v>386</v>
      </c>
      <c r="C23" s="584"/>
      <c r="D23" s="584"/>
      <c r="E23" s="584"/>
      <c r="F23" s="584"/>
      <c r="G23" s="584"/>
      <c r="H23" s="584"/>
      <c r="I23" s="584"/>
      <c r="J23" s="584"/>
      <c r="K23" s="584"/>
      <c r="L23" s="584"/>
      <c r="M23" s="584"/>
      <c r="N23" s="583"/>
      <c r="O23" s="584"/>
      <c r="P23" s="584"/>
      <c r="Q23" s="584"/>
      <c r="R23" s="584"/>
      <c r="S23" s="584"/>
      <c r="T23" s="584"/>
      <c r="U23" s="584"/>
      <c r="V23" s="584"/>
      <c r="W23" s="584"/>
      <c r="X23" s="584"/>
      <c r="Y23" s="584"/>
      <c r="Z23" s="584"/>
      <c r="AA23" s="584"/>
      <c r="AB23" s="584"/>
      <c r="AC23" s="584"/>
      <c r="AD23" s="584"/>
      <c r="AE23" s="584"/>
      <c r="AF23" s="584"/>
      <c r="AG23" s="685"/>
      <c r="AH23" s="686"/>
      <c r="AI23" s="686"/>
      <c r="AJ23" s="686"/>
      <c r="AK23" s="686"/>
      <c r="AL23" s="686"/>
      <c r="AM23" s="686"/>
      <c r="AN23" s="686"/>
      <c r="AO23" s="686"/>
      <c r="AP23" s="686"/>
      <c r="AQ23" s="686"/>
      <c r="AR23" s="686"/>
      <c r="AS23" s="686"/>
      <c r="AT23" s="686"/>
      <c r="AU23" s="686"/>
      <c r="AV23" s="686"/>
    </row>
    <row r="24" spans="1:48" ht="15" x14ac:dyDescent="0.2">
      <c r="B24" s="583" t="s">
        <v>61</v>
      </c>
      <c r="C24" s="584"/>
      <c r="D24" s="584"/>
      <c r="E24" s="584"/>
      <c r="F24" s="584"/>
      <c r="G24" s="584"/>
      <c r="H24" s="584"/>
      <c r="I24" s="584"/>
      <c r="J24" s="584"/>
      <c r="K24" s="584"/>
      <c r="L24" s="584"/>
      <c r="M24" s="584"/>
      <c r="N24" s="583"/>
      <c r="O24" s="584"/>
      <c r="P24" s="584"/>
      <c r="Q24" s="584"/>
      <c r="R24" s="584"/>
      <c r="S24" s="584"/>
      <c r="T24" s="584"/>
      <c r="U24" s="584"/>
      <c r="V24" s="584"/>
      <c r="W24" s="584"/>
      <c r="X24" s="584"/>
      <c r="Y24" s="584"/>
      <c r="Z24" s="584"/>
      <c r="AA24" s="584"/>
      <c r="AB24" s="584"/>
      <c r="AC24" s="584"/>
      <c r="AD24" s="584"/>
      <c r="AE24" s="584"/>
      <c r="AF24" s="584"/>
      <c r="AG24" s="685"/>
      <c r="AH24" s="686"/>
      <c r="AI24" s="686"/>
      <c r="AJ24" s="686"/>
      <c r="AK24" s="686"/>
      <c r="AL24" s="686"/>
      <c r="AM24" s="686"/>
      <c r="AN24" s="686"/>
      <c r="AO24" s="686"/>
      <c r="AP24" s="686"/>
      <c r="AQ24" s="686"/>
      <c r="AR24" s="686"/>
      <c r="AS24" s="686"/>
      <c r="AT24" s="686"/>
      <c r="AU24" s="686"/>
      <c r="AV24" s="686"/>
    </row>
    <row r="25" spans="1:48" ht="15" x14ac:dyDescent="0.2">
      <c r="B25" s="584" t="s">
        <v>177</v>
      </c>
      <c r="C25" s="584"/>
      <c r="D25" s="584"/>
      <c r="E25" s="584"/>
      <c r="F25" s="584"/>
      <c r="G25" s="584"/>
      <c r="H25" s="584"/>
      <c r="I25" s="584"/>
      <c r="J25" s="584"/>
      <c r="K25" s="584"/>
      <c r="L25" s="583"/>
      <c r="M25" s="584"/>
      <c r="N25" s="584"/>
      <c r="O25" s="584"/>
      <c r="P25" s="584"/>
      <c r="Q25" s="584"/>
      <c r="R25" s="584"/>
      <c r="S25" s="584"/>
      <c r="T25" s="584"/>
      <c r="U25" s="584"/>
      <c r="V25" s="584"/>
      <c r="W25" s="584"/>
      <c r="X25" s="584"/>
      <c r="Y25" s="584"/>
      <c r="Z25" s="584"/>
      <c r="AA25" s="584"/>
      <c r="AB25" s="584"/>
      <c r="AC25" s="584"/>
      <c r="AD25" s="584"/>
      <c r="AE25" s="584"/>
      <c r="AF25" s="584"/>
      <c r="AG25" s="685"/>
      <c r="AH25" s="686"/>
      <c r="AI25" s="686"/>
      <c r="AJ25" s="686"/>
      <c r="AK25" s="686"/>
      <c r="AL25" s="686"/>
      <c r="AM25" s="686"/>
      <c r="AN25" s="686"/>
      <c r="AO25" s="686"/>
      <c r="AP25" s="686"/>
      <c r="AQ25" s="686"/>
      <c r="AR25" s="686"/>
      <c r="AS25" s="686"/>
      <c r="AT25" s="686"/>
      <c r="AU25" s="686"/>
      <c r="AV25" s="686"/>
    </row>
    <row r="26" spans="1:48" ht="15" x14ac:dyDescent="0.2">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685"/>
      <c r="AH26" s="686"/>
      <c r="AI26" s="686"/>
      <c r="AJ26" s="686"/>
      <c r="AK26" s="686"/>
      <c r="AL26" s="686"/>
      <c r="AM26" s="686"/>
      <c r="AN26" s="686"/>
      <c r="AO26" s="686"/>
      <c r="AP26" s="686"/>
      <c r="AQ26" s="686"/>
      <c r="AR26" s="686"/>
      <c r="AS26" s="686"/>
      <c r="AT26" s="686"/>
      <c r="AU26" s="686"/>
      <c r="AV26" s="686"/>
    </row>
    <row r="27" spans="1:48" ht="15" x14ac:dyDescent="0.2">
      <c r="B27" s="319"/>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585"/>
    </row>
    <row r="28" spans="1:48" ht="15" x14ac:dyDescent="0.2">
      <c r="B28" s="586"/>
      <c r="C28" s="586"/>
      <c r="D28" s="586" t="s">
        <v>178</v>
      </c>
      <c r="E28" s="586"/>
      <c r="F28" s="584" t="s">
        <v>73</v>
      </c>
      <c r="G28" s="584"/>
      <c r="H28" s="584"/>
      <c r="I28" s="586"/>
      <c r="J28" s="584" t="s">
        <v>543</v>
      </c>
      <c r="K28" s="584"/>
      <c r="L28" s="584"/>
      <c r="M28" s="586"/>
      <c r="N28" s="584" t="s">
        <v>75</v>
      </c>
      <c r="O28" s="584"/>
      <c r="P28" s="584"/>
      <c r="Q28" s="586"/>
      <c r="R28" s="584" t="s">
        <v>76</v>
      </c>
      <c r="S28" s="584"/>
      <c r="T28" s="584"/>
      <c r="U28" s="586"/>
      <c r="V28" s="584" t="s">
        <v>179</v>
      </c>
      <c r="W28" s="584"/>
      <c r="X28" s="584"/>
      <c r="Y28" s="586"/>
      <c r="Z28" s="584" t="s">
        <v>77</v>
      </c>
      <c r="AA28" s="584"/>
      <c r="AB28" s="584"/>
      <c r="AC28" s="586"/>
      <c r="AD28" s="584" t="s">
        <v>183</v>
      </c>
      <c r="AE28" s="584"/>
      <c r="AF28" s="584"/>
      <c r="AG28" s="585"/>
    </row>
    <row r="29" spans="1:48" ht="15" x14ac:dyDescent="0.2">
      <c r="B29" s="586" t="s">
        <v>184</v>
      </c>
      <c r="C29" s="586"/>
      <c r="D29" s="586" t="s">
        <v>185</v>
      </c>
      <c r="E29" s="586"/>
      <c r="F29" s="587" t="s">
        <v>168</v>
      </c>
      <c r="G29" s="587"/>
      <c r="H29" s="587"/>
      <c r="I29" s="586"/>
      <c r="J29" s="587" t="s">
        <v>168</v>
      </c>
      <c r="K29" s="587"/>
      <c r="L29" s="587"/>
      <c r="M29" s="586"/>
      <c r="N29" s="587" t="s">
        <v>168</v>
      </c>
      <c r="O29" s="587"/>
      <c r="P29" s="587"/>
      <c r="Q29" s="586"/>
      <c r="R29" s="587" t="s">
        <v>168</v>
      </c>
      <c r="S29" s="587"/>
      <c r="T29" s="587"/>
      <c r="U29" s="586"/>
      <c r="V29" s="587" t="s">
        <v>168</v>
      </c>
      <c r="W29" s="587"/>
      <c r="X29" s="587"/>
      <c r="Y29" s="586"/>
      <c r="Z29" s="587" t="s">
        <v>168</v>
      </c>
      <c r="AA29" s="587"/>
      <c r="AB29" s="587"/>
      <c r="AC29" s="586"/>
      <c r="AD29" s="587" t="s">
        <v>168</v>
      </c>
      <c r="AE29" s="587"/>
      <c r="AF29" s="587"/>
      <c r="AG29" s="585"/>
    </row>
    <row r="30" spans="1:48" ht="15" x14ac:dyDescent="0.2">
      <c r="B30" s="586" t="s">
        <v>186</v>
      </c>
      <c r="C30" s="586"/>
      <c r="D30" s="586" t="s">
        <v>187</v>
      </c>
      <c r="E30" s="586"/>
      <c r="F30" s="586" t="s">
        <v>188</v>
      </c>
      <c r="G30" s="586"/>
      <c r="H30" s="586" t="s">
        <v>189</v>
      </c>
      <c r="I30" s="586"/>
      <c r="J30" s="586" t="s">
        <v>188</v>
      </c>
      <c r="K30" s="586"/>
      <c r="L30" s="586" t="s">
        <v>189</v>
      </c>
      <c r="M30" s="586"/>
      <c r="N30" s="586" t="s">
        <v>188</v>
      </c>
      <c r="O30" s="586"/>
      <c r="P30" s="586" t="s">
        <v>189</v>
      </c>
      <c r="Q30" s="586"/>
      <c r="R30" s="586" t="s">
        <v>188</v>
      </c>
      <c r="S30" s="586"/>
      <c r="T30" s="586" t="s">
        <v>189</v>
      </c>
      <c r="U30" s="586"/>
      <c r="V30" s="586" t="s">
        <v>188</v>
      </c>
      <c r="W30" s="586"/>
      <c r="X30" s="586" t="s">
        <v>189</v>
      </c>
      <c r="Y30" s="586"/>
      <c r="Z30" s="586" t="s">
        <v>188</v>
      </c>
      <c r="AA30" s="586"/>
      <c r="AB30" s="586" t="s">
        <v>189</v>
      </c>
      <c r="AC30" s="586"/>
      <c r="AD30" s="586" t="s">
        <v>188</v>
      </c>
      <c r="AE30" s="586"/>
      <c r="AF30" s="586" t="s">
        <v>189</v>
      </c>
      <c r="AG30" s="585"/>
    </row>
    <row r="31" spans="1:48" ht="15" x14ac:dyDescent="0.2">
      <c r="B31" s="318">
        <v>-1</v>
      </c>
      <c r="C31" s="588"/>
      <c r="D31" s="318">
        <v>-2</v>
      </c>
      <c r="E31" s="588"/>
      <c r="F31" s="318">
        <v>-3</v>
      </c>
      <c r="G31" s="588"/>
      <c r="H31" s="318" t="s">
        <v>190</v>
      </c>
      <c r="I31" s="588"/>
      <c r="J31" s="318">
        <v>-5</v>
      </c>
      <c r="K31" s="588"/>
      <c r="L31" s="318" t="s">
        <v>191</v>
      </c>
      <c r="M31" s="588"/>
      <c r="N31" s="318">
        <v>-7</v>
      </c>
      <c r="O31" s="588"/>
      <c r="P31" s="318" t="s">
        <v>192</v>
      </c>
      <c r="Q31" s="588"/>
      <c r="R31" s="318">
        <v>-9</v>
      </c>
      <c r="S31" s="588"/>
      <c r="T31" s="318" t="s">
        <v>193</v>
      </c>
      <c r="U31" s="588"/>
      <c r="V31" s="318">
        <v>-11</v>
      </c>
      <c r="W31" s="588"/>
      <c r="X31" s="318" t="s">
        <v>194</v>
      </c>
      <c r="Y31" s="588"/>
      <c r="Z31" s="318">
        <v>-9</v>
      </c>
      <c r="AA31" s="588"/>
      <c r="AB31" s="318" t="s">
        <v>193</v>
      </c>
      <c r="AC31" s="588"/>
      <c r="AD31" s="318">
        <v>-11</v>
      </c>
      <c r="AE31" s="588"/>
      <c r="AF31" s="318">
        <v>-12</v>
      </c>
      <c r="AG31" s="585"/>
    </row>
    <row r="32" spans="1:48" ht="15" x14ac:dyDescent="0.2">
      <c r="B32" s="319"/>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585"/>
    </row>
    <row r="33" spans="1:33" ht="15" x14ac:dyDescent="0.2">
      <c r="A33" s="312">
        <v>1</v>
      </c>
      <c r="B33" s="319" t="s">
        <v>196</v>
      </c>
      <c r="C33" s="319"/>
      <c r="D33" s="312">
        <v>1</v>
      </c>
      <c r="E33" s="319"/>
      <c r="F33" s="313">
        <f>F11+F12</f>
        <v>5289</v>
      </c>
      <c r="G33" s="319"/>
      <c r="H33" s="313">
        <f>ROUND(+F33*$D33,0)</f>
        <v>5289</v>
      </c>
      <c r="I33" s="319"/>
      <c r="J33" s="313">
        <f>J11</f>
        <v>520</v>
      </c>
      <c r="K33" s="319"/>
      <c r="L33" s="313">
        <f>ROUND(+J33*$D33,0)</f>
        <v>520</v>
      </c>
      <c r="M33" s="319"/>
      <c r="N33" s="313">
        <f>N11</f>
        <v>4</v>
      </c>
      <c r="O33" s="319"/>
      <c r="P33" s="313">
        <f>ROUND(+N33*$D33,0)</f>
        <v>4</v>
      </c>
      <c r="Q33" s="319"/>
      <c r="R33" s="313">
        <f>R11</f>
        <v>0</v>
      </c>
      <c r="S33" s="319"/>
      <c r="T33" s="313">
        <f>ROUND(+R33*$D33,0)</f>
        <v>0</v>
      </c>
      <c r="U33" s="319"/>
      <c r="V33" s="313">
        <f>V11</f>
        <v>0</v>
      </c>
      <c r="W33" s="319"/>
      <c r="X33" s="313">
        <f>ROUND(+V33*$D33,0)</f>
        <v>0</v>
      </c>
      <c r="Y33" s="319"/>
      <c r="Z33" s="313">
        <v>0</v>
      </c>
      <c r="AA33" s="319"/>
      <c r="AB33" s="313">
        <f>ROUND(+Z33*$D33,0)</f>
        <v>0</v>
      </c>
      <c r="AC33" s="319"/>
      <c r="AD33" s="313">
        <f>F33+J33+N33+R33+V33+Z33</f>
        <v>5813</v>
      </c>
      <c r="AE33" s="319"/>
      <c r="AF33" s="313">
        <f>H33+L33+P33+T33+X33+AB33</f>
        <v>5813</v>
      </c>
      <c r="AG33" s="585"/>
    </row>
    <row r="34" spans="1:33" ht="10.7" customHeight="1" x14ac:dyDescent="0.2">
      <c r="A34" s="312"/>
      <c r="B34" s="319"/>
      <c r="C34" s="319"/>
      <c r="D34" s="312"/>
      <c r="E34" s="319"/>
      <c r="F34" s="319"/>
      <c r="G34" s="319"/>
      <c r="H34" s="313"/>
      <c r="I34" s="319"/>
      <c r="J34" s="319"/>
      <c r="K34" s="319"/>
      <c r="L34" s="313"/>
      <c r="M34" s="319"/>
      <c r="N34" s="319"/>
      <c r="O34" s="319"/>
      <c r="P34" s="313"/>
      <c r="Q34" s="319"/>
      <c r="R34" s="319"/>
      <c r="S34" s="319"/>
      <c r="T34" s="313"/>
      <c r="U34" s="319"/>
      <c r="V34" s="319"/>
      <c r="W34" s="319"/>
      <c r="X34" s="313"/>
      <c r="Y34" s="319"/>
      <c r="Z34" s="319"/>
      <c r="AA34" s="319"/>
      <c r="AB34" s="313"/>
      <c r="AC34" s="319"/>
      <c r="AD34" s="319"/>
      <c r="AE34" s="319"/>
      <c r="AF34" s="319"/>
      <c r="AG34" s="585"/>
    </row>
    <row r="35" spans="1:33" ht="15" x14ac:dyDescent="0.2">
      <c r="A35" s="312">
        <v>1.17</v>
      </c>
      <c r="B35" s="319" t="s">
        <v>197</v>
      </c>
      <c r="C35" s="319"/>
      <c r="D35" s="312">
        <v>2</v>
      </c>
      <c r="E35" s="319"/>
      <c r="F35" s="313">
        <f>F13</f>
        <v>22</v>
      </c>
      <c r="G35" s="319"/>
      <c r="H35" s="313">
        <f>ROUND(+F35*$D35,0)</f>
        <v>44</v>
      </c>
      <c r="I35" s="319"/>
      <c r="J35" s="313">
        <f>J13</f>
        <v>81</v>
      </c>
      <c r="K35" s="319"/>
      <c r="L35" s="313">
        <f>ROUND(+J35*$D35,0)</f>
        <v>162</v>
      </c>
      <c r="M35" s="319"/>
      <c r="N35" s="313">
        <f>N13</f>
        <v>1</v>
      </c>
      <c r="O35" s="319"/>
      <c r="P35" s="313">
        <f>ROUND(+N35*$D35,0)</f>
        <v>2</v>
      </c>
      <c r="Q35" s="319"/>
      <c r="R35" s="313">
        <f>R13</f>
        <v>0</v>
      </c>
      <c r="S35" s="319"/>
      <c r="T35" s="313">
        <f>ROUND(+R35*$D35,0)</f>
        <v>0</v>
      </c>
      <c r="U35" s="319"/>
      <c r="V35" s="313">
        <f>V13</f>
        <v>0</v>
      </c>
      <c r="W35" s="319"/>
      <c r="X35" s="313">
        <f>ROUND(+V35*$D35,0)</f>
        <v>0</v>
      </c>
      <c r="Y35" s="319"/>
      <c r="Z35" s="313">
        <f>Z13</f>
        <v>0</v>
      </c>
      <c r="AA35" s="319"/>
      <c r="AB35" s="313">
        <f>ROUND(+Z35*$D35,0)</f>
        <v>0</v>
      </c>
      <c r="AC35" s="319"/>
      <c r="AD35" s="313">
        <f>F35+J35+N35+R35+V35+Z35</f>
        <v>104</v>
      </c>
      <c r="AE35" s="319"/>
      <c r="AF35" s="313">
        <f>H35+L35+P35+T35+X35+AB35</f>
        <v>208</v>
      </c>
      <c r="AG35" s="585"/>
    </row>
    <row r="36" spans="1:33" ht="10.7" customHeight="1" x14ac:dyDescent="0.2">
      <c r="A36" s="312"/>
      <c r="B36" s="319"/>
      <c r="C36" s="319"/>
      <c r="D36" s="312"/>
      <c r="E36" s="319"/>
      <c r="F36" s="313"/>
      <c r="G36" s="319"/>
      <c r="H36" s="313"/>
      <c r="I36" s="319"/>
      <c r="J36" s="313"/>
      <c r="K36" s="319"/>
      <c r="L36" s="313"/>
      <c r="M36" s="319"/>
      <c r="N36" s="313"/>
      <c r="O36" s="319"/>
      <c r="P36" s="313"/>
      <c r="Q36" s="319"/>
      <c r="R36" s="313"/>
      <c r="S36" s="319"/>
      <c r="T36" s="313"/>
      <c r="U36" s="319"/>
      <c r="V36" s="313"/>
      <c r="W36" s="319"/>
      <c r="X36" s="313"/>
      <c r="Y36" s="319"/>
      <c r="Z36" s="313"/>
      <c r="AA36" s="319"/>
      <c r="AB36" s="313"/>
      <c r="AC36" s="319"/>
      <c r="AD36" s="313"/>
      <c r="AE36" s="319"/>
      <c r="AF36" s="319"/>
      <c r="AG36" s="585"/>
    </row>
    <row r="37" spans="1:33" ht="15" x14ac:dyDescent="0.2">
      <c r="A37" s="312">
        <v>1.58</v>
      </c>
      <c r="B37" s="319" t="s">
        <v>198</v>
      </c>
      <c r="C37" s="319"/>
      <c r="D37" s="312">
        <v>2.2000000000000002</v>
      </c>
      <c r="E37" s="319"/>
      <c r="F37" s="313">
        <f>F14</f>
        <v>0</v>
      </c>
      <c r="G37" s="319"/>
      <c r="H37" s="313">
        <f>ROUND(+F37*$D37,0)</f>
        <v>0</v>
      </c>
      <c r="I37" s="319"/>
      <c r="J37" s="313">
        <f>J14</f>
        <v>31</v>
      </c>
      <c r="K37" s="319"/>
      <c r="L37" s="313">
        <f>ROUND(+J37*$D37,0)</f>
        <v>68</v>
      </c>
      <c r="M37" s="319"/>
      <c r="N37" s="313">
        <f>N14</f>
        <v>1</v>
      </c>
      <c r="O37" s="319"/>
      <c r="P37" s="313">
        <f>ROUND(+N37*$D37,0)</f>
        <v>2</v>
      </c>
      <c r="Q37" s="319"/>
      <c r="R37" s="313">
        <f>R14</f>
        <v>0</v>
      </c>
      <c r="S37" s="319"/>
      <c r="T37" s="313">
        <f>ROUND(+R37*$D37,0)</f>
        <v>0</v>
      </c>
      <c r="U37" s="319"/>
      <c r="V37" s="313">
        <f>V14</f>
        <v>0</v>
      </c>
      <c r="W37" s="319"/>
      <c r="X37" s="313">
        <f>ROUND(+V37*$D37,0)</f>
        <v>0</v>
      </c>
      <c r="Y37" s="319"/>
      <c r="Z37" s="313">
        <f>Z14</f>
        <v>0</v>
      </c>
      <c r="AA37" s="319"/>
      <c r="AB37" s="313">
        <f>ROUND(+Z37*$D37,0)</f>
        <v>0</v>
      </c>
      <c r="AC37" s="319"/>
      <c r="AD37" s="313">
        <f>F37+J37+N37+R37+V37+Z37</f>
        <v>32</v>
      </c>
      <c r="AE37" s="319"/>
      <c r="AF37" s="313">
        <f>H37+L37+P37+T37+X37+AB37</f>
        <v>70</v>
      </c>
      <c r="AG37" s="585"/>
    </row>
    <row r="38" spans="1:33" ht="9.75" customHeight="1" x14ac:dyDescent="0.2">
      <c r="A38" s="312"/>
      <c r="B38" s="319"/>
      <c r="C38" s="319"/>
      <c r="D38" s="312"/>
      <c r="E38" s="319"/>
      <c r="F38" s="313"/>
      <c r="G38" s="319"/>
      <c r="H38" s="313"/>
      <c r="I38" s="319"/>
      <c r="J38" s="313"/>
      <c r="K38" s="319"/>
      <c r="L38" s="313"/>
      <c r="M38" s="319"/>
      <c r="N38" s="313"/>
      <c r="O38" s="319"/>
      <c r="P38" s="313"/>
      <c r="Q38" s="319"/>
      <c r="R38" s="313"/>
      <c r="S38" s="319"/>
      <c r="T38" s="313"/>
      <c r="U38" s="319"/>
      <c r="V38" s="313"/>
      <c r="W38" s="319"/>
      <c r="X38" s="313"/>
      <c r="Y38" s="319"/>
      <c r="Z38" s="313"/>
      <c r="AA38" s="319"/>
      <c r="AB38" s="313"/>
      <c r="AC38" s="319"/>
      <c r="AD38" s="313"/>
      <c r="AE38" s="319"/>
      <c r="AF38" s="319"/>
      <c r="AG38" s="585"/>
    </row>
    <row r="39" spans="1:33" ht="15" x14ac:dyDescent="0.2">
      <c r="A39" s="312">
        <v>2.04</v>
      </c>
      <c r="B39" s="319" t="s">
        <v>199</v>
      </c>
      <c r="C39" s="319"/>
      <c r="D39" s="312">
        <v>3.2</v>
      </c>
      <c r="E39" s="319"/>
      <c r="F39" s="313">
        <f>F15</f>
        <v>0</v>
      </c>
      <c r="G39" s="319"/>
      <c r="H39" s="313">
        <f>ROUND(+F39*$D39,0)</f>
        <v>0</v>
      </c>
      <c r="I39" s="319"/>
      <c r="J39" s="313">
        <f>J15</f>
        <v>50</v>
      </c>
      <c r="K39" s="319"/>
      <c r="L39" s="313">
        <f>ROUND(+J39*$D39,0)</f>
        <v>160</v>
      </c>
      <c r="M39" s="319"/>
      <c r="N39" s="313">
        <f>N15</f>
        <v>4</v>
      </c>
      <c r="O39" s="319"/>
      <c r="P39" s="313">
        <f>ROUND(+N39*$D39,0)</f>
        <v>13</v>
      </c>
      <c r="Q39" s="319"/>
      <c r="R39" s="313">
        <f>R15</f>
        <v>0</v>
      </c>
      <c r="S39" s="319"/>
      <c r="T39" s="313">
        <f>ROUND(+R39*$D39,0)</f>
        <v>0</v>
      </c>
      <c r="U39" s="319"/>
      <c r="V39" s="313">
        <f>V15</f>
        <v>0</v>
      </c>
      <c r="W39" s="319"/>
      <c r="X39" s="313">
        <f>ROUND(+V39*$D39,0)</f>
        <v>0</v>
      </c>
      <c r="Y39" s="319"/>
      <c r="Z39" s="313">
        <f>'SCH-E'!K15</f>
        <v>36</v>
      </c>
      <c r="AA39" s="319"/>
      <c r="AB39" s="313">
        <f>ROUND(+Z39*$D39,0)</f>
        <v>115</v>
      </c>
      <c r="AC39" s="319"/>
      <c r="AD39" s="313">
        <f>F39+J39+N39+R39+V39+Z39</f>
        <v>90</v>
      </c>
      <c r="AE39" s="319"/>
      <c r="AF39" s="313">
        <f>H39+L39+P39+T39+X39+AB39</f>
        <v>288</v>
      </c>
      <c r="AG39" s="585"/>
    </row>
    <row r="40" spans="1:33" ht="9.75" customHeight="1" x14ac:dyDescent="0.2">
      <c r="A40" s="312"/>
      <c r="B40" s="319"/>
      <c r="C40" s="319"/>
      <c r="D40" s="312"/>
      <c r="E40" s="319"/>
      <c r="F40" s="313"/>
      <c r="G40" s="319"/>
      <c r="H40" s="313"/>
      <c r="I40" s="319"/>
      <c r="J40" s="313"/>
      <c r="K40" s="319"/>
      <c r="L40" s="313"/>
      <c r="M40" s="319"/>
      <c r="N40" s="313"/>
      <c r="O40" s="319"/>
      <c r="P40" s="313"/>
      <c r="Q40" s="319"/>
      <c r="R40" s="313"/>
      <c r="S40" s="319"/>
      <c r="T40" s="313"/>
      <c r="U40" s="319"/>
      <c r="V40" s="313"/>
      <c r="W40" s="319"/>
      <c r="X40" s="313"/>
      <c r="Y40" s="319"/>
      <c r="Z40" s="313"/>
      <c r="AA40" s="319"/>
      <c r="AB40" s="313"/>
      <c r="AC40" s="319"/>
      <c r="AD40" s="313"/>
      <c r="AE40" s="319"/>
      <c r="AF40" s="319"/>
      <c r="AG40" s="585"/>
    </row>
    <row r="41" spans="1:33" ht="15" x14ac:dyDescent="0.2">
      <c r="A41" s="312">
        <v>2.88</v>
      </c>
      <c r="B41" s="319" t="s">
        <v>200</v>
      </c>
      <c r="C41" s="319"/>
      <c r="D41" s="312">
        <v>3.5</v>
      </c>
      <c r="E41" s="319"/>
      <c r="F41" s="313">
        <f>F16+F17</f>
        <v>0</v>
      </c>
      <c r="G41" s="319"/>
      <c r="H41" s="313">
        <f>ROUND(+F41*$D41,0)</f>
        <v>0</v>
      </c>
      <c r="I41" s="319"/>
      <c r="J41" s="313">
        <f>J16+J17</f>
        <v>9</v>
      </c>
      <c r="K41" s="319"/>
      <c r="L41" s="313">
        <f>ROUND(+J41*$D41,0)</f>
        <v>32</v>
      </c>
      <c r="M41" s="319"/>
      <c r="N41" s="313">
        <f>N16+N17</f>
        <v>2</v>
      </c>
      <c r="O41" s="319"/>
      <c r="P41" s="313">
        <f>ROUND(+N41*$D41,0)</f>
        <v>7</v>
      </c>
      <c r="Q41" s="319"/>
      <c r="R41" s="313">
        <f>R16+R17</f>
        <v>0</v>
      </c>
      <c r="S41" s="319"/>
      <c r="T41" s="313">
        <f>ROUND(+R41*$D41,0)</f>
        <v>0</v>
      </c>
      <c r="U41" s="319"/>
      <c r="V41" s="313">
        <f>V16+V17</f>
        <v>0</v>
      </c>
      <c r="W41" s="319"/>
      <c r="X41" s="313">
        <f>ROUND(+V41*$D41,0)</f>
        <v>0</v>
      </c>
      <c r="Y41" s="319"/>
      <c r="Z41" s="313">
        <f>'SCH-E'!K17</f>
        <v>0</v>
      </c>
      <c r="AA41" s="319"/>
      <c r="AB41" s="313">
        <f>ROUND(+Z41*$D41,0)</f>
        <v>0</v>
      </c>
      <c r="AC41" s="319"/>
      <c r="AD41" s="313">
        <f>F41+J41+N41+R41+V41+Z41</f>
        <v>11</v>
      </c>
      <c r="AE41" s="319"/>
      <c r="AF41" s="313">
        <f>H41+L41+P41+T41+X41+AB41</f>
        <v>39</v>
      </c>
      <c r="AG41" s="585"/>
    </row>
    <row r="42" spans="1:33" ht="9.75" customHeight="1" x14ac:dyDescent="0.2">
      <c r="A42" s="312"/>
      <c r="B42" s="319"/>
      <c r="C42" s="319"/>
      <c r="D42" s="312"/>
      <c r="E42" s="319"/>
      <c r="F42" s="313"/>
      <c r="G42" s="319"/>
      <c r="H42" s="313"/>
      <c r="I42" s="319"/>
      <c r="J42" s="313"/>
      <c r="K42" s="319"/>
      <c r="L42" s="313"/>
      <c r="M42" s="319"/>
      <c r="N42" s="313"/>
      <c r="O42" s="319"/>
      <c r="P42" s="313"/>
      <c r="Q42" s="319"/>
      <c r="R42" s="313"/>
      <c r="S42" s="319"/>
      <c r="T42" s="313"/>
      <c r="U42" s="319"/>
      <c r="V42" s="313"/>
      <c r="W42" s="319"/>
      <c r="X42" s="313"/>
      <c r="Y42" s="319"/>
      <c r="Z42" s="313"/>
      <c r="AA42" s="319"/>
      <c r="AB42" s="313"/>
      <c r="AC42" s="319"/>
      <c r="AD42" s="313"/>
      <c r="AE42" s="319"/>
      <c r="AF42" s="319"/>
      <c r="AG42" s="585"/>
    </row>
    <row r="43" spans="1:33" ht="15" x14ac:dyDescent="0.2">
      <c r="A43" s="312">
        <v>4.24</v>
      </c>
      <c r="B43" s="319" t="s">
        <v>201</v>
      </c>
      <c r="C43" s="319"/>
      <c r="D43" s="312">
        <v>4</v>
      </c>
      <c r="E43" s="319"/>
      <c r="F43" s="313">
        <f>F18</f>
        <v>0</v>
      </c>
      <c r="G43" s="319"/>
      <c r="H43" s="313">
        <f>ROUND(+F43*$D43,0)</f>
        <v>0</v>
      </c>
      <c r="I43" s="319"/>
      <c r="J43" s="313">
        <f>J18</f>
        <v>2</v>
      </c>
      <c r="K43" s="319"/>
      <c r="L43" s="313">
        <f>ROUND(+J43*$D43,0)</f>
        <v>8</v>
      </c>
      <c r="M43" s="319"/>
      <c r="N43" s="313">
        <f>N18</f>
        <v>1</v>
      </c>
      <c r="O43" s="319"/>
      <c r="P43" s="313">
        <f>ROUND(+N43*$D43,0)</f>
        <v>4</v>
      </c>
      <c r="Q43" s="319"/>
      <c r="R43" s="313">
        <f>R18</f>
        <v>0</v>
      </c>
      <c r="S43" s="319"/>
      <c r="T43" s="313">
        <f>ROUND(+R43*$D43,0)</f>
        <v>0</v>
      </c>
      <c r="U43" s="319"/>
      <c r="V43" s="313">
        <f>V18</f>
        <v>0</v>
      </c>
      <c r="W43" s="319"/>
      <c r="X43" s="313">
        <f>ROUND(+V43*$D43,0)</f>
        <v>0</v>
      </c>
      <c r="Y43" s="319"/>
      <c r="Z43" s="313">
        <f>'SCH-E'!K18</f>
        <v>0</v>
      </c>
      <c r="AA43" s="319"/>
      <c r="AB43" s="313">
        <f>ROUND(+Z43*$D43,0)</f>
        <v>0</v>
      </c>
      <c r="AC43" s="319"/>
      <c r="AD43" s="313">
        <f>F43+J43+N43+R43+V43+Z43</f>
        <v>3</v>
      </c>
      <c r="AE43" s="319"/>
      <c r="AF43" s="313">
        <f>H43+L43+P43+T43+X43+AB43</f>
        <v>12</v>
      </c>
      <c r="AG43" s="585"/>
    </row>
    <row r="44" spans="1:33" ht="9.75" customHeight="1" x14ac:dyDescent="0.2">
      <c r="A44" s="312"/>
      <c r="B44" s="319"/>
      <c r="C44" s="319"/>
      <c r="D44" s="312"/>
      <c r="E44" s="319"/>
      <c r="F44" s="313"/>
      <c r="G44" s="319"/>
      <c r="H44" s="313"/>
      <c r="I44" s="319"/>
      <c r="J44" s="313"/>
      <c r="K44" s="319"/>
      <c r="L44" s="313"/>
      <c r="M44" s="319"/>
      <c r="N44" s="313"/>
      <c r="O44" s="319"/>
      <c r="P44" s="313"/>
      <c r="Q44" s="319"/>
      <c r="R44" s="313"/>
      <c r="S44" s="319"/>
      <c r="T44" s="313"/>
      <c r="U44" s="319"/>
      <c r="V44" s="313"/>
      <c r="W44" s="319"/>
      <c r="X44" s="313"/>
      <c r="Y44" s="319"/>
      <c r="Z44" s="313"/>
      <c r="AA44" s="319"/>
      <c r="AB44" s="313"/>
      <c r="AC44" s="319"/>
      <c r="AD44" s="313"/>
      <c r="AE44" s="319"/>
      <c r="AF44" s="319"/>
      <c r="AG44" s="585"/>
    </row>
    <row r="45" spans="1:33" ht="15" x14ac:dyDescent="0.2">
      <c r="A45" s="312">
        <v>6.98</v>
      </c>
      <c r="B45" s="319" t="s">
        <v>202</v>
      </c>
      <c r="C45" s="319"/>
      <c r="D45" s="312">
        <v>5.0999999999999996</v>
      </c>
      <c r="E45" s="319"/>
      <c r="F45" s="313">
        <f>F19</f>
        <v>0</v>
      </c>
      <c r="G45" s="319"/>
      <c r="H45" s="313">
        <f>ROUND(+F45*$D45,0)</f>
        <v>0</v>
      </c>
      <c r="I45" s="319"/>
      <c r="J45" s="313">
        <f>J19</f>
        <v>0</v>
      </c>
      <c r="K45" s="319"/>
      <c r="L45" s="313">
        <f>ROUND(+J45*$D45,0)</f>
        <v>0</v>
      </c>
      <c r="M45" s="319"/>
      <c r="N45" s="313">
        <f>N19</f>
        <v>0</v>
      </c>
      <c r="O45" s="319"/>
      <c r="P45" s="313">
        <f>ROUND(+N45*$D45,0)</f>
        <v>0</v>
      </c>
      <c r="Q45" s="319"/>
      <c r="R45" s="313">
        <f>R19</f>
        <v>0</v>
      </c>
      <c r="S45" s="319"/>
      <c r="T45" s="313">
        <f>ROUND(+R45*$D45,0)</f>
        <v>0</v>
      </c>
      <c r="U45" s="319"/>
      <c r="V45" s="313">
        <f>V19</f>
        <v>0</v>
      </c>
      <c r="W45" s="319"/>
      <c r="X45" s="313">
        <f>ROUND(+V45*$D45,0)</f>
        <v>0</v>
      </c>
      <c r="Y45" s="319"/>
      <c r="Z45" s="313">
        <f>'SCH-E'!K19</f>
        <v>0</v>
      </c>
      <c r="AA45" s="319"/>
      <c r="AB45" s="313">
        <f>ROUND(+Z45*$D45,0)</f>
        <v>0</v>
      </c>
      <c r="AC45" s="319"/>
      <c r="AD45" s="313">
        <f>F45+J45+N45+R45+V45+Z45</f>
        <v>0</v>
      </c>
      <c r="AE45" s="319"/>
      <c r="AF45" s="313">
        <f>H45+L45+P45+T45+X45+AB45</f>
        <v>0</v>
      </c>
      <c r="AG45" s="585"/>
    </row>
    <row r="46" spans="1:33" ht="9.75" customHeight="1" x14ac:dyDescent="0.2">
      <c r="A46" s="312"/>
      <c r="B46" s="319"/>
      <c r="C46" s="319"/>
      <c r="D46" s="312"/>
      <c r="E46" s="319"/>
      <c r="F46" s="313"/>
      <c r="G46" s="319"/>
      <c r="H46" s="313"/>
      <c r="I46" s="319"/>
      <c r="J46" s="313"/>
      <c r="K46" s="319"/>
      <c r="L46" s="313"/>
      <c r="M46" s="319"/>
      <c r="N46" s="313"/>
      <c r="O46" s="319"/>
      <c r="P46" s="313"/>
      <c r="Q46" s="319"/>
      <c r="R46" s="313"/>
      <c r="S46" s="319"/>
      <c r="T46" s="313"/>
      <c r="U46" s="319"/>
      <c r="V46" s="313"/>
      <c r="W46" s="319"/>
      <c r="X46" s="313"/>
      <c r="Y46" s="319"/>
      <c r="Z46" s="313"/>
      <c r="AA46" s="319"/>
      <c r="AB46" s="313"/>
      <c r="AC46" s="319"/>
      <c r="AD46" s="313"/>
      <c r="AE46" s="319"/>
      <c r="AF46" s="313"/>
      <c r="AG46" s="585"/>
    </row>
    <row r="47" spans="1:33" ht="15" x14ac:dyDescent="0.2">
      <c r="A47" s="312">
        <v>9.5</v>
      </c>
      <c r="B47" s="598">
        <v>10</v>
      </c>
      <c r="C47" s="319"/>
      <c r="D47" s="312">
        <v>8.9</v>
      </c>
      <c r="E47" s="319"/>
      <c r="F47" s="313">
        <v>0</v>
      </c>
      <c r="G47" s="319"/>
      <c r="H47" s="313">
        <v>0</v>
      </c>
      <c r="I47" s="319"/>
      <c r="J47" s="313">
        <v>0</v>
      </c>
      <c r="K47" s="319"/>
      <c r="L47" s="313">
        <v>0</v>
      </c>
      <c r="M47" s="319"/>
      <c r="N47" s="313">
        <v>0</v>
      </c>
      <c r="O47" s="319"/>
      <c r="P47" s="313">
        <v>0</v>
      </c>
      <c r="Q47" s="319"/>
      <c r="R47" s="313">
        <v>0</v>
      </c>
      <c r="S47" s="319"/>
      <c r="T47" s="313">
        <v>0</v>
      </c>
      <c r="U47" s="319"/>
      <c r="V47" s="313">
        <v>0</v>
      </c>
      <c r="W47" s="319"/>
      <c r="X47" s="313">
        <v>0</v>
      </c>
      <c r="Y47" s="319"/>
      <c r="Z47" s="313">
        <f>'SCH-E'!K20</f>
        <v>0</v>
      </c>
      <c r="AA47" s="319"/>
      <c r="AB47" s="313">
        <f>ROUND(+Z47*$D47,0)</f>
        <v>0</v>
      </c>
      <c r="AC47" s="319"/>
      <c r="AD47" s="313">
        <f>F47+J47+N47+R47+V47+Z47</f>
        <v>0</v>
      </c>
      <c r="AE47" s="319"/>
      <c r="AF47" s="313">
        <f>H47+L47+P47+T47+X47+AB47</f>
        <v>0</v>
      </c>
      <c r="AG47" s="585"/>
    </row>
    <row r="48" spans="1:33" ht="10.7" customHeight="1" x14ac:dyDescent="0.2">
      <c r="A48" s="312"/>
      <c r="B48" s="598"/>
      <c r="C48" s="319"/>
      <c r="D48" s="312"/>
      <c r="E48" s="319"/>
      <c r="F48" s="313"/>
      <c r="G48" s="319"/>
      <c r="H48" s="313"/>
      <c r="I48" s="319"/>
      <c r="J48" s="313"/>
      <c r="K48" s="319"/>
      <c r="L48" s="313"/>
      <c r="M48" s="319"/>
      <c r="N48" s="313"/>
      <c r="O48" s="319"/>
      <c r="P48" s="313"/>
      <c r="Q48" s="319"/>
      <c r="R48" s="313"/>
      <c r="S48" s="319"/>
      <c r="T48" s="313"/>
      <c r="U48" s="319"/>
      <c r="V48" s="313"/>
      <c r="W48" s="319"/>
      <c r="X48" s="313"/>
      <c r="Y48" s="319"/>
      <c r="Z48" s="313"/>
      <c r="AA48" s="319"/>
      <c r="AB48" s="313"/>
      <c r="AC48" s="319"/>
      <c r="AD48" s="313"/>
      <c r="AE48" s="319"/>
      <c r="AF48" s="313"/>
      <c r="AG48" s="585"/>
    </row>
    <row r="49" spans="1:33" ht="15" x14ac:dyDescent="0.2">
      <c r="A49" s="312">
        <v>12.16</v>
      </c>
      <c r="B49" s="598">
        <v>12</v>
      </c>
      <c r="C49" s="319"/>
      <c r="D49" s="312">
        <v>9.5</v>
      </c>
      <c r="E49" s="319"/>
      <c r="F49" s="313">
        <v>0</v>
      </c>
      <c r="G49" s="319"/>
      <c r="H49" s="313">
        <v>0</v>
      </c>
      <c r="I49" s="319"/>
      <c r="J49" s="313">
        <v>0</v>
      </c>
      <c r="K49" s="319"/>
      <c r="L49" s="313">
        <v>0</v>
      </c>
      <c r="M49" s="319"/>
      <c r="N49" s="313">
        <v>0</v>
      </c>
      <c r="O49" s="319"/>
      <c r="P49" s="313">
        <v>0</v>
      </c>
      <c r="Q49" s="319"/>
      <c r="R49" s="313">
        <v>0</v>
      </c>
      <c r="S49" s="319"/>
      <c r="T49" s="313">
        <v>0</v>
      </c>
      <c r="U49" s="319"/>
      <c r="V49" s="313">
        <v>0</v>
      </c>
      <c r="W49" s="319"/>
      <c r="X49" s="313">
        <v>0</v>
      </c>
      <c r="Y49" s="319"/>
      <c r="Z49" s="313">
        <f>'SCH-E'!K21</f>
        <v>0</v>
      </c>
      <c r="AA49" s="319"/>
      <c r="AB49" s="313">
        <f>ROUND(+Z49*$D49,0)</f>
        <v>0</v>
      </c>
      <c r="AC49" s="319"/>
      <c r="AD49" s="313">
        <f>F49+J49+N49+R49+V49+Z49</f>
        <v>0</v>
      </c>
      <c r="AE49" s="319"/>
      <c r="AF49" s="313">
        <f>H49+L49+P49+T49+X49+AB49</f>
        <v>0</v>
      </c>
      <c r="AG49" s="585"/>
    </row>
    <row r="50" spans="1:33" ht="10.7" customHeight="1" x14ac:dyDescent="0.2">
      <c r="A50" s="312"/>
      <c r="B50" s="598"/>
      <c r="C50" s="319"/>
      <c r="D50" s="312"/>
      <c r="E50" s="319"/>
      <c r="F50" s="313"/>
      <c r="G50" s="319"/>
      <c r="H50" s="313"/>
      <c r="I50" s="319"/>
      <c r="J50" s="313"/>
      <c r="K50" s="319"/>
      <c r="L50" s="313"/>
      <c r="M50" s="319"/>
      <c r="N50" s="313"/>
      <c r="O50" s="319"/>
      <c r="P50" s="313"/>
      <c r="Q50" s="319"/>
      <c r="R50" s="313"/>
      <c r="S50" s="319"/>
      <c r="T50" s="313"/>
      <c r="U50" s="319"/>
      <c r="V50" s="313"/>
      <c r="W50" s="319"/>
      <c r="X50" s="313"/>
      <c r="Y50" s="319"/>
      <c r="Z50" s="313"/>
      <c r="AA50" s="319"/>
      <c r="AB50" s="313"/>
      <c r="AC50" s="319"/>
      <c r="AD50" s="313"/>
      <c r="AE50" s="319"/>
      <c r="AF50" s="313"/>
      <c r="AG50" s="585"/>
    </row>
    <row r="51" spans="1:33" ht="15" x14ac:dyDescent="0.2">
      <c r="A51" s="312">
        <v>16.690000000000001</v>
      </c>
      <c r="B51" s="598" t="s">
        <v>6</v>
      </c>
      <c r="C51" s="319"/>
      <c r="D51" s="312">
        <v>12.7</v>
      </c>
      <c r="E51" s="319"/>
      <c r="F51" s="313">
        <v>0</v>
      </c>
      <c r="G51" s="319"/>
      <c r="H51" s="313">
        <v>0</v>
      </c>
      <c r="I51" s="319"/>
      <c r="J51" s="313">
        <v>0</v>
      </c>
      <c r="K51" s="319"/>
      <c r="L51" s="313">
        <v>0</v>
      </c>
      <c r="M51" s="319"/>
      <c r="N51" s="313">
        <v>0</v>
      </c>
      <c r="O51" s="319"/>
      <c r="P51" s="313">
        <v>0</v>
      </c>
      <c r="Q51" s="319"/>
      <c r="R51" s="313">
        <v>0</v>
      </c>
      <c r="S51" s="319"/>
      <c r="T51" s="313">
        <v>0</v>
      </c>
      <c r="U51" s="319"/>
      <c r="V51" s="313">
        <v>0</v>
      </c>
      <c r="W51" s="319"/>
      <c r="X51" s="313">
        <v>0</v>
      </c>
      <c r="Y51" s="319"/>
      <c r="Z51" s="313">
        <f>'SCH-E'!K23</f>
        <v>0</v>
      </c>
      <c r="AA51" s="319"/>
      <c r="AB51" s="313">
        <f>ROUND(+Z51*$D51,0)</f>
        <v>0</v>
      </c>
      <c r="AC51" s="319"/>
      <c r="AD51" s="313">
        <f>F51+J51+N51+R51+V51+Z51</f>
        <v>0</v>
      </c>
      <c r="AE51" s="319"/>
      <c r="AF51" s="313">
        <f>H51+L51+P51+T51+X51+AB51</f>
        <v>0</v>
      </c>
      <c r="AG51" s="585"/>
    </row>
    <row r="52" spans="1:33" ht="15" x14ac:dyDescent="0.2">
      <c r="B52" s="319"/>
      <c r="C52" s="319"/>
      <c r="D52" s="319"/>
      <c r="E52" s="319"/>
      <c r="F52" s="594"/>
      <c r="G52" s="319"/>
      <c r="H52" s="594"/>
      <c r="I52" s="319"/>
      <c r="J52" s="594"/>
      <c r="K52" s="319"/>
      <c r="L52" s="594"/>
      <c r="M52" s="319"/>
      <c r="N52" s="594"/>
      <c r="O52" s="319"/>
      <c r="P52" s="594"/>
      <c r="Q52" s="319"/>
      <c r="R52" s="594"/>
      <c r="S52" s="319"/>
      <c r="T52" s="594"/>
      <c r="U52" s="319"/>
      <c r="V52" s="594"/>
      <c r="W52" s="319"/>
      <c r="X52" s="594"/>
      <c r="Y52" s="319"/>
      <c r="Z52" s="594"/>
      <c r="AA52" s="319"/>
      <c r="AB52" s="594"/>
      <c r="AC52" s="319"/>
      <c r="AD52" s="594"/>
      <c r="AE52" s="319"/>
      <c r="AF52" s="594"/>
      <c r="AG52" s="585"/>
    </row>
    <row r="53" spans="1:33" ht="15.75" thickBot="1" x14ac:dyDescent="0.25">
      <c r="B53" s="319" t="s">
        <v>183</v>
      </c>
      <c r="C53" s="319"/>
      <c r="D53" s="319"/>
      <c r="E53" s="319"/>
      <c r="F53" s="313">
        <f>SUM(F33:F45)</f>
        <v>5311</v>
      </c>
      <c r="G53" s="319"/>
      <c r="H53" s="313">
        <f>SUM(H33:H45)</f>
        <v>5333</v>
      </c>
      <c r="I53" s="319"/>
      <c r="J53" s="313">
        <f>SUM(J33:J45)</f>
        <v>693</v>
      </c>
      <c r="K53" s="319"/>
      <c r="L53" s="313">
        <f>SUM(L33:L45)</f>
        <v>950</v>
      </c>
      <c r="M53" s="319"/>
      <c r="N53" s="313">
        <f>SUM(N33:N45)</f>
        <v>13</v>
      </c>
      <c r="O53" s="319"/>
      <c r="P53" s="313">
        <f>SUM(P33:P45)</f>
        <v>32</v>
      </c>
      <c r="Q53" s="319"/>
      <c r="R53" s="313">
        <f>SUM(R33:R45)</f>
        <v>0</v>
      </c>
      <c r="S53" s="319"/>
      <c r="T53" s="313">
        <f>SUM(T33:T45)</f>
        <v>0</v>
      </c>
      <c r="U53" s="319"/>
      <c r="V53" s="313">
        <f>SUM(V33:V45)</f>
        <v>0</v>
      </c>
      <c r="W53" s="319"/>
      <c r="X53" s="313">
        <f>SUM(X33:X45)</f>
        <v>0</v>
      </c>
      <c r="Y53" s="319"/>
      <c r="Z53" s="595">
        <f>SUM(Z33:Z52)</f>
        <v>36</v>
      </c>
      <c r="AA53" s="319"/>
      <c r="AB53" s="313">
        <f>SUM(AB33:AB52)</f>
        <v>115</v>
      </c>
      <c r="AC53" s="319"/>
      <c r="AD53" s="313">
        <f>SUM(AD33:AD52)</f>
        <v>6053</v>
      </c>
      <c r="AE53" s="319"/>
      <c r="AF53" s="313">
        <f>SUM(AF33:AF52)</f>
        <v>6430</v>
      </c>
      <c r="AG53" s="585"/>
    </row>
    <row r="54" spans="1:33" ht="15.75" thickTop="1" x14ac:dyDescent="0.2">
      <c r="B54" s="319"/>
      <c r="C54" s="319"/>
      <c r="D54" s="319"/>
      <c r="E54" s="319"/>
      <c r="F54" s="596"/>
      <c r="G54" s="319"/>
      <c r="H54" s="596"/>
      <c r="I54" s="319"/>
      <c r="J54" s="596"/>
      <c r="K54" s="319"/>
      <c r="L54" s="596"/>
      <c r="M54" s="319"/>
      <c r="N54" s="596"/>
      <c r="O54" s="319"/>
      <c r="P54" s="596"/>
      <c r="Q54" s="319"/>
      <c r="R54" s="596"/>
      <c r="S54" s="319"/>
      <c r="T54" s="596"/>
      <c r="U54" s="319"/>
      <c r="V54" s="596"/>
      <c r="W54" s="319"/>
      <c r="X54" s="596"/>
      <c r="Y54" s="319"/>
      <c r="Z54" s="597"/>
      <c r="AA54" s="319"/>
      <c r="AB54" s="596"/>
      <c r="AC54" s="319"/>
      <c r="AD54" s="596"/>
      <c r="AE54" s="319"/>
      <c r="AF54" s="596"/>
      <c r="AG54" s="585"/>
    </row>
    <row r="55" spans="1:33" ht="15" x14ac:dyDescent="0.2">
      <c r="B55" s="317"/>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599"/>
      <c r="AF55" s="599"/>
      <c r="AG55" s="585"/>
    </row>
    <row r="56" spans="1:33" ht="15" x14ac:dyDescent="0.2">
      <c r="B56" s="317"/>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585"/>
      <c r="AF56" s="585"/>
      <c r="AG56" s="585"/>
    </row>
    <row r="57" spans="1:33" ht="15" x14ac:dyDescent="0.2">
      <c r="B57" s="317"/>
      <c r="C57" s="317"/>
      <c r="D57" s="317"/>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585"/>
      <c r="AF57" s="585"/>
      <c r="AG57" s="585"/>
    </row>
    <row r="58" spans="1:33" ht="15" x14ac:dyDescent="0.2">
      <c r="B58" s="317"/>
      <c r="C58" s="317"/>
      <c r="D58" s="317"/>
      <c r="E58" s="317"/>
      <c r="F58" s="600"/>
      <c r="G58" s="600"/>
      <c r="H58" s="600"/>
      <c r="I58" s="600"/>
      <c r="J58" s="601"/>
      <c r="K58" s="600"/>
      <c r="L58" s="600"/>
      <c r="M58" s="317"/>
      <c r="N58" s="317"/>
      <c r="O58" s="317"/>
      <c r="P58" s="317"/>
      <c r="Q58" s="317"/>
      <c r="R58" s="317"/>
      <c r="S58" s="317"/>
      <c r="T58" s="317"/>
      <c r="U58" s="317"/>
      <c r="V58" s="317"/>
      <c r="W58" s="317"/>
      <c r="X58" s="317"/>
      <c r="Y58" s="317"/>
      <c r="Z58" s="317"/>
      <c r="AA58" s="317"/>
      <c r="AB58" s="317"/>
      <c r="AC58" s="317"/>
      <c r="AD58" s="317"/>
      <c r="AE58" s="585"/>
      <c r="AF58" s="585"/>
      <c r="AG58" s="585"/>
    </row>
    <row r="59" spans="1:33" ht="15" x14ac:dyDescent="0.2">
      <c r="B59" s="317"/>
      <c r="C59" s="317"/>
      <c r="D59" s="317"/>
      <c r="E59" s="317"/>
      <c r="F59" s="602"/>
      <c r="G59" s="602"/>
      <c r="H59" s="602"/>
      <c r="I59" s="600"/>
      <c r="J59" s="603"/>
      <c r="K59" s="601"/>
      <c r="L59" s="603"/>
      <c r="M59" s="317"/>
      <c r="N59" s="317"/>
      <c r="O59" s="317"/>
      <c r="P59" s="317"/>
      <c r="Q59" s="317"/>
      <c r="R59" s="317"/>
      <c r="S59" s="317"/>
      <c r="T59" s="317"/>
      <c r="U59" s="317"/>
      <c r="V59" s="317"/>
      <c r="W59" s="317"/>
      <c r="X59" s="317"/>
      <c r="Y59" s="317"/>
      <c r="Z59" s="317"/>
      <c r="AA59" s="317"/>
      <c r="AB59" s="317"/>
      <c r="AC59" s="317"/>
      <c r="AD59" s="317"/>
      <c r="AE59" s="585"/>
      <c r="AF59" s="585"/>
      <c r="AG59" s="585"/>
    </row>
    <row r="60" spans="1:33" ht="15" x14ac:dyDescent="0.2">
      <c r="B60" s="317"/>
      <c r="C60" s="317"/>
      <c r="D60" s="600"/>
      <c r="E60" s="600"/>
      <c r="F60" s="602"/>
      <c r="G60" s="602"/>
      <c r="H60" s="602"/>
      <c r="I60" s="600"/>
      <c r="J60" s="603"/>
      <c r="K60" s="601"/>
      <c r="L60" s="603"/>
      <c r="M60" s="600"/>
      <c r="N60" s="600"/>
      <c r="O60" s="600"/>
      <c r="P60" s="600"/>
      <c r="Q60" s="600"/>
      <c r="R60" s="600"/>
      <c r="S60" s="600"/>
      <c r="T60" s="600"/>
      <c r="U60" s="600"/>
      <c r="V60" s="600"/>
      <c r="W60" s="600"/>
      <c r="X60" s="600"/>
      <c r="Y60" s="600"/>
      <c r="Z60" s="600"/>
      <c r="AA60" s="600"/>
      <c r="AB60" s="600"/>
      <c r="AC60" s="600"/>
      <c r="AD60" s="600"/>
      <c r="AE60" s="585"/>
      <c r="AF60" s="585"/>
      <c r="AG60" s="585"/>
    </row>
    <row r="61" spans="1:33" ht="15" x14ac:dyDescent="0.2">
      <c r="B61" s="317"/>
      <c r="C61" s="317"/>
      <c r="D61" s="600"/>
      <c r="E61" s="600"/>
      <c r="F61" s="600"/>
      <c r="G61" s="600"/>
      <c r="H61" s="600"/>
      <c r="I61" s="600"/>
      <c r="J61" s="600"/>
      <c r="K61" s="600"/>
      <c r="L61" s="600"/>
      <c r="M61" s="600"/>
      <c r="N61" s="600"/>
      <c r="O61" s="600"/>
      <c r="P61" s="600"/>
      <c r="Q61" s="600"/>
      <c r="R61" s="600"/>
      <c r="S61" s="600"/>
      <c r="T61" s="600"/>
      <c r="U61" s="600"/>
      <c r="V61" s="600"/>
      <c r="W61" s="600"/>
      <c r="X61" s="600"/>
      <c r="Y61" s="600"/>
      <c r="Z61" s="600"/>
      <c r="AA61" s="600"/>
      <c r="AB61" s="600"/>
      <c r="AC61" s="600"/>
      <c r="AD61" s="600"/>
      <c r="AE61" s="585"/>
      <c r="AF61" s="585"/>
      <c r="AG61" s="585"/>
    </row>
    <row r="62" spans="1:33" ht="15" x14ac:dyDescent="0.2">
      <c r="B62" s="317"/>
      <c r="C62" s="317"/>
      <c r="D62" s="600"/>
      <c r="E62" s="600"/>
      <c r="F62" s="603"/>
      <c r="G62" s="600"/>
      <c r="H62" s="627"/>
      <c r="I62" s="600"/>
      <c r="J62" s="627"/>
      <c r="K62" s="600"/>
      <c r="L62" s="628"/>
      <c r="M62" s="600"/>
      <c r="N62" s="600"/>
      <c r="O62" s="600"/>
      <c r="P62" s="627"/>
      <c r="Q62" s="600"/>
      <c r="R62" s="600"/>
      <c r="S62" s="600"/>
      <c r="T62" s="600"/>
      <c r="U62" s="600"/>
      <c r="V62" s="600"/>
      <c r="W62" s="600"/>
      <c r="X62" s="600"/>
      <c r="Y62" s="600"/>
      <c r="Z62" s="600"/>
      <c r="AA62" s="600"/>
      <c r="AB62" s="600"/>
      <c r="AC62" s="600"/>
      <c r="AD62" s="600"/>
      <c r="AE62" s="585"/>
      <c r="AF62" s="585"/>
      <c r="AG62" s="585"/>
    </row>
    <row r="63" spans="1:33" ht="15" x14ac:dyDescent="0.2">
      <c r="B63" s="317"/>
      <c r="C63" s="317"/>
      <c r="D63" s="600"/>
      <c r="E63" s="600"/>
      <c r="F63" s="603"/>
      <c r="G63" s="600"/>
      <c r="H63" s="603"/>
      <c r="I63" s="600"/>
      <c r="J63" s="627"/>
      <c r="K63" s="600"/>
      <c r="L63" s="628"/>
      <c r="M63" s="600"/>
      <c r="N63" s="600"/>
      <c r="O63" s="600"/>
      <c r="P63" s="627"/>
      <c r="Q63" s="600"/>
      <c r="R63" s="600"/>
      <c r="S63" s="600"/>
      <c r="T63" s="600"/>
      <c r="U63" s="600"/>
      <c r="V63" s="600"/>
      <c r="W63" s="600"/>
      <c r="X63" s="600"/>
      <c r="Y63" s="600"/>
      <c r="Z63" s="600"/>
      <c r="AA63" s="600"/>
      <c r="AB63" s="600"/>
      <c r="AC63" s="600"/>
      <c r="AD63" s="600"/>
      <c r="AE63" s="585"/>
      <c r="AF63" s="585"/>
      <c r="AG63" s="585"/>
    </row>
    <row r="64" spans="1:33" ht="15" x14ac:dyDescent="0.2">
      <c r="B64" s="317"/>
      <c r="C64" s="317"/>
      <c r="D64" s="600"/>
      <c r="E64" s="600"/>
      <c r="F64" s="629"/>
      <c r="G64" s="600"/>
      <c r="H64" s="627"/>
      <c r="I64" s="600"/>
      <c r="J64" s="630"/>
      <c r="K64" s="600"/>
      <c r="L64" s="628"/>
      <c r="M64" s="600"/>
      <c r="N64" s="600"/>
      <c r="O64" s="600"/>
      <c r="P64" s="627"/>
      <c r="Q64" s="600"/>
      <c r="R64" s="600"/>
      <c r="S64" s="600"/>
      <c r="T64" s="600"/>
      <c r="U64" s="600"/>
      <c r="V64" s="600"/>
      <c r="W64" s="600"/>
      <c r="X64" s="600"/>
      <c r="Y64" s="600"/>
      <c r="Z64" s="600"/>
      <c r="AA64" s="600"/>
      <c r="AB64" s="600"/>
      <c r="AC64" s="600"/>
      <c r="AD64" s="600"/>
      <c r="AE64" s="585"/>
      <c r="AF64" s="585"/>
      <c r="AG64" s="585"/>
    </row>
    <row r="65" spans="2:33" ht="15" x14ac:dyDescent="0.2">
      <c r="B65" s="317"/>
      <c r="C65" s="317"/>
      <c r="D65" s="600"/>
      <c r="E65" s="600"/>
      <c r="F65" s="629"/>
      <c r="G65" s="600"/>
      <c r="H65" s="627"/>
      <c r="I65" s="600"/>
      <c r="J65" s="630"/>
      <c r="K65" s="600"/>
      <c r="L65" s="628"/>
      <c r="M65" s="600"/>
      <c r="N65" s="600"/>
      <c r="O65" s="600"/>
      <c r="P65" s="627"/>
      <c r="Q65" s="600"/>
      <c r="R65" s="600"/>
      <c r="S65" s="600"/>
      <c r="T65" s="600"/>
      <c r="U65" s="600"/>
      <c r="V65" s="600"/>
      <c r="W65" s="600"/>
      <c r="X65" s="600"/>
      <c r="Y65" s="600"/>
      <c r="Z65" s="600"/>
      <c r="AA65" s="600"/>
      <c r="AB65" s="600"/>
      <c r="AC65" s="600"/>
      <c r="AD65" s="600"/>
      <c r="AE65" s="585"/>
      <c r="AF65" s="585"/>
      <c r="AG65" s="585"/>
    </row>
    <row r="66" spans="2:33" ht="15" x14ac:dyDescent="0.2">
      <c r="B66" s="9"/>
      <c r="C66" s="2"/>
      <c r="D66" s="631"/>
      <c r="E66" s="600"/>
      <c r="F66" s="629"/>
      <c r="G66" s="600"/>
      <c r="H66" s="627"/>
      <c r="I66" s="600"/>
      <c r="J66" s="627"/>
      <c r="K66" s="600"/>
      <c r="L66" s="628"/>
      <c r="M66" s="600"/>
      <c r="N66" s="600"/>
      <c r="O66" s="600"/>
      <c r="P66" s="627"/>
      <c r="Q66" s="600"/>
      <c r="R66" s="600"/>
      <c r="S66" s="600"/>
      <c r="T66" s="600"/>
      <c r="U66" s="600"/>
      <c r="V66" s="600"/>
      <c r="W66" s="600"/>
      <c r="X66" s="600"/>
      <c r="Y66" s="600"/>
      <c r="Z66" s="600"/>
      <c r="AA66" s="600"/>
      <c r="AB66" s="600"/>
      <c r="AC66" s="600"/>
      <c r="AD66" s="600"/>
      <c r="AE66" s="585"/>
      <c r="AF66" s="585"/>
      <c r="AG66" s="585"/>
    </row>
    <row r="67" spans="2:33" ht="15" x14ac:dyDescent="0.2">
      <c r="B67" s="9"/>
      <c r="C67" s="2"/>
      <c r="D67" s="632"/>
      <c r="E67" s="600"/>
      <c r="F67" s="603"/>
      <c r="G67" s="600"/>
      <c r="H67" s="627"/>
      <c r="I67" s="600"/>
      <c r="J67" s="627"/>
      <c r="K67" s="600"/>
      <c r="L67" s="628"/>
      <c r="M67" s="600"/>
      <c r="N67" s="600"/>
      <c r="O67" s="600"/>
      <c r="P67" s="627"/>
      <c r="Q67" s="600"/>
      <c r="R67" s="600"/>
      <c r="S67" s="600"/>
      <c r="T67" s="600"/>
      <c r="U67" s="600"/>
      <c r="V67" s="600"/>
      <c r="W67" s="600"/>
      <c r="X67" s="600"/>
      <c r="Y67" s="600"/>
      <c r="Z67" s="600"/>
      <c r="AA67" s="600"/>
      <c r="AB67" s="600"/>
      <c r="AC67" s="600"/>
      <c r="AD67" s="600"/>
      <c r="AE67" s="585"/>
      <c r="AF67" s="585"/>
      <c r="AG67" s="585"/>
    </row>
    <row r="68" spans="2:33" ht="15" x14ac:dyDescent="0.2">
      <c r="B68" s="9"/>
      <c r="C68" s="2"/>
      <c r="D68" s="2"/>
      <c r="E68" s="317"/>
      <c r="F68" s="586"/>
      <c r="G68" s="317"/>
      <c r="H68" s="319"/>
      <c r="I68" s="317"/>
      <c r="J68" s="319"/>
      <c r="K68" s="317"/>
      <c r="L68" s="312"/>
      <c r="M68" s="317"/>
      <c r="N68" s="317"/>
      <c r="O68" s="317"/>
      <c r="P68" s="319"/>
      <c r="Q68" s="317"/>
      <c r="R68" s="317"/>
      <c r="S68" s="317"/>
      <c r="T68" s="317"/>
      <c r="U68" s="317"/>
      <c r="V68" s="317"/>
      <c r="W68" s="317"/>
      <c r="X68" s="317"/>
      <c r="Y68" s="317"/>
      <c r="Z68" s="317"/>
      <c r="AA68" s="317"/>
      <c r="AB68" s="317"/>
      <c r="AC68" s="317"/>
      <c r="AD68" s="317"/>
      <c r="AE68" s="585"/>
      <c r="AF68" s="585"/>
      <c r="AG68" s="585"/>
    </row>
    <row r="69" spans="2:33" ht="15" x14ac:dyDescent="0.2">
      <c r="B69" s="9"/>
      <c r="C69" s="2"/>
      <c r="D69" s="604"/>
      <c r="E69" s="317"/>
      <c r="F69" s="586"/>
      <c r="G69" s="317"/>
      <c r="H69" s="319"/>
      <c r="I69" s="317"/>
      <c r="J69" s="319"/>
      <c r="K69" s="317"/>
      <c r="L69" s="312"/>
      <c r="M69" s="317"/>
      <c r="N69" s="317"/>
      <c r="O69" s="317"/>
      <c r="P69" s="319"/>
      <c r="Q69" s="317"/>
      <c r="R69" s="317"/>
      <c r="S69" s="317"/>
      <c r="T69" s="317"/>
      <c r="U69" s="317"/>
      <c r="V69" s="317"/>
      <c r="W69" s="317"/>
      <c r="X69" s="317"/>
      <c r="Y69" s="317"/>
      <c r="Z69" s="317"/>
      <c r="AA69" s="317"/>
      <c r="AB69" s="317"/>
      <c r="AC69" s="317"/>
      <c r="AD69" s="317"/>
      <c r="AE69" s="585"/>
      <c r="AF69" s="585"/>
      <c r="AG69" s="585"/>
    </row>
    <row r="70" spans="2:33" ht="15" x14ac:dyDescent="0.2">
      <c r="B70" s="9"/>
      <c r="C70" s="2"/>
      <c r="D70" s="2"/>
      <c r="E70" s="317"/>
      <c r="F70" s="586"/>
      <c r="G70" s="317"/>
      <c r="H70" s="319"/>
      <c r="I70" s="317"/>
      <c r="J70" s="319"/>
      <c r="K70" s="317"/>
      <c r="L70" s="312"/>
      <c r="M70" s="317"/>
      <c r="N70" s="317"/>
      <c r="O70" s="317"/>
      <c r="P70" s="319"/>
      <c r="Q70" s="317"/>
      <c r="R70" s="317"/>
      <c r="S70" s="317"/>
      <c r="T70" s="317"/>
      <c r="U70" s="317"/>
      <c r="V70" s="317"/>
      <c r="W70" s="317"/>
      <c r="X70" s="317"/>
      <c r="Y70" s="317"/>
      <c r="Z70" s="317"/>
      <c r="AA70" s="317"/>
      <c r="AB70" s="317"/>
      <c r="AC70" s="317"/>
      <c r="AD70" s="317"/>
      <c r="AE70" s="585"/>
      <c r="AF70" s="585"/>
      <c r="AG70" s="585"/>
    </row>
    <row r="71" spans="2:33" ht="15" x14ac:dyDescent="0.2">
      <c r="B71" s="9"/>
      <c r="C71" s="2"/>
      <c r="D71" s="2"/>
      <c r="E71" s="317"/>
      <c r="F71" s="586"/>
      <c r="G71" s="317"/>
      <c r="H71" s="319"/>
      <c r="I71" s="317"/>
      <c r="J71" s="605"/>
      <c r="K71" s="317"/>
      <c r="L71" s="312"/>
      <c r="M71" s="317"/>
      <c r="N71" s="317"/>
      <c r="O71" s="317"/>
      <c r="P71" s="317"/>
      <c r="Q71" s="317"/>
      <c r="R71" s="317"/>
      <c r="S71" s="317"/>
      <c r="T71" s="317"/>
      <c r="U71" s="317"/>
      <c r="V71" s="317"/>
      <c r="W71" s="317"/>
      <c r="X71" s="317"/>
      <c r="Y71" s="317"/>
      <c r="Z71" s="317"/>
      <c r="AA71" s="317"/>
      <c r="AB71" s="317"/>
      <c r="AC71" s="317"/>
      <c r="AD71" s="317"/>
      <c r="AE71" s="585"/>
      <c r="AF71" s="585"/>
      <c r="AG71" s="585"/>
    </row>
    <row r="72" spans="2:33" ht="15" x14ac:dyDescent="0.2">
      <c r="B72" s="9"/>
      <c r="C72" s="2"/>
      <c r="D72" s="604"/>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585"/>
      <c r="AF72" s="585"/>
      <c r="AG72" s="585"/>
    </row>
    <row r="73" spans="2:33" ht="15" x14ac:dyDescent="0.2">
      <c r="B73" s="9"/>
      <c r="C73" s="2"/>
      <c r="D73" s="2"/>
      <c r="E73" s="317"/>
      <c r="F73" s="317"/>
      <c r="G73" s="317"/>
      <c r="H73" s="317"/>
      <c r="I73" s="317"/>
      <c r="J73" s="317"/>
      <c r="K73" s="317"/>
      <c r="L73" s="317"/>
      <c r="M73" s="317"/>
      <c r="N73" s="317"/>
      <c r="O73" s="317"/>
      <c r="P73" s="319"/>
      <c r="Q73" s="317"/>
      <c r="R73" s="317"/>
      <c r="S73" s="317"/>
      <c r="T73" s="317"/>
      <c r="U73" s="317"/>
      <c r="V73" s="317"/>
      <c r="W73" s="317"/>
      <c r="X73" s="317"/>
      <c r="Y73" s="317"/>
      <c r="Z73" s="317"/>
      <c r="AA73" s="317"/>
      <c r="AB73" s="317"/>
      <c r="AC73" s="317"/>
      <c r="AD73" s="317"/>
      <c r="AE73" s="585"/>
      <c r="AF73" s="585"/>
      <c r="AG73" s="585"/>
    </row>
    <row r="74" spans="2:33" ht="15" x14ac:dyDescent="0.2">
      <c r="B74" s="9"/>
      <c r="C74" s="2"/>
      <c r="D74" s="2"/>
      <c r="E74" s="317"/>
      <c r="F74" s="317"/>
      <c r="G74" s="317"/>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c r="AE74" s="585"/>
      <c r="AF74" s="585"/>
      <c r="AG74" s="585"/>
    </row>
    <row r="75" spans="2:33" ht="15" x14ac:dyDescent="0.2">
      <c r="B75" s="9"/>
      <c r="C75" s="2"/>
      <c r="D75" s="604"/>
      <c r="E75" s="317"/>
      <c r="F75" s="317"/>
      <c r="G75" s="317"/>
      <c r="H75" s="317"/>
      <c r="I75" s="317"/>
      <c r="J75" s="317"/>
      <c r="K75" s="317"/>
      <c r="L75" s="317"/>
      <c r="M75" s="317"/>
      <c r="N75" s="317"/>
      <c r="O75" s="317"/>
      <c r="P75" s="319"/>
      <c r="Q75" s="317"/>
      <c r="R75" s="317"/>
      <c r="S75" s="317"/>
      <c r="T75" s="317"/>
      <c r="U75" s="317"/>
      <c r="V75" s="317"/>
      <c r="W75" s="317"/>
      <c r="X75" s="317"/>
      <c r="Y75" s="317"/>
      <c r="Z75" s="317"/>
      <c r="AA75" s="317"/>
      <c r="AB75" s="317"/>
      <c r="AC75" s="317"/>
      <c r="AD75" s="317"/>
      <c r="AE75" s="585"/>
      <c r="AF75" s="585"/>
      <c r="AG75" s="585"/>
    </row>
    <row r="76" spans="2:33" ht="15" x14ac:dyDescent="0.2">
      <c r="B76" s="9"/>
      <c r="C76" s="2"/>
      <c r="D76" s="2"/>
      <c r="E76" s="317"/>
      <c r="F76" s="317"/>
      <c r="G76" s="317"/>
      <c r="H76" s="317"/>
      <c r="I76" s="317"/>
      <c r="J76" s="317"/>
      <c r="K76" s="317"/>
      <c r="L76" s="317"/>
      <c r="M76" s="317"/>
      <c r="N76" s="317"/>
      <c r="O76" s="317"/>
      <c r="P76" s="317"/>
      <c r="Q76" s="317"/>
      <c r="R76" s="317"/>
      <c r="S76" s="317"/>
      <c r="T76" s="317"/>
      <c r="U76" s="317"/>
      <c r="V76" s="317"/>
      <c r="W76" s="317"/>
      <c r="X76" s="317"/>
      <c r="Y76" s="317"/>
      <c r="Z76" s="317"/>
      <c r="AA76" s="317"/>
      <c r="AB76" s="317"/>
      <c r="AC76" s="317"/>
      <c r="AD76" s="317"/>
      <c r="AE76" s="585"/>
      <c r="AF76" s="585"/>
      <c r="AG76" s="585"/>
    </row>
    <row r="77" spans="2:33" ht="15" x14ac:dyDescent="0.2">
      <c r="B77" s="9"/>
      <c r="C77" s="2"/>
      <c r="D77" s="2"/>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585"/>
      <c r="AF77" s="585"/>
      <c r="AG77" s="585"/>
    </row>
    <row r="78" spans="2:33" x14ac:dyDescent="0.2">
      <c r="B78" s="9"/>
      <c r="C78" s="2"/>
      <c r="D78" s="604"/>
    </row>
  </sheetData>
  <phoneticPr fontId="14" type="noConversion"/>
  <printOptions horizontalCentered="1"/>
  <pageMargins left="0.5" right="0.5" top="1" bottom="1" header="0.5" footer="0.5"/>
  <pageSetup scale="85" fitToHeight="0" orientation="landscape" r:id="rId1"/>
  <headerFooter alignWithMargins="0"/>
  <rowBreaks count="1" manualBreakCount="1">
    <brk id="22" min="1"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17"/>
  <sheetViews>
    <sheetView workbookViewId="0"/>
  </sheetViews>
  <sheetFormatPr defaultColWidth="9.77734375" defaultRowHeight="15" x14ac:dyDescent="0.2"/>
  <cols>
    <col min="1" max="1" width="27.5546875" style="16" customWidth="1"/>
    <col min="2" max="2" width="10.33203125" style="16" customWidth="1"/>
    <col min="3" max="3" width="12.6640625" style="16" customWidth="1"/>
    <col min="4" max="4" width="12.33203125" style="16" customWidth="1"/>
    <col min="5" max="5" width="13.21875" style="16" customWidth="1"/>
    <col min="6" max="6" width="9.88671875" style="16" customWidth="1"/>
    <col min="7" max="16384" width="9.77734375" style="16"/>
  </cols>
  <sheetData>
    <row r="1" spans="1:8" x14ac:dyDescent="0.2">
      <c r="A1" s="15" t="s">
        <v>387</v>
      </c>
      <c r="B1" s="15"/>
      <c r="C1" s="15"/>
      <c r="D1" s="15"/>
      <c r="E1" s="15"/>
      <c r="F1" s="15"/>
      <c r="H1" s="2"/>
    </row>
    <row r="2" spans="1:8" x14ac:dyDescent="0.2">
      <c r="A2" s="1"/>
      <c r="B2" s="1"/>
      <c r="C2" s="15"/>
      <c r="D2" s="15"/>
      <c r="E2" s="15"/>
      <c r="F2" s="15"/>
    </row>
    <row r="3" spans="1:8" x14ac:dyDescent="0.2">
      <c r="A3" s="333" t="s">
        <v>95</v>
      </c>
      <c r="B3" s="333"/>
      <c r="C3" s="333"/>
      <c r="D3" s="333"/>
      <c r="E3" s="333"/>
      <c r="F3" s="333"/>
    </row>
    <row r="4" spans="1:8" x14ac:dyDescent="0.2">
      <c r="A4" s="334"/>
      <c r="B4" s="334"/>
      <c r="C4" s="338"/>
      <c r="D4" s="338"/>
      <c r="E4" s="338"/>
      <c r="F4" s="338"/>
    </row>
    <row r="5" spans="1:8" x14ac:dyDescent="0.2">
      <c r="A5" s="334" t="s">
        <v>454</v>
      </c>
      <c r="B5" s="334"/>
      <c r="C5" s="338"/>
      <c r="D5" s="338"/>
      <c r="E5" s="338"/>
      <c r="F5" s="338"/>
    </row>
    <row r="6" spans="1:8" x14ac:dyDescent="0.2">
      <c r="A6" s="334"/>
      <c r="B6" s="334"/>
      <c r="C6" s="338"/>
      <c r="D6" s="338"/>
      <c r="E6" s="338"/>
      <c r="F6" s="338"/>
    </row>
    <row r="7" spans="1:8" ht="15" customHeight="1" x14ac:dyDescent="0.2">
      <c r="A7" s="699" t="s">
        <v>206</v>
      </c>
      <c r="B7" s="699"/>
      <c r="C7" s="699"/>
      <c r="D7" s="699"/>
      <c r="E7" s="699"/>
      <c r="F7" s="356"/>
    </row>
    <row r="8" spans="1:8" x14ac:dyDescent="0.2">
      <c r="A8" s="334"/>
      <c r="B8" s="334"/>
      <c r="C8" s="338"/>
      <c r="D8" s="338"/>
      <c r="E8" s="338"/>
      <c r="F8" s="338"/>
    </row>
    <row r="9" spans="1:8" x14ac:dyDescent="0.2">
      <c r="A9" s="333" t="s">
        <v>113</v>
      </c>
      <c r="B9" s="333"/>
      <c r="D9" s="335" t="s">
        <v>183</v>
      </c>
      <c r="F9" s="335" t="s">
        <v>67</v>
      </c>
    </row>
    <row r="10" spans="1:8" x14ac:dyDescent="0.2">
      <c r="A10" s="333" t="s">
        <v>68</v>
      </c>
      <c r="B10" s="333"/>
      <c r="D10" s="335" t="s">
        <v>207</v>
      </c>
      <c r="F10" s="335" t="s">
        <v>69</v>
      </c>
    </row>
    <row r="11" spans="1:8" x14ac:dyDescent="0.2">
      <c r="A11" s="336" t="s">
        <v>70</v>
      </c>
      <c r="B11" s="336"/>
      <c r="D11" s="357" t="s">
        <v>88</v>
      </c>
      <c r="F11" s="357" t="s">
        <v>72</v>
      </c>
    </row>
    <row r="12" spans="1:8" ht="12.75" customHeight="1" x14ac:dyDescent="0.2">
      <c r="A12" s="334"/>
      <c r="B12" s="334"/>
      <c r="D12" s="334"/>
      <c r="F12" s="340"/>
    </row>
    <row r="13" spans="1:8" ht="13.35" customHeight="1" x14ac:dyDescent="0.2">
      <c r="A13" s="334" t="s">
        <v>73</v>
      </c>
      <c r="B13" s="334"/>
      <c r="D13" s="641">
        <f>+'Meters &amp; Services'!F21</f>
        <v>5311</v>
      </c>
      <c r="F13" s="340">
        <f t="shared" ref="F13:F19" si="0">ROUND(D13/$D$21,4)</f>
        <v>0.86160000000000003</v>
      </c>
    </row>
    <row r="14" spans="1:8" ht="13.35" customHeight="1" x14ac:dyDescent="0.2">
      <c r="A14" s="347" t="s">
        <v>543</v>
      </c>
      <c r="B14" s="334"/>
      <c r="D14" s="641">
        <f>+'Meters &amp; Services'!J21</f>
        <v>758</v>
      </c>
      <c r="F14" s="340">
        <f t="shared" si="0"/>
        <v>0.123</v>
      </c>
    </row>
    <row r="15" spans="1:8" ht="13.35" customHeight="1" x14ac:dyDescent="0.2">
      <c r="A15" s="334" t="s">
        <v>75</v>
      </c>
      <c r="B15" s="334"/>
      <c r="D15" s="641">
        <f>'Meters &amp; Services'!N21</f>
        <v>13</v>
      </c>
      <c r="F15" s="340">
        <f t="shared" si="0"/>
        <v>2.0999999999999999E-3</v>
      </c>
    </row>
    <row r="16" spans="1:8" ht="13.35" hidden="1" customHeight="1" x14ac:dyDescent="0.2">
      <c r="A16" s="334" t="s">
        <v>76</v>
      </c>
      <c r="B16" s="334"/>
      <c r="D16" s="641">
        <f>'Meters &amp; Services'!R21</f>
        <v>0</v>
      </c>
      <c r="F16" s="340">
        <f t="shared" si="0"/>
        <v>0</v>
      </c>
    </row>
    <row r="17" spans="1:8" ht="13.35" hidden="1" customHeight="1" x14ac:dyDescent="0.2">
      <c r="A17" s="334" t="s">
        <v>179</v>
      </c>
      <c r="B17" s="334"/>
      <c r="D17" s="641">
        <f>'Meters &amp; Services'!V21</f>
        <v>0</v>
      </c>
      <c r="F17" s="340">
        <f t="shared" si="0"/>
        <v>0</v>
      </c>
      <c r="G17" s="2"/>
    </row>
    <row r="18" spans="1:8" ht="13.35" customHeight="1" x14ac:dyDescent="0.2">
      <c r="A18" s="334" t="s">
        <v>77</v>
      </c>
      <c r="B18" s="334"/>
      <c r="D18" s="641">
        <f>+'SCH-E'!K26</f>
        <v>80</v>
      </c>
      <c r="F18" s="340">
        <f t="shared" si="0"/>
        <v>1.2999999999999999E-2</v>
      </c>
      <c r="G18" s="2"/>
    </row>
    <row r="19" spans="1:8" ht="13.35" customHeight="1" x14ac:dyDescent="0.2">
      <c r="A19" s="334" t="s">
        <v>78</v>
      </c>
      <c r="B19" s="334"/>
      <c r="D19" s="642">
        <v>2</v>
      </c>
      <c r="F19" s="358">
        <f t="shared" si="0"/>
        <v>2.9999999999999997E-4</v>
      </c>
      <c r="G19" s="53"/>
      <c r="H19" s="52"/>
    </row>
    <row r="20" spans="1:8" x14ac:dyDescent="0.2">
      <c r="A20" s="334"/>
      <c r="B20" s="334"/>
      <c r="D20" s="643"/>
      <c r="F20" s="343"/>
      <c r="G20" s="2"/>
    </row>
    <row r="21" spans="1:8" ht="15.75" thickBot="1" x14ac:dyDescent="0.25">
      <c r="A21" s="334" t="s">
        <v>79</v>
      </c>
      <c r="B21" s="334"/>
      <c r="D21" s="641">
        <f>SUM(D13:D20)</f>
        <v>6164</v>
      </c>
      <c r="F21" s="359">
        <f>SUM(F13:F20)</f>
        <v>1</v>
      </c>
      <c r="G21" s="2"/>
    </row>
    <row r="22" spans="1:8" ht="15.75" thickTop="1" x14ac:dyDescent="0.2">
      <c r="A22" s="334"/>
      <c r="B22" s="334"/>
      <c r="D22" s="644"/>
      <c r="F22" s="361"/>
      <c r="G22" s="2"/>
    </row>
    <row r="23" spans="1:8" x14ac:dyDescent="0.2">
      <c r="A23" s="334"/>
      <c r="B23" s="334"/>
      <c r="C23" s="334"/>
      <c r="D23" s="641"/>
      <c r="E23" s="334"/>
      <c r="F23" s="338"/>
      <c r="G23" s="2"/>
    </row>
    <row r="24" spans="1:8" x14ac:dyDescent="0.2">
      <c r="A24" s="334"/>
      <c r="B24" s="334"/>
      <c r="C24" s="341"/>
      <c r="D24" s="641"/>
      <c r="E24" s="334"/>
      <c r="F24" s="338"/>
      <c r="G24" s="2"/>
    </row>
    <row r="25" spans="1:8" x14ac:dyDescent="0.2">
      <c r="A25" s="334" t="s">
        <v>455</v>
      </c>
      <c r="B25" s="334"/>
      <c r="C25" s="334"/>
      <c r="D25" s="641"/>
      <c r="E25" s="334"/>
      <c r="F25" s="338"/>
      <c r="G25" s="2"/>
    </row>
    <row r="26" spans="1:8" x14ac:dyDescent="0.2">
      <c r="A26" s="334"/>
      <c r="B26" s="334"/>
      <c r="C26" s="334"/>
      <c r="D26" s="641"/>
      <c r="E26" s="334"/>
      <c r="F26" s="338"/>
      <c r="G26" s="2"/>
    </row>
    <row r="27" spans="1:8" x14ac:dyDescent="0.2">
      <c r="A27" s="334" t="s">
        <v>208</v>
      </c>
      <c r="B27" s="334"/>
      <c r="C27" s="334"/>
      <c r="D27" s="641"/>
      <c r="E27" s="334"/>
      <c r="F27" s="338"/>
      <c r="G27" s="2"/>
    </row>
    <row r="28" spans="1:8" x14ac:dyDescent="0.2">
      <c r="A28" s="334"/>
      <c r="B28" s="334"/>
      <c r="C28" s="334"/>
      <c r="D28" s="641"/>
      <c r="E28" s="334"/>
      <c r="F28" s="338"/>
      <c r="G28" s="2"/>
    </row>
    <row r="29" spans="1:8" x14ac:dyDescent="0.2">
      <c r="A29" s="333" t="s">
        <v>113</v>
      </c>
      <c r="B29" s="333"/>
      <c r="D29" s="645" t="s">
        <v>209</v>
      </c>
      <c r="F29" s="335" t="s">
        <v>67</v>
      </c>
      <c r="G29" s="2"/>
    </row>
    <row r="30" spans="1:8" x14ac:dyDescent="0.2">
      <c r="A30" s="333" t="s">
        <v>68</v>
      </c>
      <c r="B30" s="333"/>
      <c r="D30" s="645" t="s">
        <v>207</v>
      </c>
      <c r="F30" s="335" t="s">
        <v>69</v>
      </c>
      <c r="G30" s="2"/>
    </row>
    <row r="31" spans="1:8" x14ac:dyDescent="0.2">
      <c r="A31" s="336" t="s">
        <v>70</v>
      </c>
      <c r="B31" s="336"/>
      <c r="D31" s="646" t="s">
        <v>88</v>
      </c>
      <c r="F31" s="357" t="s">
        <v>72</v>
      </c>
      <c r="G31" s="2"/>
    </row>
    <row r="32" spans="1:8" ht="12.75" customHeight="1" x14ac:dyDescent="0.2">
      <c r="A32" s="334"/>
      <c r="B32" s="334"/>
      <c r="D32" s="641"/>
      <c r="F32" s="334"/>
      <c r="G32" s="2"/>
    </row>
    <row r="33" spans="1:7" ht="13.35" customHeight="1" x14ac:dyDescent="0.2">
      <c r="A33" s="334" t="s">
        <v>73</v>
      </c>
      <c r="B33" s="334"/>
      <c r="D33" s="641">
        <f>D13</f>
        <v>5311</v>
      </c>
      <c r="F33" s="340">
        <f>ROUND(D33/$D$40,4)+0.0001</f>
        <v>0.87329999999999997</v>
      </c>
      <c r="G33" s="2"/>
    </row>
    <row r="34" spans="1:7" ht="13.35" customHeight="1" x14ac:dyDescent="0.2">
      <c r="A34" s="347" t="s">
        <v>543</v>
      </c>
      <c r="B34" s="334"/>
      <c r="D34" s="641">
        <f>D14</f>
        <v>758</v>
      </c>
      <c r="F34" s="340">
        <f t="shared" ref="F34:F38" si="1">ROUND(D34/$D$40,4)</f>
        <v>0.1246</v>
      </c>
      <c r="G34" s="2"/>
    </row>
    <row r="35" spans="1:7" ht="13.35" customHeight="1" x14ac:dyDescent="0.2">
      <c r="A35" s="334" t="s">
        <v>75</v>
      </c>
      <c r="B35" s="334"/>
      <c r="D35" s="641">
        <f>D15</f>
        <v>13</v>
      </c>
      <c r="F35" s="340">
        <f t="shared" si="1"/>
        <v>2.0999999999999999E-3</v>
      </c>
      <c r="G35" s="2"/>
    </row>
    <row r="36" spans="1:7" ht="13.35" hidden="1" customHeight="1" x14ac:dyDescent="0.2">
      <c r="A36" s="334" t="s">
        <v>76</v>
      </c>
      <c r="B36" s="334"/>
      <c r="D36" s="641">
        <f>D16</f>
        <v>0</v>
      </c>
      <c r="F36" s="340">
        <f t="shared" si="1"/>
        <v>0</v>
      </c>
      <c r="G36" s="2"/>
    </row>
    <row r="37" spans="1:7" ht="13.35" hidden="1" customHeight="1" x14ac:dyDescent="0.2">
      <c r="A37" s="334" t="s">
        <v>179</v>
      </c>
      <c r="B37" s="334"/>
      <c r="D37" s="641">
        <f>D17</f>
        <v>0</v>
      </c>
      <c r="F37" s="340">
        <f t="shared" si="1"/>
        <v>0</v>
      </c>
      <c r="G37" s="2"/>
    </row>
    <row r="38" spans="1:7" ht="13.35" customHeight="1" x14ac:dyDescent="0.2">
      <c r="A38" s="334" t="s">
        <v>77</v>
      </c>
      <c r="B38" s="334"/>
      <c r="D38" s="641">
        <v>0</v>
      </c>
      <c r="F38" s="340">
        <f t="shared" si="1"/>
        <v>0</v>
      </c>
      <c r="G38" s="2"/>
    </row>
    <row r="39" spans="1:7" x14ac:dyDescent="0.2">
      <c r="A39" s="334"/>
      <c r="B39" s="334"/>
      <c r="D39" s="643"/>
      <c r="F39" s="343"/>
      <c r="G39" s="2"/>
    </row>
    <row r="40" spans="1:7" ht="15.75" thickBot="1" x14ac:dyDescent="0.25">
      <c r="A40" s="334" t="s">
        <v>79</v>
      </c>
      <c r="B40" s="334"/>
      <c r="D40" s="647">
        <f>SUM(D33:D39)</f>
        <v>6082</v>
      </c>
      <c r="F40" s="359">
        <f>SUM(F33:F39)</f>
        <v>1</v>
      </c>
      <c r="G40" s="2"/>
    </row>
    <row r="41" spans="1:7" ht="15.75" thickTop="1" x14ac:dyDescent="0.2">
      <c r="A41" s="338"/>
      <c r="B41" s="338"/>
      <c r="D41" s="362"/>
      <c r="F41" s="361"/>
    </row>
    <row r="42" spans="1:7" x14ac:dyDescent="0.2">
      <c r="A42" s="338"/>
      <c r="B42" s="338"/>
      <c r="C42" s="338"/>
      <c r="D42" s="338"/>
      <c r="E42" s="338"/>
      <c r="F42" s="338"/>
    </row>
    <row r="43" spans="1:7" x14ac:dyDescent="0.2">
      <c r="A43" s="338"/>
      <c r="B43" s="338"/>
      <c r="C43" s="338"/>
      <c r="D43" s="338"/>
      <c r="E43" s="338"/>
      <c r="F43" s="338"/>
    </row>
    <row r="44" spans="1:7" x14ac:dyDescent="0.2">
      <c r="A44" s="338"/>
      <c r="B44" s="338"/>
      <c r="C44" s="338"/>
      <c r="D44" s="338"/>
      <c r="E44" s="338"/>
      <c r="F44" s="338"/>
    </row>
    <row r="45" spans="1:7" x14ac:dyDescent="0.2">
      <c r="A45" s="338"/>
      <c r="B45" s="338"/>
      <c r="C45" s="338"/>
      <c r="D45" s="338"/>
      <c r="E45" s="338"/>
      <c r="F45" s="338"/>
    </row>
    <row r="46" spans="1:7" x14ac:dyDescent="0.2">
      <c r="A46" s="338"/>
      <c r="B46" s="338"/>
      <c r="C46" s="338"/>
      <c r="D46" s="338"/>
      <c r="E46" s="338"/>
      <c r="F46" s="338"/>
    </row>
    <row r="47" spans="1:7" x14ac:dyDescent="0.2">
      <c r="A47" s="338"/>
      <c r="B47" s="338"/>
      <c r="C47" s="338"/>
      <c r="D47" s="338"/>
      <c r="E47" s="338"/>
      <c r="F47" s="338"/>
    </row>
    <row r="48" spans="1:7" x14ac:dyDescent="0.2">
      <c r="A48" s="338"/>
      <c r="B48" s="338"/>
      <c r="C48" s="338"/>
      <c r="D48" s="338"/>
      <c r="E48" s="338"/>
      <c r="F48" s="338"/>
    </row>
    <row r="49" spans="1:6" x14ac:dyDescent="0.2">
      <c r="A49" s="338"/>
      <c r="B49" s="338"/>
      <c r="C49" s="338"/>
      <c r="D49" s="338"/>
      <c r="E49" s="338"/>
      <c r="F49" s="338"/>
    </row>
    <row r="50" spans="1:6" x14ac:dyDescent="0.2">
      <c r="A50" s="338"/>
      <c r="B50" s="338"/>
      <c r="C50" s="338"/>
      <c r="D50" s="338"/>
      <c r="E50" s="338"/>
      <c r="F50" s="338"/>
    </row>
    <row r="51" spans="1:6" x14ac:dyDescent="0.2">
      <c r="A51" s="338"/>
      <c r="B51" s="338"/>
      <c r="C51" s="338"/>
      <c r="D51" s="338"/>
      <c r="E51" s="338"/>
      <c r="F51" s="338"/>
    </row>
    <row r="52" spans="1:6" x14ac:dyDescent="0.2">
      <c r="A52" s="338"/>
      <c r="B52" s="338"/>
      <c r="C52" s="338"/>
      <c r="D52" s="338"/>
      <c r="E52" s="338"/>
      <c r="F52" s="338"/>
    </row>
    <row r="53" spans="1:6" x14ac:dyDescent="0.2">
      <c r="A53" s="338"/>
      <c r="B53" s="338"/>
      <c r="C53" s="338"/>
      <c r="D53" s="338"/>
      <c r="E53" s="338"/>
      <c r="F53" s="338"/>
    </row>
    <row r="54" spans="1:6" x14ac:dyDescent="0.2">
      <c r="A54" s="338"/>
      <c r="B54" s="338"/>
      <c r="C54" s="338"/>
      <c r="D54" s="338"/>
      <c r="E54" s="338"/>
      <c r="F54" s="338"/>
    </row>
    <row r="55" spans="1:6" x14ac:dyDescent="0.2">
      <c r="A55" s="338"/>
      <c r="B55" s="338"/>
      <c r="C55" s="338"/>
      <c r="D55" s="338"/>
      <c r="E55" s="338"/>
      <c r="F55" s="338"/>
    </row>
    <row r="56" spans="1:6" x14ac:dyDescent="0.2">
      <c r="A56" s="338"/>
      <c r="B56" s="338"/>
      <c r="C56" s="338"/>
      <c r="D56" s="338"/>
      <c r="E56" s="338"/>
      <c r="F56" s="338"/>
    </row>
    <row r="57" spans="1:6" x14ac:dyDescent="0.2">
      <c r="A57" s="338"/>
      <c r="B57" s="338"/>
      <c r="C57" s="338"/>
      <c r="D57" s="338"/>
      <c r="E57" s="338"/>
      <c r="F57" s="338"/>
    </row>
    <row r="58" spans="1:6" x14ac:dyDescent="0.2">
      <c r="A58" s="338"/>
      <c r="B58" s="338"/>
      <c r="C58" s="338"/>
      <c r="D58" s="338"/>
      <c r="E58" s="338"/>
      <c r="F58" s="338"/>
    </row>
    <row r="59" spans="1:6" x14ac:dyDescent="0.2">
      <c r="A59" s="338"/>
      <c r="B59" s="338"/>
      <c r="C59" s="338"/>
      <c r="D59" s="338"/>
      <c r="E59" s="338"/>
      <c r="F59" s="338"/>
    </row>
    <row r="60" spans="1:6" x14ac:dyDescent="0.2">
      <c r="A60" s="338"/>
      <c r="B60" s="338"/>
      <c r="C60" s="338"/>
      <c r="D60" s="338"/>
      <c r="E60" s="338"/>
      <c r="F60" s="338"/>
    </row>
    <row r="61" spans="1:6" x14ac:dyDescent="0.2">
      <c r="A61" s="338"/>
      <c r="B61" s="338"/>
      <c r="C61" s="338"/>
      <c r="D61" s="338"/>
      <c r="E61" s="338"/>
      <c r="F61" s="338"/>
    </row>
    <row r="62" spans="1:6" x14ac:dyDescent="0.2">
      <c r="A62" s="338"/>
      <c r="B62" s="338"/>
      <c r="C62" s="338"/>
      <c r="D62" s="338"/>
      <c r="E62" s="338"/>
      <c r="F62" s="338"/>
    </row>
    <row r="63" spans="1:6" x14ac:dyDescent="0.2">
      <c r="A63" s="338"/>
      <c r="B63" s="338"/>
      <c r="C63" s="338"/>
      <c r="D63" s="338"/>
      <c r="E63" s="338"/>
      <c r="F63" s="338"/>
    </row>
    <row r="64" spans="1:6" x14ac:dyDescent="0.2">
      <c r="A64" s="338"/>
      <c r="B64" s="338"/>
      <c r="C64" s="338"/>
      <c r="D64" s="338"/>
      <c r="E64" s="338"/>
      <c r="F64" s="338"/>
    </row>
    <row r="65" spans="1:6" x14ac:dyDescent="0.2">
      <c r="A65" s="338"/>
      <c r="B65" s="338"/>
      <c r="C65" s="338"/>
      <c r="D65" s="338"/>
      <c r="E65" s="338"/>
      <c r="F65" s="338"/>
    </row>
    <row r="66" spans="1:6" x14ac:dyDescent="0.2">
      <c r="A66" s="338"/>
      <c r="B66" s="338"/>
      <c r="C66" s="338"/>
      <c r="D66" s="338"/>
      <c r="E66" s="338"/>
      <c r="F66" s="338"/>
    </row>
    <row r="67" spans="1:6" x14ac:dyDescent="0.2">
      <c r="A67" s="338"/>
      <c r="B67" s="338"/>
      <c r="C67" s="338"/>
      <c r="D67" s="338"/>
      <c r="E67" s="338"/>
      <c r="F67" s="338"/>
    </row>
    <row r="68" spans="1:6" x14ac:dyDescent="0.2">
      <c r="A68" s="338"/>
      <c r="B68" s="338"/>
      <c r="C68" s="338"/>
      <c r="D68" s="338"/>
      <c r="E68" s="338"/>
      <c r="F68" s="338"/>
    </row>
    <row r="69" spans="1:6" x14ac:dyDescent="0.2">
      <c r="A69" s="338"/>
      <c r="B69" s="338"/>
      <c r="C69" s="338"/>
      <c r="D69" s="338"/>
      <c r="E69" s="338"/>
      <c r="F69" s="338"/>
    </row>
    <row r="70" spans="1:6" x14ac:dyDescent="0.2">
      <c r="A70" s="338"/>
      <c r="B70" s="338"/>
      <c r="C70" s="338"/>
      <c r="D70" s="338"/>
      <c r="E70" s="338"/>
      <c r="F70" s="338"/>
    </row>
    <row r="71" spans="1:6" x14ac:dyDescent="0.2">
      <c r="A71" s="338"/>
      <c r="B71" s="338"/>
      <c r="C71" s="338"/>
      <c r="D71" s="338"/>
      <c r="E71" s="338"/>
      <c r="F71" s="338"/>
    </row>
    <row r="72" spans="1:6" x14ac:dyDescent="0.2">
      <c r="A72" s="338"/>
      <c r="B72" s="338"/>
      <c r="C72" s="338"/>
      <c r="D72" s="338"/>
      <c r="E72" s="338"/>
      <c r="F72" s="338"/>
    </row>
    <row r="73" spans="1:6" x14ac:dyDescent="0.2">
      <c r="A73" s="338"/>
      <c r="B73" s="338"/>
      <c r="C73" s="338"/>
      <c r="D73" s="338"/>
      <c r="E73" s="338"/>
      <c r="F73" s="338"/>
    </row>
    <row r="74" spans="1:6" x14ac:dyDescent="0.2">
      <c r="A74" s="338"/>
      <c r="B74" s="338"/>
      <c r="C74" s="338"/>
      <c r="D74" s="338"/>
      <c r="E74" s="338"/>
      <c r="F74" s="338"/>
    </row>
    <row r="75" spans="1:6" x14ac:dyDescent="0.2">
      <c r="A75" s="338"/>
      <c r="B75" s="338"/>
      <c r="C75" s="338"/>
      <c r="D75" s="338"/>
      <c r="E75" s="338"/>
      <c r="F75" s="338"/>
    </row>
    <row r="76" spans="1:6" x14ac:dyDescent="0.2">
      <c r="A76" s="338"/>
      <c r="B76" s="338"/>
      <c r="C76" s="338"/>
      <c r="D76" s="338"/>
      <c r="E76" s="338"/>
      <c r="F76" s="338"/>
    </row>
    <row r="77" spans="1:6" x14ac:dyDescent="0.2">
      <c r="A77" s="338"/>
      <c r="B77" s="338"/>
      <c r="C77" s="338"/>
      <c r="D77" s="338"/>
      <c r="E77" s="338"/>
      <c r="F77" s="338"/>
    </row>
    <row r="78" spans="1:6" x14ac:dyDescent="0.2">
      <c r="A78" s="338"/>
      <c r="B78" s="338"/>
      <c r="C78" s="338"/>
      <c r="D78" s="338"/>
      <c r="E78" s="338"/>
      <c r="F78" s="338"/>
    </row>
    <row r="79" spans="1:6" x14ac:dyDescent="0.2">
      <c r="A79" s="338"/>
      <c r="B79" s="338"/>
      <c r="C79" s="338"/>
      <c r="D79" s="338"/>
      <c r="E79" s="338"/>
      <c r="F79" s="338"/>
    </row>
    <row r="80" spans="1:6" x14ac:dyDescent="0.2">
      <c r="A80" s="338"/>
      <c r="B80" s="338"/>
      <c r="C80" s="338"/>
      <c r="D80" s="338"/>
      <c r="E80" s="338"/>
      <c r="F80" s="338"/>
    </row>
    <row r="81" spans="1:6" x14ac:dyDescent="0.2">
      <c r="A81" s="338"/>
      <c r="B81" s="338"/>
      <c r="C81" s="338"/>
      <c r="D81" s="338"/>
      <c r="E81" s="338"/>
      <c r="F81" s="338"/>
    </row>
    <row r="82" spans="1:6" x14ac:dyDescent="0.2">
      <c r="A82" s="338"/>
      <c r="B82" s="338"/>
      <c r="C82" s="338"/>
      <c r="D82" s="338"/>
      <c r="E82" s="338"/>
      <c r="F82" s="338"/>
    </row>
    <row r="83" spans="1:6" x14ac:dyDescent="0.2">
      <c r="A83" s="338"/>
      <c r="B83" s="338"/>
      <c r="C83" s="338"/>
      <c r="D83" s="338"/>
      <c r="E83" s="338"/>
      <c r="F83" s="338"/>
    </row>
    <row r="84" spans="1:6" x14ac:dyDescent="0.2">
      <c r="A84" s="338"/>
      <c r="B84" s="338"/>
      <c r="C84" s="338"/>
      <c r="D84" s="338"/>
      <c r="E84" s="338"/>
      <c r="F84" s="338"/>
    </row>
    <row r="85" spans="1:6" x14ac:dyDescent="0.2">
      <c r="A85" s="338"/>
      <c r="B85" s="338"/>
      <c r="C85" s="338"/>
      <c r="D85" s="338"/>
      <c r="E85" s="338"/>
      <c r="F85" s="338"/>
    </row>
    <row r="86" spans="1:6" x14ac:dyDescent="0.2">
      <c r="A86" s="338"/>
      <c r="B86" s="338"/>
      <c r="C86" s="338"/>
      <c r="D86" s="338"/>
      <c r="E86" s="338"/>
      <c r="F86" s="338"/>
    </row>
    <row r="87" spans="1:6" x14ac:dyDescent="0.2">
      <c r="A87" s="338"/>
      <c r="B87" s="338"/>
      <c r="C87" s="338"/>
      <c r="D87" s="338"/>
      <c r="E87" s="338"/>
      <c r="F87" s="338"/>
    </row>
    <row r="88" spans="1:6" x14ac:dyDescent="0.2">
      <c r="A88" s="338"/>
      <c r="B88" s="338"/>
      <c r="C88" s="338"/>
      <c r="D88" s="338"/>
      <c r="E88" s="338"/>
      <c r="F88" s="338"/>
    </row>
    <row r="89" spans="1:6" x14ac:dyDescent="0.2">
      <c r="A89" s="338"/>
      <c r="B89" s="338"/>
      <c r="C89" s="338"/>
      <c r="D89" s="338"/>
      <c r="E89" s="338"/>
      <c r="F89" s="338"/>
    </row>
    <row r="90" spans="1:6" x14ac:dyDescent="0.2">
      <c r="A90" s="338"/>
      <c r="B90" s="338"/>
      <c r="C90" s="338"/>
      <c r="D90" s="338"/>
      <c r="E90" s="338"/>
      <c r="F90" s="338"/>
    </row>
    <row r="91" spans="1:6" x14ac:dyDescent="0.2">
      <c r="A91" s="338"/>
      <c r="B91" s="338"/>
      <c r="C91" s="338"/>
      <c r="D91" s="338"/>
      <c r="E91" s="338"/>
      <c r="F91" s="338"/>
    </row>
    <row r="92" spans="1:6" x14ac:dyDescent="0.2">
      <c r="A92" s="338"/>
      <c r="B92" s="338"/>
      <c r="C92" s="338"/>
      <c r="D92" s="338"/>
      <c r="E92" s="338"/>
      <c r="F92" s="338"/>
    </row>
    <row r="93" spans="1:6" x14ac:dyDescent="0.2">
      <c r="A93" s="338"/>
      <c r="B93" s="338"/>
      <c r="C93" s="338"/>
      <c r="D93" s="338"/>
      <c r="E93" s="338"/>
      <c r="F93" s="338"/>
    </row>
    <row r="94" spans="1:6" x14ac:dyDescent="0.2">
      <c r="A94" s="338"/>
      <c r="B94" s="338"/>
      <c r="C94" s="338"/>
      <c r="D94" s="338"/>
      <c r="E94" s="338"/>
      <c r="F94" s="338"/>
    </row>
    <row r="95" spans="1:6" x14ac:dyDescent="0.2">
      <c r="A95" s="338"/>
      <c r="B95" s="338"/>
      <c r="C95" s="338"/>
      <c r="D95" s="338"/>
      <c r="E95" s="338"/>
      <c r="F95" s="338"/>
    </row>
    <row r="96" spans="1:6" x14ac:dyDescent="0.2">
      <c r="A96" s="338"/>
      <c r="B96" s="338"/>
      <c r="C96" s="338"/>
      <c r="D96" s="338"/>
      <c r="E96" s="338"/>
      <c r="F96" s="338"/>
    </row>
    <row r="97" spans="1:6" x14ac:dyDescent="0.2">
      <c r="A97" s="338"/>
      <c r="B97" s="338"/>
      <c r="C97" s="338"/>
      <c r="D97" s="338"/>
      <c r="E97" s="338"/>
      <c r="F97" s="338"/>
    </row>
    <row r="98" spans="1:6" x14ac:dyDescent="0.2">
      <c r="A98" s="338"/>
      <c r="B98" s="338"/>
      <c r="C98" s="338"/>
      <c r="D98" s="338"/>
      <c r="E98" s="338"/>
      <c r="F98" s="338"/>
    </row>
    <row r="99" spans="1:6" x14ac:dyDescent="0.2">
      <c r="A99" s="338"/>
      <c r="B99" s="338"/>
      <c r="C99" s="338"/>
      <c r="D99" s="338"/>
      <c r="E99" s="338"/>
      <c r="F99" s="338"/>
    </row>
    <row r="100" spans="1:6" x14ac:dyDescent="0.2">
      <c r="A100" s="338"/>
      <c r="B100" s="338"/>
      <c r="C100" s="338"/>
      <c r="D100" s="338"/>
      <c r="E100" s="338"/>
      <c r="F100" s="338"/>
    </row>
    <row r="101" spans="1:6" x14ac:dyDescent="0.2">
      <c r="A101" s="338"/>
      <c r="B101" s="338"/>
      <c r="C101" s="338"/>
      <c r="D101" s="338"/>
      <c r="E101" s="338"/>
      <c r="F101" s="338"/>
    </row>
    <row r="102" spans="1:6" x14ac:dyDescent="0.2">
      <c r="A102" s="338"/>
      <c r="B102" s="338"/>
      <c r="C102" s="338"/>
      <c r="D102" s="338"/>
      <c r="E102" s="338"/>
      <c r="F102" s="338"/>
    </row>
    <row r="103" spans="1:6" x14ac:dyDescent="0.2">
      <c r="A103" s="338"/>
      <c r="B103" s="338"/>
      <c r="C103" s="338"/>
      <c r="D103" s="338"/>
      <c r="E103" s="338"/>
      <c r="F103" s="338"/>
    </row>
    <row r="104" spans="1:6" x14ac:dyDescent="0.2">
      <c r="A104" s="338"/>
      <c r="B104" s="338"/>
      <c r="C104" s="338"/>
      <c r="D104" s="338"/>
      <c r="E104" s="338"/>
      <c r="F104" s="338"/>
    </row>
    <row r="105" spans="1:6" x14ac:dyDescent="0.2">
      <c r="A105" s="338"/>
      <c r="B105" s="338"/>
      <c r="C105" s="338"/>
      <c r="D105" s="338"/>
      <c r="E105" s="338"/>
      <c r="F105" s="338"/>
    </row>
    <row r="106" spans="1:6" x14ac:dyDescent="0.2">
      <c r="A106" s="338"/>
      <c r="B106" s="338"/>
      <c r="C106" s="338"/>
      <c r="D106" s="338"/>
      <c r="E106" s="338"/>
      <c r="F106" s="338"/>
    </row>
    <row r="107" spans="1:6" x14ac:dyDescent="0.2">
      <c r="A107" s="338"/>
      <c r="B107" s="338"/>
      <c r="C107" s="338"/>
      <c r="D107" s="338"/>
      <c r="E107" s="338"/>
      <c r="F107" s="338"/>
    </row>
    <row r="108" spans="1:6" x14ac:dyDescent="0.2">
      <c r="A108" s="338"/>
      <c r="B108" s="338"/>
      <c r="C108" s="338"/>
      <c r="D108" s="338"/>
      <c r="E108" s="338"/>
      <c r="F108" s="338"/>
    </row>
    <row r="109" spans="1:6" x14ac:dyDescent="0.2">
      <c r="A109" s="338"/>
      <c r="B109" s="338"/>
      <c r="C109" s="338"/>
      <c r="D109" s="338"/>
      <c r="E109" s="338"/>
      <c r="F109" s="338"/>
    </row>
    <row r="110" spans="1:6" x14ac:dyDescent="0.2">
      <c r="A110" s="338"/>
      <c r="B110" s="338"/>
      <c r="C110" s="338"/>
      <c r="D110" s="338"/>
      <c r="E110" s="338"/>
      <c r="F110" s="338"/>
    </row>
    <row r="111" spans="1:6" x14ac:dyDescent="0.2">
      <c r="A111" s="338"/>
      <c r="B111" s="338"/>
      <c r="C111" s="338"/>
      <c r="D111" s="338"/>
      <c r="E111" s="338"/>
      <c r="F111" s="338"/>
    </row>
    <row r="112" spans="1:6" x14ac:dyDescent="0.2">
      <c r="A112" s="338"/>
      <c r="B112" s="338"/>
      <c r="C112" s="338"/>
      <c r="D112" s="338"/>
      <c r="E112" s="338"/>
      <c r="F112" s="338"/>
    </row>
    <row r="113" spans="1:6" x14ac:dyDescent="0.2">
      <c r="A113" s="338"/>
      <c r="B113" s="338"/>
      <c r="C113" s="338"/>
      <c r="D113" s="338"/>
      <c r="E113" s="338"/>
      <c r="F113" s="338"/>
    </row>
    <row r="114" spans="1:6" x14ac:dyDescent="0.2">
      <c r="A114" s="338"/>
      <c r="B114" s="338"/>
      <c r="C114" s="338"/>
      <c r="D114" s="338"/>
      <c r="E114" s="338"/>
      <c r="F114" s="338"/>
    </row>
    <row r="115" spans="1:6" x14ac:dyDescent="0.2">
      <c r="A115" s="338"/>
      <c r="B115" s="338"/>
      <c r="C115" s="338"/>
      <c r="D115" s="338"/>
      <c r="E115" s="338"/>
      <c r="F115" s="338"/>
    </row>
    <row r="116" spans="1:6" x14ac:dyDescent="0.2">
      <c r="A116" s="338"/>
      <c r="B116" s="338"/>
      <c r="C116" s="338"/>
      <c r="D116" s="338"/>
      <c r="E116" s="338"/>
      <c r="F116" s="338"/>
    </row>
    <row r="117" spans="1:6" x14ac:dyDescent="0.2">
      <c r="A117" s="338"/>
      <c r="B117" s="338"/>
      <c r="C117" s="338"/>
      <c r="D117" s="338"/>
      <c r="E117" s="338"/>
      <c r="F117" s="338"/>
    </row>
  </sheetData>
  <mergeCells count="1">
    <mergeCell ref="A7:E7"/>
  </mergeCells>
  <phoneticPr fontId="14" type="noConversion"/>
  <printOptions horizontalCentered="1"/>
  <pageMargins left="1" right="0.75" top="1" bottom="0.5" header="0.5" footer="0.5"/>
  <pageSetup scale="80"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131"/>
  <sheetViews>
    <sheetView workbookViewId="0"/>
  </sheetViews>
  <sheetFormatPr defaultColWidth="9.77734375" defaultRowHeight="15" x14ac:dyDescent="0.2"/>
  <cols>
    <col min="1" max="1" width="7.77734375" style="16" customWidth="1"/>
    <col min="2" max="2" width="12.21875" style="16" customWidth="1"/>
    <col min="3" max="3" width="14" style="16" customWidth="1"/>
    <col min="4" max="4" width="11.77734375" style="16" customWidth="1"/>
    <col min="5" max="5" width="13" style="16" customWidth="1"/>
    <col min="6" max="6" width="17.88671875" style="16" customWidth="1"/>
    <col min="7" max="7" width="9.77734375" style="16" customWidth="1"/>
    <col min="8" max="9" width="7.77734375" style="16" customWidth="1"/>
    <col min="10" max="10" width="14.77734375" style="16" customWidth="1"/>
    <col min="11" max="11" width="10.77734375" style="16" customWidth="1"/>
    <col min="12" max="12" width="14.77734375" style="16" customWidth="1"/>
    <col min="13" max="13" width="8.77734375" style="16" customWidth="1"/>
    <col min="14" max="14" width="6.77734375" style="16" customWidth="1"/>
    <col min="15" max="15" width="9.77734375" style="16" customWidth="1"/>
    <col min="16" max="17" width="7.77734375" style="16" customWidth="1"/>
    <col min="18" max="18" width="14.77734375" style="16" customWidth="1"/>
    <col min="19" max="19" width="10.77734375" style="16" customWidth="1"/>
    <col min="20" max="20" width="14.77734375" style="16" customWidth="1"/>
    <col min="21" max="21" width="8.77734375" style="16" customWidth="1"/>
    <col min="22" max="22" width="5.77734375" style="16" customWidth="1"/>
    <col min="23" max="16384" width="9.77734375" style="16"/>
  </cols>
  <sheetData>
    <row r="1" spans="1:23" x14ac:dyDescent="0.2">
      <c r="A1" s="15" t="s">
        <v>387</v>
      </c>
      <c r="B1" s="1"/>
      <c r="C1" s="1"/>
      <c r="D1" s="1"/>
      <c r="E1" s="1"/>
      <c r="F1" s="1"/>
      <c r="G1" s="2"/>
      <c r="H1" s="2"/>
      <c r="I1" s="2"/>
      <c r="J1" s="2"/>
      <c r="K1" s="2"/>
      <c r="L1" s="2"/>
      <c r="M1" s="2"/>
      <c r="N1" s="2"/>
      <c r="O1" s="2"/>
      <c r="P1" s="2"/>
      <c r="Q1" s="2"/>
      <c r="R1" s="2"/>
      <c r="S1" s="2"/>
      <c r="T1" s="2"/>
      <c r="U1" s="2"/>
      <c r="V1" s="2"/>
      <c r="W1" s="2"/>
    </row>
    <row r="2" spans="1:23" x14ac:dyDescent="0.2">
      <c r="A2" s="1"/>
      <c r="B2" s="1"/>
      <c r="C2" s="1"/>
      <c r="D2" s="1"/>
      <c r="E2" s="1"/>
      <c r="F2" s="1"/>
      <c r="G2" s="2"/>
      <c r="H2" s="2"/>
      <c r="I2" s="2"/>
      <c r="J2" s="2"/>
      <c r="K2" s="2"/>
      <c r="L2" s="2"/>
      <c r="M2" s="2"/>
      <c r="N2" s="2"/>
      <c r="O2" s="2"/>
      <c r="P2" s="2"/>
      <c r="Q2" s="2"/>
      <c r="R2" s="2"/>
      <c r="S2" s="2"/>
      <c r="T2" s="2"/>
      <c r="U2" s="2"/>
      <c r="V2" s="2"/>
      <c r="W2" s="2"/>
    </row>
    <row r="3" spans="1:23" x14ac:dyDescent="0.2">
      <c r="A3" s="333" t="s">
        <v>95</v>
      </c>
      <c r="B3" s="333"/>
      <c r="C3" s="333"/>
      <c r="D3" s="333"/>
      <c r="E3" s="333"/>
      <c r="F3" s="333"/>
      <c r="G3" s="2"/>
      <c r="H3" s="2"/>
      <c r="I3" s="2"/>
      <c r="J3" s="2"/>
      <c r="K3" s="2"/>
      <c r="L3" s="2"/>
      <c r="M3" s="2"/>
      <c r="N3" s="2"/>
      <c r="O3" s="2"/>
      <c r="P3" s="2"/>
      <c r="Q3" s="2"/>
      <c r="R3" s="2"/>
      <c r="S3" s="2"/>
      <c r="T3" s="2"/>
      <c r="U3" s="2"/>
      <c r="V3" s="2"/>
      <c r="W3" s="2"/>
    </row>
    <row r="4" spans="1:23" x14ac:dyDescent="0.2">
      <c r="A4" s="334"/>
      <c r="B4" s="334"/>
      <c r="C4" s="334"/>
      <c r="D4" s="334"/>
      <c r="E4" s="334"/>
      <c r="F4" s="334"/>
      <c r="G4" s="2"/>
      <c r="H4" s="2"/>
      <c r="I4" s="2"/>
      <c r="J4" s="2"/>
      <c r="K4" s="2"/>
      <c r="L4" s="2"/>
      <c r="M4" s="2"/>
      <c r="N4" s="2"/>
      <c r="O4" s="2"/>
      <c r="P4" s="2"/>
      <c r="Q4" s="2"/>
      <c r="R4" s="2"/>
      <c r="S4" s="2"/>
      <c r="T4" s="2"/>
      <c r="U4" s="2"/>
      <c r="V4" s="2"/>
      <c r="W4" s="2"/>
    </row>
    <row r="5" spans="1:23" x14ac:dyDescent="0.2">
      <c r="A5" s="334" t="s">
        <v>456</v>
      </c>
      <c r="B5" s="334"/>
      <c r="C5" s="334"/>
      <c r="D5" s="334"/>
      <c r="E5" s="334"/>
      <c r="F5" s="334"/>
      <c r="G5" s="2"/>
      <c r="H5" s="2"/>
      <c r="I5" s="2"/>
      <c r="J5" s="2"/>
      <c r="K5" s="2"/>
      <c r="L5" s="2"/>
      <c r="M5" s="2"/>
      <c r="N5" s="2"/>
      <c r="O5" s="2"/>
      <c r="P5" s="2"/>
      <c r="Q5" s="2"/>
      <c r="R5" s="2"/>
      <c r="S5" s="2"/>
      <c r="T5" s="2"/>
      <c r="U5" s="2"/>
      <c r="V5" s="2"/>
      <c r="W5" s="2"/>
    </row>
    <row r="6" spans="1:23" x14ac:dyDescent="0.2">
      <c r="A6" s="334"/>
      <c r="B6" s="334"/>
      <c r="C6" s="334"/>
      <c r="D6" s="334"/>
      <c r="E6" s="334"/>
      <c r="F6" s="334"/>
      <c r="G6" s="2"/>
      <c r="H6" s="2"/>
      <c r="I6" s="2"/>
      <c r="J6" s="2"/>
      <c r="K6" s="2"/>
      <c r="L6" s="2"/>
      <c r="M6" s="2"/>
      <c r="N6" s="2"/>
      <c r="O6" s="2"/>
      <c r="P6" s="2"/>
      <c r="Q6" s="2"/>
      <c r="R6" s="2"/>
      <c r="S6" s="2"/>
      <c r="T6" s="2"/>
      <c r="U6" s="2"/>
      <c r="V6" s="2"/>
      <c r="W6" s="2"/>
    </row>
    <row r="7" spans="1:23" ht="29.25" customHeight="1" x14ac:dyDescent="0.2">
      <c r="A7" s="699" t="s">
        <v>280</v>
      </c>
      <c r="B7" s="699"/>
      <c r="C7" s="699"/>
      <c r="D7" s="699"/>
      <c r="E7" s="699"/>
      <c r="F7" s="699"/>
      <c r="G7" s="2"/>
      <c r="H7" s="2"/>
      <c r="I7" s="2"/>
      <c r="J7" s="2"/>
      <c r="K7" s="2"/>
      <c r="L7" s="2"/>
      <c r="M7" s="2"/>
      <c r="N7" s="2"/>
      <c r="O7" s="2"/>
      <c r="P7" s="2"/>
      <c r="Q7" s="2"/>
      <c r="R7" s="2"/>
      <c r="S7" s="2"/>
      <c r="T7" s="2"/>
      <c r="U7" s="2"/>
      <c r="V7" s="2"/>
      <c r="W7" s="2"/>
    </row>
    <row r="8" spans="1:23" x14ac:dyDescent="0.2">
      <c r="A8" s="334"/>
      <c r="B8" s="334"/>
      <c r="C8" s="334"/>
      <c r="D8" s="334"/>
      <c r="E8" s="334"/>
      <c r="F8" s="334"/>
      <c r="G8" s="2"/>
      <c r="H8" s="2"/>
      <c r="I8" s="2"/>
      <c r="J8" s="2"/>
      <c r="K8" s="2"/>
      <c r="L8" s="2"/>
      <c r="M8" s="2"/>
      <c r="N8" s="2"/>
      <c r="O8" s="2"/>
      <c r="P8" s="2"/>
      <c r="Q8" s="2"/>
      <c r="R8" s="2"/>
      <c r="S8" s="2"/>
      <c r="T8" s="2"/>
      <c r="U8" s="2"/>
      <c r="V8" s="2"/>
      <c r="W8" s="2"/>
    </row>
    <row r="9" spans="1:23" x14ac:dyDescent="0.2">
      <c r="A9" s="334"/>
      <c r="B9" s="334"/>
      <c r="C9" s="334"/>
      <c r="D9" s="335" t="s">
        <v>214</v>
      </c>
      <c r="E9" s="335"/>
      <c r="F9" s="335"/>
      <c r="G9" s="2"/>
      <c r="H9" s="2"/>
      <c r="I9" s="2"/>
      <c r="J9" s="2"/>
      <c r="K9" s="2"/>
      <c r="L9" s="2"/>
      <c r="M9" s="2"/>
      <c r="N9" s="2"/>
      <c r="O9" s="2"/>
      <c r="P9" s="2"/>
      <c r="Q9" s="2"/>
      <c r="R9" s="2"/>
      <c r="S9" s="2"/>
      <c r="T9" s="2"/>
      <c r="U9" s="2"/>
      <c r="V9" s="2"/>
      <c r="W9" s="2"/>
    </row>
    <row r="10" spans="1:23" x14ac:dyDescent="0.2">
      <c r="A10" s="333" t="s">
        <v>65</v>
      </c>
      <c r="B10" s="333"/>
      <c r="C10" s="334"/>
      <c r="D10" s="335" t="s">
        <v>211</v>
      </c>
      <c r="E10" s="335"/>
      <c r="F10" s="335" t="s">
        <v>67</v>
      </c>
      <c r="G10" s="2"/>
      <c r="H10" s="2"/>
      <c r="I10" s="2"/>
      <c r="J10" s="2"/>
      <c r="K10" s="2"/>
      <c r="L10" s="2"/>
      <c r="M10" s="2"/>
      <c r="N10" s="2"/>
      <c r="O10" s="2"/>
      <c r="P10" s="2"/>
      <c r="Q10" s="2"/>
      <c r="R10" s="2"/>
      <c r="S10" s="2"/>
      <c r="T10" s="2"/>
      <c r="U10" s="2"/>
      <c r="V10" s="2"/>
      <c r="W10" s="2"/>
    </row>
    <row r="11" spans="1:23" x14ac:dyDescent="0.2">
      <c r="A11" s="333" t="s">
        <v>68</v>
      </c>
      <c r="B11" s="333"/>
      <c r="C11" s="334"/>
      <c r="D11" s="335" t="s">
        <v>210</v>
      </c>
      <c r="E11" s="335"/>
      <c r="F11" s="335" t="s">
        <v>69</v>
      </c>
      <c r="G11" s="2"/>
      <c r="H11" s="2"/>
      <c r="I11" s="2"/>
      <c r="J11" s="2"/>
      <c r="K11" s="2"/>
      <c r="L11" s="2"/>
      <c r="M11" s="2"/>
      <c r="N11" s="2"/>
      <c r="O11" s="2"/>
      <c r="P11" s="2"/>
      <c r="Q11" s="2"/>
      <c r="R11" s="2"/>
      <c r="S11" s="2"/>
      <c r="T11" s="2"/>
      <c r="U11" s="2"/>
      <c r="V11" s="2"/>
      <c r="W11" s="2"/>
    </row>
    <row r="12" spans="1:23" x14ac:dyDescent="0.2">
      <c r="A12" s="336" t="s">
        <v>70</v>
      </c>
      <c r="B12" s="336"/>
      <c r="C12" s="334"/>
      <c r="D12" s="337" t="s">
        <v>88</v>
      </c>
      <c r="E12" s="335" t="s">
        <v>172</v>
      </c>
      <c r="F12" s="337" t="s">
        <v>72</v>
      </c>
      <c r="G12" s="2"/>
      <c r="H12" s="2"/>
      <c r="I12" s="2"/>
      <c r="J12" s="2"/>
      <c r="K12" s="2"/>
      <c r="L12" s="2"/>
      <c r="M12" s="2"/>
      <c r="N12" s="2"/>
      <c r="O12" s="2"/>
      <c r="P12" s="2"/>
      <c r="Q12" s="2"/>
      <c r="R12" s="2"/>
      <c r="S12" s="2"/>
      <c r="T12" s="2"/>
      <c r="U12" s="2"/>
      <c r="V12" s="2"/>
      <c r="W12" s="2"/>
    </row>
    <row r="13" spans="1:23" ht="12.75" customHeight="1" x14ac:dyDescent="0.2">
      <c r="A13" s="334"/>
      <c r="B13" s="338"/>
      <c r="C13" s="334"/>
      <c r="D13" s="334"/>
      <c r="E13" s="334"/>
      <c r="F13" s="339"/>
      <c r="G13" s="2"/>
      <c r="H13" s="2"/>
      <c r="I13" s="2"/>
      <c r="J13" s="2"/>
      <c r="K13" s="2"/>
      <c r="L13" s="2"/>
      <c r="M13" s="2"/>
      <c r="N13" s="2"/>
      <c r="O13" s="2"/>
      <c r="P13" s="2"/>
      <c r="Q13" s="2"/>
      <c r="R13" s="2"/>
      <c r="S13" s="2"/>
      <c r="T13" s="2"/>
      <c r="U13" s="2"/>
      <c r="V13" s="2"/>
      <c r="W13" s="2"/>
    </row>
    <row r="14" spans="1:23" ht="13.35" customHeight="1" x14ac:dyDescent="0.2">
      <c r="A14" s="334" t="s">
        <v>73</v>
      </c>
      <c r="B14" s="338"/>
      <c r="C14" s="334"/>
      <c r="D14" s="491">
        <f>+'COS 1'!L178</f>
        <v>466005.96443717909</v>
      </c>
      <c r="E14" s="334"/>
      <c r="F14" s="340">
        <f>+'COS 1'!L179</f>
        <v>0.58250000000000002</v>
      </c>
      <c r="G14" s="2"/>
      <c r="H14" s="2"/>
      <c r="I14" s="2"/>
      <c r="J14" s="2"/>
      <c r="K14" s="2"/>
      <c r="L14" s="2"/>
      <c r="M14" s="2"/>
      <c r="N14" s="2"/>
      <c r="O14" s="2"/>
      <c r="P14" s="2"/>
      <c r="Q14" s="2"/>
      <c r="R14" s="2"/>
      <c r="S14" s="2"/>
      <c r="T14" s="2"/>
      <c r="U14" s="2"/>
      <c r="V14" s="2"/>
      <c r="W14" s="2"/>
    </row>
    <row r="15" spans="1:23" ht="13.35" customHeight="1" x14ac:dyDescent="0.2">
      <c r="A15" s="334" t="s">
        <v>424</v>
      </c>
      <c r="B15" s="338"/>
      <c r="C15" s="334"/>
      <c r="D15" s="641">
        <f>+'COS 1'!N178</f>
        <v>157974.57154811529</v>
      </c>
      <c r="E15" s="334"/>
      <c r="F15" s="339">
        <f>+'COS 1'!N179</f>
        <v>0.19750000000000001</v>
      </c>
      <c r="G15" s="2"/>
      <c r="H15" s="2"/>
      <c r="I15" s="2"/>
      <c r="J15" s="2"/>
      <c r="K15" s="2"/>
      <c r="L15" s="2"/>
      <c r="M15" s="2"/>
      <c r="N15" s="2"/>
      <c r="O15" s="2"/>
      <c r="P15" s="2"/>
      <c r="Q15" s="2"/>
      <c r="R15" s="2"/>
      <c r="S15" s="2"/>
      <c r="T15" s="2"/>
      <c r="U15" s="2"/>
      <c r="V15" s="2"/>
      <c r="W15" s="2"/>
    </row>
    <row r="16" spans="1:23" ht="13.35" hidden="1" customHeight="1" x14ac:dyDescent="0.2">
      <c r="A16" s="334" t="s">
        <v>75</v>
      </c>
      <c r="B16" s="338"/>
      <c r="C16" s="334"/>
      <c r="D16" s="641">
        <f>+'COS 1'!P178</f>
        <v>40841.965228664558</v>
      </c>
      <c r="E16" s="334"/>
      <c r="F16" s="339">
        <f>+'COS 1'!P179</f>
        <v>5.11E-2</v>
      </c>
      <c r="G16" s="2"/>
      <c r="H16" s="2"/>
      <c r="I16" s="2"/>
      <c r="J16" s="2"/>
      <c r="K16" s="2"/>
      <c r="L16" s="2"/>
      <c r="M16" s="2"/>
      <c r="N16" s="2"/>
      <c r="O16" s="2"/>
      <c r="P16" s="2"/>
      <c r="Q16" s="2"/>
      <c r="R16" s="2"/>
      <c r="S16" s="2"/>
      <c r="T16" s="2"/>
      <c r="U16" s="2"/>
      <c r="V16" s="2"/>
      <c r="W16" s="2"/>
    </row>
    <row r="17" spans="1:23" ht="13.35" hidden="1" customHeight="1" x14ac:dyDescent="0.2">
      <c r="A17" s="334" t="s">
        <v>76</v>
      </c>
      <c r="B17" s="338"/>
      <c r="C17" s="334"/>
      <c r="D17" s="641">
        <f>+'COS 1'!R178</f>
        <v>0</v>
      </c>
      <c r="E17" s="334"/>
      <c r="F17" s="339">
        <f>+'COS 1'!R179</f>
        <v>0</v>
      </c>
      <c r="G17" s="2"/>
      <c r="H17" s="2"/>
      <c r="I17" s="2"/>
      <c r="J17" s="2"/>
      <c r="K17" s="2"/>
      <c r="L17" s="2"/>
      <c r="M17" s="2"/>
      <c r="N17" s="2"/>
      <c r="O17" s="2"/>
      <c r="P17" s="2"/>
      <c r="Q17" s="2"/>
      <c r="R17" s="2"/>
      <c r="S17" s="2"/>
      <c r="T17" s="2"/>
      <c r="U17" s="2"/>
      <c r="V17" s="2"/>
      <c r="W17" s="2"/>
    </row>
    <row r="18" spans="1:23" ht="13.35" hidden="1" customHeight="1" x14ac:dyDescent="0.2">
      <c r="A18" s="334" t="s">
        <v>179</v>
      </c>
      <c r="B18" s="338"/>
      <c r="C18" s="334"/>
      <c r="D18" s="641">
        <f>+'COS 1'!T178</f>
        <v>0</v>
      </c>
      <c r="E18" s="334"/>
      <c r="F18" s="339">
        <f>+'COS 1'!T179</f>
        <v>0</v>
      </c>
      <c r="G18" s="2"/>
      <c r="H18" s="2"/>
      <c r="I18" s="2"/>
      <c r="J18" s="2"/>
      <c r="K18" s="2"/>
      <c r="L18" s="2"/>
      <c r="M18" s="2"/>
      <c r="N18" s="2"/>
      <c r="O18" s="2"/>
      <c r="P18" s="2"/>
      <c r="Q18" s="2"/>
      <c r="R18" s="2"/>
      <c r="S18" s="2"/>
      <c r="T18" s="2"/>
      <c r="U18" s="2"/>
      <c r="V18" s="2"/>
      <c r="W18" s="2"/>
    </row>
    <row r="19" spans="1:23" ht="13.35" customHeight="1" x14ac:dyDescent="0.2">
      <c r="A19" s="334" t="s">
        <v>77</v>
      </c>
      <c r="B19" s="338"/>
      <c r="C19" s="334"/>
      <c r="D19" s="641">
        <f>+'COS 1'!V178</f>
        <v>33016.919899796267</v>
      </c>
      <c r="E19" s="334"/>
      <c r="F19" s="339">
        <f>+'COS 1'!V179</f>
        <v>4.1300000000000003E-2</v>
      </c>
      <c r="G19" s="2"/>
      <c r="H19" s="2"/>
      <c r="I19" s="2"/>
      <c r="J19" s="2"/>
      <c r="K19" s="2"/>
      <c r="L19" s="2"/>
      <c r="M19" s="2"/>
      <c r="N19" s="2"/>
      <c r="O19" s="2"/>
      <c r="P19" s="2"/>
      <c r="Q19" s="2"/>
      <c r="R19" s="2"/>
      <c r="S19" s="2"/>
      <c r="T19" s="2"/>
      <c r="U19" s="2"/>
      <c r="V19" s="2"/>
      <c r="W19" s="2"/>
    </row>
    <row r="20" spans="1:23" ht="13.35" customHeight="1" x14ac:dyDescent="0.2">
      <c r="A20" s="334" t="s">
        <v>78</v>
      </c>
      <c r="B20" s="338"/>
      <c r="C20" s="334"/>
      <c r="D20" s="641">
        <f>+'COS 1'!X178</f>
        <v>102099.32491569789</v>
      </c>
      <c r="E20" s="334"/>
      <c r="F20" s="339">
        <f>+'COS 1'!X179</f>
        <v>0.12759999999999999</v>
      </c>
      <c r="G20" s="2"/>
      <c r="H20" s="2"/>
      <c r="I20" s="2"/>
      <c r="J20" s="2"/>
      <c r="K20" s="2"/>
      <c r="L20" s="2"/>
      <c r="M20" s="2"/>
      <c r="N20" s="2"/>
      <c r="O20" s="2"/>
      <c r="P20" s="2"/>
      <c r="Q20" s="2"/>
      <c r="R20" s="2"/>
      <c r="S20" s="2"/>
      <c r="T20" s="2"/>
      <c r="U20" s="2"/>
      <c r="V20" s="2"/>
      <c r="W20" s="2"/>
    </row>
    <row r="21" spans="1:23" x14ac:dyDescent="0.2">
      <c r="A21" s="334"/>
      <c r="B21" s="338"/>
      <c r="C21" s="334"/>
      <c r="D21" s="639"/>
      <c r="E21" s="334"/>
      <c r="F21" s="343"/>
      <c r="G21" s="2"/>
      <c r="H21" s="2"/>
      <c r="I21" s="2"/>
      <c r="J21" s="2"/>
      <c r="K21" s="2"/>
      <c r="L21" s="2"/>
      <c r="M21" s="2"/>
      <c r="N21" s="2"/>
      <c r="O21" s="2"/>
      <c r="P21" s="2"/>
      <c r="Q21" s="2"/>
      <c r="R21" s="2"/>
      <c r="S21" s="2"/>
      <c r="T21" s="2"/>
      <c r="U21" s="2"/>
      <c r="V21" s="2"/>
      <c r="W21" s="2"/>
    </row>
    <row r="22" spans="1:23" ht="15.75" thickBot="1" x14ac:dyDescent="0.25">
      <c r="A22" s="334" t="s">
        <v>79</v>
      </c>
      <c r="B22" s="338"/>
      <c r="C22" s="334"/>
      <c r="D22" s="640">
        <f>SUM(D14:D21)</f>
        <v>799938.74602945312</v>
      </c>
      <c r="E22" s="334"/>
      <c r="F22" s="339">
        <f>SUM(F14:F21)</f>
        <v>1</v>
      </c>
      <c r="G22" s="2"/>
      <c r="H22" s="2"/>
      <c r="I22" s="2"/>
      <c r="J22" s="2"/>
      <c r="K22" s="2"/>
      <c r="L22" s="2"/>
      <c r="M22" s="2"/>
      <c r="N22" s="2"/>
      <c r="O22" s="2"/>
      <c r="P22" s="2"/>
      <c r="Q22" s="2"/>
      <c r="R22" s="2"/>
      <c r="S22" s="2"/>
      <c r="T22" s="2"/>
      <c r="U22" s="2"/>
      <c r="V22" s="2"/>
      <c r="W22" s="2"/>
    </row>
    <row r="23" spans="1:23" ht="15.75" thickTop="1" x14ac:dyDescent="0.2">
      <c r="A23" s="2"/>
      <c r="B23" s="2"/>
      <c r="C23" s="2"/>
      <c r="D23" s="86"/>
      <c r="E23" s="11"/>
      <c r="F23" s="6"/>
      <c r="G23" s="2"/>
      <c r="H23" s="2"/>
      <c r="I23" s="2"/>
      <c r="J23" s="2"/>
      <c r="K23" s="2"/>
      <c r="L23" s="2"/>
      <c r="M23" s="2"/>
      <c r="N23" s="2"/>
      <c r="O23" s="2"/>
      <c r="P23" s="2"/>
      <c r="Q23" s="2"/>
      <c r="R23" s="2"/>
      <c r="S23" s="2"/>
      <c r="T23" s="2"/>
      <c r="U23" s="2"/>
      <c r="V23" s="2"/>
      <c r="W23" s="2"/>
    </row>
    <row r="24" spans="1:23" x14ac:dyDescent="0.2">
      <c r="A24" s="334" t="s">
        <v>457</v>
      </c>
      <c r="B24" s="334"/>
      <c r="C24" s="334"/>
      <c r="D24" s="334"/>
      <c r="E24" s="334"/>
      <c r="F24" s="334"/>
      <c r="G24" s="2"/>
      <c r="H24" s="2"/>
      <c r="I24" s="2"/>
      <c r="J24" s="2"/>
      <c r="K24" s="2"/>
      <c r="L24" s="2"/>
      <c r="M24" s="2"/>
      <c r="N24" s="2"/>
      <c r="O24" s="2"/>
      <c r="P24" s="2"/>
      <c r="Q24" s="2"/>
      <c r="R24" s="2"/>
      <c r="S24" s="2"/>
      <c r="T24" s="2"/>
      <c r="U24" s="2"/>
      <c r="V24" s="2"/>
      <c r="W24" s="2"/>
    </row>
    <row r="25" spans="1:23" x14ac:dyDescent="0.2">
      <c r="A25" s="334"/>
      <c r="B25" s="334"/>
      <c r="C25" s="334"/>
      <c r="D25" s="334"/>
      <c r="E25" s="334"/>
      <c r="F25" s="334"/>
      <c r="G25" s="2"/>
      <c r="H25" s="2"/>
      <c r="I25" s="2"/>
      <c r="J25" s="2"/>
      <c r="K25" s="2"/>
      <c r="L25" s="2"/>
      <c r="M25" s="2"/>
      <c r="N25" s="2"/>
      <c r="O25" s="2"/>
      <c r="P25" s="2"/>
      <c r="Q25" s="2"/>
      <c r="R25" s="2"/>
      <c r="S25" s="2"/>
      <c r="T25" s="2"/>
      <c r="U25" s="2"/>
      <c r="V25" s="2"/>
      <c r="W25" s="2"/>
    </row>
    <row r="26" spans="1:23" ht="29.25" customHeight="1" x14ac:dyDescent="0.2">
      <c r="A26" s="699" t="s">
        <v>290</v>
      </c>
      <c r="B26" s="699"/>
      <c r="C26" s="699"/>
      <c r="D26" s="699"/>
      <c r="E26" s="699"/>
      <c r="F26" s="699"/>
      <c r="G26" s="2"/>
      <c r="H26" s="2"/>
      <c r="I26" s="2"/>
      <c r="J26" s="2"/>
      <c r="K26" s="2"/>
      <c r="L26" s="2"/>
      <c r="M26" s="2"/>
      <c r="N26" s="2"/>
      <c r="O26" s="2"/>
      <c r="P26" s="2"/>
      <c r="Q26" s="2"/>
      <c r="R26" s="2"/>
      <c r="S26" s="2"/>
      <c r="T26" s="2"/>
      <c r="U26" s="2"/>
      <c r="V26" s="2"/>
      <c r="W26" s="2"/>
    </row>
    <row r="27" spans="1:23" x14ac:dyDescent="0.2">
      <c r="A27" s="334"/>
      <c r="B27" s="334"/>
      <c r="C27" s="334"/>
      <c r="D27" s="334"/>
      <c r="E27" s="334"/>
      <c r="F27" s="334"/>
      <c r="G27" s="2"/>
      <c r="H27" s="2"/>
      <c r="I27" s="2"/>
      <c r="J27" s="2"/>
      <c r="K27" s="2"/>
      <c r="L27" s="2"/>
      <c r="M27" s="2"/>
      <c r="N27" s="2"/>
      <c r="O27" s="2"/>
      <c r="P27" s="2"/>
      <c r="Q27" s="2"/>
      <c r="R27" s="2"/>
      <c r="S27" s="2"/>
      <c r="T27" s="2"/>
      <c r="U27" s="2"/>
      <c r="V27" s="2"/>
      <c r="W27" s="2"/>
    </row>
    <row r="28" spans="1:23" x14ac:dyDescent="0.2">
      <c r="A28" s="334"/>
      <c r="B28" s="334"/>
      <c r="C28" s="334"/>
      <c r="D28" s="335" t="s">
        <v>214</v>
      </c>
      <c r="E28" s="335"/>
      <c r="F28" s="335"/>
      <c r="G28" s="2"/>
      <c r="H28" s="2"/>
      <c r="I28" s="2"/>
      <c r="J28" s="2"/>
      <c r="K28" s="2"/>
      <c r="L28" s="2"/>
      <c r="M28" s="2"/>
      <c r="N28" s="2"/>
      <c r="O28" s="2"/>
      <c r="P28" s="2"/>
      <c r="Q28" s="2"/>
      <c r="R28" s="2"/>
      <c r="S28" s="2"/>
      <c r="T28" s="2"/>
      <c r="U28" s="2"/>
      <c r="V28" s="2"/>
      <c r="W28" s="2"/>
    </row>
    <row r="29" spans="1:23" x14ac:dyDescent="0.2">
      <c r="A29" s="333" t="s">
        <v>65</v>
      </c>
      <c r="B29" s="333"/>
      <c r="C29" s="334"/>
      <c r="D29" s="335" t="s">
        <v>211</v>
      </c>
      <c r="E29" s="335"/>
      <c r="F29" s="335" t="s">
        <v>67</v>
      </c>
      <c r="G29" s="2"/>
      <c r="H29" s="2"/>
      <c r="I29" s="2"/>
      <c r="J29" s="2"/>
      <c r="K29" s="2"/>
      <c r="L29" s="2"/>
      <c r="M29" s="2"/>
      <c r="N29" s="2"/>
      <c r="O29" s="2"/>
      <c r="P29" s="2"/>
      <c r="Q29" s="2"/>
      <c r="R29" s="2"/>
      <c r="S29" s="2"/>
      <c r="T29" s="2"/>
      <c r="U29" s="2"/>
      <c r="V29" s="2"/>
      <c r="W29" s="2"/>
    </row>
    <row r="30" spans="1:23" x14ac:dyDescent="0.2">
      <c r="A30" s="333" t="s">
        <v>68</v>
      </c>
      <c r="B30" s="333"/>
      <c r="C30" s="334"/>
      <c r="D30" s="335" t="s">
        <v>210</v>
      </c>
      <c r="E30" s="335"/>
      <c r="F30" s="335" t="s">
        <v>69</v>
      </c>
      <c r="G30" s="2"/>
      <c r="H30" s="2"/>
      <c r="I30" s="2"/>
      <c r="J30" s="2"/>
      <c r="K30" s="2"/>
      <c r="L30" s="2"/>
      <c r="M30" s="2"/>
      <c r="N30" s="2"/>
      <c r="O30" s="2"/>
      <c r="P30" s="2"/>
      <c r="Q30" s="2"/>
      <c r="R30" s="2"/>
      <c r="S30" s="2"/>
      <c r="T30" s="2"/>
      <c r="U30" s="2"/>
      <c r="V30" s="2"/>
      <c r="W30" s="2"/>
    </row>
    <row r="31" spans="1:23" x14ac:dyDescent="0.2">
      <c r="A31" s="336" t="s">
        <v>70</v>
      </c>
      <c r="B31" s="336"/>
      <c r="C31" s="334"/>
      <c r="D31" s="337" t="s">
        <v>88</v>
      </c>
      <c r="E31" s="335" t="s">
        <v>172</v>
      </c>
      <c r="F31" s="337" t="s">
        <v>72</v>
      </c>
      <c r="G31" s="2"/>
      <c r="H31" s="2"/>
      <c r="I31" s="2"/>
      <c r="J31" s="2"/>
      <c r="K31" s="2"/>
      <c r="L31" s="2"/>
      <c r="M31" s="2"/>
      <c r="N31" s="2"/>
      <c r="O31" s="2"/>
      <c r="P31" s="2"/>
      <c r="Q31" s="2"/>
      <c r="R31" s="2"/>
      <c r="S31" s="2"/>
      <c r="T31" s="2"/>
      <c r="U31" s="2"/>
      <c r="V31" s="2"/>
      <c r="W31" s="2"/>
    </row>
    <row r="32" spans="1:23" ht="12.75" customHeight="1" x14ac:dyDescent="0.2">
      <c r="A32" s="334"/>
      <c r="B32" s="338"/>
      <c r="C32" s="334"/>
      <c r="D32" s="334"/>
      <c r="E32" s="334"/>
      <c r="F32" s="339"/>
      <c r="G32" s="2"/>
      <c r="H32" s="2"/>
      <c r="I32" s="2"/>
      <c r="J32" s="2"/>
      <c r="K32" s="2"/>
      <c r="L32" s="2"/>
      <c r="M32" s="2"/>
      <c r="N32" s="2"/>
      <c r="O32" s="2"/>
      <c r="P32" s="2"/>
      <c r="Q32" s="2"/>
      <c r="R32" s="2"/>
      <c r="S32" s="2"/>
      <c r="T32" s="2"/>
      <c r="U32" s="2"/>
      <c r="V32" s="2"/>
      <c r="W32" s="2"/>
    </row>
    <row r="33" spans="1:23" ht="13.35" customHeight="1" x14ac:dyDescent="0.2">
      <c r="A33" s="334" t="s">
        <v>73</v>
      </c>
      <c r="B33" s="338"/>
      <c r="C33" s="334"/>
      <c r="D33" s="491">
        <f ca="1">+'COS 1'!L180</f>
        <v>1286495.216096268</v>
      </c>
      <c r="E33" s="334"/>
      <c r="F33" s="340">
        <f ca="1">+'COS 1'!L181</f>
        <v>0.58169999999999999</v>
      </c>
      <c r="G33" s="2"/>
      <c r="H33" s="2"/>
      <c r="I33" s="2"/>
      <c r="J33" s="2"/>
      <c r="K33" s="2"/>
      <c r="L33" s="2"/>
      <c r="M33" s="2"/>
      <c r="N33" s="2"/>
      <c r="O33" s="2"/>
      <c r="P33" s="2"/>
      <c r="Q33" s="2"/>
      <c r="R33" s="2"/>
      <c r="S33" s="2"/>
      <c r="T33" s="2"/>
      <c r="U33" s="2"/>
      <c r="V33" s="2"/>
      <c r="W33" s="2"/>
    </row>
    <row r="34" spans="1:23" ht="13.35" customHeight="1" x14ac:dyDescent="0.2">
      <c r="A34" s="334" t="s">
        <v>543</v>
      </c>
      <c r="B34" s="338"/>
      <c r="C34" s="334"/>
      <c r="D34" s="641">
        <f ca="1">+'COS 1'!N180</f>
        <v>530619.83577216009</v>
      </c>
      <c r="E34" s="334"/>
      <c r="F34" s="339">
        <f ca="1">+'COS 1'!N181</f>
        <v>0.2399</v>
      </c>
      <c r="G34" s="2"/>
      <c r="H34" s="2"/>
      <c r="I34" s="2"/>
      <c r="J34" s="2"/>
      <c r="K34" s="2"/>
      <c r="L34" s="2"/>
      <c r="M34" s="2"/>
      <c r="N34" s="2"/>
      <c r="O34" s="2"/>
      <c r="P34" s="2"/>
      <c r="Q34" s="2"/>
      <c r="R34" s="2"/>
      <c r="S34" s="2"/>
      <c r="T34" s="2"/>
      <c r="U34" s="2"/>
      <c r="V34" s="2"/>
      <c r="W34" s="2"/>
    </row>
    <row r="35" spans="1:23" ht="13.35" customHeight="1" x14ac:dyDescent="0.2">
      <c r="A35" s="334" t="s">
        <v>75</v>
      </c>
      <c r="B35" s="338"/>
      <c r="C35" s="334"/>
      <c r="D35" s="641">
        <f ca="1">+'COS 1'!P180</f>
        <v>165121.15826754892</v>
      </c>
      <c r="E35" s="334"/>
      <c r="F35" s="339">
        <f ca="1">+'COS 1'!P181</f>
        <v>7.4700000000000003E-2</v>
      </c>
      <c r="G35" s="2"/>
      <c r="H35" s="2"/>
      <c r="I35" s="2"/>
      <c r="J35" s="2"/>
      <c r="K35" s="2"/>
      <c r="L35" s="2"/>
      <c r="M35" s="2"/>
      <c r="N35" s="2"/>
      <c r="O35" s="2"/>
      <c r="P35" s="2"/>
      <c r="Q35" s="2"/>
      <c r="R35" s="2"/>
      <c r="S35" s="2"/>
      <c r="T35" s="2"/>
      <c r="U35" s="2"/>
      <c r="V35" s="2"/>
      <c r="W35" s="2"/>
    </row>
    <row r="36" spans="1:23" ht="13.35" hidden="1" customHeight="1" x14ac:dyDescent="0.2">
      <c r="A36" s="334" t="s">
        <v>76</v>
      </c>
      <c r="B36" s="338"/>
      <c r="C36" s="334"/>
      <c r="D36" s="641">
        <f ca="1">+'COS 1'!R180</f>
        <v>0</v>
      </c>
      <c r="E36" s="334"/>
      <c r="F36" s="339">
        <f ca="1">+'COS 1'!R181</f>
        <v>0</v>
      </c>
      <c r="G36" s="2"/>
      <c r="H36" s="2"/>
      <c r="I36" s="2"/>
      <c r="J36" s="2"/>
      <c r="K36" s="2"/>
      <c r="L36" s="2"/>
      <c r="M36" s="2"/>
      <c r="N36" s="2"/>
      <c r="O36" s="2"/>
      <c r="P36" s="2"/>
      <c r="Q36" s="2"/>
      <c r="R36" s="2"/>
      <c r="S36" s="2"/>
      <c r="T36" s="2"/>
      <c r="U36" s="2"/>
      <c r="V36" s="2"/>
      <c r="W36" s="2"/>
    </row>
    <row r="37" spans="1:23" ht="13.35" hidden="1" customHeight="1" x14ac:dyDescent="0.2">
      <c r="A37" s="334" t="s">
        <v>179</v>
      </c>
      <c r="B37" s="338"/>
      <c r="C37" s="334"/>
      <c r="D37" s="641">
        <f ca="1">+'COS 1'!T180</f>
        <v>0</v>
      </c>
      <c r="E37" s="334"/>
      <c r="F37" s="339">
        <f ca="1">+'COS 1'!T181</f>
        <v>0</v>
      </c>
      <c r="G37" s="2"/>
      <c r="H37" s="2"/>
      <c r="I37" s="2"/>
      <c r="J37" s="2"/>
      <c r="K37" s="2"/>
      <c r="L37" s="2"/>
      <c r="M37" s="2"/>
      <c r="N37" s="2"/>
      <c r="O37" s="2"/>
      <c r="P37" s="2"/>
      <c r="Q37" s="2"/>
      <c r="R37" s="2"/>
      <c r="S37" s="2"/>
      <c r="T37" s="2"/>
      <c r="U37" s="2"/>
      <c r="V37" s="2"/>
      <c r="W37" s="2"/>
    </row>
    <row r="38" spans="1:23" ht="13.35" customHeight="1" x14ac:dyDescent="0.2">
      <c r="A38" s="334" t="s">
        <v>77</v>
      </c>
      <c r="B38" s="338"/>
      <c r="C38" s="334"/>
      <c r="D38" s="641">
        <f ca="1">+'COS 1'!V180</f>
        <v>55347.946461382489</v>
      </c>
      <c r="E38" s="334"/>
      <c r="F38" s="339">
        <f ca="1">+'COS 1'!V181</f>
        <v>2.5000000000000001E-2</v>
      </c>
      <c r="G38" s="2"/>
      <c r="H38" s="2"/>
      <c r="I38" s="2"/>
      <c r="J38" s="2"/>
      <c r="K38" s="2"/>
      <c r="L38" s="2"/>
      <c r="M38" s="2"/>
      <c r="N38" s="2"/>
      <c r="O38" s="2"/>
      <c r="P38" s="2"/>
      <c r="Q38" s="2"/>
      <c r="R38" s="2"/>
      <c r="S38" s="2"/>
      <c r="T38" s="2"/>
      <c r="U38" s="2"/>
      <c r="V38" s="2"/>
      <c r="W38" s="2"/>
    </row>
    <row r="39" spans="1:23" ht="13.35" customHeight="1" x14ac:dyDescent="0.2">
      <c r="A39" s="334" t="s">
        <v>78</v>
      </c>
      <c r="B39" s="338"/>
      <c r="C39" s="334"/>
      <c r="D39" s="641">
        <f ca="1">+'COS 1'!X180</f>
        <v>174044.14755943461</v>
      </c>
      <c r="E39" s="334"/>
      <c r="F39" s="339">
        <f ca="1">+'COS 1'!X181</f>
        <v>7.8700000000000006E-2</v>
      </c>
      <c r="G39" s="2"/>
      <c r="H39" s="2"/>
      <c r="I39" s="2"/>
      <c r="J39" s="2"/>
      <c r="K39" s="2"/>
      <c r="L39" s="2"/>
      <c r="M39" s="2"/>
      <c r="N39" s="2"/>
      <c r="O39" s="2"/>
      <c r="P39" s="2"/>
      <c r="Q39" s="2"/>
      <c r="R39" s="2"/>
      <c r="S39" s="2"/>
      <c r="T39" s="2"/>
      <c r="U39" s="2"/>
      <c r="V39" s="2"/>
      <c r="W39" s="2"/>
    </row>
    <row r="40" spans="1:23" x14ac:dyDescent="0.2">
      <c r="A40" s="334"/>
      <c r="B40" s="338"/>
      <c r="C40" s="334"/>
      <c r="D40" s="342"/>
      <c r="E40" s="334"/>
      <c r="F40" s="343"/>
      <c r="G40" s="2"/>
      <c r="H40" s="2"/>
      <c r="I40" s="2"/>
      <c r="J40" s="2"/>
      <c r="K40" s="2"/>
      <c r="L40" s="2"/>
      <c r="M40" s="2"/>
      <c r="N40" s="2"/>
      <c r="O40" s="2"/>
      <c r="P40" s="2"/>
      <c r="Q40" s="2"/>
      <c r="R40" s="2"/>
      <c r="S40" s="2"/>
      <c r="T40" s="2"/>
      <c r="U40" s="2"/>
      <c r="V40" s="2"/>
      <c r="W40" s="2"/>
    </row>
    <row r="41" spans="1:23" ht="15.75" thickBot="1" x14ac:dyDescent="0.25">
      <c r="A41" s="334" t="s">
        <v>79</v>
      </c>
      <c r="B41" s="338"/>
      <c r="C41" s="334"/>
      <c r="D41" s="640">
        <f ca="1">SUM(D33:D40)</f>
        <v>2211628.3041567942</v>
      </c>
      <c r="E41" s="334"/>
      <c r="F41" s="339">
        <f ca="1">SUM(F33:F40)</f>
        <v>1</v>
      </c>
      <c r="G41" s="2"/>
      <c r="H41" s="2"/>
      <c r="I41" s="2"/>
      <c r="J41" s="2"/>
      <c r="K41" s="2"/>
      <c r="L41" s="2"/>
      <c r="M41" s="2"/>
      <c r="N41" s="2"/>
      <c r="O41" s="2"/>
      <c r="P41" s="2"/>
      <c r="Q41" s="2"/>
      <c r="R41" s="2"/>
      <c r="S41" s="2"/>
      <c r="T41" s="2"/>
      <c r="U41" s="2"/>
      <c r="V41" s="2"/>
      <c r="W41" s="2"/>
    </row>
    <row r="42" spans="1:23" ht="15.75" thickTop="1" x14ac:dyDescent="0.2">
      <c r="A42" s="2"/>
      <c r="B42" s="2"/>
      <c r="C42" s="2"/>
      <c r="D42" s="2"/>
      <c r="E42" s="2"/>
      <c r="F42" s="2"/>
      <c r="G42" s="2"/>
      <c r="H42" s="2"/>
      <c r="I42" s="2"/>
      <c r="J42" s="2"/>
      <c r="K42" s="2"/>
      <c r="L42" s="2"/>
      <c r="M42" s="2"/>
      <c r="N42" s="2"/>
      <c r="O42" s="2"/>
      <c r="P42" s="2"/>
      <c r="Q42" s="2"/>
      <c r="R42" s="2"/>
      <c r="S42" s="2"/>
      <c r="T42" s="2"/>
      <c r="U42" s="2"/>
      <c r="V42" s="2"/>
      <c r="W42" s="2"/>
    </row>
    <row r="43" spans="1:23" x14ac:dyDescent="0.2">
      <c r="A43" s="2"/>
      <c r="B43" s="2"/>
      <c r="C43" s="2"/>
      <c r="D43" s="2"/>
      <c r="E43" s="2"/>
      <c r="F43" s="2"/>
      <c r="G43" s="2"/>
      <c r="H43" s="2"/>
      <c r="I43" s="2"/>
      <c r="J43" s="2"/>
      <c r="K43" s="2"/>
      <c r="L43" s="2"/>
      <c r="M43" s="2"/>
      <c r="N43" s="2"/>
      <c r="O43" s="2"/>
      <c r="P43" s="2"/>
      <c r="Q43" s="2"/>
      <c r="R43" s="2"/>
      <c r="S43" s="2"/>
      <c r="T43" s="2"/>
      <c r="U43" s="2"/>
      <c r="V43" s="2"/>
      <c r="W43" s="2"/>
    </row>
    <row r="44" spans="1:23" x14ac:dyDescent="0.2">
      <c r="A44" s="15" t="s">
        <v>387</v>
      </c>
      <c r="B44" s="1"/>
      <c r="C44" s="15"/>
      <c r="D44" s="1"/>
      <c r="E44" s="1"/>
      <c r="F44" s="1"/>
      <c r="G44" s="2"/>
      <c r="H44" s="2"/>
      <c r="I44" s="2"/>
      <c r="J44" s="2"/>
      <c r="K44" s="2"/>
      <c r="L44" s="2"/>
      <c r="M44" s="2"/>
      <c r="N44" s="2"/>
      <c r="O44" s="2"/>
      <c r="P44" s="2"/>
      <c r="Q44" s="2"/>
      <c r="R44" s="2"/>
      <c r="S44" s="2"/>
      <c r="T44" s="2"/>
      <c r="U44" s="2"/>
      <c r="V44" s="2"/>
      <c r="W44" s="2"/>
    </row>
    <row r="45" spans="1:23" x14ac:dyDescent="0.2">
      <c r="A45" s="1"/>
      <c r="B45" s="1"/>
      <c r="C45" s="1"/>
      <c r="D45" s="1"/>
      <c r="E45" s="1"/>
      <c r="F45" s="1"/>
      <c r="G45" s="2"/>
      <c r="H45" s="2"/>
      <c r="I45" s="2"/>
      <c r="J45" s="2"/>
      <c r="K45" s="2"/>
      <c r="L45" s="2"/>
      <c r="M45" s="2"/>
      <c r="N45" s="2"/>
      <c r="O45" s="2"/>
      <c r="P45" s="2"/>
      <c r="Q45" s="2"/>
      <c r="R45" s="2"/>
      <c r="S45" s="2"/>
      <c r="T45" s="2"/>
      <c r="U45" s="2"/>
      <c r="V45" s="2"/>
      <c r="W45" s="2"/>
    </row>
    <row r="46" spans="1:23" x14ac:dyDescent="0.2">
      <c r="A46" s="333" t="s">
        <v>95</v>
      </c>
      <c r="B46" s="333"/>
      <c r="C46" s="333"/>
      <c r="D46" s="333"/>
      <c r="E46" s="333"/>
      <c r="F46" s="333"/>
      <c r="G46" s="2"/>
      <c r="H46" s="2"/>
      <c r="I46" s="2"/>
      <c r="J46" s="2"/>
      <c r="K46" s="2"/>
      <c r="L46" s="2"/>
      <c r="M46" s="2"/>
      <c r="N46" s="2"/>
      <c r="O46" s="2"/>
      <c r="P46" s="2"/>
      <c r="Q46" s="2"/>
      <c r="R46" s="2"/>
      <c r="S46" s="2"/>
      <c r="T46" s="2"/>
      <c r="U46" s="2"/>
      <c r="V46" s="2"/>
      <c r="W46" s="2"/>
    </row>
    <row r="47" spans="1:23" x14ac:dyDescent="0.2">
      <c r="A47" s="334"/>
      <c r="B47" s="334"/>
      <c r="C47" s="334"/>
      <c r="D47" s="334"/>
      <c r="E47" s="334"/>
      <c r="F47" s="334"/>
      <c r="G47" s="2"/>
      <c r="H47" s="2"/>
      <c r="I47" s="2"/>
      <c r="J47" s="2"/>
      <c r="K47" s="2"/>
      <c r="L47" s="2"/>
      <c r="M47" s="2"/>
      <c r="N47" s="2"/>
      <c r="O47" s="55"/>
      <c r="P47" s="2"/>
      <c r="Q47" s="2"/>
      <c r="R47" s="2"/>
      <c r="S47" s="2"/>
      <c r="T47" s="2"/>
      <c r="U47" s="2"/>
      <c r="V47" s="2"/>
      <c r="W47" s="2"/>
    </row>
    <row r="48" spans="1:23" x14ac:dyDescent="0.2">
      <c r="A48" s="334" t="s">
        <v>447</v>
      </c>
      <c r="B48" s="334"/>
      <c r="C48" s="334"/>
      <c r="D48" s="334"/>
      <c r="E48" s="334"/>
      <c r="F48" s="334"/>
      <c r="G48" s="2"/>
      <c r="O48" s="55"/>
      <c r="P48" s="2"/>
      <c r="Q48" s="2"/>
      <c r="R48" s="2"/>
      <c r="S48" s="2"/>
      <c r="T48" s="2"/>
      <c r="U48" s="2"/>
      <c r="V48" s="2"/>
      <c r="W48" s="2"/>
    </row>
    <row r="49" spans="1:23" x14ac:dyDescent="0.2">
      <c r="A49" s="334"/>
      <c r="B49" s="334"/>
      <c r="C49" s="334"/>
      <c r="D49" s="334"/>
      <c r="E49" s="334"/>
      <c r="F49" s="334"/>
      <c r="G49" s="2"/>
      <c r="O49" s="55"/>
      <c r="P49" s="2"/>
      <c r="Q49" s="2"/>
      <c r="R49" s="2"/>
      <c r="S49" s="2"/>
      <c r="T49" s="2"/>
      <c r="U49" s="2"/>
      <c r="V49" s="2"/>
      <c r="W49" s="2"/>
    </row>
    <row r="50" spans="1:23" ht="14.65" customHeight="1" x14ac:dyDescent="0.2">
      <c r="A50" s="699" t="s">
        <v>49</v>
      </c>
      <c r="B50" s="699"/>
      <c r="C50" s="699"/>
      <c r="D50" s="699"/>
      <c r="E50" s="699"/>
      <c r="F50" s="699"/>
      <c r="G50" s="2"/>
      <c r="O50" s="55"/>
      <c r="P50" s="2"/>
      <c r="Q50" s="2"/>
      <c r="R50" s="2"/>
      <c r="S50" s="2"/>
      <c r="T50" s="2"/>
      <c r="U50" s="2"/>
      <c r="V50" s="2"/>
      <c r="W50" s="2"/>
    </row>
    <row r="51" spans="1:23" x14ac:dyDescent="0.2">
      <c r="A51" s="334"/>
      <c r="B51" s="334"/>
      <c r="C51" s="334"/>
      <c r="D51" s="334"/>
      <c r="E51" s="334"/>
      <c r="F51" s="334"/>
      <c r="G51" s="2"/>
      <c r="O51" s="2"/>
      <c r="P51" s="2"/>
      <c r="Q51" s="2"/>
      <c r="R51" s="2"/>
      <c r="S51" s="2"/>
      <c r="T51" s="2"/>
      <c r="U51" s="2"/>
      <c r="V51" s="2"/>
      <c r="W51" s="2"/>
    </row>
    <row r="52" spans="1:23" x14ac:dyDescent="0.2">
      <c r="A52" s="333" t="s">
        <v>65</v>
      </c>
      <c r="B52" s="333"/>
      <c r="C52" s="334"/>
      <c r="D52" s="335" t="s">
        <v>215</v>
      </c>
      <c r="E52" s="335"/>
      <c r="F52" s="335" t="s">
        <v>67</v>
      </c>
      <c r="G52" s="2"/>
      <c r="O52" s="2"/>
      <c r="P52" s="2"/>
      <c r="Q52" s="2"/>
      <c r="R52" s="2"/>
      <c r="S52" s="2"/>
      <c r="T52" s="2"/>
      <c r="U52" s="2"/>
      <c r="V52" s="2"/>
      <c r="W52" s="2"/>
    </row>
    <row r="53" spans="1:23" x14ac:dyDescent="0.2">
      <c r="A53" s="333" t="s">
        <v>68</v>
      </c>
      <c r="B53" s="333"/>
      <c r="C53" s="334"/>
      <c r="D53" s="335" t="s">
        <v>216</v>
      </c>
      <c r="E53" s="335"/>
      <c r="F53" s="335" t="s">
        <v>69</v>
      </c>
      <c r="G53" s="2"/>
      <c r="O53" s="2"/>
      <c r="P53" s="2"/>
      <c r="Q53" s="2"/>
      <c r="R53" s="2"/>
      <c r="S53" s="2"/>
      <c r="T53" s="2"/>
      <c r="U53" s="2"/>
      <c r="V53" s="2"/>
      <c r="W53" s="2"/>
    </row>
    <row r="54" spans="1:23" x14ac:dyDescent="0.2">
      <c r="A54" s="336" t="s">
        <v>70</v>
      </c>
      <c r="B54" s="336"/>
      <c r="C54" s="334"/>
      <c r="D54" s="337" t="s">
        <v>88</v>
      </c>
      <c r="E54" s="335" t="s">
        <v>172</v>
      </c>
      <c r="F54" s="337" t="s">
        <v>72</v>
      </c>
      <c r="G54" s="2"/>
      <c r="O54" s="2"/>
      <c r="P54" s="2"/>
      <c r="Q54" s="2"/>
      <c r="R54" s="2"/>
      <c r="S54" s="2"/>
      <c r="T54" s="2"/>
      <c r="U54" s="2"/>
      <c r="V54" s="2"/>
      <c r="W54" s="2"/>
    </row>
    <row r="55" spans="1:23" x14ac:dyDescent="0.2">
      <c r="A55" s="334"/>
      <c r="B55" s="338"/>
      <c r="C55" s="334"/>
      <c r="D55" s="334"/>
      <c r="E55" s="334"/>
      <c r="F55" s="339"/>
      <c r="G55" s="2"/>
      <c r="O55" s="2"/>
      <c r="P55" s="2"/>
      <c r="Q55" s="2"/>
      <c r="R55" s="2"/>
      <c r="S55" s="2"/>
      <c r="T55" s="2"/>
      <c r="U55" s="2"/>
      <c r="V55" s="2"/>
      <c r="W55" s="2"/>
    </row>
    <row r="56" spans="1:23" x14ac:dyDescent="0.2">
      <c r="A56" s="334" t="s">
        <v>73</v>
      </c>
      <c r="B56" s="338"/>
      <c r="C56" s="334"/>
      <c r="D56" s="491">
        <f>+'COS 1'!L182</f>
        <v>514201.42120666633</v>
      </c>
      <c r="E56" s="334"/>
      <c r="F56" s="340">
        <f>+'COS 1'!L183</f>
        <v>0.57340000000000002</v>
      </c>
      <c r="G56" s="2"/>
      <c r="O56" s="2"/>
      <c r="P56" s="2"/>
      <c r="Q56" s="2"/>
      <c r="R56" s="2"/>
      <c r="S56" s="2"/>
      <c r="T56" s="2"/>
      <c r="U56" s="2"/>
      <c r="V56" s="2"/>
      <c r="W56" s="2"/>
    </row>
    <row r="57" spans="1:23" x14ac:dyDescent="0.2">
      <c r="A57" s="334" t="s">
        <v>543</v>
      </c>
      <c r="B57" s="338"/>
      <c r="C57" s="334"/>
      <c r="D57" s="641">
        <f>+'COS 1'!N182</f>
        <v>211132.54357291356</v>
      </c>
      <c r="E57" s="334"/>
      <c r="F57" s="339">
        <f>+'COS 1'!N183</f>
        <v>0.23549999999999999</v>
      </c>
      <c r="G57" s="2"/>
      <c r="O57" s="2"/>
      <c r="P57" s="2"/>
      <c r="Q57" s="2"/>
      <c r="R57" s="2"/>
      <c r="S57" s="2"/>
      <c r="T57" s="2"/>
      <c r="U57" s="2"/>
      <c r="V57" s="2"/>
      <c r="W57" s="2"/>
    </row>
    <row r="58" spans="1:23" x14ac:dyDescent="0.2">
      <c r="A58" s="334" t="s">
        <v>75</v>
      </c>
      <c r="B58" s="338"/>
      <c r="C58" s="334"/>
      <c r="D58" s="641">
        <f>+'COS 1'!P182</f>
        <v>64075.733004475733</v>
      </c>
      <c r="E58" s="334"/>
      <c r="F58" s="339">
        <f>+'COS 1'!P183</f>
        <v>7.1499999999999994E-2</v>
      </c>
      <c r="G58" s="2"/>
      <c r="O58" s="2"/>
      <c r="P58" s="2"/>
      <c r="Q58" s="2"/>
      <c r="R58" s="2"/>
      <c r="S58" s="2"/>
      <c r="T58" s="2"/>
      <c r="U58" s="2"/>
      <c r="V58" s="2"/>
      <c r="W58" s="2"/>
    </row>
    <row r="59" spans="1:23" hidden="1" x14ac:dyDescent="0.2">
      <c r="A59" s="334" t="s">
        <v>76</v>
      </c>
      <c r="B59" s="338"/>
      <c r="C59" s="334"/>
      <c r="D59" s="641">
        <f>+'COS 1'!R182</f>
        <v>0</v>
      </c>
      <c r="E59" s="334"/>
      <c r="F59" s="339">
        <f>+'COS 1'!R183</f>
        <v>0</v>
      </c>
      <c r="G59" s="2"/>
      <c r="O59" s="2"/>
      <c r="P59" s="2"/>
      <c r="Q59" s="2"/>
      <c r="R59" s="2"/>
      <c r="S59" s="2"/>
      <c r="T59" s="2"/>
      <c r="U59" s="2"/>
      <c r="V59" s="2"/>
      <c r="W59" s="2"/>
    </row>
    <row r="60" spans="1:23" ht="13.9" hidden="1" customHeight="1" x14ac:dyDescent="0.2">
      <c r="A60" s="334" t="s">
        <v>179</v>
      </c>
      <c r="B60" s="338"/>
      <c r="C60" s="334"/>
      <c r="D60" s="641">
        <f>+'COS 1'!T182</f>
        <v>0</v>
      </c>
      <c r="E60" s="334"/>
      <c r="F60" s="339">
        <f>+'COS 1'!T183</f>
        <v>0</v>
      </c>
      <c r="G60" s="2"/>
      <c r="O60" s="2"/>
      <c r="P60" s="2"/>
      <c r="Q60" s="2"/>
      <c r="R60" s="2"/>
      <c r="S60" s="2"/>
      <c r="T60" s="2"/>
      <c r="U60" s="2"/>
      <c r="V60" s="2"/>
      <c r="W60" s="2"/>
    </row>
    <row r="61" spans="1:23" ht="13.35" customHeight="1" x14ac:dyDescent="0.2">
      <c r="A61" s="334" t="s">
        <v>77</v>
      </c>
      <c r="B61" s="338"/>
      <c r="C61" s="334"/>
      <c r="D61" s="641">
        <f>+'COS 1'!V182</f>
        <v>25656.326849269637</v>
      </c>
      <c r="E61" s="334"/>
      <c r="F61" s="339">
        <f>+'COS 1'!V183</f>
        <v>2.86E-2</v>
      </c>
      <c r="G61" s="2"/>
      <c r="O61" s="2"/>
      <c r="P61" s="2"/>
      <c r="Q61" s="2"/>
      <c r="R61" s="2"/>
      <c r="S61" s="2"/>
      <c r="T61" s="2"/>
      <c r="U61" s="2"/>
      <c r="V61" s="2"/>
      <c r="W61" s="2"/>
    </row>
    <row r="62" spans="1:23" ht="13.35" customHeight="1" x14ac:dyDescent="0.2">
      <c r="A62" s="334" t="s">
        <v>78</v>
      </c>
      <c r="B62" s="338"/>
      <c r="C62" s="334"/>
      <c r="D62" s="641">
        <f>+'COS 1'!X182</f>
        <v>81603.868251790875</v>
      </c>
      <c r="E62" s="334"/>
      <c r="F62" s="339">
        <f>+'COS 1'!X183</f>
        <v>9.0999999999999998E-2</v>
      </c>
      <c r="G62" s="2"/>
      <c r="O62" s="2"/>
      <c r="P62" s="2"/>
      <c r="Q62" s="2"/>
      <c r="R62" s="2"/>
      <c r="S62" s="2"/>
      <c r="T62" s="2"/>
      <c r="U62" s="2"/>
      <c r="V62" s="2"/>
      <c r="W62" s="2"/>
    </row>
    <row r="63" spans="1:23" ht="13.35" customHeight="1" x14ac:dyDescent="0.2">
      <c r="A63" s="334"/>
      <c r="B63" s="338"/>
      <c r="C63" s="334"/>
      <c r="D63" s="342"/>
      <c r="E63" s="334"/>
      <c r="F63" s="343"/>
      <c r="G63" s="2"/>
      <c r="O63" s="2"/>
      <c r="P63" s="2"/>
      <c r="Q63" s="2"/>
      <c r="R63" s="2"/>
      <c r="S63" s="2"/>
      <c r="T63" s="2"/>
      <c r="U63" s="2"/>
      <c r="V63" s="2"/>
      <c r="W63" s="2"/>
    </row>
    <row r="64" spans="1:23" ht="13.35" customHeight="1" thickBot="1" x14ac:dyDescent="0.25">
      <c r="A64" s="334" t="s">
        <v>79</v>
      </c>
      <c r="B64" s="338"/>
      <c r="C64" s="334"/>
      <c r="D64" s="640">
        <f>SUM(D56:D63)</f>
        <v>896669.89288511616</v>
      </c>
      <c r="E64" s="334"/>
      <c r="F64" s="339">
        <f>SUM(F56:F63)</f>
        <v>0.99999999999999989</v>
      </c>
      <c r="G64" s="2"/>
      <c r="O64" s="2"/>
      <c r="P64" s="2"/>
      <c r="Q64" s="2"/>
      <c r="R64" s="2"/>
      <c r="S64" s="2"/>
      <c r="T64" s="2"/>
      <c r="U64" s="2"/>
      <c r="V64" s="2"/>
      <c r="W64" s="2"/>
    </row>
    <row r="65" spans="1:23" ht="13.35" customHeight="1" thickTop="1" x14ac:dyDescent="0.2">
      <c r="A65" s="334"/>
      <c r="B65" s="334"/>
      <c r="C65" s="334"/>
      <c r="D65" s="344"/>
      <c r="E65" s="345"/>
      <c r="F65" s="346"/>
      <c r="G65" s="2"/>
      <c r="O65" s="2"/>
      <c r="P65" s="2"/>
      <c r="Q65" s="2"/>
      <c r="R65" s="2"/>
      <c r="S65" s="2"/>
      <c r="T65" s="2"/>
      <c r="U65" s="2"/>
      <c r="V65" s="2"/>
      <c r="W65" s="2"/>
    </row>
    <row r="66" spans="1:23" ht="13.35" customHeight="1" x14ac:dyDescent="0.2">
      <c r="A66" s="334"/>
      <c r="B66" s="334"/>
      <c r="C66" s="334"/>
      <c r="D66" s="334"/>
      <c r="E66" s="334"/>
      <c r="F66" s="334"/>
      <c r="G66" s="2"/>
      <c r="O66" s="2"/>
      <c r="P66" s="2"/>
      <c r="Q66" s="2"/>
      <c r="R66" s="2"/>
      <c r="S66" s="2"/>
      <c r="T66" s="2"/>
      <c r="U66" s="2"/>
      <c r="V66" s="2"/>
      <c r="W66" s="2"/>
    </row>
    <row r="67" spans="1:23" ht="13.35" customHeight="1" x14ac:dyDescent="0.2">
      <c r="A67" s="334"/>
      <c r="B67" s="334"/>
      <c r="C67" s="334"/>
      <c r="D67" s="334"/>
      <c r="E67" s="334"/>
      <c r="F67" s="334"/>
      <c r="G67" s="2"/>
      <c r="O67" s="2"/>
      <c r="P67" s="2"/>
      <c r="Q67" s="2"/>
      <c r="R67" s="2"/>
      <c r="S67" s="2"/>
      <c r="T67" s="2"/>
      <c r="U67" s="2"/>
      <c r="V67" s="2"/>
      <c r="W67" s="2"/>
    </row>
    <row r="68" spans="1:23" x14ac:dyDescent="0.2">
      <c r="A68" s="334" t="s">
        <v>448</v>
      </c>
      <c r="B68" s="334"/>
      <c r="C68" s="334"/>
      <c r="D68" s="334"/>
      <c r="E68" s="334"/>
      <c r="F68" s="334"/>
      <c r="G68" s="2"/>
      <c r="O68" s="2"/>
      <c r="P68" s="2"/>
      <c r="Q68" s="2"/>
      <c r="R68" s="2"/>
      <c r="S68" s="2"/>
      <c r="T68" s="2"/>
      <c r="U68" s="2"/>
      <c r="V68" s="2"/>
      <c r="W68" s="2"/>
    </row>
    <row r="69" spans="1:23" x14ac:dyDescent="0.2">
      <c r="A69" s="334" t="s">
        <v>52</v>
      </c>
      <c r="B69" s="334"/>
      <c r="C69" s="334"/>
      <c r="D69" s="334"/>
      <c r="E69" s="334"/>
      <c r="F69" s="334"/>
      <c r="G69" s="2"/>
      <c r="O69" s="2"/>
      <c r="P69" s="2"/>
      <c r="Q69" s="2"/>
      <c r="R69" s="2"/>
      <c r="S69" s="2"/>
      <c r="T69" s="2"/>
      <c r="U69" s="2"/>
      <c r="V69" s="2"/>
      <c r="W69" s="2"/>
    </row>
    <row r="70" spans="1:23" x14ac:dyDescent="0.2">
      <c r="A70" s="334"/>
      <c r="B70" s="334"/>
      <c r="C70" s="334"/>
      <c r="D70" s="334"/>
      <c r="E70" s="334"/>
      <c r="F70" s="334"/>
      <c r="G70" s="2"/>
      <c r="O70" s="2"/>
      <c r="P70" s="2"/>
      <c r="Q70" s="2"/>
      <c r="R70" s="2"/>
      <c r="S70" s="2"/>
      <c r="T70" s="2"/>
      <c r="U70" s="2"/>
      <c r="V70" s="2"/>
      <c r="W70" s="2"/>
    </row>
    <row r="71" spans="1:23" ht="28.15" customHeight="1" x14ac:dyDescent="0.2">
      <c r="A71" s="699" t="s">
        <v>217</v>
      </c>
      <c r="B71" s="699"/>
      <c r="C71" s="699"/>
      <c r="D71" s="699"/>
      <c r="E71" s="699"/>
      <c r="F71" s="699"/>
      <c r="G71" s="2"/>
      <c r="O71" s="2"/>
      <c r="P71" s="2"/>
      <c r="Q71" s="2"/>
      <c r="R71" s="2"/>
      <c r="S71" s="2"/>
      <c r="T71" s="2"/>
      <c r="U71" s="2"/>
      <c r="V71" s="2"/>
      <c r="W71" s="2"/>
    </row>
    <row r="72" spans="1:23" x14ac:dyDescent="0.2">
      <c r="A72" s="334"/>
      <c r="B72" s="334"/>
      <c r="C72" s="334"/>
      <c r="D72" s="334"/>
      <c r="E72" s="334"/>
      <c r="F72" s="334"/>
      <c r="G72" s="2"/>
      <c r="O72" s="2"/>
      <c r="P72" s="2"/>
      <c r="Q72" s="2"/>
      <c r="R72" s="2"/>
      <c r="S72" s="2"/>
      <c r="T72" s="2"/>
      <c r="U72" s="2"/>
      <c r="V72" s="2"/>
      <c r="W72" s="2"/>
    </row>
    <row r="73" spans="1:23" x14ac:dyDescent="0.2">
      <c r="A73" s="334"/>
      <c r="B73" s="334"/>
      <c r="C73" s="334"/>
      <c r="D73" s="335" t="s">
        <v>218</v>
      </c>
      <c r="E73" s="335"/>
      <c r="F73" s="335"/>
      <c r="G73" s="2"/>
      <c r="O73" s="2"/>
      <c r="P73" s="2"/>
      <c r="Q73" s="2"/>
      <c r="R73" s="2"/>
      <c r="S73" s="2"/>
      <c r="T73" s="2"/>
      <c r="U73" s="2"/>
      <c r="V73" s="2"/>
      <c r="W73" s="2"/>
    </row>
    <row r="74" spans="1:23" x14ac:dyDescent="0.2">
      <c r="A74" s="333" t="s">
        <v>65</v>
      </c>
      <c r="B74" s="333"/>
      <c r="C74" s="334"/>
      <c r="D74" s="335" t="s">
        <v>219</v>
      </c>
      <c r="E74" s="335"/>
      <c r="F74" s="335" t="s">
        <v>67</v>
      </c>
      <c r="G74" s="2"/>
      <c r="O74" s="2"/>
      <c r="P74" s="2"/>
      <c r="Q74" s="2"/>
      <c r="R74" s="2"/>
      <c r="S74" s="2"/>
      <c r="T74" s="2"/>
      <c r="U74" s="2"/>
      <c r="V74" s="2"/>
      <c r="W74" s="2"/>
    </row>
    <row r="75" spans="1:23" x14ac:dyDescent="0.2">
      <c r="A75" s="333" t="s">
        <v>68</v>
      </c>
      <c r="B75" s="333"/>
      <c r="C75" s="334"/>
      <c r="D75" s="335" t="s">
        <v>220</v>
      </c>
      <c r="E75" s="335"/>
      <c r="F75" s="335" t="s">
        <v>69</v>
      </c>
      <c r="G75" s="2"/>
      <c r="O75" s="2"/>
      <c r="P75" s="2"/>
      <c r="Q75" s="2"/>
      <c r="R75" s="2"/>
      <c r="S75" s="2"/>
      <c r="T75" s="2"/>
      <c r="U75" s="2"/>
      <c r="V75" s="2"/>
      <c r="W75" s="2"/>
    </row>
    <row r="76" spans="1:23" x14ac:dyDescent="0.2">
      <c r="A76" s="336" t="s">
        <v>70</v>
      </c>
      <c r="B76" s="336"/>
      <c r="C76" s="334"/>
      <c r="D76" s="337" t="s">
        <v>88</v>
      </c>
      <c r="E76" s="335" t="s">
        <v>172</v>
      </c>
      <c r="F76" s="337" t="s">
        <v>72</v>
      </c>
      <c r="G76" s="2"/>
      <c r="O76" s="2"/>
      <c r="P76" s="2"/>
      <c r="Q76" s="2"/>
      <c r="R76" s="2"/>
      <c r="S76" s="2"/>
      <c r="T76" s="2"/>
      <c r="U76" s="2"/>
      <c r="V76" s="2"/>
      <c r="W76" s="2"/>
    </row>
    <row r="77" spans="1:23" x14ac:dyDescent="0.2">
      <c r="A77" s="334"/>
      <c r="B77" s="338"/>
      <c r="C77" s="334"/>
      <c r="D77" s="334"/>
      <c r="E77" s="334"/>
      <c r="F77" s="339"/>
      <c r="G77" s="2"/>
      <c r="O77" s="2"/>
      <c r="P77" s="2"/>
      <c r="Q77" s="2"/>
      <c r="R77" s="2"/>
      <c r="S77" s="2"/>
      <c r="T77" s="2"/>
      <c r="U77" s="2"/>
      <c r="V77" s="2"/>
      <c r="W77" s="2"/>
    </row>
    <row r="78" spans="1:23" x14ac:dyDescent="0.2">
      <c r="A78" s="334" t="s">
        <v>73</v>
      </c>
      <c r="B78" s="338"/>
      <c r="C78" s="334"/>
      <c r="D78" s="491">
        <f>+'COS 1'!L184</f>
        <v>3681217.5523251798</v>
      </c>
      <c r="E78" s="334"/>
      <c r="F78" s="340">
        <f>+'COS 1'!L185</f>
        <v>0.57640000000000002</v>
      </c>
      <c r="G78" s="2"/>
      <c r="O78" s="2"/>
      <c r="P78" s="2"/>
      <c r="Q78" s="2"/>
      <c r="R78" s="2"/>
      <c r="S78" s="2"/>
      <c r="T78" s="2"/>
      <c r="U78" s="2"/>
      <c r="V78" s="2"/>
      <c r="W78" s="2"/>
    </row>
    <row r="79" spans="1:23" x14ac:dyDescent="0.2">
      <c r="A79" s="334" t="s">
        <v>543</v>
      </c>
      <c r="B79" s="338"/>
      <c r="C79" s="334"/>
      <c r="D79" s="641">
        <f>+'COS 1'!N184</f>
        <v>1448118.5910512009</v>
      </c>
      <c r="E79" s="334"/>
      <c r="F79" s="339">
        <f>+'COS 1'!N185</f>
        <v>0.2268</v>
      </c>
      <c r="G79" s="2"/>
      <c r="O79" s="2"/>
      <c r="P79" s="2"/>
      <c r="Q79" s="2"/>
      <c r="R79" s="2"/>
      <c r="S79" s="2"/>
      <c r="T79" s="2"/>
      <c r="U79" s="2"/>
      <c r="V79" s="2"/>
      <c r="W79" s="2"/>
    </row>
    <row r="80" spans="1:23" x14ac:dyDescent="0.2">
      <c r="A80" s="334" t="s">
        <v>75</v>
      </c>
      <c r="B80" s="338"/>
      <c r="C80" s="334"/>
      <c r="D80" s="641">
        <f>+'COS 1'!P184</f>
        <v>417978.5659173294</v>
      </c>
      <c r="E80" s="334"/>
      <c r="F80" s="339">
        <f>+'COS 1'!P185</f>
        <v>6.5500000000000003E-2</v>
      </c>
      <c r="G80" s="2"/>
      <c r="O80" s="2"/>
      <c r="P80" s="2"/>
      <c r="Q80" s="2"/>
      <c r="R80" s="2"/>
      <c r="S80" s="2"/>
      <c r="T80" s="2"/>
      <c r="U80" s="2"/>
      <c r="V80" s="2"/>
      <c r="W80" s="2"/>
    </row>
    <row r="81" spans="1:23" hidden="1" x14ac:dyDescent="0.2">
      <c r="A81" s="334" t="s">
        <v>76</v>
      </c>
      <c r="B81" s="338"/>
      <c r="C81" s="334"/>
      <c r="D81" s="641">
        <f>+'COS 1'!R184</f>
        <v>0</v>
      </c>
      <c r="E81" s="334"/>
      <c r="F81" s="339">
        <f>+'COS 1'!R185</f>
        <v>0</v>
      </c>
      <c r="G81" s="2"/>
      <c r="O81" s="2"/>
      <c r="P81" s="2"/>
      <c r="Q81" s="2"/>
      <c r="R81" s="2"/>
      <c r="S81" s="2"/>
      <c r="T81" s="2"/>
      <c r="U81" s="2"/>
      <c r="V81" s="2"/>
      <c r="W81" s="2"/>
    </row>
    <row r="82" spans="1:23" ht="13.9" hidden="1" customHeight="1" x14ac:dyDescent="0.2">
      <c r="A82" s="334" t="s">
        <v>179</v>
      </c>
      <c r="B82" s="338"/>
      <c r="C82" s="334"/>
      <c r="D82" s="641">
        <f>+'COS 1'!T184</f>
        <v>0</v>
      </c>
      <c r="E82" s="334"/>
      <c r="F82" s="339">
        <f>+'COS 1'!T185</f>
        <v>0</v>
      </c>
      <c r="G82" s="2"/>
      <c r="O82" s="2"/>
      <c r="P82" s="2"/>
      <c r="Q82" s="2"/>
      <c r="R82" s="2"/>
      <c r="S82" s="2"/>
      <c r="T82" s="2"/>
      <c r="U82" s="2"/>
      <c r="V82" s="2"/>
      <c r="W82" s="2"/>
    </row>
    <row r="83" spans="1:23" ht="13.35" customHeight="1" x14ac:dyDescent="0.2">
      <c r="A83" s="334" t="s">
        <v>77</v>
      </c>
      <c r="B83" s="338"/>
      <c r="C83" s="334"/>
      <c r="D83" s="641">
        <f>+'COS 1'!V184</f>
        <v>131810.18940463927</v>
      </c>
      <c r="E83" s="334"/>
      <c r="F83" s="339">
        <f>+'COS 1'!V185</f>
        <v>2.06E-2</v>
      </c>
      <c r="G83" s="2"/>
      <c r="O83" s="2"/>
      <c r="P83" s="2"/>
      <c r="Q83" s="2"/>
      <c r="R83" s="2"/>
      <c r="S83" s="2"/>
      <c r="T83" s="2"/>
      <c r="U83" s="2"/>
      <c r="V83" s="2"/>
      <c r="W83" s="2"/>
    </row>
    <row r="84" spans="1:23" ht="13.35" customHeight="1" x14ac:dyDescent="0.2">
      <c r="A84" s="334" t="s">
        <v>78</v>
      </c>
      <c r="B84" s="338"/>
      <c r="C84" s="334"/>
      <c r="D84" s="641">
        <f>+'COS 1'!X184</f>
        <v>706593.45064073126</v>
      </c>
      <c r="E84" s="334"/>
      <c r="F84" s="339">
        <f>+'COS 1'!X185</f>
        <v>0.11070000000000001</v>
      </c>
      <c r="G84" s="2"/>
      <c r="O84" s="2"/>
      <c r="P84" s="2"/>
      <c r="Q84" s="2"/>
      <c r="R84" s="2"/>
      <c r="S84" s="2"/>
      <c r="T84" s="2"/>
      <c r="U84" s="2"/>
      <c r="V84" s="2"/>
      <c r="W84" s="2"/>
    </row>
    <row r="85" spans="1:23" ht="13.35" customHeight="1" x14ac:dyDescent="0.2">
      <c r="A85" s="334"/>
      <c r="B85" s="338"/>
      <c r="C85" s="334"/>
      <c r="D85" s="342"/>
      <c r="E85" s="334"/>
      <c r="F85" s="343"/>
      <c r="G85" s="2"/>
      <c r="O85" s="2"/>
      <c r="P85" s="2"/>
      <c r="Q85" s="2"/>
      <c r="R85" s="2"/>
      <c r="S85" s="2"/>
      <c r="T85" s="2"/>
      <c r="U85" s="2"/>
      <c r="V85" s="2"/>
      <c r="W85" s="2"/>
    </row>
    <row r="86" spans="1:23" ht="13.35" customHeight="1" thickBot="1" x14ac:dyDescent="0.25">
      <c r="A86" s="334" t="s">
        <v>79</v>
      </c>
      <c r="B86" s="338"/>
      <c r="C86" s="334"/>
      <c r="D86" s="640">
        <f>SUM(D78:D85)</f>
        <v>6385718.349339081</v>
      </c>
      <c r="E86" s="334"/>
      <c r="F86" s="339">
        <f>SUM(F78:F85)</f>
        <v>1</v>
      </c>
      <c r="G86" s="2"/>
      <c r="O86" s="2"/>
      <c r="P86" s="2"/>
      <c r="Q86" s="2"/>
      <c r="R86" s="2"/>
      <c r="S86" s="2"/>
      <c r="T86" s="2"/>
      <c r="U86" s="2"/>
      <c r="V86" s="2"/>
      <c r="W86" s="2"/>
    </row>
    <row r="87" spans="1:23" ht="13.35" customHeight="1" thickTop="1" x14ac:dyDescent="0.2">
      <c r="A87" s="334"/>
      <c r="B87" s="334"/>
      <c r="C87" s="334"/>
      <c r="D87" s="344"/>
      <c r="E87" s="345"/>
      <c r="F87" s="346"/>
      <c r="G87" s="2"/>
      <c r="O87" s="2"/>
      <c r="P87" s="2"/>
      <c r="Q87" s="2"/>
      <c r="R87" s="2"/>
      <c r="S87" s="2"/>
      <c r="T87" s="2"/>
      <c r="U87" s="2"/>
      <c r="V87" s="2"/>
      <c r="W87" s="2"/>
    </row>
    <row r="88" spans="1:23" x14ac:dyDescent="0.2">
      <c r="A88" s="15" t="s">
        <v>387</v>
      </c>
      <c r="B88" s="1"/>
      <c r="C88" s="15"/>
      <c r="D88" s="1"/>
      <c r="E88" s="1"/>
      <c r="F88" s="1"/>
      <c r="G88" s="2"/>
      <c r="O88" s="2"/>
      <c r="P88" s="2"/>
      <c r="Q88" s="2"/>
      <c r="R88" s="2"/>
      <c r="S88" s="2"/>
      <c r="T88" s="2"/>
      <c r="U88" s="2"/>
      <c r="V88" s="2"/>
      <c r="W88" s="2"/>
    </row>
    <row r="89" spans="1:23" x14ac:dyDescent="0.2">
      <c r="A89" s="1"/>
      <c r="B89" s="1"/>
      <c r="C89" s="1"/>
      <c r="D89" s="1"/>
      <c r="E89" s="1"/>
      <c r="F89" s="1"/>
      <c r="G89" s="2"/>
      <c r="O89" s="2"/>
      <c r="P89" s="2"/>
      <c r="Q89" s="2"/>
      <c r="R89" s="2"/>
      <c r="S89" s="2"/>
      <c r="T89" s="2"/>
      <c r="U89" s="2"/>
      <c r="V89" s="2"/>
      <c r="W89" s="2"/>
    </row>
    <row r="90" spans="1:23" x14ac:dyDescent="0.2">
      <c r="A90" s="333" t="s">
        <v>95</v>
      </c>
      <c r="B90" s="333"/>
      <c r="C90" s="333"/>
      <c r="D90" s="333"/>
      <c r="E90" s="333"/>
      <c r="F90" s="333"/>
      <c r="G90" s="2"/>
      <c r="O90" s="2"/>
      <c r="P90" s="2"/>
      <c r="Q90" s="2"/>
      <c r="R90" s="2"/>
      <c r="S90" s="2"/>
      <c r="T90" s="2"/>
      <c r="U90" s="2"/>
      <c r="V90" s="2"/>
      <c r="W90" s="2"/>
    </row>
    <row r="91" spans="1:23" x14ac:dyDescent="0.2">
      <c r="A91" s="334"/>
      <c r="B91" s="334"/>
      <c r="C91" s="334"/>
      <c r="D91" s="334"/>
      <c r="E91" s="334"/>
      <c r="F91" s="334"/>
      <c r="G91" s="2"/>
      <c r="H91" s="2"/>
      <c r="I91" s="2"/>
      <c r="J91" s="2"/>
      <c r="K91" s="2"/>
      <c r="L91" s="2"/>
      <c r="M91" s="2"/>
      <c r="N91" s="2"/>
      <c r="O91" s="2"/>
      <c r="P91" s="2"/>
      <c r="Q91" s="2"/>
      <c r="R91" s="2"/>
      <c r="S91" s="7"/>
      <c r="T91" s="2"/>
      <c r="U91" s="55"/>
      <c r="V91" s="2"/>
      <c r="W91" s="2"/>
    </row>
    <row r="92" spans="1:23" x14ac:dyDescent="0.2">
      <c r="A92" s="334" t="s">
        <v>449</v>
      </c>
      <c r="B92" s="334"/>
      <c r="C92" s="334"/>
      <c r="D92" s="334"/>
      <c r="E92" s="334"/>
      <c r="F92" s="334"/>
      <c r="G92" s="2"/>
      <c r="H92" s="2"/>
      <c r="I92" s="2"/>
      <c r="J92" s="2"/>
      <c r="K92" s="2"/>
      <c r="L92" s="2"/>
      <c r="M92" s="2"/>
      <c r="N92" s="2"/>
      <c r="O92" s="2"/>
      <c r="P92" s="2"/>
      <c r="Q92" s="2"/>
      <c r="R92" s="2"/>
      <c r="S92" s="7"/>
      <c r="T92" s="2"/>
      <c r="U92" s="55"/>
      <c r="V92" s="2"/>
      <c r="W92" s="2"/>
    </row>
    <row r="93" spans="1:23" x14ac:dyDescent="0.2">
      <c r="A93" s="334"/>
      <c r="B93" s="334"/>
      <c r="C93" s="334"/>
      <c r="D93" s="334"/>
      <c r="E93" s="334"/>
      <c r="F93" s="334"/>
      <c r="G93" s="2"/>
      <c r="H93" s="2"/>
      <c r="I93" s="2"/>
      <c r="J93" s="2"/>
      <c r="K93" s="2"/>
      <c r="L93" s="2"/>
      <c r="M93" s="2"/>
      <c r="N93" s="2"/>
      <c r="O93" s="2"/>
      <c r="P93" s="2"/>
      <c r="Q93" s="2"/>
      <c r="R93" s="2"/>
      <c r="S93" s="7"/>
      <c r="T93" s="2"/>
      <c r="U93" s="55"/>
      <c r="V93" s="2"/>
      <c r="W93" s="2"/>
    </row>
    <row r="94" spans="1:23" ht="28.15" customHeight="1" x14ac:dyDescent="0.2">
      <c r="A94" s="699" t="s">
        <v>221</v>
      </c>
      <c r="B94" s="699"/>
      <c r="C94" s="699"/>
      <c r="D94" s="699"/>
      <c r="E94" s="699"/>
      <c r="F94" s="699"/>
      <c r="G94" s="2"/>
      <c r="H94" s="2"/>
      <c r="I94" s="2"/>
      <c r="J94" s="2"/>
      <c r="K94" s="2"/>
      <c r="L94" s="2"/>
      <c r="M94" s="2"/>
      <c r="N94" s="2"/>
      <c r="O94" s="2"/>
      <c r="P94" s="2"/>
      <c r="Q94" s="2"/>
      <c r="R94" s="2"/>
      <c r="S94" s="7"/>
      <c r="T94" s="2"/>
      <c r="U94" s="55"/>
      <c r="V94" s="2"/>
      <c r="W94" s="2"/>
    </row>
    <row r="95" spans="1:23" x14ac:dyDescent="0.2">
      <c r="A95" s="334"/>
      <c r="B95" s="334"/>
      <c r="C95" s="334"/>
      <c r="D95" s="334"/>
      <c r="E95" s="334"/>
      <c r="F95" s="334"/>
      <c r="G95" s="2"/>
      <c r="H95" s="2"/>
      <c r="I95" s="2"/>
      <c r="J95" s="2"/>
      <c r="K95" s="2"/>
      <c r="L95" s="2"/>
      <c r="M95" s="2"/>
      <c r="N95" s="2"/>
      <c r="O95" s="2"/>
    </row>
    <row r="96" spans="1:23" x14ac:dyDescent="0.2">
      <c r="A96" s="334"/>
      <c r="B96" s="334"/>
      <c r="C96" s="334"/>
      <c r="D96" s="335" t="s">
        <v>218</v>
      </c>
      <c r="E96" s="335"/>
      <c r="F96" s="335"/>
      <c r="G96" s="2"/>
      <c r="H96" s="2"/>
      <c r="I96" s="2"/>
      <c r="J96" s="2"/>
      <c r="K96" s="2"/>
      <c r="L96" s="2"/>
      <c r="M96" s="2"/>
      <c r="N96" s="2"/>
      <c r="O96" s="2"/>
    </row>
    <row r="97" spans="1:15" x14ac:dyDescent="0.2">
      <c r="A97" s="333" t="s">
        <v>65</v>
      </c>
      <c r="B97" s="333"/>
      <c r="C97" s="334"/>
      <c r="D97" s="335" t="s">
        <v>222</v>
      </c>
      <c r="E97" s="335"/>
      <c r="F97" s="335" t="s">
        <v>67</v>
      </c>
      <c r="G97" s="2"/>
      <c r="H97" s="2"/>
      <c r="I97" s="2"/>
      <c r="J97" s="2"/>
      <c r="K97" s="2"/>
      <c r="L97" s="2"/>
      <c r="M97" s="2"/>
      <c r="N97" s="2"/>
      <c r="O97" s="2"/>
    </row>
    <row r="98" spans="1:15" x14ac:dyDescent="0.2">
      <c r="A98" s="333" t="s">
        <v>68</v>
      </c>
      <c r="B98" s="333"/>
      <c r="C98" s="334"/>
      <c r="D98" s="335" t="s">
        <v>223</v>
      </c>
      <c r="E98" s="335"/>
      <c r="F98" s="335" t="s">
        <v>69</v>
      </c>
      <c r="G98" s="2"/>
      <c r="H98" s="2"/>
      <c r="I98" s="2"/>
      <c r="J98" s="2"/>
      <c r="K98" s="2"/>
      <c r="L98" s="2"/>
      <c r="M98" s="2"/>
      <c r="N98" s="2"/>
      <c r="O98" s="2"/>
    </row>
    <row r="99" spans="1:15" x14ac:dyDescent="0.2">
      <c r="A99" s="336" t="s">
        <v>70</v>
      </c>
      <c r="B99" s="336"/>
      <c r="C99" s="334"/>
      <c r="D99" s="337" t="s">
        <v>88</v>
      </c>
      <c r="E99" s="335" t="s">
        <v>172</v>
      </c>
      <c r="F99" s="337" t="s">
        <v>72</v>
      </c>
      <c r="G99" s="2"/>
      <c r="H99" s="2"/>
      <c r="I99" s="2"/>
      <c r="J99" s="2"/>
      <c r="K99" s="2"/>
      <c r="L99" s="2"/>
      <c r="M99" s="2"/>
      <c r="N99" s="2"/>
      <c r="O99" s="2"/>
    </row>
    <row r="100" spans="1:15" x14ac:dyDescent="0.2">
      <c r="A100" s="334"/>
      <c r="B100" s="338"/>
      <c r="C100" s="334"/>
      <c r="D100" s="334"/>
      <c r="E100" s="334"/>
      <c r="F100" s="339"/>
      <c r="G100" s="2"/>
      <c r="H100" s="2"/>
      <c r="I100" s="2"/>
      <c r="J100" s="2"/>
      <c r="K100" s="2"/>
      <c r="L100" s="2"/>
      <c r="M100" s="2"/>
      <c r="N100" s="2"/>
      <c r="O100" s="2"/>
    </row>
    <row r="101" spans="1:15" x14ac:dyDescent="0.2">
      <c r="A101" s="334" t="s">
        <v>73</v>
      </c>
      <c r="B101" s="338"/>
      <c r="C101" s="334"/>
      <c r="D101" s="491">
        <f ca="1">+'COS 1'!L186</f>
        <v>3507132.0934995799</v>
      </c>
      <c r="E101" s="334"/>
      <c r="F101" s="340">
        <f ca="1">+'COS 1'!L187</f>
        <v>0.5746</v>
      </c>
      <c r="G101" s="2"/>
      <c r="H101" s="2"/>
      <c r="I101" s="2"/>
      <c r="J101" s="2"/>
      <c r="K101" s="2"/>
      <c r="L101" s="2"/>
      <c r="M101" s="2"/>
      <c r="N101" s="2"/>
      <c r="O101" s="2"/>
    </row>
    <row r="102" spans="1:15" x14ac:dyDescent="0.2">
      <c r="A102" s="334" t="s">
        <v>543</v>
      </c>
      <c r="B102" s="338"/>
      <c r="C102" s="334"/>
      <c r="D102" s="641">
        <f ca="1">+'COS 1'!N186</f>
        <v>1393160.6187900009</v>
      </c>
      <c r="E102" s="334"/>
      <c r="F102" s="339">
        <f ca="1">+'COS 1'!N187</f>
        <v>0.22819999999999999</v>
      </c>
      <c r="G102" s="2"/>
      <c r="H102" s="2"/>
      <c r="I102" s="2"/>
      <c r="J102" s="2"/>
      <c r="K102" s="2"/>
      <c r="L102" s="2"/>
      <c r="M102" s="2"/>
      <c r="N102" s="2"/>
      <c r="O102" s="2"/>
    </row>
    <row r="103" spans="1:15" x14ac:dyDescent="0.2">
      <c r="A103" s="334" t="s">
        <v>75</v>
      </c>
      <c r="B103" s="338"/>
      <c r="C103" s="334"/>
      <c r="D103" s="641">
        <f ca="1">+'COS 1'!P186</f>
        <v>405313.21667732939</v>
      </c>
      <c r="E103" s="334"/>
      <c r="F103" s="339">
        <f ca="1">+'COS 1'!P187</f>
        <v>6.6400000000000001E-2</v>
      </c>
      <c r="G103" s="2"/>
      <c r="H103" s="2"/>
      <c r="I103" s="2"/>
      <c r="J103" s="2"/>
      <c r="K103" s="2"/>
      <c r="L103" s="2"/>
      <c r="M103" s="2"/>
      <c r="N103" s="2"/>
      <c r="O103" s="2"/>
    </row>
    <row r="104" spans="1:15" hidden="1" x14ac:dyDescent="0.2">
      <c r="A104" s="334" t="s">
        <v>76</v>
      </c>
      <c r="B104" s="338"/>
      <c r="C104" s="334"/>
      <c r="D104" s="641">
        <f ca="1">+'COS 1'!R186</f>
        <v>0</v>
      </c>
      <c r="E104" s="334"/>
      <c r="F104" s="339">
        <f ca="1">+'COS 1'!R187</f>
        <v>0</v>
      </c>
      <c r="G104" s="2"/>
      <c r="H104" s="2"/>
      <c r="I104" s="2"/>
      <c r="J104" s="2"/>
      <c r="K104" s="2"/>
      <c r="L104" s="2"/>
      <c r="M104" s="2"/>
      <c r="N104" s="2"/>
      <c r="O104" s="2"/>
    </row>
    <row r="105" spans="1:15" hidden="1" x14ac:dyDescent="0.2">
      <c r="A105" s="334" t="s">
        <v>179</v>
      </c>
      <c r="B105" s="338"/>
      <c r="C105" s="334"/>
      <c r="D105" s="641">
        <f ca="1">+'COS 1'!T186</f>
        <v>0</v>
      </c>
      <c r="E105" s="334"/>
      <c r="F105" s="339">
        <f ca="1">+'COS 1'!T187</f>
        <v>0</v>
      </c>
      <c r="G105" s="2"/>
      <c r="H105" s="2"/>
      <c r="I105" s="2"/>
      <c r="J105" s="2"/>
      <c r="K105" s="2"/>
      <c r="L105" s="2"/>
      <c r="M105" s="2"/>
      <c r="N105" s="2"/>
      <c r="O105" s="2"/>
    </row>
    <row r="106" spans="1:15" x14ac:dyDescent="0.2">
      <c r="A106" s="334" t="s">
        <v>77</v>
      </c>
      <c r="B106" s="338"/>
      <c r="C106" s="334"/>
      <c r="D106" s="641">
        <f ca="1">+'COS 1'!V186</f>
        <v>127692.86969423923</v>
      </c>
      <c r="E106" s="334"/>
      <c r="F106" s="339">
        <f ca="1">+'COS 1'!V187</f>
        <v>2.0899999999999998E-2</v>
      </c>
      <c r="G106" s="2"/>
      <c r="H106" s="2"/>
      <c r="I106" s="2"/>
      <c r="J106" s="2"/>
      <c r="K106" s="2"/>
      <c r="L106" s="2"/>
      <c r="M106" s="2"/>
      <c r="N106" s="2"/>
      <c r="O106" s="2"/>
    </row>
    <row r="107" spans="1:15" x14ac:dyDescent="0.2">
      <c r="A107" s="334" t="s">
        <v>78</v>
      </c>
      <c r="B107" s="338"/>
      <c r="C107" s="334"/>
      <c r="D107" s="641">
        <f ca="1">+'COS 1'!X186</f>
        <v>671105.7866779312</v>
      </c>
      <c r="E107" s="334"/>
      <c r="F107" s="339">
        <f ca="1">+'COS 1'!X187</f>
        <v>0.1099</v>
      </c>
      <c r="G107" s="2"/>
      <c r="H107" s="2"/>
      <c r="I107" s="2"/>
      <c r="J107" s="2"/>
      <c r="K107" s="2"/>
      <c r="L107" s="2"/>
      <c r="M107" s="2"/>
      <c r="N107" s="2"/>
      <c r="O107" s="2"/>
    </row>
    <row r="108" spans="1:15" ht="12.75" customHeight="1" x14ac:dyDescent="0.2">
      <c r="A108" s="334"/>
      <c r="B108" s="338"/>
      <c r="C108" s="334"/>
      <c r="D108" s="342"/>
      <c r="E108" s="334"/>
      <c r="F108" s="343"/>
      <c r="G108" s="2"/>
      <c r="H108" s="2"/>
      <c r="I108" s="2"/>
      <c r="J108" s="2"/>
      <c r="K108" s="2"/>
      <c r="L108" s="2"/>
      <c r="M108" s="2"/>
      <c r="N108" s="2"/>
      <c r="O108" s="2"/>
    </row>
    <row r="109" spans="1:15" ht="13.35" customHeight="1" thickBot="1" x14ac:dyDescent="0.25">
      <c r="A109" s="334" t="s">
        <v>79</v>
      </c>
      <c r="B109" s="338"/>
      <c r="C109" s="334"/>
      <c r="D109" s="640">
        <f ca="1">SUM(D101:D108)</f>
        <v>6104404.5853390815</v>
      </c>
      <c r="E109" s="334"/>
      <c r="F109" s="339">
        <f ca="1">SUM(F101:F108)</f>
        <v>1</v>
      </c>
      <c r="G109" s="2"/>
      <c r="H109" s="2"/>
      <c r="I109" s="2"/>
      <c r="J109" s="2"/>
      <c r="K109" s="2"/>
      <c r="L109" s="2"/>
      <c r="M109" s="2"/>
      <c r="N109" s="2"/>
      <c r="O109" s="2"/>
    </row>
    <row r="110" spans="1:15" ht="13.35" customHeight="1" thickTop="1" x14ac:dyDescent="0.2">
      <c r="A110" s="334"/>
      <c r="B110" s="334"/>
      <c r="C110" s="334"/>
      <c r="D110" s="344"/>
      <c r="E110" s="345"/>
      <c r="F110" s="346"/>
      <c r="G110" s="2"/>
      <c r="H110" s="2"/>
      <c r="I110" s="2"/>
      <c r="J110" s="2"/>
      <c r="K110" s="2"/>
      <c r="L110" s="2"/>
      <c r="M110" s="2"/>
      <c r="N110" s="2"/>
      <c r="O110" s="2"/>
    </row>
    <row r="111" spans="1:15" ht="13.35" customHeight="1" x14ac:dyDescent="0.2">
      <c r="A111" s="334"/>
      <c r="B111" s="334"/>
      <c r="C111" s="334"/>
      <c r="D111" s="334"/>
      <c r="E111" s="334"/>
      <c r="F111" s="334"/>
      <c r="G111" s="2"/>
      <c r="H111" s="2"/>
      <c r="I111" s="2"/>
      <c r="J111" s="2"/>
      <c r="K111" s="2"/>
      <c r="L111" s="2"/>
      <c r="M111" s="2"/>
      <c r="N111" s="2"/>
      <c r="O111" s="2"/>
    </row>
    <row r="112" spans="1:15" ht="13.35" customHeight="1" x14ac:dyDescent="0.2">
      <c r="A112" s="334" t="s">
        <v>450</v>
      </c>
      <c r="B112" s="334"/>
      <c r="C112" s="334"/>
      <c r="D112" s="334"/>
      <c r="E112" s="334"/>
      <c r="F112" s="334"/>
      <c r="G112" s="2"/>
      <c r="H112" s="2"/>
      <c r="I112" s="2"/>
      <c r="J112" s="2"/>
      <c r="K112" s="2"/>
      <c r="L112" s="2"/>
      <c r="M112" s="2"/>
      <c r="N112" s="2"/>
      <c r="O112" s="2"/>
    </row>
    <row r="113" spans="1:15" ht="13.35" customHeight="1" x14ac:dyDescent="0.2">
      <c r="A113" s="334" t="s">
        <v>385</v>
      </c>
      <c r="B113" s="334"/>
      <c r="C113" s="334"/>
      <c r="D113" s="334"/>
      <c r="E113" s="334"/>
      <c r="F113" s="334"/>
      <c r="G113" s="2"/>
      <c r="H113" s="2"/>
      <c r="I113" s="2"/>
      <c r="J113" s="2"/>
      <c r="K113" s="2"/>
      <c r="L113" s="2"/>
      <c r="M113" s="2"/>
      <c r="N113" s="2"/>
      <c r="O113" s="2"/>
    </row>
    <row r="114" spans="1:15" ht="13.35" customHeight="1" x14ac:dyDescent="0.2">
      <c r="A114" s="334"/>
      <c r="B114" s="334"/>
      <c r="C114" s="334"/>
      <c r="D114" s="334"/>
      <c r="E114" s="334"/>
      <c r="F114" s="334"/>
      <c r="G114" s="2"/>
      <c r="H114" s="2"/>
      <c r="I114" s="2"/>
      <c r="J114" s="2"/>
      <c r="K114" s="2"/>
      <c r="L114" s="2"/>
      <c r="M114" s="2"/>
      <c r="N114" s="2"/>
      <c r="O114" s="2"/>
    </row>
    <row r="115" spans="1:15" ht="29.25" customHeight="1" x14ac:dyDescent="0.2">
      <c r="A115" s="699" t="s">
        <v>224</v>
      </c>
      <c r="B115" s="699"/>
      <c r="C115" s="699"/>
      <c r="D115" s="699"/>
      <c r="E115" s="699"/>
      <c r="F115" s="699"/>
      <c r="G115" s="2"/>
      <c r="H115" s="2"/>
      <c r="I115" s="2"/>
      <c r="J115" s="2"/>
      <c r="K115" s="2"/>
      <c r="L115" s="2"/>
      <c r="M115" s="2"/>
      <c r="N115" s="2"/>
      <c r="O115" s="2"/>
    </row>
    <row r="116" spans="1:15" x14ac:dyDescent="0.2">
      <c r="A116" s="334"/>
      <c r="B116" s="334"/>
      <c r="C116" s="334"/>
      <c r="D116" s="334"/>
      <c r="E116" s="334"/>
      <c r="F116" s="334"/>
      <c r="G116" s="2"/>
      <c r="H116" s="2"/>
      <c r="I116" s="2"/>
      <c r="J116" s="2"/>
      <c r="K116" s="2"/>
      <c r="L116" s="2"/>
      <c r="M116" s="2"/>
      <c r="N116" s="2"/>
      <c r="O116" s="2"/>
    </row>
    <row r="117" spans="1:15" x14ac:dyDescent="0.2">
      <c r="A117" s="333" t="s">
        <v>65</v>
      </c>
      <c r="B117" s="333"/>
      <c r="C117" s="334"/>
      <c r="D117" s="335" t="s">
        <v>225</v>
      </c>
      <c r="E117" s="335"/>
      <c r="F117" s="335" t="s">
        <v>67</v>
      </c>
      <c r="G117" s="2"/>
      <c r="H117" s="2"/>
      <c r="I117" s="2"/>
      <c r="J117" s="2"/>
      <c r="K117" s="2"/>
      <c r="L117" s="2"/>
      <c r="M117" s="2"/>
      <c r="N117" s="2"/>
      <c r="O117" s="2"/>
    </row>
    <row r="118" spans="1:15" x14ac:dyDescent="0.2">
      <c r="A118" s="333" t="s">
        <v>68</v>
      </c>
      <c r="B118" s="333"/>
      <c r="C118" s="334"/>
      <c r="D118" s="335" t="s">
        <v>226</v>
      </c>
      <c r="E118" s="335"/>
      <c r="F118" s="335" t="s">
        <v>69</v>
      </c>
      <c r="G118" s="2"/>
      <c r="H118" s="2"/>
      <c r="I118" s="2"/>
      <c r="J118" s="2"/>
      <c r="K118" s="2"/>
      <c r="L118" s="2"/>
      <c r="M118" s="2"/>
      <c r="N118" s="2"/>
      <c r="O118" s="2"/>
    </row>
    <row r="119" spans="1:15" x14ac:dyDescent="0.2">
      <c r="A119" s="336" t="s">
        <v>70</v>
      </c>
      <c r="B119" s="336"/>
      <c r="C119" s="334"/>
      <c r="D119" s="337" t="s">
        <v>88</v>
      </c>
      <c r="E119" s="335" t="s">
        <v>172</v>
      </c>
      <c r="F119" s="337" t="s">
        <v>72</v>
      </c>
      <c r="G119" s="2"/>
      <c r="H119" s="2"/>
      <c r="I119" s="2"/>
      <c r="J119" s="2"/>
      <c r="K119" s="2"/>
      <c r="L119" s="2"/>
      <c r="M119" s="2"/>
      <c r="N119" s="2"/>
      <c r="O119" s="2"/>
    </row>
    <row r="120" spans="1:15" x14ac:dyDescent="0.2">
      <c r="A120" s="334"/>
      <c r="B120" s="338"/>
      <c r="C120" s="334"/>
      <c r="D120" s="334"/>
      <c r="E120" s="334"/>
      <c r="F120" s="339"/>
      <c r="G120" s="2"/>
      <c r="H120" s="2"/>
      <c r="I120" s="2"/>
      <c r="J120" s="2"/>
      <c r="K120" s="2"/>
      <c r="L120" s="2"/>
      <c r="M120" s="2"/>
      <c r="N120" s="2"/>
      <c r="O120" s="2"/>
    </row>
    <row r="121" spans="1:15" x14ac:dyDescent="0.2">
      <c r="A121" s="334" t="s">
        <v>73</v>
      </c>
      <c r="B121" s="338"/>
      <c r="C121" s="334"/>
      <c r="D121" s="491">
        <f ca="1">+'COS 1'!L188</f>
        <v>1994940.9359689998</v>
      </c>
      <c r="E121" s="334"/>
      <c r="F121" s="340">
        <f ca="1">+'COS 1'!L189</f>
        <v>0.58409999999999995</v>
      </c>
      <c r="G121" s="2"/>
      <c r="H121" s="2"/>
      <c r="I121" s="2"/>
      <c r="J121" s="2"/>
      <c r="K121" s="2"/>
      <c r="L121" s="2"/>
      <c r="M121" s="2"/>
      <c r="N121" s="2"/>
      <c r="O121" s="2"/>
    </row>
    <row r="122" spans="1:15" x14ac:dyDescent="0.2">
      <c r="A122" s="334" t="s">
        <v>543</v>
      </c>
      <c r="B122" s="338"/>
      <c r="C122" s="334"/>
      <c r="D122" s="641">
        <f ca="1">+'COS 1'!N188</f>
        <v>795921.83390111499</v>
      </c>
      <c r="E122" s="334"/>
      <c r="F122" s="339">
        <f ca="1">+'COS 1'!N189</f>
        <v>0.23300000000000001</v>
      </c>
      <c r="G122" s="2"/>
      <c r="H122" s="2"/>
      <c r="I122" s="2"/>
      <c r="J122" s="2"/>
      <c r="K122" s="2"/>
      <c r="L122" s="2"/>
      <c r="M122" s="2"/>
      <c r="N122" s="2"/>
      <c r="O122" s="2"/>
    </row>
    <row r="123" spans="1:15" x14ac:dyDescent="0.2">
      <c r="A123" s="334" t="s">
        <v>75</v>
      </c>
      <c r="B123" s="338"/>
      <c r="C123" s="334"/>
      <c r="D123" s="641">
        <f ca="1">+'COS 1'!P188</f>
        <v>238474.9277787286</v>
      </c>
      <c r="E123" s="334"/>
      <c r="F123" s="339">
        <f ca="1">+'COS 1'!P189</f>
        <v>6.9800000000000001E-2</v>
      </c>
      <c r="G123" s="2"/>
      <c r="H123" s="2"/>
      <c r="I123" s="2"/>
      <c r="J123" s="2"/>
      <c r="K123" s="2"/>
      <c r="L123" s="2"/>
      <c r="M123" s="2"/>
      <c r="N123" s="2"/>
      <c r="O123" s="2"/>
    </row>
    <row r="124" spans="1:15" hidden="1" x14ac:dyDescent="0.2">
      <c r="A124" s="334" t="s">
        <v>76</v>
      </c>
      <c r="B124" s="338"/>
      <c r="C124" s="334"/>
      <c r="D124" s="641">
        <f ca="1">+'COS 1'!R188</f>
        <v>0</v>
      </c>
      <c r="E124" s="334"/>
      <c r="F124" s="339">
        <f ca="1">+'COS 1'!R189</f>
        <v>0</v>
      </c>
      <c r="G124" s="2"/>
      <c r="H124" s="2"/>
      <c r="I124" s="2"/>
      <c r="J124" s="2"/>
      <c r="K124" s="2"/>
      <c r="L124" s="2"/>
      <c r="M124" s="2"/>
      <c r="N124" s="2"/>
      <c r="O124" s="2"/>
    </row>
    <row r="125" spans="1:15" hidden="1" x14ac:dyDescent="0.2">
      <c r="A125" s="334" t="s">
        <v>179</v>
      </c>
      <c r="B125" s="338"/>
      <c r="C125" s="334"/>
      <c r="D125" s="641">
        <f ca="1">+'COS 1'!T188</f>
        <v>0</v>
      </c>
      <c r="E125" s="334"/>
      <c r="F125" s="339">
        <f ca="1">+'COS 1'!T189</f>
        <v>0</v>
      </c>
      <c r="G125" s="2"/>
      <c r="H125" s="2"/>
      <c r="I125" s="2"/>
      <c r="J125" s="2"/>
      <c r="K125" s="2"/>
      <c r="L125" s="2"/>
      <c r="M125" s="2"/>
      <c r="N125" s="2"/>
      <c r="O125" s="2"/>
    </row>
    <row r="126" spans="1:15" x14ac:dyDescent="0.2">
      <c r="A126" s="334" t="s">
        <v>77</v>
      </c>
      <c r="B126" s="338"/>
      <c r="C126" s="334"/>
      <c r="D126" s="641">
        <f ca="1">+'COS 1'!V188</f>
        <v>81525.757501429951</v>
      </c>
      <c r="E126" s="334"/>
      <c r="F126" s="339">
        <f ca="1">+'COS 1'!V189</f>
        <v>2.3900000000000001E-2</v>
      </c>
      <c r="G126" s="2"/>
      <c r="H126" s="2"/>
      <c r="I126" s="2"/>
      <c r="J126" s="2"/>
      <c r="K126" s="2"/>
      <c r="L126" s="2"/>
      <c r="M126" s="2"/>
      <c r="N126" s="2"/>
      <c r="O126" s="2"/>
    </row>
    <row r="127" spans="1:15" x14ac:dyDescent="0.2">
      <c r="A127" s="334" t="s">
        <v>78</v>
      </c>
      <c r="B127" s="338"/>
      <c r="C127" s="334"/>
      <c r="D127" s="641">
        <f ca="1">+'COS 1'!X188</f>
        <v>304836.56094259868</v>
      </c>
      <c r="E127" s="334"/>
      <c r="F127" s="339">
        <f ca="1">+'COS 1'!X189</f>
        <v>8.9200000000000002E-2</v>
      </c>
      <c r="G127" s="2"/>
      <c r="H127" s="2"/>
      <c r="I127" s="2"/>
      <c r="J127" s="2"/>
      <c r="K127" s="2"/>
      <c r="L127" s="2"/>
      <c r="M127" s="2"/>
      <c r="N127" s="2"/>
      <c r="O127" s="2"/>
    </row>
    <row r="128" spans="1:15" ht="12.75" customHeight="1" x14ac:dyDescent="0.2">
      <c r="A128" s="334"/>
      <c r="B128" s="338"/>
      <c r="C128" s="334"/>
      <c r="D128" s="342"/>
      <c r="E128" s="334"/>
      <c r="F128" s="343"/>
      <c r="G128" s="2"/>
      <c r="H128" s="2"/>
      <c r="I128" s="2"/>
      <c r="J128" s="2"/>
      <c r="K128" s="2"/>
      <c r="L128" s="2"/>
      <c r="M128" s="2"/>
      <c r="N128" s="2"/>
      <c r="O128" s="2"/>
    </row>
    <row r="129" spans="1:21" ht="13.35" customHeight="1" thickBot="1" x14ac:dyDescent="0.25">
      <c r="A129" s="334" t="s">
        <v>79</v>
      </c>
      <c r="B129" s="338"/>
      <c r="C129" s="334"/>
      <c r="D129" s="640">
        <f ca="1">SUM(D121:D128)</f>
        <v>3415700.0160928718</v>
      </c>
      <c r="E129" s="334"/>
      <c r="F129" s="339">
        <f ca="1">SUM(F121:F128)</f>
        <v>1</v>
      </c>
      <c r="G129" s="2"/>
      <c r="H129" s="2"/>
      <c r="I129" s="2"/>
      <c r="J129" s="2"/>
      <c r="K129" s="2"/>
      <c r="L129" s="2"/>
      <c r="M129" s="2"/>
      <c r="N129" s="2"/>
      <c r="O129" s="2"/>
      <c r="U129" s="12"/>
    </row>
    <row r="130" spans="1:21" ht="13.35" customHeight="1" thickTop="1" x14ac:dyDescent="0.2">
      <c r="A130" s="334"/>
      <c r="B130" s="334"/>
      <c r="C130" s="334"/>
      <c r="D130" s="344"/>
      <c r="E130" s="345"/>
      <c r="F130" s="346"/>
      <c r="G130" s="2"/>
      <c r="H130" s="2"/>
      <c r="I130" s="2"/>
      <c r="J130" s="2"/>
      <c r="K130" s="2"/>
      <c r="L130" s="2"/>
      <c r="M130" s="2"/>
      <c r="N130" s="2"/>
      <c r="O130" s="2"/>
    </row>
    <row r="131" spans="1:21" ht="13.35" customHeight="1" x14ac:dyDescent="0.2">
      <c r="A131" s="2"/>
      <c r="B131" s="2"/>
      <c r="C131" s="2"/>
      <c r="D131" s="2"/>
      <c r="E131" s="2"/>
      <c r="F131" s="2"/>
      <c r="G131" s="2"/>
      <c r="H131" s="2"/>
      <c r="I131" s="2"/>
      <c r="J131" s="2"/>
      <c r="K131" s="2"/>
      <c r="L131" s="2"/>
      <c r="M131" s="2"/>
      <c r="N131" s="2"/>
      <c r="O131" s="2"/>
    </row>
  </sheetData>
  <mergeCells count="6">
    <mergeCell ref="A115:F115"/>
    <mergeCell ref="A7:F7"/>
    <mergeCell ref="A50:F50"/>
    <mergeCell ref="A71:F71"/>
    <mergeCell ref="A94:F94"/>
    <mergeCell ref="A26:F26"/>
  </mergeCells>
  <phoneticPr fontId="14" type="noConversion"/>
  <printOptions horizontalCentered="1"/>
  <pageMargins left="1" right="1" top="1" bottom="0.5" header="0.5" footer="0.5"/>
  <pageSetup scale="80" fitToHeight="0" orientation="portrait" r:id="rId1"/>
  <headerFooter alignWithMargins="0"/>
  <rowBreaks count="2" manualBreakCount="2">
    <brk id="43" max="16383" man="1"/>
    <brk id="8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3"/>
  <sheetViews>
    <sheetView workbookViewId="0"/>
  </sheetViews>
  <sheetFormatPr defaultColWidth="8.88671875" defaultRowHeight="15" x14ac:dyDescent="0.2"/>
  <cols>
    <col min="1" max="1" width="3" style="16" customWidth="1"/>
    <col min="2" max="2" width="18.5546875" style="16" customWidth="1"/>
    <col min="3" max="3" width="2.77734375" style="16" customWidth="1"/>
    <col min="4" max="4" width="18.5546875" style="16" customWidth="1"/>
    <col min="5" max="5" width="2.21875" style="16" customWidth="1"/>
    <col min="6" max="6" width="8.88671875" style="16"/>
    <col min="7" max="7" width="2" style="16" customWidth="1"/>
    <col min="8" max="8" width="9.88671875" style="16" customWidth="1"/>
    <col min="9" max="9" width="2.109375" style="16" customWidth="1"/>
    <col min="10" max="10" width="13.44140625" style="16" bestFit="1" customWidth="1"/>
    <col min="11" max="16384" width="8.88671875" style="16"/>
  </cols>
  <sheetData>
    <row r="1" spans="2:12" x14ac:dyDescent="0.2">
      <c r="B1" s="691" t="s">
        <v>387</v>
      </c>
      <c r="C1" s="691" t="s">
        <v>387</v>
      </c>
      <c r="D1" s="691" t="s">
        <v>387</v>
      </c>
      <c r="E1" s="691" t="s">
        <v>387</v>
      </c>
      <c r="F1" s="691" t="s">
        <v>387</v>
      </c>
      <c r="G1" s="691" t="s">
        <v>387</v>
      </c>
      <c r="H1" s="691" t="s">
        <v>387</v>
      </c>
      <c r="I1" s="691"/>
      <c r="J1" s="691"/>
      <c r="K1" s="155"/>
      <c r="L1" s="155"/>
    </row>
    <row r="2" spans="2:12" x14ac:dyDescent="0.2">
      <c r="K2" s="155"/>
      <c r="L2" s="155"/>
    </row>
    <row r="3" spans="2:12" x14ac:dyDescent="0.2">
      <c r="B3" s="716" t="s">
        <v>419</v>
      </c>
      <c r="C3" s="716"/>
      <c r="D3" s="716"/>
      <c r="E3" s="716"/>
      <c r="F3" s="716"/>
      <c r="G3" s="716"/>
      <c r="H3" s="716"/>
      <c r="I3" s="716"/>
      <c r="J3" s="716"/>
      <c r="K3" s="155"/>
      <c r="L3" s="155"/>
    </row>
    <row r="4" spans="2:12" x14ac:dyDescent="0.2">
      <c r="B4" s="151"/>
      <c r="C4" s="151"/>
      <c r="D4" s="151"/>
      <c r="E4" s="151"/>
      <c r="F4" s="151"/>
      <c r="G4" s="151"/>
      <c r="H4" s="151"/>
      <c r="I4" s="527"/>
      <c r="J4" s="527"/>
      <c r="K4" s="155"/>
      <c r="L4" s="155"/>
    </row>
    <row r="5" spans="2:12" x14ac:dyDescent="0.2">
      <c r="B5" s="151"/>
      <c r="C5" s="151"/>
      <c r="D5" s="151" t="s">
        <v>2</v>
      </c>
      <c r="E5" s="151"/>
      <c r="F5"/>
      <c r="G5" s="151"/>
      <c r="H5"/>
      <c r="I5" s="371"/>
      <c r="J5" s="371"/>
      <c r="K5" s="155"/>
      <c r="L5" s="155"/>
    </row>
    <row r="6" spans="2:12" x14ac:dyDescent="0.2">
      <c r="D6" s="151" t="s">
        <v>3</v>
      </c>
      <c r="E6" s="151"/>
      <c r="F6" s="151" t="s">
        <v>107</v>
      </c>
      <c r="G6" s="151"/>
      <c r="H6" s="151" t="s">
        <v>4</v>
      </c>
      <c r="I6" s="527"/>
      <c r="J6" s="196" t="s">
        <v>421</v>
      </c>
      <c r="K6" s="152"/>
      <c r="L6" s="152"/>
    </row>
    <row r="7" spans="2:12" x14ac:dyDescent="0.2">
      <c r="B7" s="153" t="s">
        <v>282</v>
      </c>
      <c r="D7" s="153" t="s">
        <v>5</v>
      </c>
      <c r="E7" s="151"/>
      <c r="F7" s="153" t="s">
        <v>283</v>
      </c>
      <c r="G7" s="151"/>
      <c r="H7" s="153" t="s">
        <v>283</v>
      </c>
      <c r="I7" s="196"/>
      <c r="J7" s="153" t="s">
        <v>422</v>
      </c>
      <c r="K7" s="152"/>
      <c r="L7" s="152"/>
    </row>
    <row r="8" spans="2:12" x14ac:dyDescent="0.2">
      <c r="B8" s="209">
        <v>-1</v>
      </c>
      <c r="C8" s="209"/>
      <c r="D8" s="209">
        <v>-2</v>
      </c>
      <c r="E8" s="209"/>
      <c r="F8" s="209">
        <v>-3</v>
      </c>
      <c r="G8" s="209"/>
      <c r="H8" s="209">
        <v>-4</v>
      </c>
      <c r="I8" s="209"/>
      <c r="J8" s="209">
        <v>-5</v>
      </c>
      <c r="K8" s="152"/>
      <c r="L8" s="152"/>
    </row>
    <row r="9" spans="2:12" hidden="1" x14ac:dyDescent="0.2">
      <c r="B9" s="209"/>
      <c r="C9" s="209"/>
      <c r="D9" s="209"/>
      <c r="E9" s="209"/>
      <c r="F9" s="209"/>
      <c r="G9" s="209"/>
      <c r="H9" s="209"/>
      <c r="I9" s="209"/>
      <c r="J9" s="209"/>
      <c r="K9" s="265"/>
      <c r="L9" s="265"/>
    </row>
    <row r="10" spans="2:12" hidden="1" x14ac:dyDescent="0.2">
      <c r="B10" s="209" t="s">
        <v>372</v>
      </c>
      <c r="C10" s="209"/>
      <c r="D10" s="210">
        <v>14338.483320000001</v>
      </c>
      <c r="E10" s="209"/>
      <c r="F10" s="156">
        <f>+D10/365</f>
        <v>39.28351594520548</v>
      </c>
      <c r="G10" s="209"/>
      <c r="H10" s="209"/>
      <c r="I10" s="209"/>
      <c r="J10" s="209"/>
      <c r="K10" s="321"/>
      <c r="L10" s="321"/>
    </row>
    <row r="11" spans="2:12" x14ac:dyDescent="0.2">
      <c r="B11" s="209"/>
      <c r="C11" s="209"/>
      <c r="D11" s="210"/>
      <c r="E11" s="209"/>
      <c r="F11" s="156"/>
      <c r="G11" s="209"/>
      <c r="H11" s="209"/>
      <c r="I11" s="209"/>
      <c r="J11" s="209"/>
      <c r="K11" s="330"/>
      <c r="L11" s="330"/>
    </row>
    <row r="12" spans="2:12" x14ac:dyDescent="0.2">
      <c r="B12" s="275">
        <v>2007</v>
      </c>
      <c r="C12" s="209"/>
      <c r="D12" s="331">
        <v>532.69200000000001</v>
      </c>
      <c r="E12" s="209"/>
      <c r="F12" s="156">
        <f t="shared" ref="F12:F16" si="0">+D12/365</f>
        <v>1.4594301369863014</v>
      </c>
      <c r="G12" s="209"/>
      <c r="H12" s="331">
        <v>2.3660000000000001</v>
      </c>
      <c r="I12" s="331"/>
      <c r="J12" s="331">
        <f>+H12/F12</f>
        <v>1.6211807198155783</v>
      </c>
      <c r="K12" s="330"/>
      <c r="L12" s="330"/>
    </row>
    <row r="13" spans="2:12" x14ac:dyDescent="0.2">
      <c r="B13" s="209"/>
      <c r="C13" s="209"/>
      <c r="D13" s="331" t="s">
        <v>420</v>
      </c>
      <c r="E13" s="209"/>
      <c r="F13" s="156"/>
      <c r="G13" s="209"/>
      <c r="H13" s="331"/>
      <c r="I13" s="331"/>
      <c r="J13" s="209"/>
      <c r="K13" s="330"/>
      <c r="L13" s="330"/>
    </row>
    <row r="14" spans="2:12" x14ac:dyDescent="0.2">
      <c r="B14" s="275">
        <v>2008</v>
      </c>
      <c r="C14" s="209"/>
      <c r="D14" s="331">
        <v>530.22199999999998</v>
      </c>
      <c r="E14" s="209"/>
      <c r="F14" s="156">
        <f t="shared" si="0"/>
        <v>1.45266301369863</v>
      </c>
      <c r="G14" s="209"/>
      <c r="H14" s="331">
        <v>2.2389999999999999</v>
      </c>
      <c r="I14" s="331"/>
      <c r="J14" s="331">
        <f t="shared" ref="J14" si="1">+H14/F14</f>
        <v>1.5413072260298517</v>
      </c>
      <c r="K14" s="330"/>
      <c r="L14" s="330"/>
    </row>
    <row r="15" spans="2:12" x14ac:dyDescent="0.2">
      <c r="B15" s="209"/>
      <c r="C15" s="209"/>
      <c r="D15" s="331"/>
      <c r="E15" s="209"/>
      <c r="F15" s="156"/>
      <c r="G15" s="209"/>
      <c r="H15" s="331"/>
      <c r="I15" s="331"/>
      <c r="J15" s="209"/>
      <c r="K15" s="330"/>
      <c r="L15" s="330"/>
    </row>
    <row r="16" spans="2:12" x14ac:dyDescent="0.2">
      <c r="B16" s="275">
        <v>2009</v>
      </c>
      <c r="C16" s="209"/>
      <c r="D16" s="331">
        <v>526.20000000000005</v>
      </c>
      <c r="E16" s="209"/>
      <c r="F16" s="156">
        <f t="shared" si="0"/>
        <v>1.4416438356164385</v>
      </c>
      <c r="G16" s="209"/>
      <c r="H16" s="331">
        <v>2.5</v>
      </c>
      <c r="I16" s="331"/>
      <c r="J16" s="331">
        <f t="shared" ref="J16" si="2">+H16/F16</f>
        <v>1.7341315089319649</v>
      </c>
      <c r="K16" s="330"/>
      <c r="L16" s="330"/>
    </row>
    <row r="17" spans="2:12" x14ac:dyDescent="0.2">
      <c r="B17" s="209"/>
      <c r="C17" s="209"/>
      <c r="D17" s="280"/>
      <c r="E17" s="209"/>
      <c r="F17" s="156"/>
      <c r="G17" s="209"/>
      <c r="H17" s="209"/>
      <c r="I17" s="209"/>
      <c r="J17" s="209"/>
      <c r="K17" s="321"/>
      <c r="L17" s="321"/>
    </row>
    <row r="18" spans="2:12" x14ac:dyDescent="0.2">
      <c r="B18" s="275">
        <v>2010</v>
      </c>
      <c r="C18" s="209"/>
      <c r="D18" s="331">
        <v>552.39</v>
      </c>
      <c r="E18" s="209"/>
      <c r="F18" s="156">
        <f>+D18/365</f>
        <v>1.5133972602739725</v>
      </c>
      <c r="G18" s="209"/>
      <c r="H18" s="280">
        <v>2.2999999999999998</v>
      </c>
      <c r="I18" s="280"/>
      <c r="J18" s="331">
        <f t="shared" ref="J18" si="3">+H18/F18</f>
        <v>1.5197595901446441</v>
      </c>
      <c r="K18" s="265"/>
      <c r="L18" s="265"/>
    </row>
    <row r="19" spans="2:12" x14ac:dyDescent="0.2">
      <c r="B19" s="209"/>
      <c r="C19" s="209"/>
      <c r="D19" s="280"/>
      <c r="E19" s="209"/>
      <c r="F19" s="209"/>
      <c r="G19" s="209"/>
      <c r="H19" s="209"/>
      <c r="I19" s="209"/>
      <c r="J19" s="209"/>
      <c r="K19" s="265"/>
      <c r="L19" s="265"/>
    </row>
    <row r="20" spans="2:12" x14ac:dyDescent="0.2">
      <c r="B20" s="275">
        <v>2011</v>
      </c>
      <c r="C20" s="209"/>
      <c r="D20" s="280">
        <v>517.19000000000005</v>
      </c>
      <c r="E20" s="209"/>
      <c r="F20" s="156">
        <f>+D20/365</f>
        <v>1.4169589041095891</v>
      </c>
      <c r="G20" s="209"/>
      <c r="H20" s="280">
        <v>2.25</v>
      </c>
      <c r="I20" s="280"/>
      <c r="J20" s="331">
        <f t="shared" ref="J20" si="4">+H20/F20</f>
        <v>1.5879077321680619</v>
      </c>
      <c r="K20" s="265"/>
      <c r="L20" s="265"/>
    </row>
    <row r="21" spans="2:12" x14ac:dyDescent="0.2">
      <c r="B21" s="209"/>
      <c r="C21" s="209"/>
      <c r="D21" s="280"/>
      <c r="E21" s="209"/>
      <c r="F21" s="209"/>
      <c r="G21" s="209"/>
      <c r="H21" s="209"/>
      <c r="I21" s="209"/>
      <c r="J21" s="209"/>
    </row>
    <row r="22" spans="2:12" x14ac:dyDescent="0.2">
      <c r="B22" s="275">
        <v>2012</v>
      </c>
      <c r="C22" s="209"/>
      <c r="D22" s="331">
        <v>507.28</v>
      </c>
      <c r="E22" s="209"/>
      <c r="F22" s="156">
        <f>+D22/365</f>
        <v>1.3898082191780821</v>
      </c>
      <c r="G22" s="209"/>
      <c r="H22" s="156">
        <v>2.34</v>
      </c>
      <c r="I22" s="156"/>
      <c r="J22" s="331">
        <f t="shared" ref="J22" si="5">+H22/F22</f>
        <v>1.6836855385585869</v>
      </c>
    </row>
    <row r="23" spans="2:12" x14ac:dyDescent="0.2">
      <c r="B23" s="209"/>
      <c r="C23" s="209"/>
      <c r="D23" s="280"/>
      <c r="E23" s="209"/>
      <c r="F23" s="209"/>
      <c r="G23" s="209"/>
      <c r="H23" s="209"/>
      <c r="I23" s="209"/>
      <c r="J23" s="209"/>
    </row>
    <row r="24" spans="2:12" x14ac:dyDescent="0.2">
      <c r="B24" s="275">
        <v>2013</v>
      </c>
      <c r="C24" s="209"/>
      <c r="D24" s="331">
        <v>468.7</v>
      </c>
      <c r="E24" s="209"/>
      <c r="F24" s="156">
        <f>+D24/365</f>
        <v>1.2841095890410958</v>
      </c>
      <c r="G24" s="209"/>
      <c r="H24" s="156">
        <v>2.17</v>
      </c>
      <c r="I24" s="156"/>
      <c r="J24" s="331">
        <f t="shared" ref="J24" si="6">+H24/F24</f>
        <v>1.6898869212716023</v>
      </c>
    </row>
    <row r="25" spans="2:12" x14ac:dyDescent="0.2">
      <c r="B25" s="209"/>
      <c r="C25" s="209"/>
      <c r="D25" s="280"/>
      <c r="E25" s="209"/>
      <c r="F25" s="209"/>
      <c r="G25" s="209"/>
      <c r="H25" s="209"/>
      <c r="I25" s="209"/>
      <c r="J25" s="209"/>
    </row>
    <row r="26" spans="2:12" x14ac:dyDescent="0.2">
      <c r="B26" s="275">
        <v>2014</v>
      </c>
      <c r="C26" s="209"/>
      <c r="D26" s="331">
        <v>461.04</v>
      </c>
      <c r="E26" s="209"/>
      <c r="F26" s="156">
        <f>+D26/365</f>
        <v>1.2631232876712328</v>
      </c>
      <c r="G26" s="209"/>
      <c r="H26" s="156">
        <v>2.4300000000000002</v>
      </c>
      <c r="I26" s="156"/>
      <c r="J26" s="331">
        <f t="shared" ref="J26" si="7">+H26/F26</f>
        <v>1.9238027069234775</v>
      </c>
    </row>
    <row r="27" spans="2:12" x14ac:dyDescent="0.2">
      <c r="B27" s="209"/>
      <c r="C27" s="209"/>
      <c r="D27" s="280"/>
      <c r="E27" s="209"/>
      <c r="F27" s="209"/>
      <c r="G27" s="209"/>
      <c r="H27" s="209"/>
      <c r="I27" s="209"/>
      <c r="J27" s="209"/>
    </row>
    <row r="28" spans="2:12" x14ac:dyDescent="0.2">
      <c r="B28" s="275">
        <v>2015</v>
      </c>
      <c r="D28" s="251">
        <v>498.71</v>
      </c>
      <c r="F28" s="156">
        <f>+D28/365</f>
        <v>1.3663287671232875</v>
      </c>
      <c r="H28" s="16">
        <v>1.82</v>
      </c>
      <c r="J28" s="331">
        <f t="shared" ref="J28" si="8">+H28/F28</f>
        <v>1.3320366545687876</v>
      </c>
    </row>
    <row r="29" spans="2:12" x14ac:dyDescent="0.2">
      <c r="B29" s="209"/>
      <c r="C29" s="209"/>
      <c r="D29" s="280"/>
      <c r="E29" s="209"/>
      <c r="F29" s="209"/>
      <c r="G29" s="209"/>
      <c r="H29" s="209"/>
      <c r="I29" s="209"/>
      <c r="J29" s="209"/>
    </row>
    <row r="30" spans="2:12" x14ac:dyDescent="0.2">
      <c r="B30" s="275">
        <v>2016</v>
      </c>
      <c r="D30" s="251">
        <v>441.6</v>
      </c>
      <c r="F30" s="156">
        <f>+D30/365</f>
        <v>1.2098630136986301</v>
      </c>
      <c r="H30" s="16">
        <v>2.34</v>
      </c>
      <c r="J30" s="331">
        <f t="shared" ref="J30" si="9">+H30/F30</f>
        <v>1.9341032608695652</v>
      </c>
    </row>
    <row r="31" spans="2:12" x14ac:dyDescent="0.2">
      <c r="B31" s="209"/>
      <c r="C31" s="209"/>
      <c r="D31" s="280"/>
      <c r="E31" s="209"/>
      <c r="F31" s="209"/>
      <c r="G31" s="209"/>
      <c r="H31" s="209"/>
      <c r="I31" s="209"/>
      <c r="J31" s="209"/>
    </row>
    <row r="32" spans="2:12" x14ac:dyDescent="0.2">
      <c r="B32" s="275">
        <v>2017</v>
      </c>
      <c r="D32" s="251">
        <v>444.99</v>
      </c>
      <c r="F32" s="156">
        <f>+D32/365</f>
        <v>1.2191506849315068</v>
      </c>
      <c r="H32" s="16">
        <v>2.2799999999999998</v>
      </c>
      <c r="J32" s="331">
        <f t="shared" ref="J32" si="10">+H32/F32</f>
        <v>1.8701543854918088</v>
      </c>
    </row>
    <row r="33" spans="2:10" x14ac:dyDescent="0.2">
      <c r="B33" s="209"/>
      <c r="D33" s="251"/>
      <c r="J33" s="209"/>
    </row>
  </sheetData>
  <mergeCells count="2">
    <mergeCell ref="B3:J3"/>
    <mergeCell ref="B1:J1"/>
  </mergeCells>
  <phoneticPr fontId="14" type="noConversion"/>
  <pageMargins left="0.75" right="0.75" top="1" bottom="1" header="0.5" footer="0.5"/>
  <pageSetup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0"/>
  <sheetViews>
    <sheetView workbookViewId="0"/>
  </sheetViews>
  <sheetFormatPr defaultColWidth="8.77734375" defaultRowHeight="12.75" x14ac:dyDescent="0.2"/>
  <cols>
    <col min="1" max="2" width="3.77734375" style="371" customWidth="1"/>
    <col min="3" max="3" width="7.33203125" style="371" customWidth="1"/>
    <col min="4" max="6" width="2.109375" style="371" customWidth="1"/>
    <col min="7" max="7" width="11.44140625" style="371" customWidth="1"/>
    <col min="8" max="8" width="2.77734375" style="371" customWidth="1"/>
    <col min="9" max="9" width="8.77734375" style="371" customWidth="1"/>
    <col min="10" max="10" width="2.77734375" style="371" customWidth="1"/>
    <col min="11" max="11" width="7.77734375" style="371" customWidth="1"/>
    <col min="12" max="12" width="2.77734375" style="371" customWidth="1"/>
    <col min="13" max="13" width="9.77734375" style="371" customWidth="1"/>
    <col min="14" max="14" width="2.77734375" style="371" customWidth="1"/>
    <col min="15" max="16" width="9.77734375" style="371" customWidth="1"/>
    <col min="17" max="17" width="8.77734375" style="320"/>
    <col min="18" max="19" width="8.77734375" style="371"/>
    <col min="20" max="16384" width="8.77734375" style="269"/>
  </cols>
  <sheetData>
    <row r="1" spans="1:256" ht="15" x14ac:dyDescent="0.2">
      <c r="A1" s="556"/>
      <c r="B1" s="556"/>
      <c r="C1" s="557" t="s">
        <v>387</v>
      </c>
      <c r="D1" s="558"/>
      <c r="E1" s="558"/>
      <c r="F1" s="558"/>
      <c r="G1" s="558"/>
      <c r="H1" s="558"/>
      <c r="I1" s="558"/>
      <c r="J1" s="558"/>
      <c r="K1" s="558"/>
      <c r="L1" s="558"/>
      <c r="M1" s="558"/>
      <c r="N1" s="558"/>
      <c r="O1" s="558"/>
      <c r="P1" s="285"/>
    </row>
    <row r="2" spans="1:256" ht="15" x14ac:dyDescent="0.2">
      <c r="B2" s="15"/>
      <c r="C2" s="557"/>
      <c r="D2" s="558"/>
      <c r="E2" s="558"/>
      <c r="F2" s="558"/>
      <c r="G2" s="558"/>
      <c r="H2" s="558"/>
      <c r="I2" s="558"/>
      <c r="J2" s="558"/>
      <c r="K2" s="558"/>
      <c r="L2" s="558"/>
      <c r="M2" s="558"/>
      <c r="N2" s="558"/>
      <c r="O2" s="558"/>
      <c r="P2" s="285"/>
      <c r="Q2" s="606"/>
      <c r="R2" s="15"/>
      <c r="S2" s="15"/>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540"/>
      <c r="BZ2" s="540"/>
      <c r="CA2" s="540"/>
      <c r="CB2" s="540"/>
      <c r="CC2" s="540"/>
      <c r="CD2" s="540"/>
      <c r="CE2" s="540"/>
      <c r="CF2" s="540"/>
      <c r="CG2" s="540"/>
      <c r="CH2" s="540"/>
      <c r="CI2" s="540"/>
      <c r="CJ2" s="540"/>
      <c r="CK2" s="540"/>
      <c r="CL2" s="540"/>
      <c r="CM2" s="540"/>
      <c r="CN2" s="540"/>
      <c r="CO2" s="540"/>
      <c r="CP2" s="540"/>
      <c r="CQ2" s="540"/>
      <c r="CR2" s="540"/>
      <c r="CS2" s="540"/>
      <c r="CT2" s="540"/>
      <c r="CU2" s="540"/>
      <c r="CV2" s="540"/>
      <c r="CW2" s="540"/>
      <c r="CX2" s="540"/>
      <c r="CY2" s="540"/>
      <c r="CZ2" s="540"/>
      <c r="DA2" s="540"/>
      <c r="DB2" s="540"/>
      <c r="DC2" s="540"/>
      <c r="DD2" s="540"/>
      <c r="DE2" s="540"/>
      <c r="DF2" s="540"/>
      <c r="DG2" s="540"/>
      <c r="DH2" s="540"/>
      <c r="DI2" s="540"/>
      <c r="DJ2" s="540"/>
      <c r="DK2" s="540"/>
      <c r="DL2" s="540"/>
      <c r="DM2" s="540"/>
      <c r="DN2" s="540"/>
      <c r="DO2" s="540"/>
      <c r="DP2" s="540"/>
      <c r="DQ2" s="540"/>
      <c r="DR2" s="540"/>
      <c r="DS2" s="540"/>
      <c r="DT2" s="540"/>
      <c r="DU2" s="540"/>
      <c r="DV2" s="540"/>
      <c r="DW2" s="540"/>
      <c r="DX2" s="540"/>
      <c r="DY2" s="540"/>
      <c r="DZ2" s="540"/>
      <c r="EA2" s="540"/>
      <c r="EB2" s="540"/>
      <c r="EC2" s="540"/>
      <c r="ED2" s="540"/>
      <c r="EE2" s="540"/>
      <c r="EF2" s="540"/>
      <c r="EG2" s="540"/>
      <c r="EH2" s="540"/>
      <c r="EI2" s="540"/>
      <c r="EJ2" s="540"/>
      <c r="EK2" s="540"/>
      <c r="EL2" s="540"/>
      <c r="EM2" s="540"/>
      <c r="EN2" s="540"/>
      <c r="EO2" s="540"/>
      <c r="EP2" s="540"/>
      <c r="EQ2" s="540"/>
      <c r="ER2" s="540"/>
      <c r="ES2" s="540"/>
      <c r="ET2" s="540"/>
      <c r="EU2" s="540"/>
      <c r="EV2" s="540"/>
      <c r="EW2" s="540"/>
      <c r="EX2" s="540"/>
      <c r="EY2" s="540"/>
      <c r="EZ2" s="540"/>
      <c r="FA2" s="540"/>
      <c r="FB2" s="540"/>
      <c r="FC2" s="540"/>
      <c r="FD2" s="540"/>
      <c r="FE2" s="540"/>
      <c r="FF2" s="540"/>
      <c r="FG2" s="540"/>
      <c r="FH2" s="540"/>
      <c r="FI2" s="540"/>
      <c r="FJ2" s="540"/>
      <c r="FK2" s="540"/>
      <c r="FL2" s="540"/>
      <c r="FM2" s="540"/>
      <c r="FN2" s="540"/>
      <c r="FO2" s="540"/>
      <c r="FP2" s="540"/>
      <c r="FQ2" s="540"/>
      <c r="FR2" s="540"/>
      <c r="FS2" s="540"/>
      <c r="FT2" s="540"/>
      <c r="FU2" s="540"/>
      <c r="FV2" s="540"/>
      <c r="FW2" s="540"/>
      <c r="FX2" s="540"/>
      <c r="FY2" s="540"/>
      <c r="FZ2" s="540"/>
      <c r="GA2" s="540"/>
      <c r="GB2" s="540"/>
      <c r="GC2" s="540"/>
      <c r="GD2" s="540"/>
      <c r="GE2" s="540"/>
      <c r="GF2" s="540"/>
      <c r="GG2" s="540"/>
      <c r="GH2" s="540"/>
      <c r="GI2" s="540"/>
      <c r="GJ2" s="540"/>
      <c r="GK2" s="540"/>
      <c r="GL2" s="540"/>
      <c r="GM2" s="540"/>
      <c r="GN2" s="540"/>
      <c r="GO2" s="540"/>
      <c r="GP2" s="540"/>
      <c r="GQ2" s="540"/>
      <c r="GR2" s="540"/>
      <c r="GS2" s="540"/>
      <c r="GT2" s="540"/>
      <c r="GU2" s="540"/>
      <c r="GV2" s="540"/>
      <c r="GW2" s="540"/>
      <c r="GX2" s="540"/>
      <c r="GY2" s="540"/>
      <c r="GZ2" s="540"/>
      <c r="HA2" s="540"/>
      <c r="HB2" s="540"/>
      <c r="HC2" s="540"/>
      <c r="HD2" s="540"/>
      <c r="HE2" s="540"/>
      <c r="HF2" s="540"/>
      <c r="HG2" s="540"/>
      <c r="HH2" s="540"/>
      <c r="HI2" s="540"/>
      <c r="HJ2" s="540"/>
      <c r="HK2" s="540"/>
      <c r="HL2" s="540"/>
      <c r="HM2" s="540"/>
      <c r="HN2" s="540"/>
      <c r="HO2" s="540"/>
      <c r="HP2" s="540"/>
      <c r="HQ2" s="540"/>
      <c r="HR2" s="540"/>
      <c r="HS2" s="540"/>
      <c r="HT2" s="540"/>
      <c r="HU2" s="540"/>
      <c r="HV2" s="540"/>
      <c r="HW2" s="540"/>
      <c r="HX2" s="540"/>
      <c r="HY2" s="540"/>
      <c r="HZ2" s="540"/>
      <c r="IA2" s="540"/>
      <c r="IB2" s="540"/>
      <c r="IC2" s="540"/>
      <c r="ID2" s="540"/>
      <c r="IE2" s="540"/>
      <c r="IF2" s="540"/>
      <c r="IG2" s="540"/>
      <c r="IH2" s="540"/>
      <c r="II2" s="540"/>
      <c r="IJ2" s="540"/>
      <c r="IK2" s="540"/>
      <c r="IL2" s="540"/>
      <c r="IM2" s="540"/>
      <c r="IN2" s="540"/>
      <c r="IO2" s="540"/>
      <c r="IP2" s="540"/>
      <c r="IQ2" s="540"/>
      <c r="IR2" s="540"/>
      <c r="IS2" s="540"/>
      <c r="IT2" s="540"/>
      <c r="IU2" s="540"/>
      <c r="IV2" s="540"/>
    </row>
    <row r="3" spans="1:256" x14ac:dyDescent="0.2">
      <c r="A3" s="556"/>
      <c r="B3" s="556"/>
      <c r="C3" s="558" t="s">
        <v>61</v>
      </c>
      <c r="D3" s="558"/>
      <c r="E3" s="558"/>
      <c r="F3" s="558"/>
      <c r="G3" s="558"/>
      <c r="H3" s="558"/>
      <c r="I3" s="558"/>
      <c r="J3" s="558"/>
      <c r="K3" s="558"/>
      <c r="L3" s="558"/>
      <c r="M3" s="558"/>
      <c r="N3" s="558"/>
      <c r="O3" s="558"/>
      <c r="P3" s="285"/>
    </row>
    <row r="4" spans="1:256" x14ac:dyDescent="0.2">
      <c r="A4" s="556"/>
      <c r="B4" s="556"/>
      <c r="C4" s="558" t="s">
        <v>239</v>
      </c>
      <c r="D4" s="558"/>
      <c r="E4" s="558"/>
      <c r="F4" s="558"/>
      <c r="G4" s="558"/>
      <c r="H4" s="558"/>
      <c r="I4" s="558"/>
      <c r="J4" s="558"/>
      <c r="K4" s="558"/>
      <c r="L4" s="558"/>
      <c r="M4" s="558"/>
      <c r="N4" s="558"/>
      <c r="O4" s="558"/>
      <c r="P4" s="285"/>
    </row>
    <row r="5" spans="1:256" x14ac:dyDescent="0.2">
      <c r="A5" s="556"/>
      <c r="B5" s="556"/>
      <c r="C5" s="558" t="s">
        <v>55</v>
      </c>
      <c r="D5" s="558"/>
      <c r="E5" s="558"/>
      <c r="F5" s="558"/>
      <c r="G5" s="558"/>
      <c r="H5" s="558"/>
      <c r="I5" s="558"/>
      <c r="J5" s="558"/>
      <c r="K5" s="558"/>
      <c r="L5" s="558"/>
      <c r="M5" s="558"/>
      <c r="N5" s="558"/>
      <c r="O5" s="558"/>
      <c r="P5" s="285"/>
    </row>
    <row r="6" spans="1:256" x14ac:dyDescent="0.2">
      <c r="A6" s="556"/>
      <c r="B6" s="556"/>
      <c r="C6" s="285"/>
      <c r="D6" s="285"/>
      <c r="E6" s="285"/>
      <c r="F6" s="285"/>
      <c r="G6" s="285"/>
      <c r="H6" s="285"/>
      <c r="I6" s="285"/>
      <c r="J6" s="285"/>
      <c r="K6" s="285"/>
      <c r="L6" s="285"/>
      <c r="M6" s="285"/>
      <c r="N6" s="285"/>
      <c r="O6" s="285"/>
      <c r="P6" s="285"/>
    </row>
    <row r="7" spans="1:256" x14ac:dyDescent="0.2">
      <c r="A7" s="556"/>
      <c r="B7" s="556"/>
      <c r="C7" s="285"/>
      <c r="D7" s="285"/>
      <c r="E7" s="285"/>
      <c r="F7" s="285"/>
      <c r="G7" s="285"/>
      <c r="H7" s="285"/>
      <c r="I7" s="559" t="s">
        <v>240</v>
      </c>
      <c r="J7" s="285"/>
      <c r="K7" s="285"/>
      <c r="L7" s="285"/>
      <c r="M7" s="285"/>
      <c r="N7" s="285"/>
      <c r="O7" s="285"/>
      <c r="P7" s="285"/>
    </row>
    <row r="8" spans="1:256" x14ac:dyDescent="0.2">
      <c r="A8" s="556"/>
      <c r="B8" s="556"/>
      <c r="C8" s="285"/>
      <c r="D8" s="285"/>
      <c r="E8" s="285"/>
      <c r="F8" s="285"/>
      <c r="G8" s="285"/>
      <c r="H8" s="285"/>
      <c r="I8" s="559" t="s">
        <v>241</v>
      </c>
      <c r="J8" s="285"/>
      <c r="K8" s="285"/>
      <c r="L8" s="285"/>
      <c r="M8" s="559" t="s">
        <v>242</v>
      </c>
      <c r="N8" s="285"/>
      <c r="O8" s="559" t="s">
        <v>67</v>
      </c>
      <c r="P8" s="285"/>
    </row>
    <row r="9" spans="1:256" x14ac:dyDescent="0.2">
      <c r="A9" s="556"/>
      <c r="B9" s="556"/>
      <c r="C9" s="558" t="s">
        <v>243</v>
      </c>
      <c r="D9" s="558"/>
      <c r="E9" s="558"/>
      <c r="F9" s="558"/>
      <c r="G9" s="558"/>
      <c r="H9" s="285"/>
      <c r="I9" s="559" t="s">
        <v>244</v>
      </c>
      <c r="J9" s="285"/>
      <c r="K9" s="559" t="s">
        <v>245</v>
      </c>
      <c r="L9" s="285"/>
      <c r="M9" s="559" t="s">
        <v>7</v>
      </c>
      <c r="N9" s="285"/>
      <c r="O9" s="559" t="s">
        <v>69</v>
      </c>
      <c r="P9" s="285"/>
    </row>
    <row r="10" spans="1:256" x14ac:dyDescent="0.2">
      <c r="A10" s="556"/>
      <c r="B10" s="556"/>
      <c r="C10" s="560" t="s">
        <v>70</v>
      </c>
      <c r="D10" s="560"/>
      <c r="E10" s="560"/>
      <c r="F10" s="560"/>
      <c r="G10" s="560"/>
      <c r="H10" s="285"/>
      <c r="I10" s="561" t="s">
        <v>88</v>
      </c>
      <c r="J10" s="559"/>
      <c r="K10" s="561" t="s">
        <v>72</v>
      </c>
      <c r="L10" s="285"/>
      <c r="M10" s="561" t="s">
        <v>101</v>
      </c>
      <c r="N10" s="285"/>
      <c r="O10" s="561" t="s">
        <v>102</v>
      </c>
      <c r="P10" s="285"/>
    </row>
    <row r="11" spans="1:256" ht="16.149999999999999" customHeight="1" x14ac:dyDescent="0.2">
      <c r="A11" s="556"/>
      <c r="B11" s="556"/>
      <c r="C11" s="285"/>
      <c r="D11" s="285"/>
      <c r="E11" s="285"/>
      <c r="F11" s="285"/>
      <c r="G11" s="285"/>
      <c r="H11" s="285"/>
      <c r="I11" s="285"/>
      <c r="J11" s="285"/>
      <c r="K11" s="285"/>
      <c r="L11" s="285"/>
      <c r="M11" s="285"/>
      <c r="N11" s="285"/>
      <c r="O11" s="285"/>
      <c r="P11" s="285"/>
    </row>
    <row r="12" spans="1:256" x14ac:dyDescent="0.2">
      <c r="A12" s="556"/>
      <c r="B12" s="556"/>
      <c r="C12" s="96" t="s">
        <v>246</v>
      </c>
      <c r="D12" s="285"/>
      <c r="E12" s="285"/>
      <c r="F12" s="285"/>
      <c r="G12" s="285"/>
      <c r="H12" s="285"/>
      <c r="I12" s="285"/>
      <c r="J12" s="285"/>
      <c r="K12" s="285"/>
      <c r="L12" s="285"/>
      <c r="M12" s="285"/>
      <c r="N12" s="285"/>
      <c r="O12" s="285"/>
      <c r="P12" s="285"/>
    </row>
    <row r="13" spans="1:256" ht="13.9" customHeight="1" x14ac:dyDescent="0.2">
      <c r="A13" s="556"/>
      <c r="B13" s="556"/>
      <c r="C13" s="96"/>
      <c r="D13" s="285"/>
      <c r="E13" s="285"/>
      <c r="F13" s="285"/>
      <c r="G13" s="285"/>
      <c r="H13" s="285"/>
      <c r="I13" s="285"/>
      <c r="J13" s="285"/>
      <c r="K13" s="285"/>
      <c r="L13" s="285"/>
      <c r="M13" s="285"/>
      <c r="N13" s="285"/>
      <c r="O13" s="285"/>
      <c r="P13" s="285"/>
    </row>
    <row r="14" spans="1:256" x14ac:dyDescent="0.2">
      <c r="A14" s="556"/>
      <c r="B14" s="556"/>
      <c r="C14" s="717" t="s">
        <v>247</v>
      </c>
      <c r="D14" s="717"/>
      <c r="E14" s="717"/>
      <c r="F14" s="285"/>
      <c r="G14" s="285"/>
      <c r="H14" s="285"/>
      <c r="I14" s="562"/>
      <c r="J14" s="285"/>
      <c r="K14" s="285"/>
      <c r="L14" s="285"/>
      <c r="M14" s="285"/>
      <c r="N14" s="285"/>
      <c r="O14" s="285"/>
      <c r="P14" s="285"/>
    </row>
    <row r="15" spans="1:256" x14ac:dyDescent="0.2">
      <c r="A15" s="556"/>
      <c r="B15" s="556"/>
      <c r="C15" s="563">
        <v>2</v>
      </c>
      <c r="D15" s="564" t="s">
        <v>248</v>
      </c>
      <c r="E15" s="564"/>
      <c r="F15" s="518"/>
      <c r="G15" s="518"/>
      <c r="H15" s="518"/>
      <c r="I15" s="565">
        <f>+C15^2</f>
        <v>4</v>
      </c>
      <c r="J15" s="518"/>
      <c r="K15" s="566">
        <v>36</v>
      </c>
      <c r="L15" s="518"/>
      <c r="M15" s="567">
        <f>ROUND((+I15*K15*1.5),0)</f>
        <v>216</v>
      </c>
      <c r="N15" s="518"/>
      <c r="O15" s="518"/>
      <c r="P15" s="157"/>
    </row>
    <row r="16" spans="1:256" hidden="1" x14ac:dyDescent="0.2">
      <c r="A16" s="556"/>
      <c r="B16" s="556"/>
      <c r="C16" s="568">
        <v>3</v>
      </c>
      <c r="D16" s="518" t="s">
        <v>248</v>
      </c>
      <c r="E16" s="518"/>
      <c r="F16" s="518"/>
      <c r="G16" s="518"/>
      <c r="H16" s="518"/>
      <c r="I16" s="565">
        <f t="shared" ref="I16:I23" si="0">+C16^2</f>
        <v>9</v>
      </c>
      <c r="J16" s="518"/>
      <c r="K16" s="566">
        <v>0</v>
      </c>
      <c r="L16" s="518"/>
      <c r="M16" s="567">
        <f t="shared" ref="M16:M23" si="1">ROUND((+I16*K16*1.5),0)</f>
        <v>0</v>
      </c>
      <c r="N16" s="518"/>
      <c r="O16" s="518"/>
      <c r="P16" s="157"/>
    </row>
    <row r="17" spans="1:22" hidden="1" x14ac:dyDescent="0.2">
      <c r="A17" s="556"/>
      <c r="B17" s="556"/>
      <c r="C17" s="568">
        <v>4</v>
      </c>
      <c r="D17" s="518" t="s">
        <v>248</v>
      </c>
      <c r="E17" s="518"/>
      <c r="F17" s="518"/>
      <c r="G17" s="518"/>
      <c r="H17" s="518"/>
      <c r="I17" s="565">
        <f t="shared" si="0"/>
        <v>16</v>
      </c>
      <c r="J17" s="518"/>
      <c r="K17" s="566">
        <v>0</v>
      </c>
      <c r="L17" s="518"/>
      <c r="M17" s="567">
        <f t="shared" si="1"/>
        <v>0</v>
      </c>
      <c r="N17" s="518"/>
      <c r="O17" s="518"/>
      <c r="P17" s="157"/>
    </row>
    <row r="18" spans="1:22" hidden="1" x14ac:dyDescent="0.2">
      <c r="A18" s="556"/>
      <c r="B18" s="556"/>
      <c r="C18" s="568">
        <v>6</v>
      </c>
      <c r="D18" s="518" t="s">
        <v>248</v>
      </c>
      <c r="E18" s="518"/>
      <c r="F18" s="518"/>
      <c r="G18" s="518"/>
      <c r="H18" s="518"/>
      <c r="I18" s="565">
        <f t="shared" si="0"/>
        <v>36</v>
      </c>
      <c r="J18" s="518"/>
      <c r="K18" s="566">
        <v>0</v>
      </c>
      <c r="L18" s="518"/>
      <c r="M18" s="567">
        <f t="shared" si="1"/>
        <v>0</v>
      </c>
      <c r="N18" s="518"/>
      <c r="O18" s="518"/>
      <c r="P18" s="157"/>
    </row>
    <row r="19" spans="1:22" hidden="1" x14ac:dyDescent="0.2">
      <c r="A19" s="556"/>
      <c r="B19" s="556"/>
      <c r="C19" s="568">
        <v>8</v>
      </c>
      <c r="D19" s="518" t="s">
        <v>248</v>
      </c>
      <c r="E19" s="518"/>
      <c r="F19" s="518"/>
      <c r="G19" s="518"/>
      <c r="H19" s="518"/>
      <c r="I19" s="565">
        <f t="shared" si="0"/>
        <v>64</v>
      </c>
      <c r="J19" s="518"/>
      <c r="K19" s="566">
        <v>0</v>
      </c>
      <c r="L19" s="518"/>
      <c r="M19" s="567">
        <f t="shared" si="1"/>
        <v>0</v>
      </c>
      <c r="N19" s="518"/>
      <c r="O19" s="518"/>
      <c r="P19" s="157"/>
    </row>
    <row r="20" spans="1:22" hidden="1" x14ac:dyDescent="0.2">
      <c r="A20" s="556"/>
      <c r="B20" s="556"/>
      <c r="C20" s="568">
        <v>10</v>
      </c>
      <c r="D20" s="518" t="s">
        <v>248</v>
      </c>
      <c r="E20" s="518"/>
      <c r="F20" s="518"/>
      <c r="G20" s="518"/>
      <c r="H20" s="518"/>
      <c r="I20" s="565">
        <f t="shared" si="0"/>
        <v>100</v>
      </c>
      <c r="J20" s="518"/>
      <c r="K20" s="566">
        <v>0</v>
      </c>
      <c r="L20" s="518"/>
      <c r="M20" s="567">
        <f t="shared" si="1"/>
        <v>0</v>
      </c>
      <c r="N20" s="518"/>
      <c r="O20" s="518"/>
      <c r="P20" s="157"/>
    </row>
    <row r="21" spans="1:22" hidden="1" x14ac:dyDescent="0.2">
      <c r="A21" s="556"/>
      <c r="B21" s="556"/>
      <c r="C21" s="568">
        <v>12</v>
      </c>
      <c r="D21" s="518" t="s">
        <v>248</v>
      </c>
      <c r="E21" s="518"/>
      <c r="F21" s="518"/>
      <c r="G21" s="518"/>
      <c r="H21" s="518"/>
      <c r="I21" s="565">
        <f t="shared" si="0"/>
        <v>144</v>
      </c>
      <c r="J21" s="518"/>
      <c r="K21" s="566">
        <v>0</v>
      </c>
      <c r="L21" s="518"/>
      <c r="M21" s="567">
        <f t="shared" si="1"/>
        <v>0</v>
      </c>
      <c r="N21" s="518"/>
      <c r="O21" s="518"/>
      <c r="P21" s="157"/>
    </row>
    <row r="22" spans="1:22" hidden="1" x14ac:dyDescent="0.2">
      <c r="A22" s="556"/>
      <c r="B22" s="556"/>
      <c r="C22" s="568">
        <v>14</v>
      </c>
      <c r="D22" s="518" t="s">
        <v>248</v>
      </c>
      <c r="E22" s="518"/>
      <c r="F22" s="518"/>
      <c r="G22" s="518"/>
      <c r="H22" s="518"/>
      <c r="I22" s="565">
        <f t="shared" si="0"/>
        <v>196</v>
      </c>
      <c r="J22" s="518"/>
      <c r="K22" s="566">
        <v>0</v>
      </c>
      <c r="L22" s="518"/>
      <c r="M22" s="567">
        <f t="shared" si="1"/>
        <v>0</v>
      </c>
      <c r="N22" s="518"/>
      <c r="O22" s="518"/>
      <c r="P22" s="157"/>
    </row>
    <row r="23" spans="1:22" hidden="1" x14ac:dyDescent="0.2">
      <c r="A23" s="556"/>
      <c r="B23" s="556"/>
      <c r="C23" s="568">
        <v>16</v>
      </c>
      <c r="D23" s="518" t="s">
        <v>248</v>
      </c>
      <c r="E23" s="518"/>
      <c r="F23" s="518"/>
      <c r="G23" s="518"/>
      <c r="H23" s="518"/>
      <c r="I23" s="565">
        <f t="shared" si="0"/>
        <v>256</v>
      </c>
      <c r="J23" s="518"/>
      <c r="K23" s="566">
        <v>0</v>
      </c>
      <c r="L23" s="518"/>
      <c r="M23" s="567">
        <f t="shared" si="1"/>
        <v>0</v>
      </c>
      <c r="N23" s="518"/>
      <c r="O23" s="518"/>
      <c r="P23" s="157"/>
    </row>
    <row r="24" spans="1:22" ht="13.5" customHeight="1" x14ac:dyDescent="0.2">
      <c r="A24" s="556"/>
      <c r="B24" s="556"/>
      <c r="C24" s="718" t="s">
        <v>54</v>
      </c>
      <c r="D24" s="718"/>
      <c r="E24" s="718"/>
      <c r="F24" s="518"/>
      <c r="G24" s="518"/>
      <c r="H24" s="518"/>
      <c r="I24" s="569">
        <v>27.6</v>
      </c>
      <c r="J24" s="518"/>
      <c r="K24" s="517">
        <v>44</v>
      </c>
      <c r="L24" s="518"/>
      <c r="M24" s="570">
        <f>ROUND((+I24*K24*1.5),0)</f>
        <v>1822</v>
      </c>
      <c r="N24" s="518"/>
      <c r="O24" s="518"/>
      <c r="P24" s="157"/>
    </row>
    <row r="25" spans="1:22" x14ac:dyDescent="0.2">
      <c r="A25" s="556"/>
      <c r="B25" s="556"/>
      <c r="C25" s="518"/>
      <c r="D25" s="518"/>
      <c r="E25" s="518"/>
      <c r="F25" s="518"/>
      <c r="G25" s="518"/>
      <c r="H25" s="518"/>
      <c r="I25" s="565"/>
      <c r="J25" s="518"/>
      <c r="K25" s="567"/>
      <c r="L25" s="518"/>
      <c r="M25" s="567"/>
      <c r="N25" s="518"/>
      <c r="O25" s="518"/>
      <c r="P25" s="157"/>
    </row>
    <row r="26" spans="1:22" ht="13.5" thickBot="1" x14ac:dyDescent="0.25">
      <c r="A26" s="556"/>
      <c r="B26" s="556"/>
      <c r="C26" s="518" t="s">
        <v>249</v>
      </c>
      <c r="D26" s="518"/>
      <c r="E26" s="518"/>
      <c r="F26" s="518"/>
      <c r="G26" s="518"/>
      <c r="H26" s="518"/>
      <c r="I26" s="565"/>
      <c r="J26" s="518"/>
      <c r="K26" s="571">
        <f>SUM(K15:K24)</f>
        <v>80</v>
      </c>
      <c r="L26" s="518"/>
      <c r="M26" s="572">
        <f>SUM(M15:M24)</f>
        <v>2038</v>
      </c>
      <c r="N26" s="518"/>
      <c r="O26" s="573">
        <f>ROUND(+M26/M$35,4)</f>
        <v>0.23419999999999999</v>
      </c>
      <c r="P26" s="243"/>
    </row>
    <row r="27" spans="1:22" ht="13.5" thickTop="1" x14ac:dyDescent="0.2">
      <c r="A27" s="556"/>
      <c r="B27" s="556"/>
      <c r="C27" s="518"/>
      <c r="D27" s="518"/>
      <c r="E27" s="518"/>
      <c r="F27" s="518"/>
      <c r="G27" s="518"/>
      <c r="H27" s="518"/>
      <c r="I27" s="565"/>
      <c r="J27" s="518"/>
      <c r="K27" s="574"/>
      <c r="L27" s="518"/>
      <c r="M27" s="574"/>
      <c r="N27" s="518"/>
      <c r="O27" s="575"/>
      <c r="P27" s="243"/>
    </row>
    <row r="28" spans="1:22" x14ac:dyDescent="0.2">
      <c r="A28" s="556"/>
      <c r="B28" s="556"/>
      <c r="C28" s="518"/>
      <c r="D28" s="518"/>
      <c r="E28" s="518"/>
      <c r="F28" s="518"/>
      <c r="G28" s="518"/>
      <c r="H28" s="518"/>
      <c r="I28" s="565"/>
      <c r="J28" s="518"/>
      <c r="K28" s="574"/>
      <c r="L28" s="518"/>
      <c r="M28" s="574"/>
      <c r="N28" s="518"/>
      <c r="O28" s="518"/>
      <c r="P28" s="243"/>
      <c r="V28" s="284"/>
    </row>
    <row r="29" spans="1:22" x14ac:dyDescent="0.2">
      <c r="A29" s="556"/>
      <c r="B29" s="556"/>
      <c r="C29" s="519" t="s">
        <v>250</v>
      </c>
      <c r="D29" s="518"/>
      <c r="E29" s="518"/>
      <c r="F29" s="518"/>
      <c r="G29" s="518"/>
      <c r="H29" s="518"/>
      <c r="I29" s="565"/>
      <c r="J29" s="518"/>
      <c r="K29" s="574"/>
      <c r="L29" s="518"/>
      <c r="M29" s="574"/>
      <c r="N29" s="518"/>
      <c r="O29" s="518"/>
      <c r="P29" s="520"/>
    </row>
    <row r="30" spans="1:22" x14ac:dyDescent="0.2">
      <c r="A30" s="556">
        <f>4.5^2</f>
        <v>20.25</v>
      </c>
      <c r="B30" s="556"/>
      <c r="C30" s="576" t="s">
        <v>426</v>
      </c>
      <c r="D30" s="576"/>
      <c r="E30" s="518"/>
      <c r="F30" s="518"/>
      <c r="G30" s="518"/>
      <c r="H30" s="518"/>
      <c r="I30" s="565">
        <f>+A30</f>
        <v>20.25</v>
      </c>
      <c r="J30" s="518"/>
      <c r="K30" s="577">
        <v>329</v>
      </c>
      <c r="L30" s="518"/>
      <c r="M30" s="574">
        <f>+I30*K30</f>
        <v>6662.25</v>
      </c>
      <c r="N30" s="518"/>
      <c r="O30" s="518"/>
      <c r="P30" s="157"/>
      <c r="Q30" s="607"/>
    </row>
    <row r="31" spans="1:22" x14ac:dyDescent="0.2">
      <c r="A31" s="556"/>
      <c r="B31" s="556"/>
      <c r="C31" s="576"/>
      <c r="D31" s="576"/>
      <c r="E31" s="243"/>
      <c r="F31" s="578"/>
      <c r="G31" s="579"/>
      <c r="H31" s="518"/>
      <c r="I31" s="565"/>
      <c r="J31" s="518"/>
      <c r="K31" s="574"/>
      <c r="L31" s="518"/>
      <c r="M31" s="574"/>
      <c r="N31" s="518"/>
      <c r="O31" s="518"/>
      <c r="P31" s="518"/>
    </row>
    <row r="32" spans="1:22" x14ac:dyDescent="0.2">
      <c r="A32" s="556"/>
      <c r="B32" s="556"/>
      <c r="C32" s="243"/>
      <c r="D32" s="518"/>
      <c r="E32" s="518"/>
      <c r="F32" s="518"/>
      <c r="G32" s="518"/>
      <c r="H32" s="518"/>
      <c r="I32" s="565"/>
      <c r="J32" s="518"/>
      <c r="K32" s="580"/>
      <c r="L32" s="518"/>
      <c r="M32" s="580"/>
      <c r="N32" s="518"/>
      <c r="O32" s="518"/>
      <c r="P32" s="518"/>
    </row>
    <row r="33" spans="1:16" x14ac:dyDescent="0.2">
      <c r="A33" s="556"/>
      <c r="B33" s="556"/>
      <c r="C33" s="243" t="s">
        <v>53</v>
      </c>
      <c r="D33" s="518"/>
      <c r="E33" s="518"/>
      <c r="F33" s="518"/>
      <c r="G33" s="518"/>
      <c r="H33" s="518"/>
      <c r="I33" s="518"/>
      <c r="J33" s="518"/>
      <c r="K33" s="574">
        <f>SUM(K30:K32)</f>
        <v>329</v>
      </c>
      <c r="L33" s="518"/>
      <c r="M33" s="574">
        <f>SUM(M30:M32)</f>
        <v>6662.25</v>
      </c>
      <c r="N33" s="518"/>
      <c r="O33" s="575">
        <f>ROUND(+M33/M$35,4)</f>
        <v>0.76580000000000004</v>
      </c>
      <c r="P33" s="518"/>
    </row>
    <row r="34" spans="1:16" x14ac:dyDescent="0.2">
      <c r="A34" s="556"/>
      <c r="B34" s="556"/>
      <c r="C34" s="518"/>
      <c r="D34" s="518"/>
      <c r="E34" s="518"/>
      <c r="F34" s="518"/>
      <c r="G34" s="518"/>
      <c r="H34" s="518"/>
      <c r="I34" s="518"/>
      <c r="J34" s="518"/>
      <c r="K34" s="580"/>
      <c r="L34" s="518"/>
      <c r="M34" s="580"/>
      <c r="N34" s="518"/>
      <c r="O34" s="580"/>
      <c r="P34" s="518"/>
    </row>
    <row r="35" spans="1:16" ht="13.5" thickBot="1" x14ac:dyDescent="0.25">
      <c r="A35" s="556"/>
      <c r="B35" s="556"/>
      <c r="C35" s="518" t="s">
        <v>251</v>
      </c>
      <c r="D35" s="518"/>
      <c r="E35" s="518"/>
      <c r="F35" s="518"/>
      <c r="G35" s="518"/>
      <c r="H35" s="518"/>
      <c r="I35" s="518"/>
      <c r="J35" s="518"/>
      <c r="K35" s="572">
        <f>K26+K33</f>
        <v>409</v>
      </c>
      <c r="L35" s="518"/>
      <c r="M35" s="572">
        <f>M26+M33</f>
        <v>8700.25</v>
      </c>
      <c r="N35" s="575"/>
      <c r="O35" s="581">
        <f>O26+O33</f>
        <v>1</v>
      </c>
      <c r="P35" s="518"/>
    </row>
    <row r="36" spans="1:16" ht="13.5" thickTop="1" x14ac:dyDescent="0.2">
      <c r="C36" s="243"/>
      <c r="D36" s="243"/>
      <c r="E36" s="243"/>
      <c r="F36" s="243"/>
      <c r="G36" s="243"/>
      <c r="H36" s="243"/>
      <c r="I36" s="243"/>
      <c r="J36" s="243"/>
      <c r="K36" s="243"/>
      <c r="L36" s="243"/>
      <c r="M36" s="243"/>
      <c r="N36" s="243"/>
      <c r="O36" s="243"/>
      <c r="P36" s="243"/>
    </row>
    <row r="37" spans="1:16" x14ac:dyDescent="0.2">
      <c r="C37" s="582"/>
      <c r="D37" s="582"/>
      <c r="E37" s="582"/>
      <c r="F37" s="582"/>
      <c r="G37" s="582"/>
      <c r="H37" s="243"/>
      <c r="I37" s="243"/>
      <c r="J37" s="243"/>
      <c r="K37" s="243"/>
      <c r="L37" s="243"/>
      <c r="M37" s="243"/>
      <c r="N37" s="243"/>
      <c r="O37" s="243"/>
      <c r="P37" s="243"/>
    </row>
    <row r="38" spans="1:16" x14ac:dyDescent="0.2">
      <c r="C38" s="243" t="s">
        <v>8</v>
      </c>
      <c r="D38" s="243"/>
      <c r="E38" s="243"/>
      <c r="F38" s="243"/>
      <c r="G38" s="243"/>
      <c r="H38" s="243"/>
      <c r="I38" s="243"/>
      <c r="J38" s="243"/>
      <c r="K38" s="243"/>
      <c r="L38" s="243"/>
      <c r="M38" s="243"/>
      <c r="N38" s="243"/>
      <c r="O38" s="243"/>
      <c r="P38" s="243"/>
    </row>
    <row r="39" spans="1:16" x14ac:dyDescent="0.2">
      <c r="C39" s="243" t="s">
        <v>9</v>
      </c>
      <c r="D39" s="243"/>
      <c r="E39" s="243"/>
      <c r="F39" s="243"/>
      <c r="G39" s="243"/>
      <c r="H39" s="243"/>
      <c r="I39" s="243"/>
      <c r="J39" s="243"/>
      <c r="K39" s="243"/>
      <c r="L39" s="243"/>
      <c r="M39" s="243"/>
      <c r="N39" s="243"/>
      <c r="O39" s="243"/>
      <c r="P39" s="243"/>
    </row>
    <row r="40" spans="1:16" x14ac:dyDescent="0.2">
      <c r="C40" s="243"/>
      <c r="D40" s="243"/>
      <c r="E40" s="243"/>
      <c r="F40" s="243"/>
      <c r="G40" s="243"/>
      <c r="H40" s="243"/>
      <c r="I40" s="243"/>
      <c r="J40" s="243"/>
      <c r="K40" s="243"/>
      <c r="L40" s="243"/>
      <c r="M40" s="243"/>
      <c r="N40" s="243"/>
      <c r="O40" s="243"/>
      <c r="P40" s="243"/>
    </row>
    <row r="41" spans="1:16" x14ac:dyDescent="0.2">
      <c r="C41" s="243"/>
      <c r="D41" s="243"/>
      <c r="E41" s="243"/>
      <c r="F41" s="243"/>
      <c r="G41" s="243"/>
      <c r="H41" s="243"/>
      <c r="I41" s="243"/>
      <c r="J41" s="243"/>
      <c r="K41" s="243"/>
      <c r="L41" s="243"/>
      <c r="M41" s="243"/>
      <c r="N41" s="243"/>
      <c r="O41" s="243"/>
      <c r="P41" s="243"/>
    </row>
    <row r="42" spans="1:16" x14ac:dyDescent="0.2">
      <c r="C42" s="243"/>
      <c r="D42" s="243"/>
      <c r="E42" s="243"/>
      <c r="F42" s="243"/>
      <c r="G42" s="243"/>
      <c r="H42" s="243"/>
      <c r="I42" s="243"/>
      <c r="J42" s="243"/>
      <c r="K42" s="243"/>
      <c r="L42" s="243"/>
      <c r="M42" s="243"/>
      <c r="N42" s="243"/>
      <c r="O42" s="243"/>
      <c r="P42" s="243"/>
    </row>
    <row r="43" spans="1:16" x14ac:dyDescent="0.2">
      <c r="C43" s="243"/>
      <c r="D43" s="243"/>
      <c r="E43" s="243"/>
      <c r="F43" s="243"/>
      <c r="G43" s="243"/>
      <c r="H43" s="243"/>
      <c r="I43" s="243"/>
      <c r="J43" s="243"/>
      <c r="K43" s="243"/>
      <c r="L43" s="243"/>
      <c r="M43" s="243"/>
      <c r="N43" s="243"/>
      <c r="O43" s="243"/>
      <c r="P43" s="243"/>
    </row>
    <row r="44" spans="1:16" x14ac:dyDescent="0.2">
      <c r="C44" s="243"/>
      <c r="D44" s="243"/>
      <c r="E44" s="243"/>
      <c r="F44" s="243"/>
      <c r="G44" s="243"/>
      <c r="H44" s="243"/>
      <c r="I44" s="243"/>
      <c r="J44" s="243"/>
      <c r="K44" s="243"/>
      <c r="L44" s="243"/>
      <c r="M44" s="243"/>
      <c r="N44" s="243"/>
      <c r="O44" s="243"/>
      <c r="P44" s="243"/>
    </row>
    <row r="45" spans="1:16" x14ac:dyDescent="0.2">
      <c r="C45" s="243"/>
      <c r="D45" s="243"/>
      <c r="E45" s="243"/>
      <c r="F45" s="243"/>
      <c r="G45" s="243"/>
      <c r="H45" s="243"/>
      <c r="I45" s="243"/>
      <c r="J45" s="243"/>
      <c r="K45" s="243"/>
      <c r="L45" s="243"/>
      <c r="M45" s="243"/>
      <c r="N45" s="243"/>
      <c r="O45" s="243"/>
      <c r="P45" s="243"/>
    </row>
    <row r="46" spans="1:16" x14ac:dyDescent="0.2">
      <c r="C46" s="243"/>
      <c r="D46" s="243"/>
      <c r="E46" s="243"/>
      <c r="F46" s="243"/>
      <c r="G46" s="243"/>
      <c r="H46" s="243"/>
      <c r="I46" s="243"/>
      <c r="J46" s="243"/>
      <c r="K46" s="243"/>
      <c r="L46" s="243"/>
      <c r="M46" s="243"/>
      <c r="N46" s="243"/>
      <c r="O46" s="243"/>
      <c r="P46" s="243"/>
    </row>
    <row r="47" spans="1:16" x14ac:dyDescent="0.2">
      <c r="C47" s="243"/>
      <c r="D47" s="243"/>
      <c r="E47" s="243"/>
      <c r="F47" s="243"/>
      <c r="G47" s="243"/>
      <c r="H47" s="243"/>
      <c r="I47" s="243"/>
      <c r="J47" s="243"/>
      <c r="K47" s="243"/>
      <c r="L47" s="243"/>
      <c r="M47" s="243"/>
      <c r="N47" s="243"/>
      <c r="O47" s="243"/>
      <c r="P47" s="243"/>
    </row>
    <row r="48" spans="1:16" x14ac:dyDescent="0.2">
      <c r="C48" s="243"/>
      <c r="D48" s="243"/>
      <c r="E48" s="243"/>
      <c r="F48" s="243"/>
      <c r="G48" s="243"/>
      <c r="H48" s="243"/>
      <c r="I48" s="243"/>
      <c r="J48" s="243"/>
      <c r="K48" s="243"/>
      <c r="L48" s="243"/>
      <c r="M48" s="243"/>
      <c r="N48" s="243"/>
      <c r="O48" s="243"/>
      <c r="P48" s="243"/>
    </row>
    <row r="49" spans="3:16" x14ac:dyDescent="0.2">
      <c r="C49" s="243"/>
      <c r="D49" s="243"/>
      <c r="E49" s="243"/>
      <c r="F49" s="243"/>
      <c r="G49" s="243"/>
      <c r="H49" s="243"/>
      <c r="I49" s="243"/>
      <c r="J49" s="243"/>
      <c r="K49" s="243"/>
      <c r="L49" s="243"/>
      <c r="M49" s="243"/>
      <c r="N49" s="243"/>
      <c r="O49" s="243"/>
      <c r="P49" s="243"/>
    </row>
    <row r="50" spans="3:16" x14ac:dyDescent="0.2">
      <c r="C50" s="243"/>
      <c r="D50" s="243"/>
      <c r="E50" s="243"/>
      <c r="F50" s="243"/>
      <c r="G50" s="243"/>
      <c r="H50" s="243"/>
      <c r="I50" s="243"/>
      <c r="J50" s="243"/>
      <c r="K50" s="243"/>
      <c r="L50" s="243"/>
      <c r="M50" s="243"/>
      <c r="N50" s="243"/>
      <c r="O50" s="243"/>
      <c r="P50" s="243"/>
    </row>
  </sheetData>
  <mergeCells count="2">
    <mergeCell ref="C14:E14"/>
    <mergeCell ref="C24:E24"/>
  </mergeCells>
  <phoneticPr fontId="14" type="noConversion"/>
  <pageMargins left="1" right="0.75" top="1" bottom="1" header="0.5" footer="0.5"/>
  <pageSetup scale="99"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sqref="A1:K1"/>
    </sheetView>
  </sheetViews>
  <sheetFormatPr defaultRowHeight="12.75" x14ac:dyDescent="0.2"/>
  <cols>
    <col min="1" max="1" width="18.33203125" customWidth="1"/>
    <col min="2" max="2" width="1.5546875" customWidth="1"/>
    <col min="3" max="3" width="12.77734375" customWidth="1"/>
    <col min="4" max="4" width="1.21875" customWidth="1"/>
    <col min="6" max="6" width="1.88671875" customWidth="1"/>
    <col min="8" max="8" width="2.77734375" customWidth="1"/>
    <col min="9" max="9" width="11" customWidth="1"/>
    <col min="10" max="10" width="1.33203125" customWidth="1"/>
    <col min="11" max="11" width="11.44140625" customWidth="1"/>
    <col min="12" max="12" width="1.77734375" customWidth="1"/>
    <col min="14" max="14" width="1.88671875" customWidth="1"/>
    <col min="16" max="16" width="1.21875" customWidth="1"/>
    <col min="17" max="17" width="11" customWidth="1"/>
    <col min="18" max="18" width="1.44140625" customWidth="1"/>
    <col min="19" max="19" width="12.33203125" customWidth="1"/>
    <col min="20" max="20" width="5.21875" customWidth="1"/>
    <col min="22" max="22" width="1.33203125" customWidth="1"/>
    <col min="28" max="28" width="2.88671875" customWidth="1"/>
    <col min="30" max="30" width="2.5546875" customWidth="1"/>
    <col min="31" max="31" width="15.5546875" bestFit="1" customWidth="1"/>
    <col min="32" max="32" width="1.33203125" customWidth="1"/>
    <col min="33" max="33" width="12" bestFit="1" customWidth="1"/>
    <col min="34" max="34" width="2.88671875" customWidth="1"/>
    <col min="36" max="36" width="1.5546875" customWidth="1"/>
  </cols>
  <sheetData>
    <row r="1" spans="1:11" ht="15" x14ac:dyDescent="0.2">
      <c r="A1" s="692" t="s">
        <v>387</v>
      </c>
      <c r="B1" s="692"/>
      <c r="C1" s="692"/>
      <c r="D1" s="692"/>
      <c r="E1" s="692"/>
      <c r="F1" s="692"/>
      <c r="G1" s="692"/>
      <c r="H1" s="692"/>
      <c r="I1" s="692"/>
      <c r="J1" s="692"/>
      <c r="K1" s="692"/>
    </row>
    <row r="2" spans="1:11" ht="14.25" x14ac:dyDescent="0.2">
      <c r="A2" s="486"/>
      <c r="B2" s="486"/>
      <c r="C2" s="486"/>
      <c r="D2" s="486"/>
      <c r="E2" s="486"/>
      <c r="F2" s="486"/>
      <c r="G2" s="486"/>
      <c r="H2" s="486"/>
      <c r="I2" s="486"/>
      <c r="J2" s="486"/>
      <c r="K2" s="486"/>
    </row>
    <row r="3" spans="1:11" ht="15" x14ac:dyDescent="0.2">
      <c r="A3" s="692" t="s">
        <v>303</v>
      </c>
      <c r="B3" s="692"/>
      <c r="C3" s="692"/>
      <c r="D3" s="692"/>
      <c r="E3" s="692"/>
      <c r="F3" s="692"/>
      <c r="G3" s="692"/>
      <c r="H3" s="692"/>
      <c r="I3" s="692"/>
      <c r="J3" s="692"/>
      <c r="K3" s="692"/>
    </row>
    <row r="4" spans="1:11" ht="14.25" x14ac:dyDescent="0.2">
      <c r="A4" s="486"/>
      <c r="B4" s="486"/>
      <c r="C4" s="486"/>
      <c r="D4" s="486"/>
      <c r="E4" s="486"/>
      <c r="F4" s="486"/>
      <c r="G4" s="486"/>
      <c r="H4" s="486"/>
      <c r="I4" s="486"/>
      <c r="J4" s="486"/>
      <c r="K4" s="486"/>
    </row>
    <row r="5" spans="1:11" ht="14.25" x14ac:dyDescent="0.2">
      <c r="A5" s="486"/>
      <c r="B5" s="486"/>
      <c r="C5" s="486"/>
      <c r="D5" s="486"/>
      <c r="E5" s="486"/>
      <c r="F5" s="486"/>
      <c r="G5" s="486"/>
      <c r="H5" s="486"/>
      <c r="I5" s="486"/>
      <c r="J5" s="486"/>
      <c r="K5" s="486"/>
    </row>
    <row r="6" spans="1:11" ht="14.25" x14ac:dyDescent="0.2">
      <c r="A6" s="486"/>
      <c r="B6" s="486"/>
      <c r="C6" s="484"/>
      <c r="D6" s="486"/>
      <c r="E6" s="486"/>
      <c r="F6" s="486"/>
      <c r="G6" s="486"/>
      <c r="H6" s="486"/>
      <c r="I6" s="486"/>
      <c r="J6" s="486"/>
      <c r="K6" s="486"/>
    </row>
    <row r="7" spans="1:11" ht="14.25" x14ac:dyDescent="0.2">
      <c r="A7" s="486"/>
      <c r="B7" s="486"/>
      <c r="C7" s="487" t="s">
        <v>35</v>
      </c>
      <c r="D7" s="486"/>
      <c r="E7" s="487" t="s">
        <v>304</v>
      </c>
      <c r="F7" s="486"/>
      <c r="G7" s="486"/>
      <c r="H7" s="486"/>
      <c r="I7" s="486"/>
      <c r="J7" s="486"/>
      <c r="K7" s="487" t="s">
        <v>305</v>
      </c>
    </row>
    <row r="8" spans="1:11" ht="14.25" x14ac:dyDescent="0.2">
      <c r="A8" s="488" t="s">
        <v>306</v>
      </c>
      <c r="B8" s="486"/>
      <c r="C8" s="488" t="s">
        <v>184</v>
      </c>
      <c r="D8" s="486"/>
      <c r="E8" s="488" t="s">
        <v>307</v>
      </c>
      <c r="F8" s="486"/>
      <c r="G8" s="719" t="s">
        <v>243</v>
      </c>
      <c r="H8" s="719"/>
      <c r="I8" s="719"/>
      <c r="J8" s="486"/>
      <c r="K8" s="488" t="s">
        <v>308</v>
      </c>
    </row>
    <row r="9" spans="1:11" ht="14.25" x14ac:dyDescent="0.2">
      <c r="A9" s="489" t="s">
        <v>70</v>
      </c>
      <c r="B9" s="490"/>
      <c r="C9" s="489" t="s">
        <v>88</v>
      </c>
      <c r="D9" s="490"/>
      <c r="E9" s="489" t="s">
        <v>72</v>
      </c>
      <c r="F9" s="486"/>
      <c r="G9" s="720" t="s">
        <v>90</v>
      </c>
      <c r="H9" s="720"/>
      <c r="I9" s="720"/>
      <c r="J9" s="486"/>
      <c r="K9" s="489" t="s">
        <v>102</v>
      </c>
    </row>
    <row r="10" spans="1:11" ht="14.25" x14ac:dyDescent="0.2">
      <c r="A10" s="486"/>
      <c r="B10" s="486"/>
      <c r="C10" s="486"/>
      <c r="D10" s="486"/>
      <c r="E10" s="486"/>
      <c r="F10" s="486"/>
      <c r="G10" s="486"/>
      <c r="H10" s="486"/>
      <c r="I10" s="486"/>
      <c r="J10" s="486"/>
      <c r="K10" s="486"/>
    </row>
    <row r="11" spans="1:11" ht="14.25" x14ac:dyDescent="0.2">
      <c r="A11" s="486" t="s">
        <v>230</v>
      </c>
      <c r="B11" s="486"/>
      <c r="C11" s="491">
        <f ca="1">+'COS 1'!AO117+'COS 1'!AO123</f>
        <v>128983.9533733968</v>
      </c>
      <c r="D11" s="486"/>
      <c r="E11" s="486">
        <f>+'F7-9'!D34</f>
        <v>6830</v>
      </c>
      <c r="F11" s="486"/>
      <c r="G11" s="492" t="s">
        <v>309</v>
      </c>
      <c r="H11" s="493"/>
      <c r="I11" s="486"/>
      <c r="J11" s="486"/>
      <c r="K11" s="494">
        <f ca="1">ROUND(+C11/E11/12,2)</f>
        <v>1.57</v>
      </c>
    </row>
    <row r="12" spans="1:11" ht="14.25" x14ac:dyDescent="0.2">
      <c r="A12" s="486"/>
      <c r="B12" s="486"/>
      <c r="C12" s="486"/>
      <c r="D12" s="486"/>
      <c r="E12" s="486"/>
      <c r="F12" s="486"/>
      <c r="G12" s="492"/>
      <c r="H12" s="493"/>
      <c r="I12" s="486"/>
      <c r="J12" s="486"/>
      <c r="K12" s="494"/>
    </row>
    <row r="13" spans="1:11" ht="14.25" x14ac:dyDescent="0.2">
      <c r="A13" s="486" t="s">
        <v>188</v>
      </c>
      <c r="B13" s="486"/>
      <c r="C13" s="490">
        <f ca="1">+'COS 1'!AQ126</f>
        <v>66823.627790603627</v>
      </c>
      <c r="D13" s="486"/>
      <c r="E13" s="486">
        <f>+'F7-9'!D48+'F7-9'!D49</f>
        <v>6283</v>
      </c>
      <c r="F13" s="486"/>
      <c r="G13" s="492" t="s">
        <v>310</v>
      </c>
      <c r="H13" s="493"/>
      <c r="I13" s="486"/>
      <c r="J13" s="486"/>
      <c r="K13" s="495">
        <f ca="1">ROUND(+C13/E13/12,2)</f>
        <v>0.89</v>
      </c>
    </row>
    <row r="14" spans="1:11" ht="14.25" x14ac:dyDescent="0.2">
      <c r="A14" s="486"/>
      <c r="B14" s="486"/>
      <c r="C14" s="490"/>
      <c r="D14" s="486"/>
      <c r="E14" s="486"/>
      <c r="F14" s="486"/>
      <c r="G14" s="486"/>
      <c r="H14" s="493"/>
      <c r="I14" s="486"/>
      <c r="J14" s="486"/>
      <c r="K14" s="495"/>
    </row>
    <row r="15" spans="1:11" ht="14.25" x14ac:dyDescent="0.2">
      <c r="A15" s="486" t="s">
        <v>311</v>
      </c>
      <c r="B15" s="486"/>
      <c r="C15" s="486">
        <f ca="1">+'COS 1'!AS126</f>
        <v>255171.39322412972</v>
      </c>
      <c r="D15" s="486"/>
      <c r="E15" s="486">
        <f>+'F10-11'!D13+'F10-11'!D14</f>
        <v>6069</v>
      </c>
      <c r="F15" s="486"/>
      <c r="G15" s="486" t="s">
        <v>312</v>
      </c>
      <c r="H15" s="493"/>
      <c r="I15" s="486"/>
      <c r="J15" s="486"/>
      <c r="K15" s="495">
        <f ca="1">ROUND(+C15/E15/12,2)</f>
        <v>3.5</v>
      </c>
    </row>
    <row r="16" spans="1:11" s="371" customFormat="1" ht="14.25" x14ac:dyDescent="0.2">
      <c r="A16" s="486"/>
      <c r="B16" s="486"/>
      <c r="C16" s="496"/>
      <c r="D16" s="486"/>
      <c r="E16" s="486"/>
      <c r="F16" s="486"/>
      <c r="G16" s="486"/>
      <c r="H16" s="493"/>
      <c r="I16" s="486"/>
      <c r="J16" s="486"/>
      <c r="K16" s="497"/>
    </row>
    <row r="17" spans="1:11" ht="14.25" x14ac:dyDescent="0.2">
      <c r="A17" s="486" t="s">
        <v>379</v>
      </c>
      <c r="B17" s="486"/>
      <c r="C17" s="498">
        <f ca="1">+-'COS 1'!AY119</f>
        <v>259800.95668180479</v>
      </c>
      <c r="D17" s="486"/>
      <c r="E17" s="486">
        <f>+'F10-11'!D33+'F10-11'!D34</f>
        <v>6069</v>
      </c>
      <c r="F17" s="486"/>
      <c r="G17" s="492" t="s">
        <v>309</v>
      </c>
      <c r="H17" s="493"/>
      <c r="I17" s="486"/>
      <c r="J17" s="486"/>
      <c r="K17" s="503">
        <f ca="1">ROUND(+C17/E17/12,2)</f>
        <v>3.57</v>
      </c>
    </row>
    <row r="18" spans="1:11" ht="14.25" x14ac:dyDescent="0.2">
      <c r="A18" s="486"/>
      <c r="B18" s="486"/>
      <c r="C18" s="486"/>
      <c r="D18" s="486"/>
      <c r="E18" s="486"/>
      <c r="F18" s="486"/>
      <c r="G18" s="486"/>
      <c r="H18" s="486"/>
      <c r="I18" s="486"/>
      <c r="J18" s="486"/>
      <c r="K18" s="486"/>
    </row>
    <row r="19" spans="1:11" ht="15" thickBot="1" x14ac:dyDescent="0.25">
      <c r="A19" s="486" t="s">
        <v>313</v>
      </c>
      <c r="B19" s="486"/>
      <c r="C19" s="499">
        <f ca="1">SUM(C11:C17)</f>
        <v>710779.93106993497</v>
      </c>
      <c r="D19" s="486"/>
      <c r="E19" s="486"/>
      <c r="F19" s="486"/>
      <c r="G19" s="486"/>
      <c r="H19" s="486"/>
      <c r="I19" s="486"/>
      <c r="J19" s="486"/>
      <c r="K19" s="500">
        <f ca="1">SUM(K11:K17)</f>
        <v>9.5299999999999994</v>
      </c>
    </row>
    <row r="20" spans="1:11" ht="15" thickTop="1" x14ac:dyDescent="0.2">
      <c r="A20" s="486"/>
      <c r="B20" s="486"/>
      <c r="C20" s="486"/>
      <c r="D20" s="486"/>
      <c r="E20" s="486"/>
      <c r="F20" s="486"/>
      <c r="G20" s="486"/>
      <c r="H20" s="486"/>
      <c r="I20" s="486"/>
      <c r="J20" s="486"/>
      <c r="K20" s="486"/>
    </row>
  </sheetData>
  <mergeCells count="4">
    <mergeCell ref="A1:K1"/>
    <mergeCell ref="A3:K3"/>
    <mergeCell ref="G8:I8"/>
    <mergeCell ref="G9:I9"/>
  </mergeCells>
  <phoneticPr fontId="14" type="noConversion"/>
  <pageMargins left="1" right="0.75" top="1" bottom="0.5" header="0.5" footer="0.5"/>
  <pageSetup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7"/>
  <sheetViews>
    <sheetView tabSelected="1" workbookViewId="0"/>
  </sheetViews>
  <sheetFormatPr defaultRowHeight="12.75" x14ac:dyDescent="0.2"/>
  <cols>
    <col min="1" max="1" width="25.77734375" bestFit="1" customWidth="1"/>
    <col min="2" max="2" width="13.88671875" style="371" bestFit="1" customWidth="1"/>
    <col min="3" max="10" width="9" style="371" bestFit="1" customWidth="1"/>
    <col min="11" max="11" width="9" bestFit="1" customWidth="1"/>
    <col min="13" max="13" width="25" bestFit="1" customWidth="1"/>
  </cols>
  <sheetData>
    <row r="1" spans="1:23" x14ac:dyDescent="0.2">
      <c r="M1" t="s">
        <v>465</v>
      </c>
    </row>
    <row r="2" spans="1:23" x14ac:dyDescent="0.2">
      <c r="M2" s="105"/>
      <c r="N2" s="105" t="s">
        <v>183</v>
      </c>
      <c r="O2" s="105" t="s">
        <v>391</v>
      </c>
      <c r="P2" s="105" t="s">
        <v>392</v>
      </c>
      <c r="Q2" s="105" t="s">
        <v>393</v>
      </c>
      <c r="R2" s="105" t="s">
        <v>394</v>
      </c>
      <c r="S2" s="105" t="s">
        <v>395</v>
      </c>
      <c r="T2" s="105" t="s">
        <v>396</v>
      </c>
      <c r="U2" s="105" t="s">
        <v>397</v>
      </c>
      <c r="V2" s="105" t="s">
        <v>398</v>
      </c>
      <c r="W2" s="105"/>
    </row>
    <row r="3" spans="1:23" x14ac:dyDescent="0.2">
      <c r="A3" t="s">
        <v>467</v>
      </c>
      <c r="M3" s="105" t="s">
        <v>390</v>
      </c>
      <c r="N3" s="105">
        <v>645480</v>
      </c>
      <c r="O3" s="105">
        <v>142006</v>
      </c>
      <c r="P3" s="105">
        <v>38729</v>
      </c>
      <c r="Q3" s="105">
        <v>142006</v>
      </c>
      <c r="R3" s="105">
        <v>38729</v>
      </c>
      <c r="S3" s="105">
        <v>225918</v>
      </c>
      <c r="T3" s="105">
        <v>58093</v>
      </c>
      <c r="U3" s="105">
        <v>0</v>
      </c>
      <c r="V3" s="105">
        <v>0</v>
      </c>
      <c r="W3" s="320">
        <f t="shared" ref="W3:W24" si="0">+N3-SUM(O3:V3)</f>
        <v>-1</v>
      </c>
    </row>
    <row r="4" spans="1:23" x14ac:dyDescent="0.2">
      <c r="M4" s="105" t="s">
        <v>399</v>
      </c>
      <c r="N4" s="105">
        <v>34626</v>
      </c>
      <c r="O4" s="105">
        <v>7618</v>
      </c>
      <c r="P4" s="105">
        <v>2078</v>
      </c>
      <c r="Q4" s="105">
        <v>7618</v>
      </c>
      <c r="R4" s="105">
        <v>2078</v>
      </c>
      <c r="S4" s="105">
        <v>12119</v>
      </c>
      <c r="T4" s="105">
        <v>3116</v>
      </c>
      <c r="U4" s="105">
        <v>0</v>
      </c>
      <c r="V4" s="105">
        <v>0</v>
      </c>
      <c r="W4" s="320">
        <f t="shared" si="0"/>
        <v>-1</v>
      </c>
    </row>
    <row r="5" spans="1:23" x14ac:dyDescent="0.2">
      <c r="B5" s="371" t="s">
        <v>183</v>
      </c>
      <c r="C5" s="371" t="s">
        <v>391</v>
      </c>
      <c r="D5" s="371" t="s">
        <v>392</v>
      </c>
      <c r="E5" s="371" t="s">
        <v>393</v>
      </c>
      <c r="F5" s="371" t="s">
        <v>394</v>
      </c>
      <c r="G5" s="371" t="s">
        <v>395</v>
      </c>
      <c r="H5" s="371" t="s">
        <v>396</v>
      </c>
      <c r="I5" s="371" t="s">
        <v>397</v>
      </c>
      <c r="J5" s="371" t="s">
        <v>398</v>
      </c>
      <c r="M5" s="105" t="s">
        <v>400</v>
      </c>
      <c r="N5" s="105">
        <v>190195</v>
      </c>
      <c r="O5" s="105">
        <v>41843</v>
      </c>
      <c r="P5" s="105">
        <v>11412</v>
      </c>
      <c r="Q5" s="105">
        <v>41843</v>
      </c>
      <c r="R5" s="105">
        <v>11412</v>
      </c>
      <c r="S5" s="105">
        <v>66568</v>
      </c>
      <c r="T5" s="105">
        <v>17118</v>
      </c>
      <c r="U5" s="105">
        <v>0</v>
      </c>
      <c r="V5" s="105">
        <v>0</v>
      </c>
      <c r="W5" s="320">
        <f t="shared" si="0"/>
        <v>-1</v>
      </c>
    </row>
    <row r="6" spans="1:23" x14ac:dyDescent="0.2">
      <c r="A6" t="s">
        <v>390</v>
      </c>
      <c r="B6" s="614">
        <f>+B42+B77</f>
        <v>896669.89288511616</v>
      </c>
      <c r="C6" s="614">
        <f t="shared" ref="C6:J6" si="1">+C42+C77</f>
        <v>165575.78439709585</v>
      </c>
      <c r="D6" s="614">
        <f t="shared" si="1"/>
        <v>45157.13810624287</v>
      </c>
      <c r="E6" s="614">
        <f t="shared" si="1"/>
        <v>165575.78439709585</v>
      </c>
      <c r="F6" s="614">
        <f t="shared" si="1"/>
        <v>45157.13810624287</v>
      </c>
      <c r="G6" s="614">
        <f t="shared" si="1"/>
        <v>263415.27864613535</v>
      </c>
      <c r="H6" s="614">
        <f t="shared" si="1"/>
        <v>67735.124170672294</v>
      </c>
      <c r="I6" s="614">
        <f t="shared" si="1"/>
        <v>49449.188410587434</v>
      </c>
      <c r="J6" s="614">
        <f t="shared" si="1"/>
        <v>94604.456651043642</v>
      </c>
      <c r="K6" s="320">
        <f>+B6-SUM(C6:J6)</f>
        <v>0</v>
      </c>
      <c r="M6" s="105" t="s">
        <v>389</v>
      </c>
      <c r="N6" s="105">
        <v>123204</v>
      </c>
      <c r="O6" s="105">
        <v>123204</v>
      </c>
      <c r="P6" s="105">
        <v>0</v>
      </c>
      <c r="Q6" s="105">
        <v>0</v>
      </c>
      <c r="R6" s="105">
        <v>0</v>
      </c>
      <c r="S6" s="105">
        <v>0</v>
      </c>
      <c r="T6" s="105">
        <v>0</v>
      </c>
      <c r="U6" s="105">
        <v>0</v>
      </c>
      <c r="V6" s="105">
        <v>0</v>
      </c>
      <c r="W6" s="320">
        <f t="shared" si="0"/>
        <v>0</v>
      </c>
    </row>
    <row r="7" spans="1:23" x14ac:dyDescent="0.2">
      <c r="A7" t="s">
        <v>399</v>
      </c>
      <c r="B7" s="614">
        <f t="shared" ref="B7:J7" si="2">+B43+B78</f>
        <v>0</v>
      </c>
      <c r="C7" s="614">
        <f t="shared" si="2"/>
        <v>0</v>
      </c>
      <c r="D7" s="614">
        <f t="shared" si="2"/>
        <v>0</v>
      </c>
      <c r="E7" s="614">
        <f t="shared" si="2"/>
        <v>0</v>
      </c>
      <c r="F7" s="614">
        <f t="shared" si="2"/>
        <v>0</v>
      </c>
      <c r="G7" s="614">
        <f t="shared" si="2"/>
        <v>0</v>
      </c>
      <c r="H7" s="614">
        <f t="shared" si="2"/>
        <v>0</v>
      </c>
      <c r="I7" s="614">
        <f t="shared" si="2"/>
        <v>0</v>
      </c>
      <c r="J7" s="614">
        <f t="shared" si="2"/>
        <v>0</v>
      </c>
      <c r="K7" s="320">
        <f t="shared" ref="K7:K34" si="3">+B7-SUM(C7:J7)</f>
        <v>0</v>
      </c>
      <c r="M7" s="105" t="s">
        <v>322</v>
      </c>
      <c r="N7" s="105">
        <v>101367.40000000001</v>
      </c>
      <c r="O7" s="105">
        <v>0</v>
      </c>
      <c r="P7" s="105">
        <v>0</v>
      </c>
      <c r="Q7" s="105">
        <v>101367</v>
      </c>
      <c r="R7" s="105">
        <v>0</v>
      </c>
      <c r="S7" s="105">
        <v>0</v>
      </c>
      <c r="T7" s="105">
        <v>0</v>
      </c>
      <c r="U7" s="105">
        <v>0</v>
      </c>
      <c r="V7" s="105">
        <v>0</v>
      </c>
      <c r="W7" s="320">
        <f t="shared" si="0"/>
        <v>0.40000000000873115</v>
      </c>
    </row>
    <row r="8" spans="1:23" x14ac:dyDescent="0.2">
      <c r="A8" t="s">
        <v>400</v>
      </c>
      <c r="B8" s="614">
        <f t="shared" ref="B8:J8" si="4">+B44+B79</f>
        <v>238520.58228412725</v>
      </c>
      <c r="C8" s="614">
        <f t="shared" si="4"/>
        <v>0</v>
      </c>
      <c r="D8" s="614">
        <f t="shared" si="4"/>
        <v>0</v>
      </c>
      <c r="E8" s="614">
        <f t="shared" si="4"/>
        <v>0</v>
      </c>
      <c r="F8" s="614">
        <f t="shared" si="4"/>
        <v>0</v>
      </c>
      <c r="G8" s="614">
        <f t="shared" si="4"/>
        <v>0</v>
      </c>
      <c r="H8" s="614">
        <f t="shared" si="4"/>
        <v>0</v>
      </c>
      <c r="I8" s="614">
        <f t="shared" si="4"/>
        <v>0</v>
      </c>
      <c r="J8" s="614">
        <f t="shared" si="4"/>
        <v>238520.58228412725</v>
      </c>
      <c r="K8" s="320">
        <f t="shared" si="3"/>
        <v>0</v>
      </c>
      <c r="M8" s="105" t="s">
        <v>401</v>
      </c>
      <c r="N8" s="105">
        <v>108012</v>
      </c>
      <c r="O8" s="105">
        <v>108012</v>
      </c>
      <c r="P8" s="105">
        <v>0</v>
      </c>
      <c r="Q8" s="105">
        <v>0</v>
      </c>
      <c r="R8" s="105">
        <v>0</v>
      </c>
      <c r="S8" s="105">
        <v>0</v>
      </c>
      <c r="T8" s="105">
        <v>0</v>
      </c>
      <c r="U8" s="105">
        <v>0</v>
      </c>
      <c r="V8" s="105">
        <v>0</v>
      </c>
      <c r="W8" s="320">
        <f t="shared" si="0"/>
        <v>0</v>
      </c>
    </row>
    <row r="9" spans="1:23" x14ac:dyDescent="0.2">
      <c r="A9" t="s">
        <v>389</v>
      </c>
      <c r="B9" s="614">
        <f t="shared" ref="B9:J9" si="5">+B45+B80</f>
        <v>123204</v>
      </c>
      <c r="C9" s="614">
        <f t="shared" si="5"/>
        <v>123204</v>
      </c>
      <c r="D9" s="614">
        <f t="shared" si="5"/>
        <v>0</v>
      </c>
      <c r="E9" s="614">
        <f t="shared" si="5"/>
        <v>0</v>
      </c>
      <c r="F9" s="614">
        <f t="shared" si="5"/>
        <v>0</v>
      </c>
      <c r="G9" s="614">
        <f t="shared" si="5"/>
        <v>0</v>
      </c>
      <c r="H9" s="614">
        <f t="shared" si="5"/>
        <v>0</v>
      </c>
      <c r="I9" s="614">
        <f t="shared" si="5"/>
        <v>0</v>
      </c>
      <c r="J9" s="614">
        <f t="shared" si="5"/>
        <v>0</v>
      </c>
      <c r="K9" s="320">
        <f t="shared" si="3"/>
        <v>0</v>
      </c>
      <c r="M9" s="105" t="s">
        <v>369</v>
      </c>
      <c r="N9" s="105">
        <v>136712</v>
      </c>
      <c r="O9" s="105">
        <v>54685</v>
      </c>
      <c r="P9" s="105">
        <v>13671</v>
      </c>
      <c r="Q9" s="105">
        <v>0</v>
      </c>
      <c r="R9" s="105">
        <v>0</v>
      </c>
      <c r="S9" s="105">
        <v>57419</v>
      </c>
      <c r="T9" s="105">
        <v>10937</v>
      </c>
      <c r="U9" s="105">
        <v>0</v>
      </c>
      <c r="V9" s="105">
        <v>0</v>
      </c>
      <c r="W9" s="320">
        <f t="shared" si="0"/>
        <v>0</v>
      </c>
    </row>
    <row r="10" spans="1:23" x14ac:dyDescent="0.2">
      <c r="A10" t="s">
        <v>322</v>
      </c>
      <c r="B10" s="614">
        <f t="shared" ref="B10:J10" si="6">+B46+B81</f>
        <v>101367.40000000001</v>
      </c>
      <c r="C10" s="614">
        <f t="shared" si="6"/>
        <v>0</v>
      </c>
      <c r="D10" s="614">
        <f t="shared" si="6"/>
        <v>0</v>
      </c>
      <c r="E10" s="614">
        <f t="shared" si="6"/>
        <v>101367.40000000001</v>
      </c>
      <c r="F10" s="614">
        <f t="shared" si="6"/>
        <v>0</v>
      </c>
      <c r="G10" s="614">
        <f t="shared" si="6"/>
        <v>0</v>
      </c>
      <c r="H10" s="614">
        <f t="shared" si="6"/>
        <v>0</v>
      </c>
      <c r="I10" s="614">
        <f t="shared" si="6"/>
        <v>0</v>
      </c>
      <c r="J10" s="614">
        <f t="shared" si="6"/>
        <v>0</v>
      </c>
      <c r="K10" s="320">
        <f t="shared" si="3"/>
        <v>0</v>
      </c>
      <c r="M10" s="105" t="s">
        <v>402</v>
      </c>
      <c r="N10" s="105">
        <v>15618</v>
      </c>
      <c r="O10" s="105">
        <v>0</v>
      </c>
      <c r="P10" s="105">
        <v>0</v>
      </c>
      <c r="Q10" s="105">
        <v>0</v>
      </c>
      <c r="R10" s="105">
        <v>0</v>
      </c>
      <c r="S10" s="105">
        <v>0</v>
      </c>
      <c r="T10" s="105">
        <v>0</v>
      </c>
      <c r="U10" s="105">
        <v>0</v>
      </c>
      <c r="V10" s="105">
        <v>15618</v>
      </c>
      <c r="W10" s="320">
        <f t="shared" si="0"/>
        <v>0</v>
      </c>
    </row>
    <row r="11" spans="1:23" x14ac:dyDescent="0.2">
      <c r="A11" t="s">
        <v>401</v>
      </c>
      <c r="B11" s="614">
        <f t="shared" ref="B11:J11" si="7">+B47+B82</f>
        <v>108011.74</v>
      </c>
      <c r="C11" s="614"/>
      <c r="D11" s="614">
        <f t="shared" si="7"/>
        <v>0</v>
      </c>
      <c r="E11" s="614">
        <f>+B11</f>
        <v>108011.74</v>
      </c>
      <c r="F11" s="614">
        <f t="shared" si="7"/>
        <v>0</v>
      </c>
      <c r="G11" s="614">
        <f t="shared" si="7"/>
        <v>0</v>
      </c>
      <c r="H11" s="614">
        <f t="shared" si="7"/>
        <v>0</v>
      </c>
      <c r="I11" s="614">
        <f t="shared" si="7"/>
        <v>0</v>
      </c>
      <c r="J11" s="614">
        <f t="shared" si="7"/>
        <v>0</v>
      </c>
      <c r="K11" s="320">
        <f t="shared" si="3"/>
        <v>0</v>
      </c>
      <c r="M11" s="105" t="s">
        <v>403</v>
      </c>
      <c r="N11" s="105">
        <v>3453</v>
      </c>
      <c r="O11" s="105">
        <v>0</v>
      </c>
      <c r="P11" s="105">
        <v>0</v>
      </c>
      <c r="Q11" s="105">
        <v>0</v>
      </c>
      <c r="R11" s="105">
        <v>0</v>
      </c>
      <c r="S11" s="105">
        <v>0</v>
      </c>
      <c r="T11" s="105">
        <v>0</v>
      </c>
      <c r="U11" s="105">
        <v>0</v>
      </c>
      <c r="V11" s="105">
        <v>3453</v>
      </c>
      <c r="W11" s="320">
        <f t="shared" si="0"/>
        <v>0</v>
      </c>
    </row>
    <row r="12" spans="1:23" x14ac:dyDescent="0.2">
      <c r="A12" t="s">
        <v>463</v>
      </c>
      <c r="B12" s="614">
        <f t="shared" ref="B12:J12" si="8">+B48+B83</f>
        <v>198869.0056498964</v>
      </c>
      <c r="C12" s="614">
        <f t="shared" si="8"/>
        <v>79547.893191267663</v>
      </c>
      <c r="D12" s="614">
        <f t="shared" si="8"/>
        <v>19886.609633680539</v>
      </c>
      <c r="E12" s="614">
        <f t="shared" si="8"/>
        <v>0</v>
      </c>
      <c r="F12" s="614">
        <f t="shared" si="8"/>
        <v>0</v>
      </c>
      <c r="G12" s="614">
        <f t="shared" si="8"/>
        <v>83524.924186694669</v>
      </c>
      <c r="H12" s="614">
        <f t="shared" si="8"/>
        <v>15909.578638253533</v>
      </c>
      <c r="I12" s="614">
        <f t="shared" si="8"/>
        <v>0</v>
      </c>
      <c r="J12" s="614">
        <f t="shared" si="8"/>
        <v>0</v>
      </c>
      <c r="K12" s="320">
        <f t="shared" si="3"/>
        <v>0</v>
      </c>
      <c r="M12" s="105" t="s">
        <v>404</v>
      </c>
      <c r="N12" s="105">
        <v>48656</v>
      </c>
      <c r="O12" s="105">
        <v>0</v>
      </c>
      <c r="P12" s="105">
        <v>0</v>
      </c>
      <c r="Q12" s="105">
        <v>0</v>
      </c>
      <c r="R12" s="105">
        <v>0</v>
      </c>
      <c r="S12" s="105">
        <v>0</v>
      </c>
      <c r="T12" s="105">
        <v>0</v>
      </c>
      <c r="U12" s="105">
        <v>24328</v>
      </c>
      <c r="V12" s="105">
        <v>24328</v>
      </c>
      <c r="W12" s="320">
        <f t="shared" si="0"/>
        <v>0</v>
      </c>
    </row>
    <row r="13" spans="1:23" s="371" customFormat="1" x14ac:dyDescent="0.2">
      <c r="A13" s="371" t="s">
        <v>473</v>
      </c>
      <c r="B13" s="614">
        <f t="shared" ref="B13:J13" si="9">+B49+B84</f>
        <v>-7514.7931656311703</v>
      </c>
      <c r="C13" s="614">
        <f t="shared" si="9"/>
        <v>0</v>
      </c>
      <c r="D13" s="614">
        <f t="shared" si="9"/>
        <v>0</v>
      </c>
      <c r="E13" s="614">
        <f>+B13</f>
        <v>-7514.7931656311703</v>
      </c>
      <c r="F13" s="614">
        <f t="shared" si="9"/>
        <v>0</v>
      </c>
      <c r="G13" s="614">
        <f t="shared" si="9"/>
        <v>0</v>
      </c>
      <c r="H13" s="614">
        <f t="shared" si="9"/>
        <v>0</v>
      </c>
      <c r="I13" s="614">
        <f t="shared" si="9"/>
        <v>0</v>
      </c>
      <c r="J13" s="614">
        <f t="shared" si="9"/>
        <v>0</v>
      </c>
      <c r="K13" s="320">
        <f t="shared" si="3"/>
        <v>0</v>
      </c>
      <c r="M13" s="105"/>
      <c r="N13" s="105"/>
      <c r="O13" s="105"/>
      <c r="P13" s="105"/>
      <c r="Q13" s="105"/>
      <c r="R13" s="105"/>
      <c r="S13" s="105"/>
      <c r="T13" s="105"/>
      <c r="U13" s="105"/>
      <c r="V13" s="105"/>
      <c r="W13" s="320"/>
    </row>
    <row r="14" spans="1:23" s="371" customFormat="1" x14ac:dyDescent="0.2">
      <c r="A14" s="371" t="s">
        <v>402</v>
      </c>
      <c r="B14" s="614">
        <f t="shared" ref="B14:J14" si="10">+B50+B85</f>
        <v>15618.300000000001</v>
      </c>
      <c r="C14" s="614">
        <f t="shared" si="10"/>
        <v>0</v>
      </c>
      <c r="D14" s="614">
        <f t="shared" si="10"/>
        <v>0</v>
      </c>
      <c r="E14" s="614">
        <f t="shared" si="10"/>
        <v>0</v>
      </c>
      <c r="F14" s="614">
        <f t="shared" si="10"/>
        <v>0</v>
      </c>
      <c r="G14" s="614">
        <f t="shared" si="10"/>
        <v>0</v>
      </c>
      <c r="H14" s="614">
        <f t="shared" si="10"/>
        <v>0</v>
      </c>
      <c r="I14" s="614">
        <f t="shared" si="10"/>
        <v>0</v>
      </c>
      <c r="J14" s="614">
        <f t="shared" si="10"/>
        <v>15618.300000000001</v>
      </c>
      <c r="K14" s="320">
        <f t="shared" si="3"/>
        <v>0</v>
      </c>
      <c r="M14" s="105" t="s">
        <v>405</v>
      </c>
      <c r="N14" s="105">
        <v>12269</v>
      </c>
      <c r="O14" s="105">
        <v>0</v>
      </c>
      <c r="P14" s="105">
        <v>0</v>
      </c>
      <c r="Q14" s="105">
        <v>12269</v>
      </c>
      <c r="R14" s="105">
        <v>0</v>
      </c>
      <c r="S14" s="105">
        <v>0</v>
      </c>
      <c r="T14" s="105">
        <v>0</v>
      </c>
      <c r="U14" s="105">
        <v>0</v>
      </c>
      <c r="V14" s="105">
        <v>0</v>
      </c>
      <c r="W14" s="320">
        <f t="shared" si="0"/>
        <v>0</v>
      </c>
    </row>
    <row r="15" spans="1:23" s="371" customFormat="1" x14ac:dyDescent="0.2">
      <c r="A15" s="371" t="s">
        <v>403</v>
      </c>
      <c r="B15" s="614">
        <f t="shared" ref="B15:J16" si="11">+B51+B86</f>
        <v>3453.16</v>
      </c>
      <c r="C15" s="614">
        <f t="shared" si="11"/>
        <v>0</v>
      </c>
      <c r="D15" s="614">
        <f t="shared" si="11"/>
        <v>0</v>
      </c>
      <c r="E15" s="614">
        <f t="shared" si="11"/>
        <v>0</v>
      </c>
      <c r="F15" s="614">
        <f t="shared" si="11"/>
        <v>0</v>
      </c>
      <c r="G15" s="614">
        <f t="shared" si="11"/>
        <v>0</v>
      </c>
      <c r="H15" s="614">
        <f t="shared" si="11"/>
        <v>0</v>
      </c>
      <c r="I15" s="614">
        <f t="shared" si="11"/>
        <v>0</v>
      </c>
      <c r="J15" s="614">
        <f t="shared" si="11"/>
        <v>3453.16</v>
      </c>
      <c r="K15" s="320">
        <f t="shared" si="3"/>
        <v>0</v>
      </c>
      <c r="M15" s="105" t="s">
        <v>351</v>
      </c>
      <c r="N15" s="105">
        <v>28507</v>
      </c>
      <c r="O15" s="105">
        <v>6272</v>
      </c>
      <c r="P15" s="105">
        <v>1710</v>
      </c>
      <c r="Q15" s="105">
        <v>6272</v>
      </c>
      <c r="R15" s="105">
        <v>1710</v>
      </c>
      <c r="S15" s="105">
        <v>9978</v>
      </c>
      <c r="T15" s="105">
        <v>2566</v>
      </c>
      <c r="U15" s="105">
        <v>0</v>
      </c>
      <c r="V15" s="105">
        <v>0</v>
      </c>
      <c r="W15" s="320">
        <f t="shared" si="0"/>
        <v>-1</v>
      </c>
    </row>
    <row r="16" spans="1:23" s="371" customFormat="1" x14ac:dyDescent="0.2">
      <c r="A16" s="371" t="s">
        <v>404</v>
      </c>
      <c r="B16" s="614">
        <f t="shared" ref="B16:I16" si="12">+B52+B87</f>
        <v>20698.45</v>
      </c>
      <c r="C16" s="614">
        <f t="shared" si="12"/>
        <v>0</v>
      </c>
      <c r="D16" s="614">
        <f t="shared" si="12"/>
        <v>0</v>
      </c>
      <c r="E16" s="614">
        <f t="shared" si="12"/>
        <v>0</v>
      </c>
      <c r="F16" s="614">
        <f t="shared" si="12"/>
        <v>0</v>
      </c>
      <c r="G16" s="614">
        <f t="shared" si="12"/>
        <v>0</v>
      </c>
      <c r="H16" s="614">
        <f t="shared" si="12"/>
        <v>0</v>
      </c>
      <c r="I16" s="614">
        <f t="shared" si="12"/>
        <v>20698.45</v>
      </c>
      <c r="J16" s="614">
        <f t="shared" si="11"/>
        <v>0</v>
      </c>
      <c r="K16" s="320">
        <f t="shared" si="3"/>
        <v>0</v>
      </c>
      <c r="M16" s="105" t="s">
        <v>406</v>
      </c>
      <c r="N16" s="105">
        <v>61001</v>
      </c>
      <c r="O16" s="105">
        <v>0</v>
      </c>
      <c r="P16" s="105">
        <v>0</v>
      </c>
      <c r="Q16" s="105">
        <v>0</v>
      </c>
      <c r="R16" s="105">
        <v>0</v>
      </c>
      <c r="S16" s="105">
        <v>0</v>
      </c>
      <c r="T16" s="105">
        <v>0</v>
      </c>
      <c r="U16" s="105">
        <v>0</v>
      </c>
      <c r="V16" s="105">
        <v>61001</v>
      </c>
      <c r="W16" s="320">
        <f t="shared" si="0"/>
        <v>0</v>
      </c>
    </row>
    <row r="17" spans="1:23" x14ac:dyDescent="0.2">
      <c r="A17" t="s">
        <v>405</v>
      </c>
      <c r="B17" s="614">
        <f t="shared" ref="B17:J17" si="13">+B53+B88</f>
        <v>28396.471747858806</v>
      </c>
      <c r="C17" s="614">
        <f t="shared" si="13"/>
        <v>0</v>
      </c>
      <c r="D17" s="614">
        <f t="shared" si="13"/>
        <v>0</v>
      </c>
      <c r="E17" s="614">
        <f t="shared" si="13"/>
        <v>28396.471747858806</v>
      </c>
      <c r="F17" s="614">
        <f t="shared" si="13"/>
        <v>0</v>
      </c>
      <c r="G17" s="614">
        <f t="shared" si="13"/>
        <v>0</v>
      </c>
      <c r="H17" s="614">
        <f t="shared" si="13"/>
        <v>0</v>
      </c>
      <c r="I17" s="614">
        <f t="shared" si="13"/>
        <v>0</v>
      </c>
      <c r="J17" s="614">
        <f t="shared" si="13"/>
        <v>0</v>
      </c>
      <c r="K17" s="320">
        <f t="shared" si="3"/>
        <v>0</v>
      </c>
      <c r="M17" s="105" t="s">
        <v>407</v>
      </c>
      <c r="N17" s="105">
        <v>14287</v>
      </c>
      <c r="O17" s="105">
        <v>3143</v>
      </c>
      <c r="P17" s="105">
        <v>857</v>
      </c>
      <c r="Q17" s="105">
        <v>3143</v>
      </c>
      <c r="R17" s="105">
        <v>857</v>
      </c>
      <c r="S17" s="105">
        <v>5000</v>
      </c>
      <c r="T17" s="105">
        <v>1286</v>
      </c>
      <c r="U17" s="105">
        <v>0</v>
      </c>
      <c r="V17" s="105">
        <v>0</v>
      </c>
      <c r="W17" s="320">
        <f t="shared" si="0"/>
        <v>1</v>
      </c>
    </row>
    <row r="18" spans="1:23" x14ac:dyDescent="0.2">
      <c r="A18" t="s">
        <v>351</v>
      </c>
      <c r="B18" s="614">
        <f t="shared" ref="B18:J18" si="14">+B54+B89</f>
        <v>30839.349376065777</v>
      </c>
      <c r="C18" s="614">
        <f t="shared" si="14"/>
        <v>6784.4186501177292</v>
      </c>
      <c r="D18" s="614">
        <f t="shared" si="14"/>
        <v>1849.8799937655674</v>
      </c>
      <c r="E18" s="614">
        <f t="shared" si="14"/>
        <v>6785.0569128056368</v>
      </c>
      <c r="F18" s="614">
        <f t="shared" si="14"/>
        <v>1849.8799937655674</v>
      </c>
      <c r="G18" s="614">
        <f t="shared" si="14"/>
        <v>10794.212033796977</v>
      </c>
      <c r="H18" s="614">
        <f t="shared" si="14"/>
        <v>2775.9017918142958</v>
      </c>
      <c r="I18" s="614">
        <f t="shared" si="14"/>
        <v>0</v>
      </c>
      <c r="J18" s="614">
        <f t="shared" si="14"/>
        <v>0</v>
      </c>
      <c r="K18" s="320">
        <f t="shared" si="3"/>
        <v>0</v>
      </c>
      <c r="M18" s="105" t="s">
        <v>408</v>
      </c>
      <c r="N18" s="105">
        <v>69</v>
      </c>
      <c r="O18" s="105">
        <v>0</v>
      </c>
      <c r="P18" s="105">
        <v>0</v>
      </c>
      <c r="Q18" s="105">
        <v>0</v>
      </c>
      <c r="R18" s="105">
        <v>0</v>
      </c>
      <c r="S18" s="105">
        <v>0</v>
      </c>
      <c r="T18" s="105">
        <v>0</v>
      </c>
      <c r="U18" s="105">
        <v>0</v>
      </c>
      <c r="V18" s="105">
        <v>69</v>
      </c>
      <c r="W18" s="320">
        <f t="shared" si="0"/>
        <v>0</v>
      </c>
    </row>
    <row r="19" spans="1:23" s="371" customFormat="1" x14ac:dyDescent="0.2">
      <c r="A19" s="371" t="s">
        <v>406</v>
      </c>
      <c r="B19" s="614">
        <f t="shared" ref="B19:J19" si="15">+B55+B90</f>
        <v>61001.1</v>
      </c>
      <c r="C19" s="614">
        <f t="shared" si="15"/>
        <v>0</v>
      </c>
      <c r="D19" s="614">
        <f t="shared" si="15"/>
        <v>0</v>
      </c>
      <c r="E19" s="614">
        <f t="shared" si="15"/>
        <v>0</v>
      </c>
      <c r="F19" s="614">
        <f t="shared" si="15"/>
        <v>0</v>
      </c>
      <c r="G19" s="614">
        <f t="shared" si="15"/>
        <v>0</v>
      </c>
      <c r="H19" s="614">
        <f t="shared" si="15"/>
        <v>0</v>
      </c>
      <c r="I19" s="614">
        <f t="shared" si="15"/>
        <v>0</v>
      </c>
      <c r="J19" s="614">
        <f t="shared" si="15"/>
        <v>61001.1</v>
      </c>
      <c r="K19" s="320">
        <f t="shared" si="3"/>
        <v>0</v>
      </c>
      <c r="M19" s="105" t="s">
        <v>409</v>
      </c>
      <c r="N19" s="105">
        <v>69645</v>
      </c>
      <c r="O19" s="105">
        <v>0</v>
      </c>
      <c r="P19" s="105">
        <v>0</v>
      </c>
      <c r="Q19" s="105">
        <v>0</v>
      </c>
      <c r="R19" s="105">
        <v>0</v>
      </c>
      <c r="S19" s="105">
        <v>0</v>
      </c>
      <c r="T19" s="105">
        <v>0</v>
      </c>
      <c r="U19" s="105">
        <v>0</v>
      </c>
      <c r="V19" s="105">
        <v>69645</v>
      </c>
      <c r="W19" s="320">
        <f t="shared" si="0"/>
        <v>0</v>
      </c>
    </row>
    <row r="20" spans="1:23" s="371" customFormat="1" x14ac:dyDescent="0.2">
      <c r="A20" s="371" t="s">
        <v>407</v>
      </c>
      <c r="B20" s="614">
        <f t="shared" ref="B20:J20" si="16">+B56+B91</f>
        <v>14286.710000000001</v>
      </c>
      <c r="C20" s="614">
        <f t="shared" si="16"/>
        <v>0</v>
      </c>
      <c r="D20" s="614">
        <f t="shared" si="16"/>
        <v>0</v>
      </c>
      <c r="E20" s="614">
        <f t="shared" si="16"/>
        <v>0</v>
      </c>
      <c r="F20" s="614">
        <f t="shared" si="16"/>
        <v>0</v>
      </c>
      <c r="G20" s="614">
        <f t="shared" si="16"/>
        <v>0</v>
      </c>
      <c r="H20" s="614">
        <f t="shared" si="16"/>
        <v>0</v>
      </c>
      <c r="I20" s="614">
        <f t="shared" si="16"/>
        <v>0</v>
      </c>
      <c r="J20" s="614">
        <f t="shared" si="16"/>
        <v>14286.710000000001</v>
      </c>
      <c r="K20" s="320">
        <f t="shared" si="3"/>
        <v>0</v>
      </c>
      <c r="M20" s="105" t="s">
        <v>362</v>
      </c>
      <c r="N20" s="105">
        <v>99</v>
      </c>
      <c r="O20" s="105">
        <v>0</v>
      </c>
      <c r="P20" s="105">
        <v>0</v>
      </c>
      <c r="Q20" s="105">
        <v>0</v>
      </c>
      <c r="R20" s="105">
        <v>0</v>
      </c>
      <c r="S20" s="105">
        <v>0</v>
      </c>
      <c r="T20" s="105">
        <v>0</v>
      </c>
      <c r="U20" s="105">
        <v>0</v>
      </c>
      <c r="V20" s="105">
        <v>99</v>
      </c>
      <c r="W20" s="320">
        <f t="shared" si="0"/>
        <v>0</v>
      </c>
    </row>
    <row r="21" spans="1:23" x14ac:dyDescent="0.2">
      <c r="A21" t="s">
        <v>408</v>
      </c>
      <c r="B21" s="614">
        <f t="shared" ref="B21:J21" si="17">+B57+B92</f>
        <v>0</v>
      </c>
      <c r="C21" s="614">
        <f t="shared" si="17"/>
        <v>0</v>
      </c>
      <c r="D21" s="614">
        <f t="shared" si="17"/>
        <v>0</v>
      </c>
      <c r="E21" s="614">
        <f t="shared" si="17"/>
        <v>0</v>
      </c>
      <c r="F21" s="614">
        <f t="shared" si="17"/>
        <v>0</v>
      </c>
      <c r="G21" s="614">
        <f t="shared" si="17"/>
        <v>0</v>
      </c>
      <c r="H21" s="614">
        <f t="shared" si="17"/>
        <v>0</v>
      </c>
      <c r="I21" s="614">
        <f t="shared" si="17"/>
        <v>0</v>
      </c>
      <c r="J21" s="614">
        <f t="shared" si="17"/>
        <v>0</v>
      </c>
      <c r="K21" s="320">
        <f t="shared" si="3"/>
        <v>0</v>
      </c>
      <c r="M21" s="105" t="s">
        <v>410</v>
      </c>
      <c r="N21" s="105">
        <v>45687</v>
      </c>
      <c r="O21" s="105">
        <v>0</v>
      </c>
      <c r="P21" s="105">
        <v>0</v>
      </c>
      <c r="Q21" s="105">
        <v>0</v>
      </c>
      <c r="R21" s="105">
        <v>0</v>
      </c>
      <c r="S21" s="105">
        <v>0</v>
      </c>
      <c r="T21" s="105">
        <v>0</v>
      </c>
      <c r="U21" s="105">
        <v>45687</v>
      </c>
      <c r="V21" s="105">
        <v>0</v>
      </c>
      <c r="W21" s="320">
        <f t="shared" si="0"/>
        <v>0</v>
      </c>
    </row>
    <row r="22" spans="1:23" x14ac:dyDescent="0.2">
      <c r="A22" t="s">
        <v>409</v>
      </c>
      <c r="B22" s="614">
        <f t="shared" ref="B22:J22" si="18">+B58+B93</f>
        <v>87450</v>
      </c>
      <c r="C22" s="614">
        <f t="shared" si="18"/>
        <v>0</v>
      </c>
      <c r="D22" s="614">
        <f t="shared" si="18"/>
        <v>0</v>
      </c>
      <c r="E22" s="614">
        <f t="shared" si="18"/>
        <v>0</v>
      </c>
      <c r="F22" s="614">
        <f t="shared" si="18"/>
        <v>0</v>
      </c>
      <c r="G22" s="614">
        <f t="shared" si="18"/>
        <v>0</v>
      </c>
      <c r="H22" s="614">
        <f t="shared" si="18"/>
        <v>0</v>
      </c>
      <c r="I22" s="614">
        <f t="shared" si="18"/>
        <v>0</v>
      </c>
      <c r="J22" s="614">
        <f t="shared" si="18"/>
        <v>87450</v>
      </c>
      <c r="K22" s="320">
        <f t="shared" si="3"/>
        <v>0</v>
      </c>
      <c r="M22" s="105" t="s">
        <v>411</v>
      </c>
      <c r="N22" s="105">
        <v>146914</v>
      </c>
      <c r="O22" s="105">
        <v>0</v>
      </c>
      <c r="P22" s="105">
        <v>0</v>
      </c>
      <c r="Q22" s="105">
        <v>0</v>
      </c>
      <c r="R22" s="105">
        <v>0</v>
      </c>
      <c r="S22" s="105">
        <v>0</v>
      </c>
      <c r="T22" s="105">
        <v>0</v>
      </c>
      <c r="U22" s="105">
        <v>73457</v>
      </c>
      <c r="V22" s="105">
        <v>73457</v>
      </c>
      <c r="W22" s="320">
        <f t="shared" si="0"/>
        <v>0</v>
      </c>
    </row>
    <row r="23" spans="1:23" x14ac:dyDescent="0.2">
      <c r="A23" t="s">
        <v>362</v>
      </c>
      <c r="B23" s="614">
        <f t="shared" ref="B23:J23" si="19">+B59+B94</f>
        <v>0</v>
      </c>
      <c r="C23" s="614">
        <f t="shared" si="19"/>
        <v>0</v>
      </c>
      <c r="D23" s="614">
        <f t="shared" si="19"/>
        <v>0</v>
      </c>
      <c r="E23" s="614">
        <f t="shared" si="19"/>
        <v>0</v>
      </c>
      <c r="F23" s="614">
        <f t="shared" si="19"/>
        <v>0</v>
      </c>
      <c r="G23" s="614">
        <f t="shared" si="19"/>
        <v>0</v>
      </c>
      <c r="H23" s="614">
        <f t="shared" si="19"/>
        <v>0</v>
      </c>
      <c r="I23" s="614">
        <f t="shared" si="19"/>
        <v>0</v>
      </c>
      <c r="J23" s="614">
        <f t="shared" si="19"/>
        <v>0</v>
      </c>
      <c r="K23" s="320">
        <f t="shared" si="3"/>
        <v>0</v>
      </c>
      <c r="M23" s="105"/>
      <c r="N23" s="105"/>
      <c r="O23" s="105"/>
      <c r="P23" s="105"/>
      <c r="Q23" s="105"/>
      <c r="R23" s="105"/>
      <c r="S23" s="105"/>
      <c r="T23" s="105"/>
      <c r="U23" s="105"/>
      <c r="V23" s="105"/>
      <c r="W23" s="320">
        <f t="shared" si="0"/>
        <v>0</v>
      </c>
    </row>
    <row r="24" spans="1:23" x14ac:dyDescent="0.2">
      <c r="A24" t="s">
        <v>410</v>
      </c>
      <c r="B24" s="614">
        <f t="shared" ref="B24:J24" si="20">+B60+B95</f>
        <v>53172.860159361007</v>
      </c>
      <c r="C24" s="614">
        <f t="shared" si="20"/>
        <v>0</v>
      </c>
      <c r="D24" s="614">
        <f t="shared" si="20"/>
        <v>0</v>
      </c>
      <c r="E24" s="614">
        <f t="shared" si="20"/>
        <v>0</v>
      </c>
      <c r="F24" s="614">
        <f t="shared" si="20"/>
        <v>0</v>
      </c>
      <c r="G24" s="614">
        <f t="shared" si="20"/>
        <v>0</v>
      </c>
      <c r="H24" s="614">
        <f t="shared" si="20"/>
        <v>0</v>
      </c>
      <c r="I24" s="614">
        <f t="shared" si="20"/>
        <v>53172.860159361007</v>
      </c>
      <c r="J24" s="614">
        <f t="shared" si="20"/>
        <v>0</v>
      </c>
      <c r="K24" s="320">
        <f t="shared" si="3"/>
        <v>0</v>
      </c>
      <c r="M24" s="105"/>
      <c r="N24" s="105">
        <v>1785800.4</v>
      </c>
      <c r="O24" s="105">
        <v>486783</v>
      </c>
      <c r="P24" s="105">
        <v>68457</v>
      </c>
      <c r="Q24" s="105">
        <v>314518</v>
      </c>
      <c r="R24" s="105">
        <v>54786</v>
      </c>
      <c r="S24" s="105">
        <v>377002</v>
      </c>
      <c r="T24" s="105">
        <v>93116</v>
      </c>
      <c r="U24" s="105">
        <v>143472</v>
      </c>
      <c r="V24" s="105">
        <v>247670</v>
      </c>
      <c r="W24" s="320">
        <f t="shared" si="0"/>
        <v>-3.6000000000931323</v>
      </c>
    </row>
    <row r="25" spans="1:23" s="371" customFormat="1" x14ac:dyDescent="0.2">
      <c r="A25" s="371" t="s">
        <v>458</v>
      </c>
      <c r="B25" s="614">
        <f t="shared" ref="B25:J25" si="21">+B61+B96</f>
        <v>23604.28</v>
      </c>
      <c r="C25" s="614">
        <f t="shared" si="21"/>
        <v>0</v>
      </c>
      <c r="D25" s="614">
        <f t="shared" si="21"/>
        <v>0</v>
      </c>
      <c r="E25" s="614">
        <f t="shared" si="21"/>
        <v>0</v>
      </c>
      <c r="F25" s="614">
        <f t="shared" si="21"/>
        <v>0</v>
      </c>
      <c r="G25" s="614">
        <f t="shared" si="21"/>
        <v>0</v>
      </c>
      <c r="H25" s="614">
        <f t="shared" si="21"/>
        <v>0</v>
      </c>
      <c r="I25" s="614">
        <f t="shared" si="21"/>
        <v>23604.28</v>
      </c>
      <c r="J25" s="614">
        <f t="shared" si="21"/>
        <v>0</v>
      </c>
      <c r="K25" s="320">
        <f t="shared" si="3"/>
        <v>0</v>
      </c>
      <c r="M25" s="105"/>
      <c r="N25" s="105"/>
      <c r="O25" s="105"/>
      <c r="P25" s="105"/>
      <c r="Q25" s="105"/>
      <c r="R25" s="105"/>
      <c r="S25" s="105"/>
      <c r="T25" s="105"/>
      <c r="U25" s="105"/>
      <c r="V25" s="105"/>
      <c r="W25" s="105"/>
    </row>
    <row r="26" spans="1:23" s="371" customFormat="1" x14ac:dyDescent="0.2">
      <c r="A26" s="371" t="s">
        <v>459</v>
      </c>
      <c r="B26" s="614">
        <f t="shared" ref="B26:J26" si="22">+B62+B97</f>
        <v>0</v>
      </c>
      <c r="C26" s="614">
        <f t="shared" si="22"/>
        <v>0</v>
      </c>
      <c r="D26" s="614">
        <f t="shared" si="22"/>
        <v>0</v>
      </c>
      <c r="E26" s="614">
        <f t="shared" si="22"/>
        <v>0</v>
      </c>
      <c r="F26" s="614">
        <f t="shared" si="22"/>
        <v>0</v>
      </c>
      <c r="G26" s="614">
        <f t="shared" si="22"/>
        <v>0</v>
      </c>
      <c r="H26" s="614">
        <f t="shared" si="22"/>
        <v>0</v>
      </c>
      <c r="I26" s="614">
        <f t="shared" si="22"/>
        <v>0</v>
      </c>
      <c r="J26" s="614">
        <f t="shared" si="22"/>
        <v>0</v>
      </c>
      <c r="K26" s="320">
        <f t="shared" si="3"/>
        <v>0</v>
      </c>
    </row>
    <row r="27" spans="1:23" s="371" customFormat="1" x14ac:dyDescent="0.2">
      <c r="A27" s="371" t="s">
        <v>460</v>
      </c>
      <c r="B27" s="614">
        <f t="shared" ref="B27:J27" si="23">+B63+B98</f>
        <v>38802.648569999998</v>
      </c>
      <c r="C27" s="614">
        <f t="shared" si="23"/>
        <v>0</v>
      </c>
      <c r="D27" s="614">
        <f t="shared" si="23"/>
        <v>0</v>
      </c>
      <c r="E27" s="614">
        <f t="shared" si="23"/>
        <v>0</v>
      </c>
      <c r="F27" s="614">
        <f t="shared" si="23"/>
        <v>0</v>
      </c>
      <c r="G27" s="614">
        <f t="shared" si="23"/>
        <v>0</v>
      </c>
      <c r="H27" s="614">
        <f t="shared" si="23"/>
        <v>0</v>
      </c>
      <c r="I27" s="614">
        <f t="shared" si="23"/>
        <v>0</v>
      </c>
      <c r="J27" s="614">
        <f t="shared" si="23"/>
        <v>38802.648569999998</v>
      </c>
      <c r="K27" s="320">
        <f t="shared" si="3"/>
        <v>0</v>
      </c>
      <c r="N27" s="206"/>
    </row>
    <row r="28" spans="1:23" s="371" customFormat="1" x14ac:dyDescent="0.2">
      <c r="A28" s="371" t="s">
        <v>461</v>
      </c>
      <c r="B28" s="614">
        <f t="shared" ref="B28:J28" si="24">+B64+B99</f>
        <v>50303.853320000002</v>
      </c>
      <c r="C28" s="614">
        <f t="shared" si="24"/>
        <v>0</v>
      </c>
      <c r="D28" s="614">
        <f t="shared" si="24"/>
        <v>0</v>
      </c>
      <c r="E28" s="614">
        <f t="shared" si="24"/>
        <v>0</v>
      </c>
      <c r="F28" s="614">
        <f t="shared" si="24"/>
        <v>0</v>
      </c>
      <c r="G28" s="614">
        <f t="shared" si="24"/>
        <v>0</v>
      </c>
      <c r="H28" s="614">
        <f t="shared" si="24"/>
        <v>0</v>
      </c>
      <c r="I28" s="614">
        <f t="shared" si="24"/>
        <v>0</v>
      </c>
      <c r="J28" s="614">
        <f t="shared" si="24"/>
        <v>50303.853320000002</v>
      </c>
      <c r="K28" s="320">
        <f t="shared" si="3"/>
        <v>0</v>
      </c>
      <c r="N28" s="249"/>
    </row>
    <row r="29" spans="1:23" s="371" customFormat="1" x14ac:dyDescent="0.2">
      <c r="A29" s="371" t="s">
        <v>462</v>
      </c>
      <c r="B29" s="614">
        <f t="shared" ref="B29:J29" si="25">+B65+B100</f>
        <v>0</v>
      </c>
      <c r="C29" s="614">
        <f t="shared" si="25"/>
        <v>0</v>
      </c>
      <c r="D29" s="614">
        <f t="shared" si="25"/>
        <v>0</v>
      </c>
      <c r="E29" s="614">
        <f t="shared" si="25"/>
        <v>0</v>
      </c>
      <c r="F29" s="614">
        <f t="shared" si="25"/>
        <v>0</v>
      </c>
      <c r="G29" s="614">
        <f t="shared" si="25"/>
        <v>0</v>
      </c>
      <c r="H29" s="614">
        <f t="shared" si="25"/>
        <v>0</v>
      </c>
      <c r="I29" s="614">
        <f t="shared" si="25"/>
        <v>0</v>
      </c>
      <c r="J29" s="614">
        <f t="shared" si="25"/>
        <v>0</v>
      </c>
      <c r="K29" s="320">
        <f t="shared" si="3"/>
        <v>0</v>
      </c>
    </row>
    <row r="30" spans="1:23" s="371" customFormat="1" x14ac:dyDescent="0.2">
      <c r="A30" s="371" t="s">
        <v>464</v>
      </c>
      <c r="B30" s="614">
        <f t="shared" ref="B30:J30" si="26">+B66+B101</f>
        <v>43481.65</v>
      </c>
      <c r="C30" s="614">
        <f t="shared" si="26"/>
        <v>0</v>
      </c>
      <c r="D30" s="614">
        <f t="shared" si="26"/>
        <v>0</v>
      </c>
      <c r="E30" s="614">
        <f t="shared" si="26"/>
        <v>43481.65</v>
      </c>
      <c r="F30" s="614">
        <f t="shared" si="26"/>
        <v>0</v>
      </c>
      <c r="G30" s="614">
        <f t="shared" si="26"/>
        <v>0</v>
      </c>
      <c r="H30" s="614">
        <f t="shared" si="26"/>
        <v>0</v>
      </c>
      <c r="I30" s="614">
        <f t="shared" si="26"/>
        <v>0</v>
      </c>
      <c r="J30" s="614">
        <f t="shared" si="26"/>
        <v>0</v>
      </c>
      <c r="K30" s="320">
        <f t="shared" si="3"/>
        <v>0</v>
      </c>
    </row>
    <row r="31" spans="1:23" s="371" customFormat="1" x14ac:dyDescent="0.2">
      <c r="A31" s="371" t="s">
        <v>474</v>
      </c>
      <c r="B31" s="614">
        <f t="shared" ref="B31:J31" si="27">+B67+B102</f>
        <v>48331.76</v>
      </c>
      <c r="C31" s="614">
        <f t="shared" si="27"/>
        <v>0</v>
      </c>
      <c r="D31" s="614">
        <f t="shared" si="27"/>
        <v>0</v>
      </c>
      <c r="E31" s="614">
        <f t="shared" si="27"/>
        <v>0</v>
      </c>
      <c r="F31" s="614">
        <f t="shared" si="27"/>
        <v>0</v>
      </c>
      <c r="G31" s="614">
        <f t="shared" si="27"/>
        <v>48331.76</v>
      </c>
      <c r="H31" s="614">
        <f t="shared" si="27"/>
        <v>0</v>
      </c>
      <c r="I31" s="614">
        <f t="shared" si="27"/>
        <v>0</v>
      </c>
      <c r="J31" s="614">
        <f t="shared" si="27"/>
        <v>0</v>
      </c>
      <c r="K31" s="320">
        <f t="shared" si="3"/>
        <v>0</v>
      </c>
    </row>
    <row r="32" spans="1:23" x14ac:dyDescent="0.2">
      <c r="A32" s="371" t="s">
        <v>411</v>
      </c>
      <c r="B32" s="614">
        <f t="shared" ref="B32:J32" si="28">+B68+B103</f>
        <v>33059.883330000004</v>
      </c>
      <c r="C32" s="614">
        <f t="shared" si="28"/>
        <v>0</v>
      </c>
      <c r="D32" s="614">
        <f t="shared" si="28"/>
        <v>0</v>
      </c>
      <c r="E32" s="614">
        <f t="shared" si="28"/>
        <v>0</v>
      </c>
      <c r="F32" s="614">
        <f t="shared" si="28"/>
        <v>0</v>
      </c>
      <c r="G32" s="614">
        <f t="shared" si="28"/>
        <v>0</v>
      </c>
      <c r="H32" s="614">
        <f t="shared" si="28"/>
        <v>0</v>
      </c>
      <c r="I32" s="614">
        <f t="shared" si="28"/>
        <v>0</v>
      </c>
      <c r="J32" s="614">
        <f t="shared" si="28"/>
        <v>33059.883330000004</v>
      </c>
      <c r="K32" s="320">
        <f t="shared" si="3"/>
        <v>0</v>
      </c>
    </row>
    <row r="33" spans="1:13" x14ac:dyDescent="0.2">
      <c r="B33" s="320"/>
      <c r="C33" s="320"/>
      <c r="D33" s="320"/>
      <c r="E33" s="320"/>
      <c r="F33" s="320"/>
      <c r="G33" s="320"/>
      <c r="H33" s="320"/>
      <c r="I33" s="320"/>
      <c r="J33" s="320"/>
      <c r="K33" s="320">
        <f t="shared" si="3"/>
        <v>0</v>
      </c>
    </row>
    <row r="34" spans="1:13" x14ac:dyDescent="0.2">
      <c r="B34" s="320">
        <f>SUM(B6:B33)</f>
        <v>2211628.3041567942</v>
      </c>
      <c r="C34" s="320">
        <f t="shared" ref="C34:J34" si="29">SUM(C6:C33)</f>
        <v>375112.09623848123</v>
      </c>
      <c r="D34" s="320">
        <f t="shared" si="29"/>
        <v>66893.627733688976</v>
      </c>
      <c r="E34" s="320">
        <f t="shared" si="29"/>
        <v>446103.30989212915</v>
      </c>
      <c r="F34" s="320">
        <f t="shared" si="29"/>
        <v>47007.018100008434</v>
      </c>
      <c r="G34" s="320">
        <f t="shared" si="29"/>
        <v>406066.17486662703</v>
      </c>
      <c r="H34" s="320">
        <f t="shared" si="29"/>
        <v>86420.604600740116</v>
      </c>
      <c r="I34" s="320">
        <f t="shared" si="29"/>
        <v>146924.77856994845</v>
      </c>
      <c r="J34" s="320">
        <f t="shared" si="29"/>
        <v>637100.69415517082</v>
      </c>
      <c r="K34" s="320">
        <f t="shared" si="3"/>
        <v>0</v>
      </c>
    </row>
    <row r="35" spans="1:13" x14ac:dyDescent="0.2">
      <c r="B35" s="532">
        <v>2211628.3041567942</v>
      </c>
      <c r="D35" s="249">
        <f>+C34+D34</f>
        <v>442005.72397217021</v>
      </c>
      <c r="F35" s="249">
        <f t="shared" ref="F35" si="30">+E34+F34</f>
        <v>493110.32799213758</v>
      </c>
      <c r="H35" s="249">
        <f t="shared" ref="H35" si="31">+G34+H34</f>
        <v>492486.77946736716</v>
      </c>
    </row>
    <row r="36" spans="1:13" x14ac:dyDescent="0.2">
      <c r="B36" s="300">
        <v>2211628.3041567942</v>
      </c>
    </row>
    <row r="39" spans="1:13" s="105" customFormat="1" x14ac:dyDescent="0.2">
      <c r="A39" s="371" t="s">
        <v>466</v>
      </c>
      <c r="B39" s="371"/>
      <c r="C39" s="371"/>
      <c r="D39" s="371"/>
      <c r="E39" s="371"/>
      <c r="F39" s="371"/>
      <c r="G39" s="371"/>
      <c r="H39" s="371"/>
      <c r="I39" s="371"/>
      <c r="J39" s="371"/>
      <c r="K39" s="371"/>
    </row>
    <row r="40" spans="1:13" s="105" customFormat="1" x14ac:dyDescent="0.2">
      <c r="A40" s="371"/>
      <c r="B40" s="371"/>
      <c r="C40" s="371"/>
      <c r="D40" s="371"/>
      <c r="E40" s="371"/>
      <c r="F40" s="371"/>
      <c r="G40" s="371"/>
      <c r="H40" s="371"/>
      <c r="I40" s="371"/>
      <c r="J40" s="371"/>
      <c r="K40" s="371"/>
    </row>
    <row r="41" spans="1:13" s="105" customFormat="1" x14ac:dyDescent="0.2">
      <c r="A41" s="371"/>
      <c r="B41" s="371" t="s">
        <v>183</v>
      </c>
      <c r="C41" s="371" t="s">
        <v>391</v>
      </c>
      <c r="D41" s="371" t="s">
        <v>392</v>
      </c>
      <c r="E41" s="371" t="s">
        <v>393</v>
      </c>
      <c r="F41" s="371" t="s">
        <v>394</v>
      </c>
      <c r="G41" s="371" t="s">
        <v>395</v>
      </c>
      <c r="H41" s="371" t="s">
        <v>396</v>
      </c>
      <c r="I41" s="371" t="s">
        <v>397</v>
      </c>
      <c r="J41" s="371" t="s">
        <v>398</v>
      </c>
      <c r="K41" s="371"/>
    </row>
    <row r="42" spans="1:13" s="105" customFormat="1" x14ac:dyDescent="0.2">
      <c r="A42" s="371" t="s">
        <v>390</v>
      </c>
      <c r="B42" s="614">
        <v>790838.29</v>
      </c>
      <c r="C42" s="320">
        <f>+($B$42-$I$42-$J$42)*O$3/SUM($O$3:$T$3)</f>
        <v>146033.30750482201</v>
      </c>
      <c r="D42" s="320">
        <f t="shared" ref="D42:H42" si="32">+($B$42-$I$42-$J$42)*P$3/SUM($O$3:$T$3)</f>
        <v>39827.359170417098</v>
      </c>
      <c r="E42" s="320">
        <f t="shared" si="32"/>
        <v>146033.30750482201</v>
      </c>
      <c r="F42" s="320">
        <f t="shared" si="32"/>
        <v>39827.359170417098</v>
      </c>
      <c r="G42" s="320">
        <f t="shared" si="32"/>
        <v>232325.06207395723</v>
      </c>
      <c r="H42" s="320">
        <f t="shared" si="32"/>
        <v>59740.524575564588</v>
      </c>
      <c r="I42" s="320">
        <v>43612.83</v>
      </c>
      <c r="J42" s="320">
        <v>83438.539999999994</v>
      </c>
      <c r="K42" s="320">
        <f>+B42-SUM(C42:J42)</f>
        <v>0</v>
      </c>
      <c r="L42" s="105">
        <v>0</v>
      </c>
      <c r="M42" s="105">
        <v>781439.39</v>
      </c>
    </row>
    <row r="43" spans="1:13" s="105" customFormat="1" x14ac:dyDescent="0.2">
      <c r="A43" s="371" t="s">
        <v>399</v>
      </c>
      <c r="B43" s="614"/>
      <c r="C43" s="320"/>
      <c r="D43" s="320"/>
      <c r="E43" s="320"/>
      <c r="F43" s="320"/>
      <c r="G43" s="320"/>
      <c r="H43" s="320"/>
      <c r="I43" s="320"/>
      <c r="J43" s="320"/>
      <c r="K43" s="320">
        <f t="shared" ref="K43:K69" si="33">+B43-SUM(C43:J43)</f>
        <v>0</v>
      </c>
    </row>
    <row r="44" spans="1:13" s="105" customFormat="1" x14ac:dyDescent="0.2">
      <c r="A44" s="371" t="s">
        <v>400</v>
      </c>
      <c r="B44" s="614">
        <v>183279.74</v>
      </c>
      <c r="C44" s="320"/>
      <c r="D44" s="320"/>
      <c r="E44" s="320"/>
      <c r="F44" s="320"/>
      <c r="G44" s="320"/>
      <c r="H44" s="320"/>
      <c r="I44" s="320"/>
      <c r="J44" s="320">
        <f>+B44</f>
        <v>183279.74</v>
      </c>
      <c r="K44" s="320">
        <f t="shared" si="33"/>
        <v>0</v>
      </c>
    </row>
    <row r="45" spans="1:13" s="105" customFormat="1" x14ac:dyDescent="0.2">
      <c r="A45" s="371" t="s">
        <v>389</v>
      </c>
      <c r="B45" s="614">
        <v>123204</v>
      </c>
      <c r="C45" s="320">
        <v>123204</v>
      </c>
      <c r="D45" s="320">
        <v>0</v>
      </c>
      <c r="E45" s="320">
        <v>0</v>
      </c>
      <c r="F45" s="320">
        <v>0</v>
      </c>
      <c r="G45" s="320">
        <v>0</v>
      </c>
      <c r="H45" s="320">
        <v>0</v>
      </c>
      <c r="I45" s="320">
        <v>0</v>
      </c>
      <c r="J45" s="320">
        <v>0</v>
      </c>
      <c r="K45" s="320">
        <f t="shared" si="33"/>
        <v>0</v>
      </c>
    </row>
    <row r="46" spans="1:13" s="105" customFormat="1" x14ac:dyDescent="0.2">
      <c r="A46" s="371" t="s">
        <v>322</v>
      </c>
      <c r="B46" s="614">
        <v>101367.40000000001</v>
      </c>
      <c r="C46" s="320">
        <v>0</v>
      </c>
      <c r="D46" s="320">
        <v>0</v>
      </c>
      <c r="E46" s="320">
        <f>+B46</f>
        <v>101367.40000000001</v>
      </c>
      <c r="F46" s="320">
        <v>0</v>
      </c>
      <c r="G46" s="320">
        <v>0</v>
      </c>
      <c r="H46" s="320">
        <v>0</v>
      </c>
      <c r="I46" s="320">
        <v>0</v>
      </c>
      <c r="J46" s="320">
        <v>0</v>
      </c>
      <c r="K46" s="320">
        <f t="shared" si="33"/>
        <v>0</v>
      </c>
    </row>
    <row r="47" spans="1:13" s="105" customFormat="1" x14ac:dyDescent="0.2">
      <c r="A47" s="371" t="s">
        <v>401</v>
      </c>
      <c r="B47" s="614">
        <v>108011.74</v>
      </c>
      <c r="C47" s="320"/>
      <c r="D47" s="320">
        <v>0</v>
      </c>
      <c r="E47" s="320">
        <f>+B47</f>
        <v>108011.74</v>
      </c>
      <c r="F47" s="320">
        <v>0</v>
      </c>
      <c r="G47" s="320">
        <v>0</v>
      </c>
      <c r="H47" s="320">
        <v>0</v>
      </c>
      <c r="I47" s="320">
        <v>0</v>
      </c>
      <c r="J47" s="320">
        <v>0</v>
      </c>
      <c r="K47" s="320">
        <f t="shared" si="33"/>
        <v>0</v>
      </c>
    </row>
    <row r="48" spans="1:13" s="105" customFormat="1" x14ac:dyDescent="0.2">
      <c r="A48" s="371" t="s">
        <v>463</v>
      </c>
      <c r="B48" s="614">
        <v>127934.12</v>
      </c>
      <c r="C48" s="320">
        <f>+$B$48*O$9/$N$9</f>
        <v>51173.83515858154</v>
      </c>
      <c r="D48" s="320">
        <f t="shared" ref="D48:H48" si="34">+$B$48*P$9/$N$9</f>
        <v>12793.224841418456</v>
      </c>
      <c r="E48" s="320">
        <f t="shared" si="34"/>
        <v>0</v>
      </c>
      <c r="F48" s="320">
        <f t="shared" si="34"/>
        <v>0</v>
      </c>
      <c r="G48" s="320">
        <f t="shared" si="34"/>
        <v>53732.292968283691</v>
      </c>
      <c r="H48" s="320">
        <f t="shared" si="34"/>
        <v>10234.767031716308</v>
      </c>
      <c r="I48" s="320">
        <f t="shared" ref="I48" si="35">+$B$12*U$9/$N$9</f>
        <v>0</v>
      </c>
      <c r="J48" s="320">
        <f>+$B$12*V45/$N$9</f>
        <v>0</v>
      </c>
      <c r="K48" s="320">
        <f t="shared" si="33"/>
        <v>0</v>
      </c>
    </row>
    <row r="49" spans="1:11" s="105" customFormat="1" x14ac:dyDescent="0.2">
      <c r="A49" s="371" t="s">
        <v>473</v>
      </c>
      <c r="B49" s="614">
        <v>-110732.83</v>
      </c>
      <c r="C49" s="320"/>
      <c r="D49" s="320"/>
      <c r="E49" s="320"/>
      <c r="F49" s="320"/>
      <c r="G49" s="320"/>
      <c r="H49" s="320"/>
      <c r="I49" s="320"/>
      <c r="J49" s="320"/>
      <c r="K49" s="320"/>
    </row>
    <row r="50" spans="1:11" s="105" customFormat="1" x14ac:dyDescent="0.2">
      <c r="A50" s="371" t="s">
        <v>402</v>
      </c>
      <c r="B50" s="614">
        <v>15618.300000000001</v>
      </c>
      <c r="C50" s="320">
        <v>0</v>
      </c>
      <c r="D50" s="320">
        <v>0</v>
      </c>
      <c r="E50" s="320">
        <v>0</v>
      </c>
      <c r="F50" s="320">
        <v>0</v>
      </c>
      <c r="G50" s="320">
        <v>0</v>
      </c>
      <c r="H50" s="320">
        <v>0</v>
      </c>
      <c r="I50" s="320">
        <v>0</v>
      </c>
      <c r="J50" s="320">
        <f>+B50</f>
        <v>15618.300000000001</v>
      </c>
      <c r="K50" s="320">
        <f t="shared" si="33"/>
        <v>0</v>
      </c>
    </row>
    <row r="51" spans="1:11" s="105" customFormat="1" x14ac:dyDescent="0.2">
      <c r="A51" s="371" t="s">
        <v>403</v>
      </c>
      <c r="B51" s="614">
        <v>3453.16</v>
      </c>
      <c r="C51" s="320">
        <v>0</v>
      </c>
      <c r="D51" s="320">
        <v>0</v>
      </c>
      <c r="E51" s="320">
        <v>0</v>
      </c>
      <c r="F51" s="320">
        <v>0</v>
      </c>
      <c r="G51" s="320">
        <v>0</v>
      </c>
      <c r="H51" s="320">
        <v>0</v>
      </c>
      <c r="I51" s="320">
        <v>0</v>
      </c>
      <c r="J51" s="320">
        <f t="shared" ref="J51" si="36">+B51</f>
        <v>3453.16</v>
      </c>
      <c r="K51" s="320">
        <f t="shared" si="33"/>
        <v>0</v>
      </c>
    </row>
    <row r="52" spans="1:11" s="105" customFormat="1" x14ac:dyDescent="0.2">
      <c r="A52" s="371" t="s">
        <v>404</v>
      </c>
      <c r="B52" s="614">
        <v>20698.45</v>
      </c>
      <c r="C52" s="320">
        <v>0</v>
      </c>
      <c r="D52" s="320">
        <v>0</v>
      </c>
      <c r="E52" s="320">
        <v>0</v>
      </c>
      <c r="F52" s="320">
        <v>0</v>
      </c>
      <c r="G52" s="320">
        <v>0</v>
      </c>
      <c r="H52" s="320">
        <v>0</v>
      </c>
      <c r="I52" s="320">
        <f>+B52</f>
        <v>20698.45</v>
      </c>
      <c r="J52" s="320">
        <v>0</v>
      </c>
      <c r="K52" s="320">
        <f t="shared" si="33"/>
        <v>0</v>
      </c>
    </row>
    <row r="53" spans="1:11" s="105" customFormat="1" x14ac:dyDescent="0.2">
      <c r="A53" s="371" t="s">
        <v>405</v>
      </c>
      <c r="B53" s="614">
        <v>12269.34</v>
      </c>
      <c r="C53" s="320">
        <v>0</v>
      </c>
      <c r="D53" s="320">
        <v>0</v>
      </c>
      <c r="E53" s="320">
        <f>+B53</f>
        <v>12269.34</v>
      </c>
      <c r="F53" s="320">
        <v>0</v>
      </c>
      <c r="G53" s="320">
        <v>0</v>
      </c>
      <c r="H53" s="320">
        <v>0</v>
      </c>
      <c r="I53" s="320">
        <v>0</v>
      </c>
      <c r="J53" s="320">
        <v>0</v>
      </c>
      <c r="K53" s="320">
        <f t="shared" si="33"/>
        <v>0</v>
      </c>
    </row>
    <row r="54" spans="1:11" s="105" customFormat="1" x14ac:dyDescent="0.2">
      <c r="A54" s="371" t="s">
        <v>351</v>
      </c>
      <c r="B54" s="614">
        <v>28507.41</v>
      </c>
      <c r="C54" s="320">
        <f>6272-0.59</f>
        <v>6271.41</v>
      </c>
      <c r="D54" s="320">
        <v>1710</v>
      </c>
      <c r="E54" s="320">
        <v>6272</v>
      </c>
      <c r="F54" s="320">
        <v>1710</v>
      </c>
      <c r="G54" s="320">
        <v>9978</v>
      </c>
      <c r="H54" s="320">
        <v>2566</v>
      </c>
      <c r="I54" s="320">
        <v>0</v>
      </c>
      <c r="J54" s="320">
        <v>0</v>
      </c>
      <c r="K54" s="320">
        <f t="shared" si="33"/>
        <v>0</v>
      </c>
    </row>
    <row r="55" spans="1:11" s="105" customFormat="1" x14ac:dyDescent="0.2">
      <c r="A55" s="371" t="s">
        <v>406</v>
      </c>
      <c r="B55" s="614">
        <v>61001.1</v>
      </c>
      <c r="C55" s="320">
        <v>0</v>
      </c>
      <c r="D55" s="320">
        <v>0</v>
      </c>
      <c r="E55" s="320">
        <v>0</v>
      </c>
      <c r="F55" s="320">
        <v>0</v>
      </c>
      <c r="G55" s="320">
        <v>0</v>
      </c>
      <c r="H55" s="320">
        <v>0</v>
      </c>
      <c r="I55" s="320">
        <v>0</v>
      </c>
      <c r="J55" s="320">
        <f>+B55</f>
        <v>61001.1</v>
      </c>
      <c r="K55" s="320">
        <f t="shared" si="33"/>
        <v>0</v>
      </c>
    </row>
    <row r="56" spans="1:11" s="105" customFormat="1" x14ac:dyDescent="0.2">
      <c r="A56" s="371" t="s">
        <v>407</v>
      </c>
      <c r="B56" s="614">
        <v>14286.710000000001</v>
      </c>
      <c r="C56" s="320"/>
      <c r="D56" s="320"/>
      <c r="E56" s="320"/>
      <c r="F56" s="320"/>
      <c r="G56" s="320"/>
      <c r="H56" s="320"/>
      <c r="I56" s="320"/>
      <c r="J56" s="320">
        <f>+B56</f>
        <v>14286.710000000001</v>
      </c>
      <c r="K56" s="320">
        <f t="shared" si="33"/>
        <v>0</v>
      </c>
    </row>
    <row r="57" spans="1:11" s="105" customFormat="1" x14ac:dyDescent="0.2">
      <c r="A57" s="371" t="s">
        <v>408</v>
      </c>
      <c r="B57" s="614"/>
      <c r="C57" s="320">
        <v>0</v>
      </c>
      <c r="D57" s="320">
        <v>0</v>
      </c>
      <c r="E57" s="320">
        <v>0</v>
      </c>
      <c r="F57" s="320">
        <v>0</v>
      </c>
      <c r="G57" s="320">
        <v>0</v>
      </c>
      <c r="H57" s="320">
        <v>0</v>
      </c>
      <c r="I57" s="320">
        <v>0</v>
      </c>
      <c r="J57" s="320"/>
      <c r="K57" s="320">
        <f t="shared" si="33"/>
        <v>0</v>
      </c>
    </row>
    <row r="58" spans="1:11" s="105" customFormat="1" x14ac:dyDescent="0.2">
      <c r="A58" s="371" t="s">
        <v>409</v>
      </c>
      <c r="B58" s="614">
        <v>69645.48</v>
      </c>
      <c r="C58" s="320">
        <v>0</v>
      </c>
      <c r="D58" s="320">
        <v>0</v>
      </c>
      <c r="E58" s="320">
        <v>0</v>
      </c>
      <c r="F58" s="320">
        <v>0</v>
      </c>
      <c r="G58" s="320">
        <v>0</v>
      </c>
      <c r="H58" s="320">
        <v>0</v>
      </c>
      <c r="I58" s="320">
        <v>0</v>
      </c>
      <c r="J58" s="320">
        <f>+B58</f>
        <v>69645.48</v>
      </c>
      <c r="K58" s="320">
        <f t="shared" si="33"/>
        <v>0</v>
      </c>
    </row>
    <row r="59" spans="1:11" s="105" customFormat="1" x14ac:dyDescent="0.2">
      <c r="A59" s="371" t="s">
        <v>362</v>
      </c>
      <c r="B59" s="614"/>
      <c r="C59" s="320">
        <v>0</v>
      </c>
      <c r="D59" s="320">
        <v>0</v>
      </c>
      <c r="E59" s="320">
        <v>0</v>
      </c>
      <c r="F59" s="320">
        <v>0</v>
      </c>
      <c r="G59" s="320">
        <v>0</v>
      </c>
      <c r="H59" s="320">
        <v>0</v>
      </c>
      <c r="I59" s="320">
        <v>0</v>
      </c>
      <c r="J59" s="320"/>
      <c r="K59" s="320">
        <f t="shared" si="33"/>
        <v>0</v>
      </c>
    </row>
    <row r="60" spans="1:11" s="105" customFormat="1" x14ac:dyDescent="0.2">
      <c r="A60" s="371" t="s">
        <v>410</v>
      </c>
      <c r="B60" s="614">
        <v>45686.5</v>
      </c>
      <c r="C60" s="320">
        <v>0</v>
      </c>
      <c r="D60" s="320">
        <v>0</v>
      </c>
      <c r="E60" s="320">
        <v>0</v>
      </c>
      <c r="F60" s="320">
        <v>0</v>
      </c>
      <c r="G60" s="320">
        <v>0</v>
      </c>
      <c r="H60" s="320">
        <v>0</v>
      </c>
      <c r="I60" s="320">
        <f>+B60</f>
        <v>45686.5</v>
      </c>
      <c r="J60" s="320">
        <v>0</v>
      </c>
      <c r="K60" s="320">
        <f t="shared" si="33"/>
        <v>0</v>
      </c>
    </row>
    <row r="61" spans="1:11" s="105" customFormat="1" x14ac:dyDescent="0.2">
      <c r="A61" s="371" t="s">
        <v>458</v>
      </c>
      <c r="B61" s="614">
        <v>23604.28</v>
      </c>
      <c r="C61" s="320"/>
      <c r="D61" s="320"/>
      <c r="E61" s="320"/>
      <c r="F61" s="320"/>
      <c r="G61" s="320"/>
      <c r="H61" s="320"/>
      <c r="I61" s="320">
        <f>+B61</f>
        <v>23604.28</v>
      </c>
      <c r="J61" s="320"/>
      <c r="K61" s="320">
        <f t="shared" si="33"/>
        <v>0</v>
      </c>
    </row>
    <row r="62" spans="1:11" s="105" customFormat="1" x14ac:dyDescent="0.2">
      <c r="A62" s="371" t="s">
        <v>459</v>
      </c>
      <c r="B62" s="614"/>
      <c r="C62" s="320"/>
      <c r="D62" s="320"/>
      <c r="E62" s="320"/>
      <c r="F62" s="320"/>
      <c r="G62" s="320"/>
      <c r="H62" s="320"/>
      <c r="I62" s="320"/>
      <c r="J62" s="320">
        <f>+B62</f>
        <v>0</v>
      </c>
      <c r="K62" s="320">
        <f t="shared" si="33"/>
        <v>0</v>
      </c>
    </row>
    <row r="63" spans="1:11" x14ac:dyDescent="0.2">
      <c r="A63" s="371" t="s">
        <v>460</v>
      </c>
      <c r="B63" s="614">
        <v>39974.009999999995</v>
      </c>
      <c r="C63" s="320"/>
      <c r="D63" s="320"/>
      <c r="E63" s="320"/>
      <c r="F63" s="320"/>
      <c r="G63" s="320"/>
      <c r="H63" s="320"/>
      <c r="I63" s="320"/>
      <c r="J63" s="320">
        <f>+B63</f>
        <v>39974.009999999995</v>
      </c>
      <c r="K63" s="320">
        <f t="shared" si="33"/>
        <v>0</v>
      </c>
    </row>
    <row r="64" spans="1:11" x14ac:dyDescent="0.2">
      <c r="A64" s="371" t="s">
        <v>461</v>
      </c>
      <c r="B64" s="614">
        <v>50335.040000000001</v>
      </c>
      <c r="C64" s="320"/>
      <c r="D64" s="320"/>
      <c r="E64" s="320"/>
      <c r="F64" s="320"/>
      <c r="G64" s="320"/>
      <c r="H64" s="320"/>
      <c r="I64" s="320"/>
      <c r="J64" s="320">
        <f>+B64</f>
        <v>50335.040000000001</v>
      </c>
      <c r="K64" s="320">
        <f t="shared" si="33"/>
        <v>0</v>
      </c>
    </row>
    <row r="65" spans="1:11" x14ac:dyDescent="0.2">
      <c r="A65" s="371" t="s">
        <v>462</v>
      </c>
      <c r="B65" s="614"/>
      <c r="C65" s="320"/>
      <c r="D65" s="320"/>
      <c r="E65" s="320"/>
      <c r="F65" s="320"/>
      <c r="G65" s="320"/>
      <c r="H65" s="320"/>
      <c r="I65" s="320"/>
      <c r="J65" s="320">
        <f>+B65</f>
        <v>0</v>
      </c>
      <c r="K65" s="320">
        <f t="shared" si="33"/>
        <v>0</v>
      </c>
    </row>
    <row r="66" spans="1:11" x14ac:dyDescent="0.2">
      <c r="A66" s="371" t="s">
        <v>464</v>
      </c>
      <c r="B66" s="614">
        <v>43481.65</v>
      </c>
      <c r="C66" s="320"/>
      <c r="D66" s="320"/>
      <c r="E66" s="320">
        <f>+B66</f>
        <v>43481.65</v>
      </c>
      <c r="F66" s="320"/>
      <c r="G66" s="320"/>
      <c r="H66" s="320"/>
      <c r="I66" s="320"/>
      <c r="J66" s="320"/>
      <c r="K66" s="320">
        <f t="shared" si="33"/>
        <v>0</v>
      </c>
    </row>
    <row r="67" spans="1:11" s="371" customFormat="1" x14ac:dyDescent="0.2">
      <c r="A67" s="371" t="s">
        <v>474</v>
      </c>
      <c r="B67" s="614"/>
      <c r="C67" s="320"/>
      <c r="D67" s="320"/>
      <c r="E67" s="320"/>
      <c r="F67" s="320"/>
      <c r="G67" s="320"/>
      <c r="H67" s="320"/>
      <c r="I67" s="320"/>
      <c r="J67" s="320"/>
      <c r="K67" s="320"/>
    </row>
    <row r="68" spans="1:11" x14ac:dyDescent="0.2">
      <c r="A68" s="371" t="s">
        <v>411</v>
      </c>
      <c r="B68" s="614">
        <v>33336.170000000006</v>
      </c>
      <c r="C68" s="320">
        <v>0</v>
      </c>
      <c r="D68" s="320">
        <v>0</v>
      </c>
      <c r="E68" s="320">
        <v>0</v>
      </c>
      <c r="F68" s="320">
        <v>0</v>
      </c>
      <c r="G68" s="320">
        <v>0</v>
      </c>
      <c r="H68" s="320">
        <v>0</v>
      </c>
      <c r="I68" s="320"/>
      <c r="J68" s="320">
        <f>+B68</f>
        <v>33336.170000000006</v>
      </c>
      <c r="K68" s="320">
        <f t="shared" si="33"/>
        <v>0</v>
      </c>
    </row>
    <row r="69" spans="1:11" x14ac:dyDescent="0.2">
      <c r="A69" s="371"/>
      <c r="B69" s="320"/>
      <c r="C69" s="320"/>
      <c r="D69" s="320"/>
      <c r="E69" s="320"/>
      <c r="F69" s="320"/>
      <c r="G69" s="320"/>
      <c r="H69" s="320"/>
      <c r="I69" s="320"/>
      <c r="J69" s="320"/>
      <c r="K69" s="320">
        <f t="shared" si="33"/>
        <v>0</v>
      </c>
    </row>
    <row r="70" spans="1:11" x14ac:dyDescent="0.2">
      <c r="A70" s="249"/>
      <c r="B70" s="320">
        <f>SUM(B42:B69)</f>
        <v>1785800.0599999998</v>
      </c>
      <c r="C70" s="320">
        <f t="shared" ref="C70:K70" si="37">SUM(C42:C69)</f>
        <v>326682.55266340356</v>
      </c>
      <c r="D70" s="320">
        <f t="shared" si="37"/>
        <v>54330.584011835555</v>
      </c>
      <c r="E70" s="320">
        <f t="shared" si="37"/>
        <v>417435.43750482204</v>
      </c>
      <c r="F70" s="320">
        <f t="shared" si="37"/>
        <v>41537.359170417098</v>
      </c>
      <c r="G70" s="320">
        <f t="shared" si="37"/>
        <v>296035.35504224093</v>
      </c>
      <c r="H70" s="320">
        <f t="shared" si="37"/>
        <v>72541.291607280902</v>
      </c>
      <c r="I70" s="320">
        <f t="shared" si="37"/>
        <v>133602.06</v>
      </c>
      <c r="J70" s="320">
        <f t="shared" si="37"/>
        <v>554368.24999999988</v>
      </c>
      <c r="K70" s="615">
        <f t="shared" si="37"/>
        <v>0</v>
      </c>
    </row>
    <row r="71" spans="1:11" x14ac:dyDescent="0.2">
      <c r="A71" s="249"/>
      <c r="B71" s="532">
        <v>1785800.06</v>
      </c>
      <c r="K71" s="371"/>
    </row>
    <row r="72" spans="1:11" x14ac:dyDescent="0.2">
      <c r="A72" s="371"/>
      <c r="B72" s="532">
        <f>+B71-B70</f>
        <v>0</v>
      </c>
      <c r="K72" s="371"/>
    </row>
    <row r="74" spans="1:11" s="105" customFormat="1" x14ac:dyDescent="0.2">
      <c r="A74" s="371" t="s">
        <v>472</v>
      </c>
      <c r="B74" s="371"/>
      <c r="C74" s="371"/>
      <c r="D74" s="371"/>
      <c r="E74" s="371"/>
      <c r="F74" s="371"/>
      <c r="G74" s="371"/>
      <c r="H74" s="371"/>
      <c r="I74" s="371"/>
      <c r="J74" s="371"/>
      <c r="K74" s="371"/>
    </row>
    <row r="75" spans="1:11" s="105" customFormat="1" x14ac:dyDescent="0.2">
      <c r="A75" s="371"/>
      <c r="B75" s="371"/>
      <c r="C75" s="371"/>
      <c r="D75" s="371"/>
      <c r="E75" s="371"/>
      <c r="F75" s="371"/>
      <c r="G75" s="371"/>
      <c r="H75" s="371"/>
      <c r="I75" s="371"/>
      <c r="J75" s="371"/>
      <c r="K75" s="371"/>
    </row>
    <row r="76" spans="1:11" s="105" customFormat="1" x14ac:dyDescent="0.2">
      <c r="A76" s="371"/>
      <c r="B76" s="371" t="s">
        <v>183</v>
      </c>
      <c r="C76" s="371" t="s">
        <v>391</v>
      </c>
      <c r="D76" s="371" t="s">
        <v>392</v>
      </c>
      <c r="E76" s="371" t="s">
        <v>393</v>
      </c>
      <c r="F76" s="371" t="s">
        <v>394</v>
      </c>
      <c r="G76" s="371" t="s">
        <v>395</v>
      </c>
      <c r="H76" s="371" t="s">
        <v>396</v>
      </c>
      <c r="I76" s="371" t="s">
        <v>397</v>
      </c>
      <c r="J76" s="371" t="s">
        <v>398</v>
      </c>
      <c r="K76" s="371"/>
    </row>
    <row r="77" spans="1:11" s="105" customFormat="1" x14ac:dyDescent="0.2">
      <c r="A77" s="371" t="s">
        <v>390</v>
      </c>
      <c r="B77" s="614">
        <v>105831.60288511615</v>
      </c>
      <c r="C77" s="320">
        <f>+$B$77*C42/$B$42</f>
        <v>19542.476892273859</v>
      </c>
      <c r="D77" s="320">
        <f t="shared" ref="D77:J77" si="38">+$B$77*D42/$B$42</f>
        <v>5329.7789358257696</v>
      </c>
      <c r="E77" s="320">
        <f t="shared" si="38"/>
        <v>19542.476892273859</v>
      </c>
      <c r="F77" s="320">
        <f t="shared" si="38"/>
        <v>5329.7789358257696</v>
      </c>
      <c r="G77" s="320">
        <f t="shared" si="38"/>
        <v>31090.216572178113</v>
      </c>
      <c r="H77" s="320">
        <f t="shared" si="38"/>
        <v>7994.5995951077093</v>
      </c>
      <c r="I77" s="320">
        <f t="shared" si="38"/>
        <v>5836.3584105874288</v>
      </c>
      <c r="J77" s="320">
        <f t="shared" si="38"/>
        <v>11165.916651043641</v>
      </c>
      <c r="K77" s="320">
        <f>+B77-SUM(C77:J77)</f>
        <v>0</v>
      </c>
    </row>
    <row r="78" spans="1:11" s="105" customFormat="1" x14ac:dyDescent="0.2">
      <c r="A78" s="371" t="s">
        <v>399</v>
      </c>
      <c r="B78" s="614"/>
      <c r="C78" s="320"/>
      <c r="D78" s="320"/>
      <c r="E78" s="320"/>
      <c r="F78" s="320"/>
      <c r="G78" s="320"/>
      <c r="H78" s="320"/>
      <c r="I78" s="320"/>
      <c r="J78" s="320"/>
      <c r="K78" s="320">
        <f t="shared" ref="K78:K83" si="39">+B78-SUM(C78:J78)</f>
        <v>0</v>
      </c>
    </row>
    <row r="79" spans="1:11" s="105" customFormat="1" x14ac:dyDescent="0.2">
      <c r="A79" s="371" t="s">
        <v>400</v>
      </c>
      <c r="B79" s="614">
        <v>55240.842284127255</v>
      </c>
      <c r="C79" s="320"/>
      <c r="D79" s="320"/>
      <c r="E79" s="320"/>
      <c r="F79" s="320"/>
      <c r="G79" s="320"/>
      <c r="H79" s="320"/>
      <c r="I79" s="320"/>
      <c r="J79" s="320">
        <f>+B79</f>
        <v>55240.842284127255</v>
      </c>
      <c r="K79" s="320">
        <f t="shared" si="39"/>
        <v>0</v>
      </c>
    </row>
    <row r="80" spans="1:11" s="105" customFormat="1" x14ac:dyDescent="0.2">
      <c r="A80" s="371" t="s">
        <v>389</v>
      </c>
      <c r="B80" s="614"/>
      <c r="C80" s="320"/>
      <c r="D80" s="320"/>
      <c r="E80" s="320"/>
      <c r="F80" s="320"/>
      <c r="G80" s="320"/>
      <c r="H80" s="320"/>
      <c r="I80" s="320"/>
      <c r="J80" s="320"/>
      <c r="K80" s="320">
        <f t="shared" si="39"/>
        <v>0</v>
      </c>
    </row>
    <row r="81" spans="1:11" s="105" customFormat="1" x14ac:dyDescent="0.2">
      <c r="A81" s="371" t="s">
        <v>322</v>
      </c>
      <c r="B81" s="614"/>
      <c r="C81" s="320"/>
      <c r="D81" s="320"/>
      <c r="E81" s="320"/>
      <c r="F81" s="320"/>
      <c r="G81" s="320"/>
      <c r="H81" s="320"/>
      <c r="I81" s="320"/>
      <c r="J81" s="320"/>
      <c r="K81" s="320">
        <f t="shared" si="39"/>
        <v>0</v>
      </c>
    </row>
    <row r="82" spans="1:11" s="105" customFormat="1" x14ac:dyDescent="0.2">
      <c r="A82" s="371" t="s">
        <v>401</v>
      </c>
      <c r="B82" s="614">
        <v>0</v>
      </c>
      <c r="C82" s="320"/>
      <c r="D82" s="320"/>
      <c r="E82" s="320">
        <f>+B82</f>
        <v>0</v>
      </c>
      <c r="F82" s="320"/>
      <c r="G82" s="320"/>
      <c r="H82" s="320"/>
      <c r="I82" s="320"/>
      <c r="J82" s="320"/>
      <c r="K82" s="320">
        <f t="shared" si="39"/>
        <v>0</v>
      </c>
    </row>
    <row r="83" spans="1:11" s="105" customFormat="1" x14ac:dyDescent="0.2">
      <c r="A83" s="371" t="s">
        <v>463</v>
      </c>
      <c r="B83" s="614">
        <v>70934.885649896401</v>
      </c>
      <c r="C83" s="320">
        <f>+$B83*C48/$B48</f>
        <v>28374.05803268612</v>
      </c>
      <c r="D83" s="320">
        <f t="shared" ref="D83:J83" si="40">+$B83*D48/$B48</f>
        <v>7093.3847922620816</v>
      </c>
      <c r="E83" s="320">
        <f t="shared" si="40"/>
        <v>0</v>
      </c>
      <c r="F83" s="320">
        <f t="shared" si="40"/>
        <v>0</v>
      </c>
      <c r="G83" s="320">
        <f t="shared" si="40"/>
        <v>29792.631218410977</v>
      </c>
      <c r="H83" s="320">
        <f t="shared" si="40"/>
        <v>5674.8116065372242</v>
      </c>
      <c r="I83" s="320">
        <f t="shared" si="40"/>
        <v>0</v>
      </c>
      <c r="J83" s="320">
        <f t="shared" si="40"/>
        <v>0</v>
      </c>
      <c r="K83" s="320">
        <f t="shared" si="39"/>
        <v>0</v>
      </c>
    </row>
    <row r="84" spans="1:11" s="105" customFormat="1" x14ac:dyDescent="0.2">
      <c r="A84" s="371" t="s">
        <v>473</v>
      </c>
      <c r="B84" s="614">
        <v>103218.03683436883</v>
      </c>
      <c r="C84" s="320"/>
      <c r="D84" s="320"/>
      <c r="E84" s="320"/>
      <c r="F84" s="320"/>
      <c r="G84" s="320"/>
      <c r="H84" s="320"/>
      <c r="I84" s="320"/>
      <c r="J84" s="320"/>
      <c r="K84" s="320"/>
    </row>
    <row r="85" spans="1:11" s="105" customFormat="1" x14ac:dyDescent="0.2">
      <c r="A85" s="371" t="s">
        <v>402</v>
      </c>
      <c r="B85" s="614"/>
      <c r="C85" s="320"/>
      <c r="D85" s="320"/>
      <c r="E85" s="320"/>
      <c r="F85" s="320"/>
      <c r="G85" s="320"/>
      <c r="H85" s="320"/>
      <c r="I85" s="320"/>
      <c r="J85" s="320"/>
      <c r="K85" s="320">
        <f t="shared" ref="K85:K104" si="41">+B85-SUM(C85:J85)</f>
        <v>0</v>
      </c>
    </row>
    <row r="86" spans="1:11" s="105" customFormat="1" x14ac:dyDescent="0.2">
      <c r="A86" s="371" t="s">
        <v>403</v>
      </c>
      <c r="B86" s="614"/>
      <c r="C86" s="320"/>
      <c r="D86" s="320"/>
      <c r="E86" s="320"/>
      <c r="F86" s="320"/>
      <c r="G86" s="320"/>
      <c r="H86" s="320"/>
      <c r="I86" s="320"/>
      <c r="J86" s="320"/>
      <c r="K86" s="320">
        <f t="shared" si="41"/>
        <v>0</v>
      </c>
    </row>
    <row r="87" spans="1:11" s="105" customFormat="1" x14ac:dyDescent="0.2">
      <c r="A87" s="371" t="s">
        <v>404</v>
      </c>
      <c r="B87" s="614">
        <v>0</v>
      </c>
      <c r="C87" s="320"/>
      <c r="D87" s="320"/>
      <c r="E87" s="320"/>
      <c r="F87" s="320"/>
      <c r="G87" s="320"/>
      <c r="H87" s="320"/>
      <c r="I87" s="320"/>
      <c r="J87" s="320">
        <f>+B87</f>
        <v>0</v>
      </c>
      <c r="K87" s="320">
        <f t="shared" si="41"/>
        <v>0</v>
      </c>
    </row>
    <row r="88" spans="1:11" s="105" customFormat="1" x14ac:dyDescent="0.2">
      <c r="A88" s="371" t="s">
        <v>405</v>
      </c>
      <c r="B88" s="614">
        <v>16127.131747858808</v>
      </c>
      <c r="C88" s="320"/>
      <c r="D88" s="320"/>
      <c r="E88" s="320">
        <f>+B88</f>
        <v>16127.131747858808</v>
      </c>
      <c r="F88" s="320"/>
      <c r="G88" s="320"/>
      <c r="H88" s="320"/>
      <c r="I88" s="320"/>
      <c r="J88" s="320"/>
      <c r="K88" s="320">
        <f t="shared" si="41"/>
        <v>0</v>
      </c>
    </row>
    <row r="89" spans="1:11" s="105" customFormat="1" x14ac:dyDescent="0.2">
      <c r="A89" s="371" t="s">
        <v>351</v>
      </c>
      <c r="B89" s="614">
        <v>2331.9393760657754</v>
      </c>
      <c r="C89" s="320">
        <f>+$B89*C54/$B54</f>
        <v>513.00865011772953</v>
      </c>
      <c r="D89" s="320">
        <f t="shared" ref="D89:J89" si="42">+$B89*D54/$B54</f>
        <v>139.87999376556749</v>
      </c>
      <c r="E89" s="320">
        <f t="shared" si="42"/>
        <v>513.05691280563701</v>
      </c>
      <c r="F89" s="320">
        <f t="shared" si="42"/>
        <v>139.87999376556749</v>
      </c>
      <c r="G89" s="320">
        <f t="shared" si="42"/>
        <v>816.21203379697783</v>
      </c>
      <c r="H89" s="320">
        <f t="shared" si="42"/>
        <v>209.90179181429599</v>
      </c>
      <c r="I89" s="320">
        <f t="shared" si="42"/>
        <v>0</v>
      </c>
      <c r="J89" s="320">
        <f t="shared" si="42"/>
        <v>0</v>
      </c>
      <c r="K89" s="320">
        <f t="shared" si="41"/>
        <v>0</v>
      </c>
    </row>
    <row r="90" spans="1:11" s="105" customFormat="1" x14ac:dyDescent="0.2">
      <c r="A90" s="371" t="s">
        <v>406</v>
      </c>
      <c r="B90" s="614"/>
      <c r="C90" s="320"/>
      <c r="D90" s="320"/>
      <c r="E90" s="320"/>
      <c r="F90" s="320"/>
      <c r="G90" s="320"/>
      <c r="H90" s="320"/>
      <c r="I90" s="320"/>
      <c r="J90" s="320"/>
      <c r="K90" s="320">
        <f t="shared" si="41"/>
        <v>0</v>
      </c>
    </row>
    <row r="91" spans="1:11" s="105" customFormat="1" x14ac:dyDescent="0.2">
      <c r="A91" s="371" t="s">
        <v>407</v>
      </c>
      <c r="B91" s="614"/>
      <c r="C91" s="320"/>
      <c r="D91" s="320"/>
      <c r="E91" s="320"/>
      <c r="F91" s="320"/>
      <c r="G91" s="320"/>
      <c r="H91" s="320"/>
      <c r="I91" s="320"/>
      <c r="J91" s="320"/>
      <c r="K91" s="320">
        <f t="shared" si="41"/>
        <v>0</v>
      </c>
    </row>
    <row r="92" spans="1:11" s="105" customFormat="1" x14ac:dyDescent="0.2">
      <c r="A92" s="371" t="s">
        <v>408</v>
      </c>
      <c r="B92" s="614"/>
      <c r="C92" s="320"/>
      <c r="D92" s="320"/>
      <c r="E92" s="320"/>
      <c r="F92" s="320"/>
      <c r="G92" s="320"/>
      <c r="H92" s="320"/>
      <c r="I92" s="320"/>
      <c r="J92" s="320"/>
      <c r="K92" s="320">
        <f t="shared" si="41"/>
        <v>0</v>
      </c>
    </row>
    <row r="93" spans="1:11" s="105" customFormat="1" x14ac:dyDescent="0.2">
      <c r="A93" s="371" t="s">
        <v>409</v>
      </c>
      <c r="B93" s="614">
        <v>17804.520000000004</v>
      </c>
      <c r="C93" s="320"/>
      <c r="D93" s="320"/>
      <c r="E93" s="320"/>
      <c r="F93" s="320"/>
      <c r="G93" s="320"/>
      <c r="H93" s="320"/>
      <c r="I93" s="320"/>
      <c r="J93" s="320">
        <f>+B93</f>
        <v>17804.520000000004</v>
      </c>
      <c r="K93" s="320">
        <f t="shared" si="41"/>
        <v>0</v>
      </c>
    </row>
    <row r="94" spans="1:11" s="105" customFormat="1" x14ac:dyDescent="0.2">
      <c r="A94" s="371" t="s">
        <v>362</v>
      </c>
      <c r="B94" s="614"/>
      <c r="C94" s="320"/>
      <c r="D94" s="320"/>
      <c r="E94" s="320"/>
      <c r="F94" s="320"/>
      <c r="G94" s="320"/>
      <c r="H94" s="320"/>
      <c r="I94" s="320"/>
      <c r="J94" s="320"/>
      <c r="K94" s="320">
        <f t="shared" si="41"/>
        <v>0</v>
      </c>
    </row>
    <row r="95" spans="1:11" s="105" customFormat="1" x14ac:dyDescent="0.2">
      <c r="A95" s="371" t="s">
        <v>410</v>
      </c>
      <c r="B95" s="614">
        <v>7486.3601593610056</v>
      </c>
      <c r="C95" s="320"/>
      <c r="D95" s="320"/>
      <c r="E95" s="320"/>
      <c r="F95" s="320"/>
      <c r="G95" s="320"/>
      <c r="H95" s="320"/>
      <c r="I95" s="320">
        <f>+B95</f>
        <v>7486.3601593610056</v>
      </c>
      <c r="J95" s="320"/>
      <c r="K95" s="320">
        <f t="shared" si="41"/>
        <v>0</v>
      </c>
    </row>
    <row r="96" spans="1:11" s="105" customFormat="1" x14ac:dyDescent="0.2">
      <c r="A96" s="371" t="s">
        <v>458</v>
      </c>
      <c r="B96" s="614"/>
      <c r="C96" s="320"/>
      <c r="D96" s="320"/>
      <c r="E96" s="320"/>
      <c r="F96" s="320"/>
      <c r="G96" s="320"/>
      <c r="H96" s="320"/>
      <c r="I96" s="320"/>
      <c r="J96" s="320"/>
      <c r="K96" s="320">
        <f t="shared" si="41"/>
        <v>0</v>
      </c>
    </row>
    <row r="97" spans="1:11" s="105" customFormat="1" x14ac:dyDescent="0.2">
      <c r="A97" s="371" t="s">
        <v>459</v>
      </c>
      <c r="B97" s="614"/>
      <c r="C97" s="320"/>
      <c r="D97" s="320"/>
      <c r="E97" s="320"/>
      <c r="F97" s="320"/>
      <c r="G97" s="320"/>
      <c r="H97" s="320"/>
      <c r="I97" s="320"/>
      <c r="J97" s="320"/>
      <c r="K97" s="320">
        <f t="shared" si="41"/>
        <v>0</v>
      </c>
    </row>
    <row r="98" spans="1:11" s="371" customFormat="1" x14ac:dyDescent="0.2">
      <c r="A98" s="371" t="s">
        <v>460</v>
      </c>
      <c r="B98" s="614">
        <v>-1171.3614300000002</v>
      </c>
      <c r="C98" s="320"/>
      <c r="D98" s="320"/>
      <c r="E98" s="320"/>
      <c r="F98" s="320"/>
      <c r="G98" s="320"/>
      <c r="H98" s="320"/>
      <c r="I98" s="320"/>
      <c r="J98" s="320">
        <f>+B98</f>
        <v>-1171.3614300000002</v>
      </c>
      <c r="K98" s="320">
        <f t="shared" si="41"/>
        <v>0</v>
      </c>
    </row>
    <row r="99" spans="1:11" s="371" customFormat="1" x14ac:dyDescent="0.2">
      <c r="A99" s="371" t="s">
        <v>461</v>
      </c>
      <c r="B99" s="614">
        <v>-31.186680000000003</v>
      </c>
      <c r="C99" s="320"/>
      <c r="D99" s="320"/>
      <c r="E99" s="320"/>
      <c r="F99" s="320"/>
      <c r="G99" s="320"/>
      <c r="H99" s="320"/>
      <c r="I99" s="320"/>
      <c r="J99" s="320">
        <f>+B99</f>
        <v>-31.186680000000003</v>
      </c>
      <c r="K99" s="320">
        <f t="shared" si="41"/>
        <v>0</v>
      </c>
    </row>
    <row r="100" spans="1:11" s="371" customFormat="1" x14ac:dyDescent="0.2">
      <c r="A100" s="371" t="s">
        <v>462</v>
      </c>
      <c r="B100" s="614"/>
      <c r="C100" s="320"/>
      <c r="D100" s="320"/>
      <c r="E100" s="320"/>
      <c r="F100" s="320"/>
      <c r="G100" s="320"/>
      <c r="H100" s="320"/>
      <c r="I100" s="320"/>
      <c r="J100" s="320"/>
      <c r="K100" s="320">
        <f t="shared" si="41"/>
        <v>0</v>
      </c>
    </row>
    <row r="101" spans="1:11" s="371" customFormat="1" x14ac:dyDescent="0.2">
      <c r="A101" s="371" t="s">
        <v>464</v>
      </c>
      <c r="B101" s="614"/>
      <c r="C101" s="320"/>
      <c r="D101" s="320"/>
      <c r="E101" s="320"/>
      <c r="F101" s="320"/>
      <c r="G101" s="320"/>
      <c r="H101" s="320"/>
      <c r="I101" s="320"/>
      <c r="J101" s="320"/>
      <c r="K101" s="320">
        <f t="shared" si="41"/>
        <v>0</v>
      </c>
    </row>
    <row r="102" spans="1:11" s="371" customFormat="1" x14ac:dyDescent="0.2">
      <c r="A102" s="371" t="s">
        <v>474</v>
      </c>
      <c r="B102" s="614">
        <v>48331.76</v>
      </c>
      <c r="C102" s="320"/>
      <c r="D102" s="320"/>
      <c r="E102" s="320"/>
      <c r="F102" s="320"/>
      <c r="G102" s="320">
        <f>+B102</f>
        <v>48331.76</v>
      </c>
      <c r="H102" s="320"/>
      <c r="I102" s="320"/>
      <c r="J102" s="320"/>
      <c r="K102" s="320">
        <f t="shared" si="41"/>
        <v>0</v>
      </c>
    </row>
    <row r="103" spans="1:11" s="371" customFormat="1" x14ac:dyDescent="0.2">
      <c r="A103" s="371" t="s">
        <v>411</v>
      </c>
      <c r="B103" s="614">
        <v>-276.28667000000002</v>
      </c>
      <c r="C103" s="320"/>
      <c r="D103" s="320"/>
      <c r="E103" s="320"/>
      <c r="F103" s="320"/>
      <c r="G103" s="320"/>
      <c r="H103" s="320"/>
      <c r="I103" s="320"/>
      <c r="J103" s="320">
        <f>+B103</f>
        <v>-276.28667000000002</v>
      </c>
      <c r="K103" s="320">
        <f t="shared" si="41"/>
        <v>0</v>
      </c>
    </row>
    <row r="104" spans="1:11" s="371" customFormat="1" x14ac:dyDescent="0.2">
      <c r="B104" s="320"/>
      <c r="C104" s="320"/>
      <c r="D104" s="320"/>
      <c r="E104" s="320"/>
      <c r="F104" s="320"/>
      <c r="G104" s="320"/>
      <c r="H104" s="320"/>
      <c r="I104" s="320"/>
      <c r="J104" s="320"/>
      <c r="K104" s="320">
        <f t="shared" si="41"/>
        <v>0</v>
      </c>
    </row>
    <row r="105" spans="1:11" s="371" customFormat="1" x14ac:dyDescent="0.2">
      <c r="A105" s="249"/>
      <c r="B105" s="320">
        <f>SUM(B77:B104)</f>
        <v>425828.24415679433</v>
      </c>
      <c r="C105" s="320">
        <f t="shared" ref="C105:K105" si="43">SUM(C77:C104)</f>
        <v>48429.543575077711</v>
      </c>
      <c r="D105" s="320">
        <f t="shared" si="43"/>
        <v>12563.043721853419</v>
      </c>
      <c r="E105" s="320">
        <f t="shared" si="43"/>
        <v>36182.665552938306</v>
      </c>
      <c r="F105" s="320">
        <f t="shared" si="43"/>
        <v>5469.6589295913373</v>
      </c>
      <c r="G105" s="320">
        <f t="shared" si="43"/>
        <v>110030.81982438607</v>
      </c>
      <c r="H105" s="320">
        <f t="shared" si="43"/>
        <v>13879.312993459229</v>
      </c>
      <c r="I105" s="320">
        <f t="shared" si="43"/>
        <v>13322.718569948434</v>
      </c>
      <c r="J105" s="320">
        <f t="shared" si="43"/>
        <v>82732.444155170888</v>
      </c>
      <c r="K105" s="615">
        <f t="shared" si="43"/>
        <v>0</v>
      </c>
    </row>
    <row r="106" spans="1:11" s="371" customFormat="1" x14ac:dyDescent="0.2">
      <c r="A106" s="249"/>
      <c r="B106" s="532">
        <v>425828.24415679422</v>
      </c>
    </row>
    <row r="107" spans="1:11" s="371" customFormat="1" x14ac:dyDescent="0.2">
      <c r="B107" s="532">
        <v>425828.24415679422</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62"/>
  <sheetViews>
    <sheetView workbookViewId="0"/>
  </sheetViews>
  <sheetFormatPr defaultColWidth="8.77734375" defaultRowHeight="12.75" x14ac:dyDescent="0.2"/>
  <cols>
    <col min="1" max="2" width="8.77734375" style="269"/>
    <col min="3" max="3" width="6" style="371" customWidth="1"/>
    <col min="4" max="4" width="8.77734375" style="371"/>
    <col min="5" max="5" width="6" style="371" customWidth="1"/>
    <col min="6" max="6" width="10" style="371" bestFit="1" customWidth="1"/>
    <col min="7" max="7" width="1.33203125" style="371" customWidth="1"/>
    <col min="8" max="8" width="10" style="371" bestFit="1" customWidth="1"/>
    <col min="9" max="9" width="6.77734375" style="371" customWidth="1"/>
    <col min="10" max="10" width="10" style="371" bestFit="1" customWidth="1"/>
    <col min="11" max="11" width="2.44140625" style="371" customWidth="1"/>
    <col min="12" max="12" width="10" style="371" bestFit="1" customWidth="1"/>
    <col min="13" max="13" width="8.77734375" style="371"/>
    <col min="14" max="16384" width="8.77734375" style="269"/>
  </cols>
  <sheetData>
    <row r="1" spans="3:13" ht="15" x14ac:dyDescent="0.2">
      <c r="C1" s="692" t="s">
        <v>387</v>
      </c>
      <c r="D1" s="692"/>
      <c r="E1" s="692"/>
      <c r="F1" s="692"/>
      <c r="G1" s="692"/>
      <c r="H1" s="692"/>
      <c r="I1" s="692"/>
      <c r="J1" s="692"/>
      <c r="K1" s="692"/>
      <c r="L1" s="692"/>
      <c r="M1" s="530"/>
    </row>
    <row r="3" spans="3:13" ht="15" x14ac:dyDescent="0.2">
      <c r="C3" s="692" t="s">
        <v>293</v>
      </c>
      <c r="D3" s="692"/>
      <c r="E3" s="692"/>
      <c r="F3" s="692"/>
      <c r="G3" s="692"/>
      <c r="H3" s="692"/>
      <c r="I3" s="692"/>
      <c r="J3" s="692"/>
      <c r="K3" s="692"/>
      <c r="L3" s="692"/>
    </row>
    <row r="4" spans="3:13" ht="15" x14ac:dyDescent="0.2">
      <c r="C4" s="698"/>
      <c r="D4" s="698"/>
      <c r="E4" s="698"/>
      <c r="F4" s="698"/>
      <c r="G4" s="698"/>
      <c r="H4" s="698"/>
      <c r="I4" s="698"/>
      <c r="J4" s="698"/>
      <c r="K4" s="698"/>
      <c r="L4" s="698"/>
    </row>
    <row r="5" spans="3:13" ht="15" x14ac:dyDescent="0.2">
      <c r="D5" s="527"/>
      <c r="E5" s="527"/>
      <c r="F5" s="527"/>
      <c r="G5" s="527"/>
      <c r="H5" s="527"/>
      <c r="I5" s="527"/>
      <c r="J5" s="527"/>
      <c r="K5" s="527"/>
      <c r="L5" s="527"/>
    </row>
    <row r="6" spans="3:13" ht="15" x14ac:dyDescent="0.2">
      <c r="C6" s="16"/>
      <c r="D6" s="527"/>
      <c r="E6" s="16"/>
      <c r="F6" s="16"/>
      <c r="G6" s="16"/>
      <c r="H6" s="16"/>
      <c r="I6" s="16"/>
      <c r="J6" s="16"/>
      <c r="K6" s="16"/>
      <c r="L6" s="16"/>
    </row>
    <row r="7" spans="3:13" ht="15" x14ac:dyDescent="0.2">
      <c r="C7" s="515" t="s">
        <v>434</v>
      </c>
      <c r="D7" s="507"/>
      <c r="E7" s="507"/>
      <c r="F7" s="16"/>
      <c r="G7" s="16"/>
      <c r="H7" s="16"/>
      <c r="I7" s="16"/>
      <c r="J7" s="16"/>
      <c r="K7" s="16"/>
      <c r="L7" s="16"/>
    </row>
    <row r="8" spans="3:13" ht="8.25" customHeight="1" x14ac:dyDescent="0.2">
      <c r="C8" s="16"/>
      <c r="D8" s="16"/>
      <c r="E8" s="16"/>
      <c r="F8" s="16"/>
      <c r="G8" s="16"/>
      <c r="H8" s="16"/>
      <c r="I8" s="16"/>
      <c r="J8" s="16"/>
      <c r="K8" s="16"/>
      <c r="L8" s="16"/>
    </row>
    <row r="9" spans="3:13" ht="14.25" x14ac:dyDescent="0.2">
      <c r="C9" s="529"/>
      <c r="D9" s="382" t="s">
        <v>229</v>
      </c>
      <c r="E9" s="529"/>
      <c r="F9" s="529"/>
      <c r="G9" s="382"/>
      <c r="H9" s="382" t="s">
        <v>294</v>
      </c>
      <c r="I9" s="529"/>
      <c r="J9" s="382" t="s">
        <v>295</v>
      </c>
      <c r="K9" s="529"/>
      <c r="L9" s="529"/>
    </row>
    <row r="10" spans="3:13" ht="14.25" x14ac:dyDescent="0.2">
      <c r="C10" s="529"/>
      <c r="D10" s="508" t="s">
        <v>186</v>
      </c>
      <c r="E10" s="529"/>
      <c r="F10" s="529"/>
      <c r="G10" s="509"/>
      <c r="H10" s="508" t="s">
        <v>296</v>
      </c>
      <c r="I10" s="529"/>
      <c r="J10" s="508" t="s">
        <v>296</v>
      </c>
      <c r="K10" s="529"/>
      <c r="L10" s="529"/>
    </row>
    <row r="11" spans="3:13" ht="9.1999999999999993" customHeight="1" x14ac:dyDescent="0.2">
      <c r="C11" s="529"/>
      <c r="D11" s="529"/>
      <c r="E11" s="529"/>
      <c r="F11" s="529"/>
      <c r="G11" s="529"/>
      <c r="H11" s="529"/>
      <c r="I11" s="529"/>
      <c r="J11" s="529"/>
      <c r="K11" s="529"/>
      <c r="L11" s="529"/>
    </row>
    <row r="12" spans="3:13" ht="14.25" x14ac:dyDescent="0.2">
      <c r="C12" s="529"/>
      <c r="D12" s="510" t="s">
        <v>231</v>
      </c>
      <c r="E12" s="529"/>
      <c r="F12" s="529"/>
      <c r="G12" s="501"/>
      <c r="H12" s="504">
        <v>10</v>
      </c>
      <c r="I12" s="529"/>
      <c r="J12" s="504">
        <v>12.5</v>
      </c>
      <c r="K12" s="529"/>
      <c r="L12" s="529"/>
    </row>
    <row r="13" spans="3:13" ht="14.25" x14ac:dyDescent="0.2">
      <c r="C13" s="529"/>
      <c r="D13" s="510" t="s">
        <v>297</v>
      </c>
      <c r="E13" s="529"/>
      <c r="F13" s="529"/>
      <c r="G13" s="502"/>
      <c r="H13" s="502">
        <v>10</v>
      </c>
      <c r="I13" s="529"/>
      <c r="J13" s="502">
        <v>12.5</v>
      </c>
      <c r="K13" s="529"/>
      <c r="L13" s="529"/>
    </row>
    <row r="14" spans="3:13" ht="14.25" x14ac:dyDescent="0.2">
      <c r="C14" s="529"/>
      <c r="D14" s="382">
        <v>1</v>
      </c>
      <c r="E14" s="529"/>
      <c r="F14" s="529"/>
      <c r="G14" s="502"/>
      <c r="H14" s="502">
        <v>17.5</v>
      </c>
      <c r="I14" s="529"/>
      <c r="J14" s="502">
        <v>31.3</v>
      </c>
      <c r="K14" s="529"/>
      <c r="L14" s="529"/>
    </row>
    <row r="15" spans="3:13" ht="14.25" x14ac:dyDescent="0.2">
      <c r="C15" s="529"/>
      <c r="D15" s="510" t="s">
        <v>233</v>
      </c>
      <c r="E15" s="529"/>
      <c r="F15" s="529"/>
      <c r="G15" s="502"/>
      <c r="H15" s="502">
        <v>30</v>
      </c>
      <c r="I15" s="529"/>
      <c r="J15" s="502">
        <v>62.5</v>
      </c>
      <c r="K15" s="529"/>
      <c r="L15" s="529"/>
    </row>
    <row r="16" spans="3:13" ht="14.25" x14ac:dyDescent="0.2">
      <c r="C16" s="529"/>
      <c r="D16" s="382">
        <v>2</v>
      </c>
      <c r="E16" s="529"/>
      <c r="F16" s="529"/>
      <c r="G16" s="502"/>
      <c r="H16" s="502">
        <v>45</v>
      </c>
      <c r="I16" s="529"/>
      <c r="J16" s="502">
        <v>100</v>
      </c>
      <c r="K16" s="529"/>
      <c r="L16" s="529"/>
    </row>
    <row r="17" spans="3:13" ht="14.25" x14ac:dyDescent="0.2">
      <c r="C17" s="529"/>
      <c r="D17" s="382">
        <v>3</v>
      </c>
      <c r="E17" s="529"/>
      <c r="F17" s="529"/>
      <c r="G17" s="502"/>
      <c r="H17" s="502">
        <v>85</v>
      </c>
      <c r="I17" s="529"/>
      <c r="J17" s="502">
        <v>187.5</v>
      </c>
      <c r="K17" s="529"/>
      <c r="L17" s="529"/>
    </row>
    <row r="18" spans="3:13" ht="14.25" x14ac:dyDescent="0.2">
      <c r="C18" s="529"/>
      <c r="D18" s="382">
        <v>4</v>
      </c>
      <c r="E18" s="529"/>
      <c r="F18" s="529"/>
      <c r="G18" s="502"/>
      <c r="H18" s="502">
        <v>130</v>
      </c>
      <c r="I18" s="529"/>
      <c r="J18" s="502">
        <v>312.5</v>
      </c>
      <c r="K18" s="529"/>
      <c r="L18" s="529"/>
    </row>
    <row r="19" spans="3:13" ht="14.25" x14ac:dyDescent="0.2">
      <c r="C19" s="529"/>
      <c r="D19" s="382">
        <v>6</v>
      </c>
      <c r="E19" s="529"/>
      <c r="F19" s="529"/>
      <c r="G19" s="502"/>
      <c r="H19" s="502">
        <v>255</v>
      </c>
      <c r="I19" s="529"/>
      <c r="J19" s="502">
        <v>1000</v>
      </c>
      <c r="K19" s="529"/>
      <c r="L19" s="529"/>
    </row>
    <row r="20" spans="3:13" ht="14.25" x14ac:dyDescent="0.2">
      <c r="C20" s="529"/>
      <c r="D20" s="382"/>
      <c r="E20" s="529"/>
      <c r="F20" s="529"/>
      <c r="G20" s="502"/>
      <c r="H20" s="502"/>
      <c r="I20" s="529"/>
      <c r="J20" s="502"/>
      <c r="K20" s="529"/>
      <c r="L20" s="529"/>
    </row>
    <row r="21" spans="3:13" ht="14.25" x14ac:dyDescent="0.2">
      <c r="C21" s="529"/>
      <c r="D21" s="382"/>
      <c r="E21" s="529"/>
      <c r="F21" s="502"/>
      <c r="G21" s="502"/>
      <c r="H21" s="529"/>
      <c r="I21" s="502"/>
      <c r="J21" s="529"/>
      <c r="K21" s="529"/>
      <c r="L21" s="529"/>
    </row>
    <row r="22" spans="3:13" ht="6" customHeight="1" x14ac:dyDescent="0.2">
      <c r="C22" s="529"/>
      <c r="D22" s="529"/>
      <c r="E22" s="529"/>
      <c r="F22" s="502"/>
      <c r="G22" s="502"/>
      <c r="H22" s="529"/>
      <c r="I22" s="502"/>
      <c r="J22" s="529"/>
      <c r="K22" s="529"/>
      <c r="L22" s="529"/>
    </row>
    <row r="23" spans="3:13" ht="14.25" x14ac:dyDescent="0.2">
      <c r="D23" s="529"/>
      <c r="E23" s="529"/>
      <c r="H23" s="721" t="s">
        <v>298</v>
      </c>
      <c r="I23" s="721"/>
      <c r="J23" s="721"/>
      <c r="K23" s="613"/>
      <c r="L23" s="613"/>
    </row>
    <row r="24" spans="3:13" ht="14.25" x14ac:dyDescent="0.2">
      <c r="C24" s="511" t="s">
        <v>299</v>
      </c>
      <c r="D24" s="529"/>
      <c r="E24" s="529"/>
      <c r="H24" s="509" t="s">
        <v>294</v>
      </c>
      <c r="I24" s="509"/>
      <c r="J24" s="509" t="s">
        <v>295</v>
      </c>
      <c r="K24" s="609"/>
      <c r="L24" s="609"/>
    </row>
    <row r="25" spans="3:13" ht="7.5" customHeight="1" x14ac:dyDescent="0.2">
      <c r="C25" s="529"/>
      <c r="D25" s="529"/>
      <c r="E25" s="529"/>
      <c r="H25" s="529"/>
      <c r="I25" s="529"/>
      <c r="J25" s="529"/>
      <c r="K25" s="610"/>
      <c r="L25" s="610"/>
    </row>
    <row r="26" spans="3:13" ht="14.25" x14ac:dyDescent="0.2">
      <c r="C26" s="529" t="s">
        <v>432</v>
      </c>
      <c r="D26" s="529"/>
      <c r="E26" s="529"/>
      <c r="H26" s="521"/>
      <c r="I26" s="257"/>
      <c r="J26" s="521"/>
      <c r="K26" s="612"/>
      <c r="L26" s="611"/>
      <c r="M26" s="249"/>
    </row>
    <row r="27" spans="3:13" ht="14.25" x14ac:dyDescent="0.2">
      <c r="C27" s="529" t="s">
        <v>430</v>
      </c>
      <c r="D27" s="529"/>
      <c r="E27" s="529"/>
      <c r="H27" s="521">
        <v>4.0579999999999998</v>
      </c>
      <c r="I27" s="257"/>
      <c r="J27" s="521">
        <v>5.5650000000000004</v>
      </c>
      <c r="K27" s="612"/>
      <c r="L27" s="611"/>
      <c r="M27" s="249"/>
    </row>
    <row r="28" spans="3:13" ht="14.25" x14ac:dyDescent="0.2">
      <c r="C28" s="529" t="s">
        <v>429</v>
      </c>
      <c r="D28" s="529"/>
      <c r="E28" s="529"/>
      <c r="H28" s="521">
        <v>3.133</v>
      </c>
      <c r="I28" s="257"/>
      <c r="J28" s="521">
        <v>3.92</v>
      </c>
      <c r="K28" s="612"/>
      <c r="L28" s="611"/>
      <c r="M28" s="249"/>
    </row>
    <row r="29" spans="3:13" ht="14.25" x14ac:dyDescent="0.2">
      <c r="C29" s="529" t="s">
        <v>425</v>
      </c>
      <c r="D29" s="529"/>
      <c r="E29" s="529"/>
      <c r="H29" s="521"/>
      <c r="I29" s="257"/>
      <c r="J29" s="521"/>
      <c r="K29" s="612"/>
      <c r="L29" s="611"/>
      <c r="M29" s="249"/>
    </row>
    <row r="30" spans="3:13" ht="14.25" x14ac:dyDescent="0.2">
      <c r="C30" s="529" t="s">
        <v>431</v>
      </c>
      <c r="D30" s="529"/>
      <c r="E30" s="529"/>
      <c r="H30" s="521">
        <v>4.3620000000000001</v>
      </c>
      <c r="I30" s="257"/>
      <c r="J30" s="269"/>
      <c r="K30" s="257"/>
      <c r="L30" s="521"/>
      <c r="M30" s="249"/>
    </row>
    <row r="31" spans="3:13" ht="14.25" x14ac:dyDescent="0.2">
      <c r="C31" s="638" t="s">
        <v>430</v>
      </c>
      <c r="D31" s="638"/>
      <c r="E31" s="638"/>
      <c r="H31" s="521"/>
      <c r="I31" s="257"/>
      <c r="J31" s="521">
        <v>5.5650000000000004</v>
      </c>
      <c r="K31" s="257"/>
      <c r="L31" s="521"/>
      <c r="M31" s="249"/>
    </row>
    <row r="32" spans="3:13" ht="14.25" x14ac:dyDescent="0.2">
      <c r="C32" s="638" t="s">
        <v>429</v>
      </c>
      <c r="D32" s="638"/>
      <c r="E32" s="638"/>
      <c r="H32" s="521"/>
      <c r="I32" s="257"/>
      <c r="J32" s="521">
        <v>3.92</v>
      </c>
      <c r="K32" s="257"/>
      <c r="L32" s="521"/>
      <c r="M32" s="249"/>
    </row>
    <row r="33" spans="2:13" ht="14.25" x14ac:dyDescent="0.2">
      <c r="C33" s="529"/>
      <c r="D33" s="529"/>
      <c r="E33" s="529"/>
      <c r="F33" s="257"/>
      <c r="G33" s="257"/>
      <c r="H33" s="257"/>
      <c r="I33" s="529"/>
      <c r="J33" s="257"/>
      <c r="K33" s="257"/>
      <c r="L33" s="257"/>
      <c r="M33" s="249"/>
    </row>
    <row r="34" spans="2:13" ht="14.25" x14ac:dyDescent="0.2">
      <c r="C34" s="529"/>
      <c r="D34" s="529"/>
      <c r="E34" s="529"/>
      <c r="F34" s="512"/>
      <c r="G34" s="513"/>
      <c r="H34" s="513"/>
      <c r="I34" s="529"/>
      <c r="J34" s="513"/>
      <c r="K34" s="513"/>
      <c r="L34" s="513"/>
    </row>
    <row r="35" spans="2:13" ht="10.7" customHeight="1" x14ac:dyDescent="0.2">
      <c r="C35" s="529"/>
      <c r="D35" s="529"/>
      <c r="E35" s="529"/>
      <c r="F35" s="529"/>
      <c r="G35" s="529"/>
      <c r="H35" s="529"/>
      <c r="I35" s="529"/>
      <c r="J35" s="513"/>
      <c r="K35" s="513"/>
      <c r="L35" s="513"/>
    </row>
    <row r="36" spans="2:13" ht="15" x14ac:dyDescent="0.2">
      <c r="C36" s="506" t="s">
        <v>300</v>
      </c>
      <c r="D36" s="529"/>
      <c r="E36" s="529"/>
      <c r="F36" s="529"/>
      <c r="G36" s="529"/>
      <c r="H36" s="529"/>
      <c r="I36" s="529"/>
      <c r="J36" s="529"/>
      <c r="K36" s="529"/>
      <c r="L36" s="529"/>
    </row>
    <row r="37" spans="2:13" ht="14.25" x14ac:dyDescent="0.2">
      <c r="B37" s="538"/>
      <c r="C37" s="511"/>
      <c r="D37" s="529"/>
      <c r="E37" s="529"/>
      <c r="F37" s="529"/>
      <c r="G37" s="529"/>
      <c r="H37" s="382" t="s">
        <v>294</v>
      </c>
      <c r="I37" s="529"/>
      <c r="J37" s="382" t="s">
        <v>295</v>
      </c>
      <c r="K37" s="529"/>
      <c r="L37" s="529"/>
    </row>
    <row r="38" spans="2:13" ht="14.25" x14ac:dyDescent="0.2">
      <c r="B38" s="539"/>
      <c r="C38" s="529"/>
      <c r="D38" s="382"/>
      <c r="E38" s="529"/>
      <c r="F38" s="529"/>
      <c r="G38" s="382"/>
      <c r="H38" s="382" t="s">
        <v>296</v>
      </c>
      <c r="I38" s="529"/>
      <c r="J38" s="382" t="s">
        <v>296</v>
      </c>
      <c r="K38" s="529"/>
      <c r="L38" s="529"/>
    </row>
    <row r="39" spans="2:13" ht="14.25" x14ac:dyDescent="0.2">
      <c r="C39" s="529"/>
      <c r="D39" s="509"/>
      <c r="E39" s="529"/>
      <c r="F39" s="529"/>
      <c r="G39" s="509"/>
      <c r="H39" s="509" t="s">
        <v>308</v>
      </c>
      <c r="I39" s="529"/>
      <c r="J39" s="509" t="s">
        <v>308</v>
      </c>
      <c r="K39" s="529"/>
      <c r="L39" s="529"/>
    </row>
    <row r="40" spans="2:13" ht="9.1999999999999993" customHeight="1" x14ac:dyDescent="0.2">
      <c r="C40" s="529"/>
      <c r="D40" s="529"/>
      <c r="E40" s="529"/>
      <c r="F40" s="529"/>
      <c r="G40" s="529"/>
      <c r="H40" s="529"/>
      <c r="I40" s="529"/>
      <c r="J40" s="529"/>
      <c r="K40" s="529"/>
      <c r="L40" s="529"/>
    </row>
    <row r="41" spans="2:13" ht="14.25" x14ac:dyDescent="0.2">
      <c r="D41" s="529" t="s">
        <v>433</v>
      </c>
      <c r="E41" s="529"/>
      <c r="F41" s="529"/>
      <c r="G41" s="501"/>
      <c r="H41" s="504">
        <v>24.3</v>
      </c>
      <c r="I41" s="529"/>
      <c r="J41" s="504">
        <v>36.5</v>
      </c>
      <c r="K41" s="529"/>
      <c r="L41" s="529"/>
    </row>
    <row r="42" spans="2:13" ht="14.25" x14ac:dyDescent="0.2">
      <c r="C42" s="529"/>
      <c r="D42" s="514" t="s">
        <v>301</v>
      </c>
      <c r="E42" s="529"/>
      <c r="F42" s="529"/>
      <c r="G42" s="529"/>
      <c r="H42" s="502">
        <v>24.3</v>
      </c>
      <c r="I42" s="529"/>
      <c r="J42" s="502">
        <v>36.5</v>
      </c>
      <c r="K42" s="529"/>
      <c r="L42" s="529"/>
    </row>
    <row r="43" spans="2:13" ht="14.25" x14ac:dyDescent="0.2">
      <c r="C43" s="638"/>
      <c r="D43" s="514" t="s">
        <v>540</v>
      </c>
      <c r="E43" s="638"/>
      <c r="F43" s="638"/>
      <c r="G43" s="638"/>
      <c r="H43" s="502"/>
      <c r="I43" s="638"/>
      <c r="J43" s="502">
        <v>3.63</v>
      </c>
      <c r="K43" s="638"/>
      <c r="L43" s="638"/>
    </row>
    <row r="44" spans="2:13" ht="15" customHeight="1" x14ac:dyDescent="0.2">
      <c r="C44" s="529"/>
      <c r="D44" s="529"/>
      <c r="E44" s="529"/>
      <c r="F44" s="529"/>
      <c r="G44" s="529"/>
      <c r="H44" s="529"/>
      <c r="I44" s="529"/>
      <c r="J44" s="529"/>
      <c r="K44" s="529"/>
      <c r="L44" s="529"/>
    </row>
    <row r="45" spans="2:13" ht="14.25" x14ac:dyDescent="0.2">
      <c r="C45" s="529"/>
      <c r="D45" s="529" t="s">
        <v>302</v>
      </c>
      <c r="E45" s="529"/>
      <c r="F45" s="529"/>
      <c r="G45" s="529"/>
      <c r="H45" s="501">
        <v>5.4</v>
      </c>
      <c r="I45" s="529"/>
      <c r="J45" s="501">
        <v>8.1</v>
      </c>
      <c r="K45" s="529"/>
      <c r="L45" s="529"/>
    </row>
    <row r="46" spans="2:13" ht="14.25" x14ac:dyDescent="0.2">
      <c r="C46" s="486"/>
      <c r="D46" s="486"/>
      <c r="E46" s="486"/>
      <c r="F46" s="486"/>
      <c r="G46" s="486"/>
      <c r="H46" s="486"/>
      <c r="I46" s="486"/>
      <c r="J46" s="486"/>
      <c r="K46" s="486"/>
      <c r="L46" s="486"/>
    </row>
    <row r="48" spans="2:13" ht="15" x14ac:dyDescent="0.2">
      <c r="C48" s="692"/>
      <c r="D48" s="692"/>
      <c r="E48" s="692"/>
      <c r="F48" s="692"/>
      <c r="G48" s="692"/>
      <c r="H48" s="692"/>
      <c r="I48" s="692"/>
      <c r="J48" s="692"/>
      <c r="K48" s="692"/>
      <c r="L48" s="692"/>
    </row>
    <row r="49" spans="3:12" ht="15" x14ac:dyDescent="0.2">
      <c r="C49" s="698"/>
      <c r="D49" s="698"/>
      <c r="E49" s="698"/>
      <c r="F49" s="698"/>
      <c r="G49" s="698"/>
      <c r="H49" s="698"/>
      <c r="I49" s="698"/>
      <c r="J49" s="698"/>
      <c r="K49" s="698"/>
      <c r="L49" s="698"/>
    </row>
    <row r="50" spans="3:12" ht="15" x14ac:dyDescent="0.2">
      <c r="C50" s="527"/>
      <c r="D50" s="527"/>
      <c r="E50" s="527"/>
      <c r="F50" s="527"/>
      <c r="G50" s="527"/>
      <c r="H50" s="527"/>
      <c r="I50" s="527"/>
      <c r="J50" s="527"/>
      <c r="K50" s="527"/>
      <c r="L50" s="527"/>
    </row>
    <row r="51" spans="3:12" ht="15" x14ac:dyDescent="0.2">
      <c r="C51" s="16"/>
      <c r="D51" s="16"/>
      <c r="E51" s="16"/>
      <c r="F51" s="16"/>
      <c r="G51" s="16"/>
      <c r="H51" s="16"/>
      <c r="I51" s="16"/>
      <c r="J51" s="16"/>
      <c r="K51" s="16"/>
      <c r="L51" s="16"/>
    </row>
    <row r="52" spans="3:12" ht="15" x14ac:dyDescent="0.2">
      <c r="C52" s="506"/>
      <c r="D52" s="16"/>
      <c r="E52" s="16"/>
      <c r="F52" s="16"/>
      <c r="G52" s="16"/>
      <c r="H52" s="16"/>
      <c r="I52" s="16"/>
      <c r="J52" s="16"/>
      <c r="K52" s="16"/>
      <c r="L52" s="16"/>
    </row>
    <row r="53" spans="3:12" ht="15" x14ac:dyDescent="0.2">
      <c r="C53" s="16"/>
      <c r="D53" s="16"/>
      <c r="E53" s="16"/>
      <c r="F53" s="527"/>
      <c r="G53" s="16"/>
      <c r="H53" s="16"/>
      <c r="I53" s="16"/>
      <c r="J53" s="16"/>
      <c r="K53" s="16"/>
      <c r="L53" s="16"/>
    </row>
    <row r="54" spans="3:12" ht="15" x14ac:dyDescent="0.2">
      <c r="C54" s="527"/>
      <c r="D54" s="16"/>
      <c r="E54" s="16"/>
      <c r="F54" s="527"/>
      <c r="G54" s="527"/>
      <c r="I54" s="527"/>
      <c r="J54" s="16"/>
      <c r="K54" s="16"/>
      <c r="L54" s="16"/>
    </row>
    <row r="55" spans="3:12" ht="15" x14ac:dyDescent="0.2">
      <c r="C55" s="608"/>
      <c r="D55" s="16"/>
      <c r="E55" s="16"/>
      <c r="F55" s="608"/>
      <c r="G55" s="608"/>
      <c r="I55" s="608"/>
      <c r="J55" s="16"/>
      <c r="K55" s="16"/>
      <c r="L55" s="16"/>
    </row>
    <row r="56" spans="3:12" ht="15" x14ac:dyDescent="0.2">
      <c r="C56" s="16"/>
      <c r="D56" s="16"/>
      <c r="E56" s="16"/>
      <c r="F56" s="16"/>
      <c r="G56" s="16"/>
      <c r="I56" s="16"/>
      <c r="J56" s="16"/>
      <c r="K56" s="16"/>
      <c r="L56" s="16"/>
    </row>
    <row r="57" spans="3:12" ht="15" x14ac:dyDescent="0.2">
      <c r="C57" s="154"/>
      <c r="D57" s="16"/>
      <c r="E57" s="16"/>
      <c r="F57" s="253"/>
      <c r="G57" s="253"/>
      <c r="I57" s="253"/>
      <c r="J57" s="16"/>
      <c r="K57" s="16"/>
      <c r="L57" s="16"/>
    </row>
    <row r="58" spans="3:12" ht="15" x14ac:dyDescent="0.2">
      <c r="C58" s="154"/>
      <c r="D58" s="16"/>
      <c r="E58" s="16"/>
      <c r="F58" s="251"/>
      <c r="G58" s="251"/>
      <c r="I58" s="251"/>
      <c r="J58" s="16"/>
      <c r="K58" s="16"/>
      <c r="L58" s="16"/>
    </row>
    <row r="59" spans="3:12" ht="15" x14ac:dyDescent="0.2">
      <c r="C59" s="527"/>
      <c r="D59" s="16"/>
      <c r="E59" s="16"/>
      <c r="F59" s="251"/>
      <c r="G59" s="251"/>
      <c r="I59" s="251"/>
      <c r="J59" s="16"/>
      <c r="K59" s="16"/>
      <c r="L59" s="16"/>
    </row>
    <row r="60" spans="3:12" ht="15" x14ac:dyDescent="0.2">
      <c r="C60" s="154"/>
      <c r="D60" s="16"/>
      <c r="E60" s="16"/>
      <c r="F60" s="251"/>
      <c r="G60" s="251"/>
      <c r="I60" s="251"/>
      <c r="J60" s="16"/>
      <c r="K60" s="16"/>
      <c r="L60" s="16"/>
    </row>
    <row r="61" spans="3:12" ht="15" x14ac:dyDescent="0.2">
      <c r="C61" s="527"/>
      <c r="D61" s="16"/>
      <c r="E61" s="16"/>
      <c r="F61" s="251"/>
      <c r="G61" s="251"/>
      <c r="I61" s="251"/>
      <c r="J61" s="16"/>
      <c r="K61" s="16"/>
      <c r="L61" s="16"/>
    </row>
    <row r="62" spans="3:12" ht="15" x14ac:dyDescent="0.2">
      <c r="C62" s="527"/>
      <c r="D62" s="16"/>
      <c r="E62" s="16"/>
      <c r="F62" s="251"/>
      <c r="G62" s="251"/>
      <c r="I62" s="251"/>
      <c r="J62" s="16"/>
      <c r="K62" s="16"/>
      <c r="L62" s="16"/>
    </row>
    <row r="63" spans="3:12" ht="15" x14ac:dyDescent="0.2">
      <c r="C63" s="527"/>
      <c r="D63" s="16"/>
      <c r="E63" s="16"/>
      <c r="F63" s="251"/>
      <c r="G63" s="251"/>
      <c r="I63" s="251"/>
      <c r="J63" s="16"/>
      <c r="K63" s="16"/>
      <c r="L63" s="16"/>
    </row>
    <row r="64" spans="3:12" ht="15" x14ac:dyDescent="0.2">
      <c r="C64" s="527"/>
      <c r="D64" s="16"/>
      <c r="E64" s="16"/>
      <c r="F64" s="251"/>
      <c r="G64" s="251"/>
      <c r="I64" s="251"/>
      <c r="J64" s="16"/>
      <c r="K64" s="16"/>
      <c r="L64" s="16"/>
    </row>
    <row r="65" spans="3:12" ht="15" x14ac:dyDescent="0.2">
      <c r="C65" s="527"/>
      <c r="D65" s="16"/>
      <c r="E65" s="16"/>
      <c r="F65" s="251"/>
      <c r="G65" s="251"/>
      <c r="I65" s="251"/>
      <c r="J65" s="16"/>
      <c r="K65" s="16"/>
      <c r="L65" s="16"/>
    </row>
    <row r="66" spans="3:12" ht="15" x14ac:dyDescent="0.2">
      <c r="C66" s="527"/>
      <c r="D66" s="16"/>
      <c r="E66" s="16"/>
      <c r="F66" s="251"/>
      <c r="G66" s="251"/>
      <c r="I66" s="251"/>
      <c r="J66" s="16"/>
      <c r="K66" s="16"/>
      <c r="L66" s="16"/>
    </row>
    <row r="67" spans="3:12" ht="15" x14ac:dyDescent="0.2">
      <c r="C67" s="16"/>
      <c r="D67" s="16"/>
      <c r="E67" s="16"/>
      <c r="F67" s="251"/>
      <c r="G67" s="251"/>
      <c r="I67" s="251"/>
      <c r="J67" s="16"/>
      <c r="K67" s="16"/>
      <c r="L67" s="16"/>
    </row>
    <row r="68" spans="3:12" ht="15" x14ac:dyDescent="0.2">
      <c r="C68" s="16"/>
      <c r="D68" s="16"/>
      <c r="E68" s="16"/>
      <c r="F68" s="722"/>
      <c r="G68" s="722"/>
      <c r="H68" s="722"/>
      <c r="I68" s="16"/>
      <c r="J68" s="722"/>
      <c r="K68" s="722"/>
      <c r="L68" s="722"/>
    </row>
    <row r="69" spans="3:12" ht="15" x14ac:dyDescent="0.2">
      <c r="C69" s="16"/>
      <c r="D69" s="16"/>
      <c r="E69" s="16"/>
      <c r="F69" s="252"/>
      <c r="G69" s="252"/>
      <c r="H69" s="252"/>
      <c r="I69" s="16"/>
      <c r="J69" s="252"/>
      <c r="K69" s="252"/>
      <c r="L69" s="252"/>
    </row>
    <row r="70" spans="3:12" ht="15" x14ac:dyDescent="0.2">
      <c r="C70" s="506"/>
      <c r="D70" s="16"/>
      <c r="E70" s="16"/>
      <c r="F70" s="608"/>
      <c r="G70" s="608"/>
      <c r="H70" s="608"/>
      <c r="I70" s="16"/>
      <c r="J70" s="608"/>
      <c r="K70" s="608"/>
      <c r="L70" s="608"/>
    </row>
    <row r="71" spans="3:12" ht="15" x14ac:dyDescent="0.2">
      <c r="C71" s="16"/>
      <c r="D71" s="16"/>
      <c r="E71" s="16"/>
      <c r="F71" s="16"/>
      <c r="G71" s="16"/>
      <c r="H71" s="16"/>
      <c r="I71" s="16"/>
      <c r="J71" s="16"/>
      <c r="K71" s="16"/>
      <c r="L71" s="16"/>
    </row>
    <row r="72" spans="3:12" ht="15" x14ac:dyDescent="0.2">
      <c r="C72" s="16"/>
      <c r="D72" s="16"/>
      <c r="E72" s="16"/>
      <c r="F72" s="527"/>
      <c r="G72" s="248"/>
      <c r="H72" s="527"/>
      <c r="I72" s="16"/>
      <c r="J72" s="254"/>
      <c r="K72" s="248"/>
      <c r="L72" s="248"/>
    </row>
    <row r="73" spans="3:12" ht="15" x14ac:dyDescent="0.2">
      <c r="C73" s="16"/>
      <c r="D73" s="16"/>
      <c r="E73" s="16"/>
      <c r="F73" s="255"/>
      <c r="G73" s="250"/>
      <c r="H73" s="256"/>
      <c r="I73" s="16"/>
      <c r="J73" s="257"/>
      <c r="K73" s="250"/>
      <c r="L73" s="250"/>
    </row>
    <row r="74" spans="3:12" ht="15" x14ac:dyDescent="0.2">
      <c r="C74" s="16"/>
      <c r="D74" s="16"/>
      <c r="E74" s="16"/>
      <c r="F74" s="251"/>
      <c r="G74" s="250"/>
      <c r="H74" s="258"/>
      <c r="I74" s="16"/>
      <c r="J74" s="257"/>
      <c r="K74" s="250"/>
      <c r="L74" s="250"/>
    </row>
    <row r="75" spans="3:12" ht="15" x14ac:dyDescent="0.2">
      <c r="C75" s="16"/>
      <c r="D75" s="16"/>
      <c r="E75" s="16"/>
      <c r="F75" s="251"/>
      <c r="G75" s="250"/>
      <c r="H75" s="258"/>
      <c r="I75" s="16"/>
      <c r="J75" s="257"/>
      <c r="K75" s="250"/>
      <c r="L75" s="250"/>
    </row>
    <row r="76" spans="3:12" ht="15" x14ac:dyDescent="0.2">
      <c r="C76" s="16"/>
      <c r="D76" s="16"/>
      <c r="E76" s="16"/>
      <c r="F76" s="251"/>
      <c r="G76" s="250"/>
      <c r="H76" s="258"/>
      <c r="I76" s="16"/>
      <c r="J76" s="257"/>
      <c r="K76" s="250"/>
      <c r="L76" s="250"/>
    </row>
    <row r="77" spans="3:12" ht="15" x14ac:dyDescent="0.2">
      <c r="C77" s="16"/>
      <c r="D77" s="16"/>
      <c r="E77" s="16"/>
      <c r="F77" s="250"/>
      <c r="G77" s="250"/>
      <c r="H77" s="258"/>
      <c r="I77" s="16"/>
      <c r="J77" s="257"/>
      <c r="K77" s="250"/>
      <c r="L77" s="250"/>
    </row>
    <row r="78" spans="3:12" ht="15" x14ac:dyDescent="0.2">
      <c r="C78" s="16"/>
      <c r="D78" s="16"/>
      <c r="E78" s="16"/>
      <c r="F78" s="250"/>
      <c r="G78" s="250"/>
      <c r="H78" s="258"/>
      <c r="I78" s="16"/>
      <c r="J78" s="250"/>
      <c r="K78" s="250"/>
      <c r="L78" s="250"/>
    </row>
    <row r="79" spans="3:12" ht="15" x14ac:dyDescent="0.2">
      <c r="C79" s="16"/>
      <c r="D79" s="16"/>
      <c r="E79" s="16"/>
      <c r="F79" s="16"/>
      <c r="G79" s="16"/>
      <c r="H79" s="16"/>
      <c r="I79" s="16"/>
      <c r="J79" s="250"/>
      <c r="K79" s="250"/>
      <c r="L79" s="250"/>
    </row>
    <row r="80" spans="3:12" ht="15" x14ac:dyDescent="0.2">
      <c r="C80" s="506"/>
      <c r="D80" s="16"/>
      <c r="E80" s="16"/>
      <c r="F80" s="16"/>
      <c r="G80" s="16"/>
      <c r="H80" s="16"/>
      <c r="I80" s="16"/>
      <c r="J80" s="16"/>
      <c r="K80" s="16"/>
      <c r="L80" s="16"/>
    </row>
    <row r="81" spans="3:12" ht="15" x14ac:dyDescent="0.2">
      <c r="C81" s="692"/>
      <c r="D81" s="692"/>
      <c r="E81" s="692"/>
      <c r="F81" s="692"/>
      <c r="G81" s="692"/>
      <c r="H81" s="692"/>
      <c r="I81" s="692"/>
      <c r="J81" s="692"/>
      <c r="K81" s="692"/>
      <c r="L81" s="692"/>
    </row>
    <row r="83" spans="3:12" ht="15" x14ac:dyDescent="0.2">
      <c r="C83" s="692"/>
      <c r="D83" s="692"/>
      <c r="E83" s="692"/>
      <c r="F83" s="692"/>
      <c r="G83" s="692"/>
      <c r="H83" s="692"/>
      <c r="I83" s="692"/>
      <c r="J83" s="692"/>
      <c r="K83" s="692"/>
      <c r="L83" s="692"/>
    </row>
    <row r="84" spans="3:12" ht="15" x14ac:dyDescent="0.2">
      <c r="C84" s="698"/>
      <c r="D84" s="698"/>
      <c r="E84" s="698"/>
      <c r="F84" s="698"/>
      <c r="G84" s="698"/>
      <c r="H84" s="698"/>
      <c r="I84" s="698"/>
      <c r="J84" s="698"/>
      <c r="K84" s="698"/>
      <c r="L84" s="698"/>
    </row>
    <row r="85" spans="3:12" ht="15" x14ac:dyDescent="0.2">
      <c r="C85" s="527"/>
      <c r="D85" s="527"/>
      <c r="E85" s="527"/>
      <c r="F85" s="527"/>
      <c r="G85" s="527"/>
      <c r="H85" s="527"/>
      <c r="I85" s="527"/>
      <c r="J85" s="527"/>
      <c r="K85" s="527"/>
      <c r="L85" s="527"/>
    </row>
    <row r="86" spans="3:12" ht="15" x14ac:dyDescent="0.2">
      <c r="C86" s="16"/>
      <c r="D86" s="16"/>
      <c r="E86" s="16"/>
      <c r="F86" s="16"/>
      <c r="G86" s="16"/>
      <c r="H86" s="16"/>
      <c r="I86" s="16"/>
      <c r="J86" s="16"/>
      <c r="K86" s="16"/>
      <c r="L86" s="16"/>
    </row>
    <row r="87" spans="3:12" ht="15" x14ac:dyDescent="0.2">
      <c r="C87" s="506"/>
      <c r="D87" s="16"/>
      <c r="E87" s="16"/>
      <c r="F87" s="16"/>
      <c r="G87" s="16"/>
      <c r="H87" s="16"/>
      <c r="I87" s="16"/>
      <c r="J87" s="16"/>
      <c r="K87" s="16"/>
      <c r="L87" s="16"/>
    </row>
    <row r="88" spans="3:12" ht="15" x14ac:dyDescent="0.2">
      <c r="C88" s="16"/>
      <c r="D88" s="16"/>
      <c r="E88" s="16"/>
      <c r="F88" s="527"/>
      <c r="G88" s="16"/>
      <c r="H88" s="16"/>
      <c r="I88" s="16"/>
      <c r="J88" s="16"/>
      <c r="K88" s="16"/>
      <c r="L88" s="16"/>
    </row>
    <row r="89" spans="3:12" ht="15" x14ac:dyDescent="0.2">
      <c r="C89" s="527"/>
      <c r="D89" s="16"/>
      <c r="E89" s="16"/>
      <c r="F89" s="527"/>
      <c r="G89" s="527"/>
      <c r="I89" s="527"/>
      <c r="J89" s="16"/>
      <c r="K89" s="16"/>
      <c r="L89" s="16"/>
    </row>
    <row r="90" spans="3:12" ht="15" x14ac:dyDescent="0.2">
      <c r="C90" s="608"/>
      <c r="D90" s="16"/>
      <c r="E90" s="16"/>
      <c r="F90" s="608"/>
      <c r="G90" s="608"/>
      <c r="I90" s="608"/>
      <c r="J90" s="16"/>
      <c r="K90" s="16"/>
      <c r="L90" s="16"/>
    </row>
    <row r="91" spans="3:12" ht="15" x14ac:dyDescent="0.2">
      <c r="C91" s="16"/>
      <c r="D91" s="16"/>
      <c r="E91" s="16"/>
      <c r="F91" s="16"/>
      <c r="G91" s="16"/>
      <c r="I91" s="16"/>
      <c r="J91" s="16"/>
      <c r="K91" s="16"/>
      <c r="L91" s="16"/>
    </row>
    <row r="92" spans="3:12" ht="15" x14ac:dyDescent="0.2">
      <c r="C92" s="154"/>
      <c r="D92" s="16"/>
      <c r="E92" s="16"/>
      <c r="F92" s="253"/>
      <c r="G92" s="253"/>
      <c r="I92" s="253"/>
      <c r="J92" s="16"/>
      <c r="K92" s="16"/>
      <c r="L92" s="16"/>
    </row>
    <row r="93" spans="3:12" ht="15" x14ac:dyDescent="0.2">
      <c r="C93" s="154"/>
      <c r="D93" s="16"/>
      <c r="E93" s="16"/>
      <c r="F93" s="251"/>
      <c r="G93" s="251"/>
      <c r="I93" s="251"/>
      <c r="J93" s="16"/>
      <c r="K93" s="16"/>
      <c r="L93" s="16"/>
    </row>
    <row r="94" spans="3:12" ht="15" x14ac:dyDescent="0.2">
      <c r="C94" s="527"/>
      <c r="D94" s="16"/>
      <c r="E94" s="16"/>
      <c r="F94" s="251"/>
      <c r="G94" s="251"/>
      <c r="I94" s="251"/>
      <c r="J94" s="16"/>
      <c r="K94" s="16"/>
      <c r="L94" s="16"/>
    </row>
    <row r="95" spans="3:12" ht="15" x14ac:dyDescent="0.2">
      <c r="C95" s="154"/>
      <c r="D95" s="16"/>
      <c r="E95" s="16"/>
      <c r="F95" s="251"/>
      <c r="G95" s="251"/>
      <c r="I95" s="251"/>
      <c r="J95" s="16"/>
      <c r="K95" s="16"/>
      <c r="L95" s="16"/>
    </row>
    <row r="96" spans="3:12" ht="15" x14ac:dyDescent="0.2">
      <c r="C96" s="527"/>
      <c r="D96" s="16"/>
      <c r="E96" s="16"/>
      <c r="F96" s="251"/>
      <c r="G96" s="251"/>
      <c r="I96" s="251"/>
      <c r="J96" s="16"/>
      <c r="K96" s="16"/>
      <c r="L96" s="16"/>
    </row>
    <row r="97" spans="3:12" ht="15" x14ac:dyDescent="0.2">
      <c r="C97" s="527"/>
      <c r="D97" s="16"/>
      <c r="E97" s="16"/>
      <c r="F97" s="251"/>
      <c r="G97" s="251"/>
      <c r="I97" s="251"/>
      <c r="J97" s="16"/>
      <c r="K97" s="16"/>
      <c r="L97" s="16"/>
    </row>
    <row r="98" spans="3:12" ht="15" x14ac:dyDescent="0.2">
      <c r="C98" s="527"/>
      <c r="D98" s="16"/>
      <c r="E98" s="16"/>
      <c r="F98" s="251"/>
      <c r="G98" s="251"/>
      <c r="I98" s="251"/>
      <c r="J98" s="16"/>
      <c r="K98" s="16"/>
      <c r="L98" s="16"/>
    </row>
    <row r="99" spans="3:12" ht="15" x14ac:dyDescent="0.2">
      <c r="C99" s="527"/>
      <c r="D99" s="16"/>
      <c r="E99" s="16"/>
      <c r="F99" s="251"/>
      <c r="G99" s="251"/>
      <c r="I99" s="251"/>
      <c r="J99" s="16"/>
      <c r="K99" s="16"/>
      <c r="L99" s="16"/>
    </row>
    <row r="100" spans="3:12" ht="15" x14ac:dyDescent="0.2">
      <c r="C100" s="527"/>
      <c r="D100" s="16"/>
      <c r="E100" s="16"/>
      <c r="F100" s="251"/>
      <c r="G100" s="251"/>
      <c r="I100" s="251"/>
      <c r="J100" s="16"/>
      <c r="K100" s="16"/>
      <c r="L100" s="16"/>
    </row>
    <row r="101" spans="3:12" ht="15" x14ac:dyDescent="0.2">
      <c r="C101" s="527"/>
      <c r="D101" s="16"/>
      <c r="E101" s="16"/>
      <c r="F101" s="251"/>
      <c r="G101" s="251"/>
      <c r="I101" s="251"/>
      <c r="J101" s="16"/>
      <c r="K101" s="16"/>
      <c r="L101" s="16"/>
    </row>
    <row r="102" spans="3:12" ht="15" x14ac:dyDescent="0.2">
      <c r="C102" s="16"/>
      <c r="D102" s="16"/>
      <c r="E102" s="16"/>
      <c r="F102" s="251"/>
      <c r="G102" s="251"/>
      <c r="I102" s="251"/>
      <c r="J102" s="16"/>
      <c r="K102" s="16"/>
      <c r="L102" s="16"/>
    </row>
    <row r="103" spans="3:12" ht="15" x14ac:dyDescent="0.2">
      <c r="C103" s="16"/>
      <c r="D103" s="16"/>
      <c r="E103" s="16"/>
      <c r="F103" s="722"/>
      <c r="G103" s="722"/>
      <c r="H103" s="722"/>
      <c r="I103" s="16"/>
      <c r="J103" s="722"/>
      <c r="K103" s="722"/>
      <c r="L103" s="722"/>
    </row>
    <row r="104" spans="3:12" ht="15" x14ac:dyDescent="0.2">
      <c r="C104" s="16"/>
      <c r="D104" s="16"/>
      <c r="E104" s="16"/>
      <c r="F104" s="252"/>
      <c r="G104" s="252"/>
      <c r="H104" s="252"/>
      <c r="I104" s="16"/>
      <c r="J104" s="252"/>
      <c r="K104" s="252"/>
      <c r="L104" s="252"/>
    </row>
    <row r="105" spans="3:12" ht="15" x14ac:dyDescent="0.2">
      <c r="C105" s="506"/>
      <c r="D105" s="16"/>
      <c r="E105" s="16"/>
      <c r="F105" s="608"/>
      <c r="G105" s="608"/>
      <c r="H105" s="608"/>
      <c r="I105" s="16"/>
      <c r="J105" s="608"/>
      <c r="K105" s="608"/>
      <c r="L105" s="608"/>
    </row>
    <row r="106" spans="3:12" ht="15" x14ac:dyDescent="0.2">
      <c r="C106" s="16"/>
      <c r="D106" s="16"/>
      <c r="E106" s="16"/>
      <c r="F106" s="16"/>
      <c r="G106" s="16"/>
      <c r="H106" s="16"/>
      <c r="I106" s="16"/>
      <c r="J106" s="16"/>
      <c r="K106" s="16"/>
      <c r="L106" s="16"/>
    </row>
    <row r="107" spans="3:12" ht="15" x14ac:dyDescent="0.2">
      <c r="C107" s="16"/>
      <c r="D107" s="16"/>
      <c r="E107" s="16"/>
      <c r="F107" s="527"/>
      <c r="G107" s="248"/>
      <c r="H107" s="527"/>
      <c r="I107" s="16"/>
      <c r="J107" s="254"/>
      <c r="K107" s="248"/>
      <c r="L107" s="248"/>
    </row>
    <row r="108" spans="3:12" ht="15" x14ac:dyDescent="0.2">
      <c r="C108" s="16"/>
      <c r="D108" s="16"/>
      <c r="E108" s="16"/>
      <c r="F108" s="255"/>
      <c r="G108" s="250"/>
      <c r="H108" s="259"/>
      <c r="I108" s="16"/>
      <c r="J108" s="257"/>
      <c r="K108" s="250"/>
      <c r="L108" s="250"/>
    </row>
    <row r="109" spans="3:12" ht="15" x14ac:dyDescent="0.2">
      <c r="C109" s="16"/>
      <c r="D109" s="16"/>
      <c r="E109" s="16"/>
      <c r="F109" s="251"/>
      <c r="G109" s="250"/>
      <c r="H109" s="260"/>
      <c r="I109" s="16"/>
      <c r="J109" s="257"/>
      <c r="K109" s="250"/>
      <c r="L109" s="250"/>
    </row>
    <row r="110" spans="3:12" ht="15" x14ac:dyDescent="0.2">
      <c r="C110" s="16"/>
      <c r="D110" s="16"/>
      <c r="E110" s="16"/>
      <c r="F110" s="250"/>
      <c r="G110" s="250"/>
      <c r="H110" s="258"/>
      <c r="I110" s="16"/>
      <c r="J110" s="257"/>
      <c r="K110" s="250"/>
      <c r="L110" s="250"/>
    </row>
    <row r="111" spans="3:12" ht="15" x14ac:dyDescent="0.2">
      <c r="C111" s="16"/>
      <c r="D111" s="16"/>
      <c r="E111" s="16"/>
      <c r="F111" s="250"/>
      <c r="G111" s="250"/>
      <c r="H111" s="258"/>
      <c r="I111" s="16"/>
      <c r="J111" s="250"/>
      <c r="K111" s="250"/>
      <c r="L111" s="250"/>
    </row>
    <row r="113" spans="3:12" ht="15" x14ac:dyDescent="0.2">
      <c r="C113" s="692"/>
      <c r="D113" s="692"/>
      <c r="E113" s="692"/>
      <c r="F113" s="692"/>
      <c r="G113" s="692"/>
      <c r="H113" s="692"/>
      <c r="I113" s="692"/>
      <c r="J113" s="692"/>
      <c r="K113" s="692"/>
      <c r="L113" s="692"/>
    </row>
    <row r="115" spans="3:12" ht="15" x14ac:dyDescent="0.2">
      <c r="C115" s="692"/>
      <c r="D115" s="692"/>
      <c r="E115" s="692"/>
      <c r="F115" s="692"/>
      <c r="G115" s="692"/>
      <c r="H115" s="692"/>
      <c r="I115" s="692"/>
      <c r="J115" s="692"/>
      <c r="K115" s="692"/>
      <c r="L115" s="692"/>
    </row>
    <row r="116" spans="3:12" ht="15" x14ac:dyDescent="0.2">
      <c r="C116" s="698"/>
      <c r="D116" s="698"/>
      <c r="E116" s="698"/>
      <c r="F116" s="698"/>
      <c r="G116" s="698"/>
      <c r="H116" s="698"/>
      <c r="I116" s="698"/>
      <c r="J116" s="698"/>
      <c r="K116" s="698"/>
      <c r="L116" s="698"/>
    </row>
    <row r="117" spans="3:12" ht="15" x14ac:dyDescent="0.2">
      <c r="C117" s="527"/>
      <c r="D117" s="527"/>
      <c r="E117" s="527"/>
      <c r="F117" s="527"/>
      <c r="G117" s="527"/>
      <c r="H117" s="527"/>
      <c r="I117" s="527"/>
      <c r="J117" s="527"/>
      <c r="K117" s="527"/>
      <c r="L117" s="527"/>
    </row>
    <row r="118" spans="3:12" ht="15" x14ac:dyDescent="0.2">
      <c r="C118" s="16"/>
      <c r="D118" s="16"/>
      <c r="E118" s="16"/>
      <c r="F118" s="16"/>
      <c r="G118" s="16"/>
      <c r="H118" s="16"/>
      <c r="I118" s="16"/>
      <c r="J118" s="16"/>
      <c r="K118" s="16"/>
      <c r="L118" s="16"/>
    </row>
    <row r="119" spans="3:12" ht="15" x14ac:dyDescent="0.2">
      <c r="C119" s="506"/>
      <c r="D119" s="16"/>
      <c r="E119" s="16"/>
      <c r="F119" s="16"/>
      <c r="G119" s="16"/>
      <c r="H119" s="16"/>
      <c r="I119" s="16"/>
      <c r="J119" s="16"/>
      <c r="K119" s="16"/>
      <c r="L119" s="16"/>
    </row>
    <row r="120" spans="3:12" ht="9.75" customHeight="1" x14ac:dyDescent="0.2">
      <c r="C120" s="16"/>
      <c r="D120" s="16"/>
      <c r="E120" s="16"/>
      <c r="F120" s="527"/>
      <c r="G120" s="16"/>
      <c r="H120" s="16"/>
      <c r="I120" s="16"/>
      <c r="J120" s="16"/>
      <c r="K120" s="16"/>
      <c r="L120" s="16"/>
    </row>
    <row r="121" spans="3:12" ht="15" x14ac:dyDescent="0.2">
      <c r="C121" s="527"/>
      <c r="D121" s="16"/>
      <c r="E121" s="16"/>
      <c r="F121" s="723"/>
      <c r="G121" s="723"/>
      <c r="H121" s="723"/>
      <c r="I121" s="723"/>
      <c r="J121" s="16"/>
      <c r="K121" s="16"/>
      <c r="L121" s="527"/>
    </row>
    <row r="122" spans="3:12" ht="15" x14ac:dyDescent="0.2">
      <c r="C122" s="608"/>
      <c r="D122" s="16"/>
      <c r="E122" s="16"/>
      <c r="F122" s="608"/>
      <c r="G122" s="608"/>
      <c r="H122" s="608"/>
      <c r="I122" s="608"/>
      <c r="J122" s="16"/>
      <c r="K122" s="16"/>
      <c r="L122" s="608"/>
    </row>
    <row r="123" spans="3:12" ht="15" x14ac:dyDescent="0.2">
      <c r="C123" s="16"/>
      <c r="D123" s="16"/>
      <c r="E123" s="16"/>
      <c r="F123" s="16"/>
      <c r="G123" s="16"/>
      <c r="J123" s="16"/>
      <c r="K123" s="16"/>
      <c r="L123" s="16"/>
    </row>
    <row r="124" spans="3:12" ht="15" x14ac:dyDescent="0.2">
      <c r="C124" s="154"/>
      <c r="D124" s="16"/>
      <c r="E124" s="16"/>
      <c r="F124" s="253"/>
      <c r="G124" s="253"/>
      <c r="H124" s="253"/>
      <c r="I124" s="253"/>
      <c r="J124" s="16"/>
      <c r="K124" s="16"/>
      <c r="L124" s="253"/>
    </row>
    <row r="125" spans="3:12" ht="15" x14ac:dyDescent="0.2">
      <c r="C125" s="154"/>
      <c r="D125" s="16"/>
      <c r="E125" s="16"/>
      <c r="F125" s="251"/>
      <c r="G125" s="251"/>
      <c r="H125" s="251"/>
      <c r="I125" s="251"/>
      <c r="J125" s="16"/>
      <c r="K125" s="16"/>
      <c r="L125" s="251"/>
    </row>
    <row r="126" spans="3:12" ht="15" x14ac:dyDescent="0.2">
      <c r="C126" s="527"/>
      <c r="D126" s="16"/>
      <c r="E126" s="16"/>
      <c r="F126" s="251"/>
      <c r="G126" s="251"/>
      <c r="H126" s="251"/>
      <c r="I126" s="251"/>
      <c r="J126" s="16"/>
      <c r="K126" s="16"/>
      <c r="L126" s="251"/>
    </row>
    <row r="127" spans="3:12" ht="15" x14ac:dyDescent="0.2">
      <c r="C127" s="154"/>
      <c r="D127" s="16"/>
      <c r="E127" s="16"/>
      <c r="F127" s="251"/>
      <c r="G127" s="251"/>
      <c r="H127" s="251"/>
      <c r="I127" s="251"/>
      <c r="J127" s="16"/>
      <c r="K127" s="16"/>
      <c r="L127" s="251"/>
    </row>
    <row r="128" spans="3:12" ht="15" x14ac:dyDescent="0.2">
      <c r="C128" s="527"/>
      <c r="D128" s="16"/>
      <c r="E128" s="16"/>
      <c r="F128" s="251"/>
      <c r="G128" s="251"/>
      <c r="H128" s="251"/>
      <c r="I128" s="251"/>
      <c r="J128" s="16"/>
      <c r="K128" s="16"/>
      <c r="L128" s="251"/>
    </row>
    <row r="129" spans="3:12" ht="15" x14ac:dyDescent="0.2">
      <c r="C129" s="527"/>
      <c r="D129" s="16"/>
      <c r="E129" s="16"/>
      <c r="F129" s="251"/>
      <c r="G129" s="251"/>
      <c r="H129" s="251"/>
      <c r="I129" s="251"/>
      <c r="J129" s="16"/>
      <c r="K129" s="16"/>
      <c r="L129" s="251"/>
    </row>
    <row r="130" spans="3:12" ht="15" x14ac:dyDescent="0.2">
      <c r="C130" s="527"/>
      <c r="D130" s="16"/>
      <c r="E130" s="16"/>
      <c r="F130" s="251"/>
      <c r="G130" s="251"/>
      <c r="H130" s="251"/>
      <c r="I130" s="251"/>
      <c r="J130" s="16"/>
      <c r="K130" s="16"/>
      <c r="L130" s="251"/>
    </row>
    <row r="131" spans="3:12" ht="15" x14ac:dyDescent="0.2">
      <c r="C131" s="527"/>
      <c r="D131" s="16"/>
      <c r="E131" s="16"/>
      <c r="F131" s="251"/>
      <c r="G131" s="251"/>
      <c r="H131" s="251"/>
      <c r="I131" s="251"/>
      <c r="J131" s="16"/>
      <c r="K131" s="16"/>
      <c r="L131" s="251"/>
    </row>
    <row r="132" spans="3:12" ht="15" x14ac:dyDescent="0.2">
      <c r="C132" s="527"/>
      <c r="D132" s="16"/>
      <c r="E132" s="16"/>
      <c r="F132" s="251"/>
      <c r="G132" s="251"/>
      <c r="H132" s="251"/>
      <c r="I132" s="251"/>
      <c r="J132" s="16"/>
      <c r="K132" s="16"/>
      <c r="L132" s="251"/>
    </row>
    <row r="133" spans="3:12" ht="15" x14ac:dyDescent="0.2">
      <c r="C133" s="527"/>
      <c r="D133" s="16"/>
      <c r="E133" s="16"/>
      <c r="F133" s="251"/>
      <c r="G133" s="251"/>
      <c r="I133" s="251"/>
      <c r="J133" s="16"/>
      <c r="K133" s="16"/>
      <c r="L133" s="16"/>
    </row>
    <row r="134" spans="3:12" ht="15" x14ac:dyDescent="0.2">
      <c r="C134" s="16"/>
      <c r="D134" s="16"/>
      <c r="E134" s="16"/>
      <c r="F134" s="251"/>
      <c r="G134" s="251"/>
      <c r="I134" s="251"/>
      <c r="J134" s="16"/>
      <c r="K134" s="16"/>
      <c r="L134" s="16"/>
    </row>
    <row r="135" spans="3:12" ht="15" x14ac:dyDescent="0.2">
      <c r="C135" s="16"/>
      <c r="D135" s="16"/>
      <c r="E135" s="16"/>
      <c r="F135" s="722"/>
      <c r="G135" s="722"/>
      <c r="H135" s="722"/>
      <c r="I135" s="16"/>
      <c r="J135" s="722"/>
      <c r="K135" s="722"/>
      <c r="L135" s="722"/>
    </row>
    <row r="136" spans="3:12" ht="15" x14ac:dyDescent="0.2">
      <c r="C136" s="16"/>
      <c r="D136" s="16"/>
      <c r="E136" s="16"/>
      <c r="F136" s="252"/>
      <c r="G136" s="252"/>
      <c r="H136" s="252"/>
      <c r="I136" s="16"/>
      <c r="J136" s="252"/>
      <c r="K136" s="252"/>
      <c r="L136" s="252"/>
    </row>
    <row r="137" spans="3:12" ht="15" x14ac:dyDescent="0.2">
      <c r="C137" s="506"/>
      <c r="D137" s="16"/>
      <c r="E137" s="16"/>
      <c r="F137" s="608"/>
      <c r="G137" s="608"/>
      <c r="H137" s="608"/>
      <c r="I137" s="16"/>
      <c r="J137" s="608"/>
      <c r="K137" s="608"/>
      <c r="L137" s="608"/>
    </row>
    <row r="138" spans="3:12" ht="8.25" customHeight="1" x14ac:dyDescent="0.2">
      <c r="C138" s="16"/>
      <c r="D138" s="16"/>
      <c r="E138" s="16"/>
      <c r="F138" s="16"/>
      <c r="G138" s="16"/>
      <c r="H138" s="16"/>
      <c r="I138" s="16"/>
      <c r="J138" s="16"/>
      <c r="K138" s="16"/>
      <c r="L138" s="16"/>
    </row>
    <row r="139" spans="3:12" ht="15" x14ac:dyDescent="0.2">
      <c r="C139" s="16"/>
      <c r="D139" s="16"/>
      <c r="E139" s="16"/>
      <c r="F139" s="527"/>
      <c r="G139" s="248"/>
      <c r="H139" s="527"/>
      <c r="I139" s="16"/>
      <c r="J139" s="254"/>
      <c r="K139" s="248"/>
      <c r="L139" s="248"/>
    </row>
    <row r="140" spans="3:12" ht="15" x14ac:dyDescent="0.2">
      <c r="C140" s="16"/>
      <c r="D140" s="16"/>
      <c r="E140" s="16"/>
      <c r="F140" s="255"/>
      <c r="G140" s="250"/>
      <c r="H140" s="256"/>
      <c r="I140" s="16"/>
      <c r="J140" s="257"/>
      <c r="K140" s="250"/>
      <c r="L140" s="250"/>
    </row>
    <row r="141" spans="3:12" ht="15" x14ac:dyDescent="0.2">
      <c r="C141" s="16"/>
      <c r="D141" s="16"/>
      <c r="E141" s="16"/>
      <c r="F141" s="251"/>
      <c r="G141" s="250"/>
      <c r="H141" s="258"/>
      <c r="I141" s="16"/>
      <c r="J141" s="257"/>
      <c r="K141" s="250"/>
      <c r="L141" s="250"/>
    </row>
    <row r="142" spans="3:12" ht="15" x14ac:dyDescent="0.2">
      <c r="C142" s="16"/>
      <c r="D142" s="16"/>
      <c r="E142" s="16"/>
      <c r="F142" s="251"/>
      <c r="G142" s="250"/>
      <c r="H142" s="258"/>
      <c r="I142" s="16"/>
      <c r="J142" s="257"/>
      <c r="K142" s="250"/>
      <c r="L142" s="250"/>
    </row>
    <row r="143" spans="3:12" ht="15" x14ac:dyDescent="0.2">
      <c r="C143" s="16"/>
      <c r="D143" s="16"/>
      <c r="E143" s="16"/>
      <c r="F143" s="251"/>
      <c r="G143" s="250"/>
      <c r="H143" s="258"/>
      <c r="I143" s="16"/>
      <c r="J143" s="257"/>
      <c r="K143" s="250"/>
      <c r="L143" s="250"/>
    </row>
    <row r="144" spans="3:12" ht="15" x14ac:dyDescent="0.2">
      <c r="C144" s="16"/>
      <c r="D144" s="16"/>
      <c r="E144" s="16"/>
      <c r="F144" s="251"/>
      <c r="G144" s="250"/>
      <c r="H144" s="258"/>
      <c r="I144" s="16"/>
      <c r="J144" s="257"/>
      <c r="K144" s="250"/>
      <c r="L144" s="250"/>
    </row>
    <row r="145" spans="3:12" ht="15" x14ac:dyDescent="0.2">
      <c r="C145" s="16"/>
      <c r="D145" s="16"/>
      <c r="E145" s="16"/>
      <c r="F145" s="251"/>
      <c r="G145" s="250"/>
      <c r="H145" s="258"/>
      <c r="I145" s="16"/>
      <c r="J145" s="257"/>
      <c r="K145" s="250"/>
      <c r="L145" s="250"/>
    </row>
    <row r="146" spans="3:12" ht="15" x14ac:dyDescent="0.2">
      <c r="C146" s="16"/>
      <c r="D146" s="16"/>
      <c r="E146" s="16"/>
      <c r="F146" s="250"/>
      <c r="G146" s="250"/>
      <c r="H146" s="258"/>
      <c r="I146" s="16"/>
      <c r="J146" s="257"/>
      <c r="K146" s="250"/>
      <c r="L146" s="250"/>
    </row>
    <row r="147" spans="3:12" ht="15" x14ac:dyDescent="0.2">
      <c r="C147" s="16"/>
      <c r="D147" s="16"/>
      <c r="E147" s="16"/>
      <c r="F147" s="250"/>
      <c r="G147" s="250"/>
      <c r="H147" s="258"/>
      <c r="I147" s="16"/>
      <c r="J147" s="250"/>
      <c r="K147" s="250"/>
      <c r="L147" s="250"/>
    </row>
    <row r="148" spans="3:12" ht="9.75" customHeight="1" x14ac:dyDescent="0.2">
      <c r="C148" s="16"/>
      <c r="D148" s="16"/>
      <c r="E148" s="16"/>
      <c r="F148" s="251"/>
      <c r="G148" s="251"/>
      <c r="I148" s="16"/>
      <c r="J148" s="16"/>
      <c r="K148" s="16"/>
      <c r="L148" s="16"/>
    </row>
    <row r="149" spans="3:12" ht="15" x14ac:dyDescent="0.2">
      <c r="C149" s="506"/>
      <c r="D149" s="16"/>
      <c r="E149" s="16"/>
      <c r="F149" s="608"/>
      <c r="G149" s="608"/>
      <c r="H149" s="608"/>
      <c r="I149" s="16"/>
      <c r="J149" s="608"/>
      <c r="K149" s="608"/>
      <c r="L149" s="608"/>
    </row>
    <row r="150" spans="3:12" ht="9.1999999999999993" customHeight="1" x14ac:dyDescent="0.2">
      <c r="C150" s="16"/>
      <c r="D150" s="16"/>
      <c r="E150" s="16"/>
      <c r="F150" s="16"/>
      <c r="G150" s="16"/>
      <c r="H150" s="16"/>
      <c r="I150" s="16"/>
      <c r="J150" s="16"/>
      <c r="K150" s="16"/>
      <c r="L150" s="16"/>
    </row>
    <row r="151" spans="3:12" ht="15" x14ac:dyDescent="0.2">
      <c r="C151" s="16"/>
      <c r="D151" s="16"/>
      <c r="E151" s="16"/>
      <c r="F151" s="527"/>
      <c r="G151" s="248"/>
      <c r="H151" s="527"/>
      <c r="I151" s="16"/>
      <c r="J151" s="254"/>
      <c r="K151" s="248"/>
      <c r="L151" s="248"/>
    </row>
    <row r="152" spans="3:12" ht="15" x14ac:dyDescent="0.2">
      <c r="C152" s="16"/>
      <c r="D152" s="16"/>
      <c r="E152" s="16"/>
      <c r="F152" s="255"/>
      <c r="G152" s="250"/>
      <c r="H152" s="259"/>
      <c r="I152" s="16"/>
      <c r="J152" s="257"/>
      <c r="K152" s="250"/>
      <c r="L152" s="250"/>
    </row>
    <row r="153" spans="3:12" ht="15" x14ac:dyDescent="0.2">
      <c r="C153" s="16"/>
      <c r="D153" s="16"/>
      <c r="E153" s="16"/>
      <c r="F153" s="251"/>
      <c r="G153" s="250"/>
      <c r="H153" s="260"/>
      <c r="I153" s="16"/>
      <c r="J153" s="257"/>
      <c r="K153" s="250"/>
      <c r="L153" s="250"/>
    </row>
    <row r="154" spans="3:12" ht="15" x14ac:dyDescent="0.2">
      <c r="C154" s="16"/>
      <c r="D154" s="16"/>
      <c r="E154" s="16"/>
      <c r="F154" s="250"/>
      <c r="G154" s="250"/>
      <c r="H154" s="258"/>
      <c r="I154" s="16"/>
      <c r="J154" s="257"/>
      <c r="K154" s="250"/>
      <c r="L154" s="250"/>
    </row>
    <row r="155" spans="3:12" ht="15" customHeight="1" x14ac:dyDescent="0.2">
      <c r="F155" s="250"/>
      <c r="G155" s="250"/>
      <c r="H155" s="258"/>
      <c r="I155" s="16"/>
      <c r="J155" s="250"/>
      <c r="K155" s="250"/>
      <c r="L155" s="250"/>
    </row>
    <row r="156" spans="3:12" ht="8.25" customHeight="1" x14ac:dyDescent="0.2">
      <c r="C156" s="16"/>
      <c r="D156" s="16"/>
      <c r="E156" s="16"/>
      <c r="F156" s="251"/>
      <c r="G156" s="251"/>
      <c r="I156" s="16"/>
      <c r="J156" s="16"/>
      <c r="K156" s="16"/>
      <c r="L156" s="16"/>
    </row>
    <row r="157" spans="3:12" ht="15" x14ac:dyDescent="0.2">
      <c r="C157" s="506"/>
      <c r="D157" s="16"/>
      <c r="E157" s="16"/>
      <c r="F157" s="608"/>
      <c r="G157" s="608"/>
      <c r="H157" s="608"/>
      <c r="I157" s="16"/>
      <c r="J157" s="608"/>
      <c r="K157" s="608"/>
      <c r="L157" s="608"/>
    </row>
    <row r="158" spans="3:12" ht="7.5" customHeight="1" x14ac:dyDescent="0.2">
      <c r="C158" s="16"/>
      <c r="D158" s="16"/>
      <c r="E158" s="16"/>
      <c r="F158" s="16"/>
      <c r="G158" s="16"/>
      <c r="H158" s="16"/>
      <c r="I158" s="16"/>
      <c r="J158" s="16"/>
      <c r="K158" s="16"/>
      <c r="L158" s="16"/>
    </row>
    <row r="159" spans="3:12" ht="15" x14ac:dyDescent="0.2">
      <c r="C159" s="16"/>
      <c r="D159" s="16"/>
      <c r="E159" s="16"/>
      <c r="F159" s="527"/>
      <c r="G159" s="248"/>
      <c r="H159" s="527"/>
      <c r="I159" s="16"/>
      <c r="J159" s="254"/>
      <c r="K159" s="248"/>
      <c r="L159" s="248"/>
    </row>
    <row r="160" spans="3:12" ht="15" x14ac:dyDescent="0.2">
      <c r="C160" s="16"/>
      <c r="D160" s="16"/>
      <c r="E160" s="16"/>
      <c r="F160" s="255"/>
      <c r="G160" s="250"/>
      <c r="H160" s="259"/>
      <c r="I160" s="16"/>
      <c r="J160" s="257"/>
      <c r="K160" s="250"/>
      <c r="L160" s="250"/>
    </row>
    <row r="161" spans="3:12" ht="15" x14ac:dyDescent="0.2">
      <c r="C161" s="16"/>
      <c r="D161" s="16"/>
      <c r="E161" s="16"/>
      <c r="F161" s="251"/>
      <c r="G161" s="250"/>
      <c r="H161" s="260"/>
      <c r="I161" s="16"/>
      <c r="J161" s="257"/>
      <c r="K161" s="250"/>
      <c r="L161" s="250"/>
    </row>
    <row r="162" spans="3:12" ht="15" x14ac:dyDescent="0.2">
      <c r="C162" s="16"/>
      <c r="D162" s="16"/>
      <c r="E162" s="16"/>
      <c r="F162" s="250"/>
      <c r="G162" s="250"/>
      <c r="H162" s="258"/>
      <c r="I162" s="16"/>
      <c r="J162" s="257"/>
      <c r="K162" s="250"/>
      <c r="L162" s="250"/>
    </row>
  </sheetData>
  <mergeCells count="19">
    <mergeCell ref="C113:L113"/>
    <mergeCell ref="C115:L115"/>
    <mergeCell ref="C116:L116"/>
    <mergeCell ref="F135:H135"/>
    <mergeCell ref="J135:L135"/>
    <mergeCell ref="F121:I121"/>
    <mergeCell ref="C83:L83"/>
    <mergeCell ref="C84:L84"/>
    <mergeCell ref="F103:H103"/>
    <mergeCell ref="J103:L103"/>
    <mergeCell ref="C48:L48"/>
    <mergeCell ref="C49:L49"/>
    <mergeCell ref="F68:H68"/>
    <mergeCell ref="J68:L68"/>
    <mergeCell ref="C1:L1"/>
    <mergeCell ref="C3:L3"/>
    <mergeCell ref="C4:L4"/>
    <mergeCell ref="H23:J23"/>
    <mergeCell ref="C81:L81"/>
  </mergeCells>
  <phoneticPr fontId="14" type="noConversion"/>
  <pageMargins left="1" right="0.75" top="1" bottom="0.75" header="0.5" footer="0.5"/>
  <pageSetup scale="97" orientation="portrait" r:id="rId1"/>
  <headerFooter alignWithMargins="0"/>
  <rowBreaks count="3" manualBreakCount="3">
    <brk id="45" min="2" max="11" man="1"/>
    <brk id="80" min="2" max="11" man="1"/>
    <brk id="112" min="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1"/>
  <sheetViews>
    <sheetView workbookViewId="0"/>
  </sheetViews>
  <sheetFormatPr defaultRowHeight="12.75" x14ac:dyDescent="0.2"/>
  <cols>
    <col min="1" max="1" width="19.109375" bestFit="1" customWidth="1"/>
    <col min="2" max="2" width="22" style="269" bestFit="1" customWidth="1"/>
    <col min="3" max="3" width="10.77734375" style="371" bestFit="1" customWidth="1"/>
    <col min="4" max="4" width="10.44140625" bestFit="1" customWidth="1"/>
    <col min="5" max="6" width="9.5546875" style="105" bestFit="1" customWidth="1"/>
    <col min="7" max="7" width="10.33203125" style="105" bestFit="1" customWidth="1"/>
    <col min="8" max="8" width="9.5546875" style="105" customWidth="1"/>
    <col min="9" max="9" width="10" style="105" bestFit="1" customWidth="1"/>
  </cols>
  <sheetData>
    <row r="1" spans="1:9" s="371" customFormat="1" x14ac:dyDescent="0.2">
      <c r="B1" s="269"/>
      <c r="C1" s="371" t="s">
        <v>522</v>
      </c>
      <c r="D1" s="371" t="s">
        <v>523</v>
      </c>
      <c r="E1" s="105" t="s">
        <v>524</v>
      </c>
      <c r="F1" s="105" t="s">
        <v>525</v>
      </c>
      <c r="G1" s="105" t="s">
        <v>528</v>
      </c>
      <c r="H1" s="105" t="s">
        <v>532</v>
      </c>
      <c r="I1" s="105" t="s">
        <v>527</v>
      </c>
    </row>
    <row r="2" spans="1:9" ht="13.5" x14ac:dyDescent="0.25">
      <c r="A2" s="619">
        <v>1020</v>
      </c>
      <c r="B2" s="620" t="s">
        <v>484</v>
      </c>
      <c r="C2" s="622">
        <v>164394.1</v>
      </c>
      <c r="D2" s="532">
        <v>-21357.86</v>
      </c>
      <c r="G2" s="105">
        <v>-6575.7640000000001</v>
      </c>
      <c r="I2" s="324">
        <f>+SUM(C2:H2)</f>
        <v>136460.476</v>
      </c>
    </row>
    <row r="3" spans="1:9" ht="13.5" x14ac:dyDescent="0.25">
      <c r="A3" s="619">
        <v>1025</v>
      </c>
      <c r="B3" s="620" t="s">
        <v>485</v>
      </c>
      <c r="C3" s="622">
        <v>0</v>
      </c>
      <c r="D3" s="532"/>
      <c r="I3" s="324">
        <f t="shared" ref="I3:I47" si="0">+SUM(C3:H3)</f>
        <v>0</v>
      </c>
    </row>
    <row r="4" spans="1:9" ht="13.5" x14ac:dyDescent="0.25">
      <c r="A4" s="619">
        <v>1040</v>
      </c>
      <c r="B4" s="620" t="s">
        <v>486</v>
      </c>
      <c r="C4" s="622">
        <v>0</v>
      </c>
      <c r="D4" s="532"/>
      <c r="I4" s="324">
        <f t="shared" si="0"/>
        <v>0</v>
      </c>
    </row>
    <row r="5" spans="1:9" ht="13.5" x14ac:dyDescent="0.25">
      <c r="A5" s="619">
        <v>1045</v>
      </c>
      <c r="B5" s="620" t="s">
        <v>487</v>
      </c>
      <c r="C5" s="622">
        <v>22330.84</v>
      </c>
      <c r="D5" s="532"/>
      <c r="I5" s="324">
        <f t="shared" si="0"/>
        <v>22330.84</v>
      </c>
    </row>
    <row r="6" spans="1:9" ht="13.5" x14ac:dyDescent="0.25">
      <c r="A6" s="619">
        <v>1050</v>
      </c>
      <c r="B6" s="620" t="s">
        <v>488</v>
      </c>
      <c r="C6" s="622">
        <v>126289.62</v>
      </c>
      <c r="D6" s="532">
        <v>-39283.79</v>
      </c>
      <c r="G6" s="105">
        <v>-5262.0674999999992</v>
      </c>
      <c r="I6" s="324">
        <f t="shared" si="0"/>
        <v>81743.762499999983</v>
      </c>
    </row>
    <row r="7" spans="1:9" ht="13.5" x14ac:dyDescent="0.25">
      <c r="A7" s="619">
        <v>1055</v>
      </c>
      <c r="B7" s="620" t="s">
        <v>489</v>
      </c>
      <c r="C7" s="622">
        <v>501884.15999999997</v>
      </c>
      <c r="D7" s="532">
        <v>-216317.35</v>
      </c>
      <c r="E7" s="105">
        <v>9653.5</v>
      </c>
      <c r="G7" s="105">
        <v>-14209.379444444445</v>
      </c>
      <c r="I7" s="324">
        <f t="shared" si="0"/>
        <v>281010.9305555555</v>
      </c>
    </row>
    <row r="8" spans="1:9" ht="13.5" x14ac:dyDescent="0.25">
      <c r="A8" s="619">
        <v>1060</v>
      </c>
      <c r="B8" s="620" t="s">
        <v>490</v>
      </c>
      <c r="C8" s="622">
        <v>1016.92</v>
      </c>
      <c r="D8" s="532">
        <v>1028.18</v>
      </c>
      <c r="G8" s="105">
        <v>-42.371666666666663</v>
      </c>
      <c r="I8" s="324">
        <f t="shared" si="0"/>
        <v>2002.7283333333332</v>
      </c>
    </row>
    <row r="9" spans="1:9" ht="13.5" x14ac:dyDescent="0.25">
      <c r="A9" s="619">
        <v>1065</v>
      </c>
      <c r="B9" s="620" t="s">
        <v>491</v>
      </c>
      <c r="C9" s="622">
        <v>129602.66</v>
      </c>
      <c r="D9" s="532">
        <v>-26140.47</v>
      </c>
      <c r="G9" s="105">
        <v>-5184.1064000000006</v>
      </c>
      <c r="I9" s="324">
        <f t="shared" si="0"/>
        <v>98278.083599999998</v>
      </c>
    </row>
    <row r="10" spans="1:9" ht="13.5" x14ac:dyDescent="0.25">
      <c r="A10" s="619">
        <v>1080</v>
      </c>
      <c r="B10" s="620" t="s">
        <v>492</v>
      </c>
      <c r="C10" s="622">
        <v>477485.13</v>
      </c>
      <c r="D10" s="532">
        <v>-137618.76999999999</v>
      </c>
      <c r="G10" s="105">
        <v>-7958.0855000000001</v>
      </c>
      <c r="I10" s="324">
        <f t="shared" si="0"/>
        <v>331908.2745</v>
      </c>
    </row>
    <row r="11" spans="1:9" ht="13.5" x14ac:dyDescent="0.25">
      <c r="A11" s="619">
        <v>1090</v>
      </c>
      <c r="B11" s="620" t="s">
        <v>493</v>
      </c>
      <c r="C11" s="622">
        <v>9759.7199999999993</v>
      </c>
      <c r="D11" s="532">
        <v>-1254.07</v>
      </c>
      <c r="G11" s="105">
        <v>-184.35026666666667</v>
      </c>
      <c r="I11" s="324">
        <f t="shared" si="0"/>
        <v>8321.2997333333333</v>
      </c>
    </row>
    <row r="12" spans="1:9" ht="13.5" x14ac:dyDescent="0.25">
      <c r="A12" s="619">
        <v>1100</v>
      </c>
      <c r="B12" s="620" t="s">
        <v>494</v>
      </c>
      <c r="C12" s="622">
        <v>34851.43</v>
      </c>
      <c r="D12" s="532">
        <v>3006.44</v>
      </c>
      <c r="E12" s="105">
        <v>444.12</v>
      </c>
      <c r="G12" s="105">
        <v>-1102.9859375000001</v>
      </c>
      <c r="I12" s="324">
        <f t="shared" si="0"/>
        <v>37199.004062500004</v>
      </c>
    </row>
    <row r="13" spans="1:9" ht="13.5" x14ac:dyDescent="0.25">
      <c r="A13" s="619">
        <v>1105</v>
      </c>
      <c r="B13" s="620" t="s">
        <v>495</v>
      </c>
      <c r="C13" s="622">
        <v>803593.95</v>
      </c>
      <c r="D13" s="532">
        <v>-153137.57</v>
      </c>
      <c r="E13" s="105">
        <v>767.37</v>
      </c>
      <c r="G13" s="105">
        <v>-25136.291249999998</v>
      </c>
      <c r="I13" s="324">
        <f t="shared" si="0"/>
        <v>626087.45874999987</v>
      </c>
    </row>
    <row r="14" spans="1:9" ht="13.5" x14ac:dyDescent="0.25">
      <c r="A14" s="619">
        <v>1110</v>
      </c>
      <c r="B14" s="620" t="s">
        <v>496</v>
      </c>
      <c r="C14" s="622">
        <v>12839.56</v>
      </c>
      <c r="D14" s="532">
        <v>-456.43</v>
      </c>
      <c r="G14" s="105">
        <v>-401.23624999999998</v>
      </c>
      <c r="I14" s="324">
        <f t="shared" si="0"/>
        <v>11981.893749999999</v>
      </c>
    </row>
    <row r="15" spans="1:9" ht="13.5" x14ac:dyDescent="0.25">
      <c r="A15" s="619">
        <v>1115</v>
      </c>
      <c r="B15" s="620" t="s">
        <v>497</v>
      </c>
      <c r="C15" s="622">
        <v>1172148.1499999999</v>
      </c>
      <c r="D15" s="532">
        <v>-286636.59000000003</v>
      </c>
      <c r="E15" s="105">
        <v>122.13</v>
      </c>
      <c r="G15" s="105">
        <v>-41866.795714285705</v>
      </c>
      <c r="H15" s="105">
        <v>-174827.22066666666</v>
      </c>
      <c r="I15" s="324">
        <f t="shared" si="0"/>
        <v>668939.67361904751</v>
      </c>
    </row>
    <row r="16" spans="1:9" ht="13.5" x14ac:dyDescent="0.25">
      <c r="A16" s="619">
        <v>1120</v>
      </c>
      <c r="B16" s="620" t="s">
        <v>498</v>
      </c>
      <c r="C16" s="622">
        <v>549348.05000000005</v>
      </c>
      <c r="D16" s="532">
        <v>-305436.75</v>
      </c>
      <c r="G16" s="105">
        <v>-9155.8008333333346</v>
      </c>
      <c r="I16" s="324">
        <f t="shared" si="0"/>
        <v>234755.4991666667</v>
      </c>
    </row>
    <row r="17" spans="1:9" ht="13.5" x14ac:dyDescent="0.25">
      <c r="A17" s="619">
        <v>1125</v>
      </c>
      <c r="B17" s="620" t="s">
        <v>499</v>
      </c>
      <c r="C17" s="622">
        <v>3518983.37</v>
      </c>
      <c r="D17" s="532">
        <v>-1264515.8799999999</v>
      </c>
      <c r="E17" s="105">
        <v>277.2</v>
      </c>
      <c r="G17" s="105">
        <v>-66474.921877777786</v>
      </c>
      <c r="I17" s="324">
        <f t="shared" si="0"/>
        <v>2188269.7681222227</v>
      </c>
    </row>
    <row r="18" spans="1:9" ht="13.5" x14ac:dyDescent="0.25">
      <c r="A18" s="619">
        <v>1130</v>
      </c>
      <c r="B18" s="620" t="s">
        <v>500</v>
      </c>
      <c r="C18" s="622">
        <v>1023248.41</v>
      </c>
      <c r="D18" s="532">
        <v>-682995.12</v>
      </c>
      <c r="E18" s="105">
        <v>3800.4500000000012</v>
      </c>
      <c r="G18" s="105">
        <v>-34234.962</v>
      </c>
      <c r="I18" s="324">
        <f t="shared" si="0"/>
        <v>309818.77800000005</v>
      </c>
    </row>
    <row r="19" spans="1:9" ht="13.5" x14ac:dyDescent="0.25">
      <c r="A19" s="619">
        <v>1135</v>
      </c>
      <c r="B19" s="620" t="s">
        <v>501</v>
      </c>
      <c r="C19" s="622">
        <v>736615.25</v>
      </c>
      <c r="D19" s="532">
        <v>-478487.98</v>
      </c>
      <c r="G19" s="105">
        <v>-42723.684499999996</v>
      </c>
      <c r="H19" s="105">
        <v>-78757.959999999992</v>
      </c>
      <c r="I19" s="324">
        <f t="shared" si="0"/>
        <v>136645.62550000002</v>
      </c>
    </row>
    <row r="20" spans="1:9" ht="13.5" x14ac:dyDescent="0.25">
      <c r="A20" s="619">
        <v>1140</v>
      </c>
      <c r="B20" s="620" t="s">
        <v>502</v>
      </c>
      <c r="C20" s="622">
        <v>687698</v>
      </c>
      <c r="D20" s="532">
        <v>-237157.6</v>
      </c>
      <c r="E20" s="105">
        <v>122.72</v>
      </c>
      <c r="G20" s="105">
        <v>-30569.809777777777</v>
      </c>
      <c r="I20" s="324">
        <f t="shared" si="0"/>
        <v>420093.31022222224</v>
      </c>
    </row>
    <row r="21" spans="1:9" ht="13.5" x14ac:dyDescent="0.25">
      <c r="A21" s="619">
        <v>1145</v>
      </c>
      <c r="B21" s="620" t="s">
        <v>503</v>
      </c>
      <c r="C21" s="622">
        <v>416264.4</v>
      </c>
      <c r="D21" s="532">
        <v>-104384.48</v>
      </c>
      <c r="G21" s="105">
        <v>-16456.964651162791</v>
      </c>
      <c r="I21" s="324">
        <f t="shared" si="0"/>
        <v>295422.95534883725</v>
      </c>
    </row>
    <row r="22" spans="1:9" ht="13.5" x14ac:dyDescent="0.25">
      <c r="A22" s="619">
        <v>1150</v>
      </c>
      <c r="B22" s="620" t="s">
        <v>504</v>
      </c>
      <c r="C22" s="622">
        <v>129.43</v>
      </c>
      <c r="D22" s="532">
        <v>118.61</v>
      </c>
      <c r="G22" s="105">
        <v>-5.7524444444444454</v>
      </c>
      <c r="I22" s="324">
        <f t="shared" si="0"/>
        <v>242.28755555555557</v>
      </c>
    </row>
    <row r="23" spans="1:9" ht="13.5" x14ac:dyDescent="0.25">
      <c r="A23" s="619">
        <v>1170</v>
      </c>
      <c r="B23" s="620" t="s">
        <v>505</v>
      </c>
      <c r="C23" s="622">
        <v>0</v>
      </c>
      <c r="D23" s="532">
        <v>0</v>
      </c>
      <c r="I23" s="324">
        <f t="shared" si="0"/>
        <v>0</v>
      </c>
    </row>
    <row r="24" spans="1:9" ht="13.5" x14ac:dyDescent="0.25">
      <c r="A24" s="619">
        <v>1175</v>
      </c>
      <c r="B24" s="620" t="s">
        <v>506</v>
      </c>
      <c r="C24" s="622">
        <v>150196.48000000001</v>
      </c>
      <c r="D24" s="532">
        <v>-64824.53</v>
      </c>
      <c r="G24" s="105">
        <v>-6007.8592000000008</v>
      </c>
      <c r="I24" s="324">
        <f t="shared" si="0"/>
        <v>79364.090800000005</v>
      </c>
    </row>
    <row r="25" spans="1:9" ht="13.5" x14ac:dyDescent="0.25">
      <c r="A25" s="619">
        <v>1180</v>
      </c>
      <c r="B25" s="620" t="s">
        <v>507</v>
      </c>
      <c r="C25" s="622">
        <v>104614.74</v>
      </c>
      <c r="D25" s="532">
        <v>-91084.88</v>
      </c>
      <c r="G25" s="105">
        <v>-4707.6633000000011</v>
      </c>
      <c r="I25" s="324">
        <f t="shared" si="0"/>
        <v>8822.1967000000004</v>
      </c>
    </row>
    <row r="26" spans="1:9" ht="13.5" x14ac:dyDescent="0.25">
      <c r="A26" s="619">
        <v>1190</v>
      </c>
      <c r="B26" s="620" t="s">
        <v>508</v>
      </c>
      <c r="C26" s="622">
        <v>309306.65999999997</v>
      </c>
      <c r="D26" s="532">
        <v>-142778.95000000001</v>
      </c>
      <c r="E26" s="105">
        <v>3382.14</v>
      </c>
      <c r="G26" s="105">
        <v>-19803.623999999996</v>
      </c>
      <c r="I26" s="324">
        <f t="shared" si="0"/>
        <v>150106.22599999997</v>
      </c>
    </row>
    <row r="27" spans="1:9" ht="13.5" x14ac:dyDescent="0.25">
      <c r="A27" s="619">
        <v>1195</v>
      </c>
      <c r="B27" s="620" t="s">
        <v>509</v>
      </c>
      <c r="C27" s="622">
        <v>85381.18</v>
      </c>
      <c r="D27" s="532">
        <v>-27556.22</v>
      </c>
      <c r="E27" s="105">
        <v>5304.68</v>
      </c>
      <c r="G27" s="105">
        <v>-4534.2929999999997</v>
      </c>
      <c r="I27" s="324">
        <f t="shared" si="0"/>
        <v>58595.346999999994</v>
      </c>
    </row>
    <row r="28" spans="1:9" ht="13.5" x14ac:dyDescent="0.25">
      <c r="A28" s="619">
        <v>1200</v>
      </c>
      <c r="B28" s="620" t="s">
        <v>510</v>
      </c>
      <c r="C28" s="622">
        <v>14323.56</v>
      </c>
      <c r="D28" s="532">
        <v>9231.4599999999991</v>
      </c>
      <c r="E28" s="105">
        <v>1152.7000000000003</v>
      </c>
      <c r="G28" s="105">
        <v>-773.8130000000001</v>
      </c>
      <c r="I28" s="324">
        <f t="shared" si="0"/>
        <v>23933.906999999999</v>
      </c>
    </row>
    <row r="29" spans="1:9" ht="13.5" x14ac:dyDescent="0.25">
      <c r="A29" s="619">
        <v>1205</v>
      </c>
      <c r="B29" s="620" t="s">
        <v>511</v>
      </c>
      <c r="C29" s="622">
        <v>53948.14</v>
      </c>
      <c r="D29" s="532">
        <v>-50251.21</v>
      </c>
      <c r="G29" s="105">
        <v>-6743.5174999999999</v>
      </c>
      <c r="I29" s="324">
        <f t="shared" si="0"/>
        <v>-3046.5874999999996</v>
      </c>
    </row>
    <row r="30" spans="1:9" ht="13.5" x14ac:dyDescent="0.25">
      <c r="A30" s="619">
        <v>1210</v>
      </c>
      <c r="B30" s="620" t="s">
        <v>512</v>
      </c>
      <c r="C30" s="622">
        <v>0</v>
      </c>
      <c r="D30" s="532">
        <v>0</v>
      </c>
      <c r="I30" s="324">
        <f t="shared" si="0"/>
        <v>0</v>
      </c>
    </row>
    <row r="31" spans="1:9" ht="13.5" x14ac:dyDescent="0.25">
      <c r="A31" s="619">
        <v>1215</v>
      </c>
      <c r="B31" s="620" t="s">
        <v>513</v>
      </c>
      <c r="C31" s="622">
        <v>69976</v>
      </c>
      <c r="D31" s="532">
        <v>-18891.400000000001</v>
      </c>
      <c r="G31" s="105">
        <v>0</v>
      </c>
      <c r="I31" s="324">
        <f t="shared" si="0"/>
        <v>51084.6</v>
      </c>
    </row>
    <row r="32" spans="1:9" s="371" customFormat="1" ht="13.5" x14ac:dyDescent="0.25">
      <c r="A32" s="619"/>
      <c r="B32" s="620"/>
      <c r="C32" s="621"/>
      <c r="D32" s="532"/>
      <c r="E32" s="105"/>
      <c r="F32" s="105"/>
      <c r="G32" s="105"/>
      <c r="H32" s="105"/>
      <c r="I32" s="324">
        <f t="shared" si="0"/>
        <v>0</v>
      </c>
    </row>
    <row r="33" spans="1:9" s="371" customFormat="1" ht="13.5" x14ac:dyDescent="0.25">
      <c r="A33" s="619"/>
      <c r="B33" s="620"/>
      <c r="C33" s="621"/>
      <c r="D33" s="532"/>
      <c r="E33" s="105"/>
      <c r="F33" s="105"/>
      <c r="G33" s="105"/>
      <c r="H33" s="105"/>
      <c r="I33" s="324">
        <f t="shared" si="0"/>
        <v>0</v>
      </c>
    </row>
    <row r="34" spans="1:9" x14ac:dyDescent="0.2">
      <c r="D34" s="532"/>
      <c r="I34" s="324">
        <f t="shared" si="0"/>
        <v>0</v>
      </c>
    </row>
    <row r="35" spans="1:9" s="371" customFormat="1" x14ac:dyDescent="0.2">
      <c r="A35" s="371">
        <v>1555</v>
      </c>
      <c r="B35" s="371" t="s">
        <v>514</v>
      </c>
      <c r="C35" s="249">
        <v>725993.69</v>
      </c>
      <c r="D35" s="532">
        <v>-610879.76</v>
      </c>
      <c r="E35" s="105">
        <v>47849.060207676026</v>
      </c>
      <c r="F35" s="105">
        <v>-55799.256041535169</v>
      </c>
      <c r="G35" s="105"/>
      <c r="H35" s="105"/>
      <c r="I35" s="324">
        <f t="shared" si="0"/>
        <v>107163.73416614078</v>
      </c>
    </row>
    <row r="36" spans="1:9" s="371" customFormat="1" x14ac:dyDescent="0.2">
      <c r="B36" s="532"/>
      <c r="C36" s="249">
        <v>0</v>
      </c>
      <c r="D36" s="532"/>
      <c r="E36" s="105"/>
      <c r="F36" s="105"/>
      <c r="G36" s="105"/>
      <c r="H36" s="105"/>
      <c r="I36" s="324">
        <f t="shared" si="0"/>
        <v>0</v>
      </c>
    </row>
    <row r="37" spans="1:9" s="371" customFormat="1" x14ac:dyDescent="0.2">
      <c r="A37" s="371" t="s">
        <v>515</v>
      </c>
      <c r="B37" s="371" t="s">
        <v>516</v>
      </c>
      <c r="C37" s="249"/>
      <c r="D37" s="532"/>
      <c r="E37" s="105"/>
      <c r="F37" s="105"/>
      <c r="G37" s="105"/>
      <c r="H37" s="105"/>
      <c r="I37" s="324">
        <f t="shared" si="0"/>
        <v>0</v>
      </c>
    </row>
    <row r="38" spans="1:9" s="371" customFormat="1" x14ac:dyDescent="0.2">
      <c r="C38" s="249">
        <v>0</v>
      </c>
      <c r="D38" s="532"/>
      <c r="E38" s="105"/>
      <c r="F38" s="105"/>
      <c r="G38" s="105"/>
      <c r="H38" s="105"/>
      <c r="I38" s="324">
        <f t="shared" si="0"/>
        <v>0</v>
      </c>
    </row>
    <row r="39" spans="1:9" s="371" customFormat="1" x14ac:dyDescent="0.2">
      <c r="A39" s="371">
        <v>1580</v>
      </c>
      <c r="B39" s="532" t="s">
        <v>517</v>
      </c>
      <c r="C39" s="249">
        <v>26164.53</v>
      </c>
      <c r="D39" s="532">
        <v>-26160.26</v>
      </c>
      <c r="E39" s="105"/>
      <c r="F39" s="105"/>
      <c r="G39" s="105"/>
      <c r="H39" s="105"/>
      <c r="I39" s="324">
        <f t="shared" si="0"/>
        <v>4.2700000000004366</v>
      </c>
    </row>
    <row r="40" spans="1:9" s="371" customFormat="1" x14ac:dyDescent="0.2">
      <c r="A40" s="371">
        <v>1585</v>
      </c>
      <c r="B40" s="371" t="s">
        <v>518</v>
      </c>
      <c r="C40" s="249">
        <v>153658.04</v>
      </c>
      <c r="D40" s="532">
        <v>-114926.3</v>
      </c>
      <c r="E40" s="105">
        <v>144688.74647268583</v>
      </c>
      <c r="F40" s="105">
        <v>-56572.444619020956</v>
      </c>
      <c r="G40" s="105"/>
      <c r="H40" s="105"/>
      <c r="I40" s="324">
        <f t="shared" si="0"/>
        <v>126848.04185366486</v>
      </c>
    </row>
    <row r="41" spans="1:9" s="371" customFormat="1" x14ac:dyDescent="0.2">
      <c r="A41" s="371">
        <v>1590</v>
      </c>
      <c r="B41" s="371" t="s">
        <v>519</v>
      </c>
      <c r="C41" s="249">
        <v>624469.68000000005</v>
      </c>
      <c r="D41" s="532">
        <v>-596679.32999999996</v>
      </c>
      <c r="E41" s="105"/>
      <c r="F41" s="105"/>
      <c r="G41" s="105"/>
      <c r="H41" s="105"/>
      <c r="I41" s="324">
        <f t="shared" si="0"/>
        <v>27790.350000000093</v>
      </c>
    </row>
    <row r="42" spans="1:9" s="371" customFormat="1" x14ac:dyDescent="0.2">
      <c r="A42" s="371">
        <v>1595</v>
      </c>
      <c r="B42" s="371" t="s">
        <v>520</v>
      </c>
      <c r="C42" s="249">
        <v>16773.48</v>
      </c>
      <c r="D42" s="532">
        <v>-16773.48</v>
      </c>
      <c r="E42" s="105"/>
      <c r="F42" s="105"/>
      <c r="G42" s="105"/>
      <c r="H42" s="105"/>
      <c r="I42" s="324">
        <f t="shared" si="0"/>
        <v>0</v>
      </c>
    </row>
    <row r="43" spans="1:9" s="371" customFormat="1" x14ac:dyDescent="0.2">
      <c r="B43" s="532"/>
      <c r="C43" s="249">
        <v>0</v>
      </c>
      <c r="D43" s="532"/>
      <c r="E43" s="105"/>
      <c r="F43" s="105"/>
      <c r="G43" s="105"/>
      <c r="H43" s="105"/>
      <c r="I43" s="324">
        <f t="shared" si="0"/>
        <v>0</v>
      </c>
    </row>
    <row r="44" spans="1:9" s="371" customFormat="1" x14ac:dyDescent="0.2">
      <c r="A44" s="371" t="s">
        <v>515</v>
      </c>
      <c r="B44" s="371" t="s">
        <v>521</v>
      </c>
      <c r="C44" s="249"/>
      <c r="D44" s="532"/>
      <c r="E44" s="105"/>
      <c r="F44" s="105"/>
      <c r="G44" s="105"/>
      <c r="H44" s="105"/>
      <c r="I44" s="324">
        <f t="shared" si="0"/>
        <v>0</v>
      </c>
    </row>
    <row r="45" spans="1:9" s="371" customFormat="1" x14ac:dyDescent="0.2">
      <c r="C45" s="249"/>
      <c r="D45" s="532"/>
      <c r="E45" s="105"/>
      <c r="F45" s="105"/>
      <c r="G45" s="105"/>
      <c r="H45" s="105"/>
      <c r="I45" s="324">
        <f t="shared" si="0"/>
        <v>0</v>
      </c>
    </row>
    <row r="46" spans="1:9" s="371" customFormat="1" x14ac:dyDescent="0.2">
      <c r="B46" s="371" t="s">
        <v>526</v>
      </c>
      <c r="C46" s="249"/>
      <c r="D46" s="532"/>
      <c r="E46" s="105"/>
      <c r="F46" s="105"/>
      <c r="G46" s="105"/>
      <c r="H46" s="105"/>
      <c r="I46" s="324">
        <f t="shared" si="0"/>
        <v>0</v>
      </c>
    </row>
    <row r="47" spans="1:9" s="371" customFormat="1" x14ac:dyDescent="0.2">
      <c r="C47" s="249"/>
      <c r="D47" s="532"/>
      <c r="E47" s="105"/>
      <c r="F47" s="105"/>
      <c r="G47" s="105"/>
      <c r="H47" s="105"/>
      <c r="I47" s="324">
        <f t="shared" si="0"/>
        <v>0</v>
      </c>
    </row>
    <row r="48" spans="1:9" s="371" customFormat="1" x14ac:dyDescent="0.2">
      <c r="C48" s="249">
        <f>+SUM(C2:C44)</f>
        <v>12723289.33</v>
      </c>
      <c r="D48" s="249">
        <f>+SUM(D2:D44)</f>
        <v>-5702602.3399999999</v>
      </c>
      <c r="E48" s="105">
        <f>+SUM(E2:E46)</f>
        <v>217564.81668036187</v>
      </c>
      <c r="F48" s="105">
        <f>+SUM(F2:F46)</f>
        <v>-112371.70066055612</v>
      </c>
      <c r="G48" s="105">
        <v>-350116.10001405969</v>
      </c>
      <c r="H48" s="105">
        <f>+SUM(H2:H46)</f>
        <v>-253585.18066666665</v>
      </c>
      <c r="I48" s="105">
        <f>+SUM(I2:I46)</f>
        <v>6522178.825339077</v>
      </c>
    </row>
    <row r="49" spans="2:9" s="371" customFormat="1" x14ac:dyDescent="0.2">
      <c r="C49" s="249">
        <v>12723289.330000002</v>
      </c>
      <c r="D49" s="532">
        <v>-5702602.3399999999</v>
      </c>
      <c r="E49" s="105">
        <v>217564.81668036187</v>
      </c>
      <c r="F49" s="105">
        <v>-112371.70066055612</v>
      </c>
      <c r="G49" s="105"/>
      <c r="H49" s="105">
        <v>-253585.18066666668</v>
      </c>
      <c r="I49" s="105">
        <v>6522178.8253390826</v>
      </c>
    </row>
    <row r="50" spans="2:9" s="371" customFormat="1" x14ac:dyDescent="0.2">
      <c r="C50" s="249"/>
      <c r="D50" s="532"/>
      <c r="E50" s="105"/>
      <c r="F50" s="105"/>
      <c r="G50" s="105"/>
      <c r="H50" s="105"/>
      <c r="I50" s="105"/>
    </row>
    <row r="51" spans="2:9" s="371" customFormat="1" x14ac:dyDescent="0.2">
      <c r="C51" s="249"/>
      <c r="D51" s="532"/>
      <c r="E51" s="105"/>
      <c r="F51" s="105"/>
      <c r="G51" s="105">
        <f>+C48+D48+E48+F48+G48</f>
        <v>6775764.0060057454</v>
      </c>
      <c r="H51" s="105">
        <f>+G51+H49</f>
        <v>6522178.8253390789</v>
      </c>
      <c r="I51" s="105"/>
    </row>
    <row r="52" spans="2:9" s="371" customFormat="1" x14ac:dyDescent="0.2">
      <c r="B52" s="532"/>
      <c r="C52" s="249"/>
      <c r="D52" s="532"/>
      <c r="E52" s="105"/>
      <c r="F52" s="105"/>
      <c r="G52" s="105">
        <v>6775764.0060057491</v>
      </c>
      <c r="H52" s="105"/>
      <c r="I52" s="105"/>
    </row>
    <row r="53" spans="2:9" s="371" customFormat="1" x14ac:dyDescent="0.2">
      <c r="B53" s="532"/>
      <c r="C53" s="249"/>
      <c r="D53" s="532"/>
      <c r="E53" s="105"/>
      <c r="F53" s="105"/>
      <c r="G53" s="105"/>
      <c r="H53" s="105"/>
      <c r="I53" s="105"/>
    </row>
    <row r="54" spans="2:9" s="371" customFormat="1" x14ac:dyDescent="0.2">
      <c r="C54" s="249"/>
      <c r="D54" s="532"/>
      <c r="E54" s="105"/>
      <c r="F54" s="105"/>
      <c r="G54" s="105"/>
      <c r="H54" s="105"/>
      <c r="I54" s="105"/>
    </row>
    <row r="55" spans="2:9" s="371" customFormat="1" x14ac:dyDescent="0.2">
      <c r="C55" s="249"/>
      <c r="D55" s="532"/>
      <c r="E55" s="105"/>
      <c r="F55" s="105"/>
      <c r="G55" s="105"/>
      <c r="H55" s="105"/>
      <c r="I55" s="105"/>
    </row>
    <row r="56" spans="2:9" s="371" customFormat="1" x14ac:dyDescent="0.2">
      <c r="B56" s="532"/>
      <c r="C56" s="249"/>
      <c r="D56" s="532"/>
      <c r="E56" s="105"/>
      <c r="F56" s="105"/>
      <c r="G56" s="105"/>
      <c r="H56" s="105"/>
      <c r="I56" s="105"/>
    </row>
    <row r="57" spans="2:9" s="371" customFormat="1" x14ac:dyDescent="0.2">
      <c r="B57" s="532"/>
      <c r="C57" s="249"/>
      <c r="D57" s="532"/>
      <c r="E57" s="105"/>
      <c r="F57" s="105"/>
      <c r="G57" s="105"/>
      <c r="H57" s="105"/>
      <c r="I57" s="105"/>
    </row>
    <row r="58" spans="2:9" s="371" customFormat="1" x14ac:dyDescent="0.2">
      <c r="C58" s="249"/>
      <c r="D58" s="532"/>
      <c r="E58" s="105"/>
      <c r="F58" s="105"/>
      <c r="G58" s="105"/>
      <c r="H58" s="105"/>
      <c r="I58" s="105"/>
    </row>
    <row r="59" spans="2:9" s="371" customFormat="1" x14ac:dyDescent="0.2">
      <c r="C59" s="249"/>
      <c r="D59" s="532"/>
      <c r="E59" s="105"/>
      <c r="F59" s="105"/>
      <c r="G59" s="105"/>
      <c r="H59" s="105"/>
      <c r="I59" s="105"/>
    </row>
    <row r="60" spans="2:9" s="371" customFormat="1" x14ac:dyDescent="0.2">
      <c r="C60" s="249"/>
      <c r="D60" s="532"/>
      <c r="E60" s="105"/>
      <c r="F60" s="105"/>
      <c r="G60" s="105"/>
      <c r="H60" s="105"/>
      <c r="I60" s="105"/>
    </row>
    <row r="61" spans="2:9" s="371" customFormat="1" x14ac:dyDescent="0.2">
      <c r="C61" s="249"/>
      <c r="D61" s="532"/>
      <c r="E61" s="105"/>
      <c r="F61" s="105"/>
      <c r="G61" s="105"/>
      <c r="H61" s="105"/>
      <c r="I61" s="105"/>
    </row>
    <row r="62" spans="2:9" s="371" customFormat="1" x14ac:dyDescent="0.2">
      <c r="C62" s="249"/>
      <c r="D62" s="532"/>
      <c r="E62" s="105"/>
      <c r="F62" s="105"/>
      <c r="G62" s="105"/>
      <c r="H62" s="105"/>
      <c r="I62" s="105"/>
    </row>
    <row r="63" spans="2:9" s="371" customFormat="1" x14ac:dyDescent="0.2">
      <c r="C63" s="249"/>
      <c r="D63" s="532"/>
      <c r="E63" s="105"/>
      <c r="F63" s="105"/>
      <c r="G63" s="105"/>
      <c r="H63" s="105"/>
      <c r="I63" s="105"/>
    </row>
    <row r="64" spans="2:9" s="371" customFormat="1" x14ac:dyDescent="0.2">
      <c r="C64" s="249"/>
      <c r="D64" s="532"/>
      <c r="E64" s="105"/>
      <c r="F64" s="105"/>
      <c r="G64" s="105"/>
      <c r="H64" s="105"/>
      <c r="I64" s="105"/>
    </row>
    <row r="65" spans="2:9" s="371" customFormat="1" x14ac:dyDescent="0.2">
      <c r="C65" s="249"/>
      <c r="D65" s="532"/>
      <c r="E65" s="105"/>
      <c r="F65" s="105"/>
      <c r="G65" s="105"/>
      <c r="H65" s="105"/>
      <c r="I65" s="105"/>
    </row>
    <row r="66" spans="2:9" s="371" customFormat="1" x14ac:dyDescent="0.2">
      <c r="C66" s="249"/>
      <c r="D66" s="532"/>
      <c r="E66" s="105"/>
      <c r="F66" s="105"/>
      <c r="G66" s="105"/>
      <c r="H66" s="105"/>
      <c r="I66" s="105"/>
    </row>
    <row r="67" spans="2:9" s="371" customFormat="1" x14ac:dyDescent="0.2">
      <c r="C67" s="249"/>
      <c r="D67" s="532"/>
      <c r="E67" s="105"/>
      <c r="F67" s="105"/>
      <c r="G67" s="105"/>
      <c r="H67" s="105"/>
      <c r="I67" s="105"/>
    </row>
    <row r="68" spans="2:9" s="371" customFormat="1" x14ac:dyDescent="0.2">
      <c r="C68" s="249"/>
      <c r="D68" s="532"/>
      <c r="E68" s="105"/>
      <c r="F68" s="105"/>
      <c r="G68" s="105"/>
      <c r="H68" s="105"/>
      <c r="I68" s="105"/>
    </row>
    <row r="69" spans="2:9" s="371" customFormat="1" x14ac:dyDescent="0.2">
      <c r="D69" s="532"/>
      <c r="E69" s="105"/>
      <c r="F69" s="105"/>
      <c r="G69" s="105"/>
      <c r="H69" s="105"/>
      <c r="I69" s="105"/>
    </row>
    <row r="70" spans="2:9" s="371" customFormat="1" x14ac:dyDescent="0.2">
      <c r="D70" s="532"/>
      <c r="E70" s="105"/>
      <c r="F70" s="105"/>
      <c r="G70" s="105"/>
      <c r="H70" s="105"/>
      <c r="I70" s="105"/>
    </row>
    <row r="71" spans="2:9" x14ac:dyDescent="0.2">
      <c r="B71" s="533"/>
      <c r="C71" s="532"/>
      <c r="D71" s="532"/>
    </row>
    <row r="72" spans="2:9" x14ac:dyDescent="0.2">
      <c r="D72" s="532"/>
    </row>
    <row r="73" spans="2:9" x14ac:dyDescent="0.2">
      <c r="D73" s="532"/>
    </row>
    <row r="74" spans="2:9" x14ac:dyDescent="0.2">
      <c r="D74" s="532"/>
    </row>
    <row r="75" spans="2:9" x14ac:dyDescent="0.2">
      <c r="D75" s="532"/>
    </row>
    <row r="76" spans="2:9" x14ac:dyDescent="0.2">
      <c r="D76" s="532"/>
    </row>
    <row r="77" spans="2:9" x14ac:dyDescent="0.2">
      <c r="D77" s="532"/>
    </row>
    <row r="78" spans="2:9" x14ac:dyDescent="0.2">
      <c r="B78" s="533"/>
      <c r="C78" s="532"/>
      <c r="D78" s="532"/>
    </row>
    <row r="79" spans="2:9" x14ac:dyDescent="0.2">
      <c r="D79" s="532"/>
    </row>
    <row r="80" spans="2:9" x14ac:dyDescent="0.2">
      <c r="D80" s="532"/>
    </row>
    <row r="81" spans="2:4" x14ac:dyDescent="0.2">
      <c r="B81" s="533"/>
      <c r="C81" s="532"/>
      <c r="D81" s="532"/>
    </row>
    <row r="82" spans="2:4" x14ac:dyDescent="0.2">
      <c r="D82" s="532"/>
    </row>
    <row r="83" spans="2:4" x14ac:dyDescent="0.2">
      <c r="D83" s="532"/>
    </row>
    <row r="84" spans="2:4" x14ac:dyDescent="0.2">
      <c r="B84" s="533"/>
      <c r="D84" s="532"/>
    </row>
    <row r="85" spans="2:4" x14ac:dyDescent="0.2">
      <c r="D85" s="532"/>
    </row>
    <row r="86" spans="2:4" x14ac:dyDescent="0.2">
      <c r="D86" s="532"/>
    </row>
    <row r="87" spans="2:4" x14ac:dyDescent="0.2">
      <c r="C87" s="532"/>
      <c r="D87" s="532"/>
    </row>
    <row r="88" spans="2:4" x14ac:dyDescent="0.2">
      <c r="D88" s="532"/>
    </row>
    <row r="89" spans="2:4" x14ac:dyDescent="0.2">
      <c r="D89" s="532"/>
    </row>
    <row r="90" spans="2:4" x14ac:dyDescent="0.2">
      <c r="D90" s="532"/>
    </row>
    <row r="91" spans="2:4" x14ac:dyDescent="0.2">
      <c r="D91" s="532"/>
    </row>
    <row r="92" spans="2:4" x14ac:dyDescent="0.2">
      <c r="D92" s="532"/>
    </row>
    <row r="93" spans="2:4" x14ac:dyDescent="0.2">
      <c r="B93" s="533"/>
      <c r="C93" s="532"/>
      <c r="D93" s="532"/>
    </row>
    <row r="94" spans="2:4" x14ac:dyDescent="0.2">
      <c r="B94" s="533"/>
      <c r="C94" s="532"/>
      <c r="D94" s="532"/>
    </row>
    <row r="96" spans="2:4" x14ac:dyDescent="0.2">
      <c r="C96" s="532"/>
      <c r="D96" s="532"/>
    </row>
    <row r="98" spans="1:4" x14ac:dyDescent="0.2">
      <c r="A98" s="537"/>
    </row>
    <row r="99" spans="1:4" x14ac:dyDescent="0.2">
      <c r="D99" s="537"/>
    </row>
    <row r="100" spans="1:4" x14ac:dyDescent="0.2">
      <c r="B100" s="533"/>
      <c r="D100" s="532"/>
    </row>
    <row r="106" spans="1:4" x14ac:dyDescent="0.2">
      <c r="B106" s="533"/>
      <c r="D106" s="532"/>
    </row>
    <row r="111" spans="1:4" x14ac:dyDescent="0.2">
      <c r="B111" s="533"/>
      <c r="D111" s="532"/>
    </row>
    <row r="112" spans="1:4" x14ac:dyDescent="0.2">
      <c r="B112" s="533"/>
      <c r="D112" s="532"/>
    </row>
    <row r="115" spans="2:4" x14ac:dyDescent="0.2">
      <c r="B115" s="533"/>
      <c r="D115" s="532"/>
    </row>
    <row r="118" spans="2:4" x14ac:dyDescent="0.2">
      <c r="B118" s="533"/>
      <c r="D118" s="532"/>
    </row>
    <row r="121" spans="2:4" x14ac:dyDescent="0.2">
      <c r="B121" s="533"/>
      <c r="D121" s="532"/>
    </row>
    <row r="124" spans="2:4" x14ac:dyDescent="0.2">
      <c r="B124" s="533"/>
      <c r="D124" s="532"/>
    </row>
    <row r="125" spans="2:4" x14ac:dyDescent="0.2">
      <c r="B125" s="533"/>
      <c r="D125" s="532"/>
    </row>
    <row r="128" spans="2:4" x14ac:dyDescent="0.2">
      <c r="B128" s="533"/>
      <c r="D128" s="532"/>
    </row>
    <row r="129" spans="2:4" x14ac:dyDescent="0.2">
      <c r="B129" s="533"/>
      <c r="D129" s="532"/>
    </row>
    <row r="138" spans="2:4" x14ac:dyDescent="0.2">
      <c r="B138" s="533"/>
      <c r="D138" s="532"/>
    </row>
    <row r="141" spans="2:4" x14ac:dyDescent="0.2">
      <c r="B141" s="533"/>
      <c r="D141" s="532"/>
    </row>
    <row r="145" spans="2:4" x14ac:dyDescent="0.2">
      <c r="B145" s="533"/>
      <c r="D145" s="532"/>
    </row>
    <row r="149" spans="2:4" x14ac:dyDescent="0.2">
      <c r="B149" s="533"/>
      <c r="D149" s="532"/>
    </row>
    <row r="152" spans="2:4" x14ac:dyDescent="0.2">
      <c r="B152" s="533"/>
    </row>
    <row r="155" spans="2:4" x14ac:dyDescent="0.2">
      <c r="B155" s="533"/>
      <c r="D155" s="532"/>
    </row>
    <row r="158" spans="2:4" x14ac:dyDescent="0.2">
      <c r="B158" s="533"/>
      <c r="D158" s="532"/>
    </row>
    <row r="159" spans="2:4" x14ac:dyDescent="0.2">
      <c r="B159" s="533"/>
      <c r="D159" s="532"/>
    </row>
    <row r="161" spans="4:4" x14ac:dyDescent="0.2">
      <c r="D161" s="53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U68"/>
  <sheetViews>
    <sheetView topLeftCell="A10" workbookViewId="0">
      <selection activeCell="T32" sqref="T32"/>
    </sheetView>
  </sheetViews>
  <sheetFormatPr defaultRowHeight="12.75" x14ac:dyDescent="0.2"/>
  <cols>
    <col min="2" max="2" width="16.21875" customWidth="1"/>
    <col min="3" max="3" width="2" customWidth="1"/>
    <col min="4" max="4" width="13.77734375" bestFit="1" customWidth="1"/>
    <col min="5" max="5" width="1.77734375" customWidth="1"/>
    <col min="6" max="6" width="8.109375" customWidth="1"/>
    <col min="7" max="7" width="3.5546875" customWidth="1"/>
    <col min="8" max="8" width="12.88671875" customWidth="1"/>
    <col min="9" max="9" width="2.5546875" customWidth="1"/>
    <col min="10" max="10" width="8.5546875" customWidth="1"/>
    <col min="11" max="11" width="3.6640625" customWidth="1"/>
    <col min="12" max="12" width="14.33203125" bestFit="1" customWidth="1"/>
    <col min="13" max="13" width="3.109375" bestFit="1" customWidth="1"/>
    <col min="15" max="15" width="3.5546875" customWidth="1"/>
    <col min="16" max="16" width="12.5546875" bestFit="1" customWidth="1"/>
    <col min="17" max="17" width="2.33203125" customWidth="1"/>
    <col min="18" max="18" width="8.33203125" customWidth="1"/>
  </cols>
  <sheetData>
    <row r="4" spans="2:18" x14ac:dyDescent="0.2">
      <c r="R4" s="85"/>
    </row>
    <row r="6" spans="2:18" ht="15" x14ac:dyDescent="0.2">
      <c r="B6" s="691" t="s">
        <v>387</v>
      </c>
      <c r="C6" s="691"/>
      <c r="D6" s="691"/>
      <c r="E6" s="691"/>
      <c r="F6" s="691"/>
      <c r="G6" s="691"/>
      <c r="H6" s="691"/>
      <c r="I6" s="691"/>
      <c r="J6" s="691"/>
      <c r="K6" s="691"/>
      <c r="L6" s="691"/>
      <c r="M6" s="691"/>
      <c r="N6" s="691"/>
      <c r="O6" s="691"/>
      <c r="P6" s="691"/>
      <c r="Q6" s="691"/>
      <c r="R6" s="691"/>
    </row>
    <row r="7" spans="2:18" ht="15" x14ac:dyDescent="0.2">
      <c r="B7" s="691"/>
      <c r="C7" s="691"/>
      <c r="D7" s="691"/>
      <c r="E7" s="691"/>
      <c r="F7" s="691"/>
      <c r="G7" s="691"/>
      <c r="H7" s="691"/>
      <c r="I7" s="691"/>
      <c r="J7" s="691"/>
      <c r="K7" s="691"/>
      <c r="L7" s="691"/>
      <c r="M7" s="691"/>
      <c r="N7" s="691"/>
      <c r="O7" s="691"/>
      <c r="P7" s="691"/>
      <c r="Q7" s="691"/>
      <c r="R7" s="691"/>
    </row>
    <row r="8" spans="2:18" ht="6.6" customHeight="1" x14ac:dyDescent="0.2">
      <c r="B8" s="129"/>
      <c r="C8" s="129"/>
      <c r="D8" s="129"/>
      <c r="E8" s="129"/>
      <c r="F8" s="129"/>
      <c r="G8" s="129"/>
      <c r="H8" s="129"/>
      <c r="I8" s="129"/>
      <c r="J8" s="129"/>
      <c r="K8" s="129"/>
      <c r="L8" s="129"/>
      <c r="M8" s="130"/>
      <c r="N8" s="130"/>
      <c r="O8" s="130"/>
      <c r="P8" s="130"/>
      <c r="Q8" s="130"/>
      <c r="R8" s="130"/>
    </row>
    <row r="9" spans="2:18" ht="15" x14ac:dyDescent="0.2">
      <c r="B9" s="691" t="s">
        <v>259</v>
      </c>
      <c r="C9" s="691"/>
      <c r="D9" s="691"/>
      <c r="E9" s="691"/>
      <c r="F9" s="691"/>
      <c r="G9" s="691"/>
      <c r="H9" s="691"/>
      <c r="I9" s="691"/>
      <c r="J9" s="691"/>
      <c r="K9" s="691"/>
      <c r="L9" s="691"/>
      <c r="M9" s="691"/>
      <c r="N9" s="691"/>
      <c r="O9" s="691"/>
      <c r="P9" s="691"/>
      <c r="Q9" s="691"/>
      <c r="R9" s="691"/>
    </row>
    <row r="10" spans="2:18" ht="15" x14ac:dyDescent="0.2">
      <c r="B10" s="692" t="s">
        <v>537</v>
      </c>
      <c r="C10" s="692"/>
      <c r="D10" s="692"/>
      <c r="E10" s="692"/>
      <c r="F10" s="692"/>
      <c r="G10" s="692"/>
      <c r="H10" s="692"/>
      <c r="I10" s="692"/>
      <c r="J10" s="692"/>
      <c r="K10" s="692"/>
      <c r="L10" s="692"/>
      <c r="M10" s="692"/>
      <c r="N10" s="692"/>
      <c r="O10" s="692"/>
      <c r="P10" s="692"/>
      <c r="Q10" s="692"/>
      <c r="R10" s="692"/>
    </row>
    <row r="11" spans="2:18" ht="15.75" x14ac:dyDescent="0.25">
      <c r="B11" s="325"/>
      <c r="C11" s="325"/>
      <c r="D11" s="325"/>
      <c r="E11" s="325"/>
      <c r="F11" s="325"/>
      <c r="G11" s="325"/>
      <c r="H11" s="325"/>
      <c r="I11" s="325"/>
      <c r="J11" s="325"/>
      <c r="K11" s="325"/>
      <c r="L11" s="325"/>
      <c r="M11" s="326"/>
      <c r="N11" s="326"/>
      <c r="O11" s="326"/>
      <c r="P11" s="326"/>
      <c r="Q11" s="326"/>
      <c r="R11" s="326"/>
    </row>
    <row r="12" spans="2:18" ht="9.6" customHeight="1" x14ac:dyDescent="0.2">
      <c r="B12" s="129"/>
      <c r="C12" s="129"/>
      <c r="D12" s="129"/>
      <c r="E12" s="129"/>
      <c r="F12" s="129"/>
      <c r="G12" s="129"/>
      <c r="H12" s="129"/>
      <c r="I12" s="129"/>
      <c r="J12" s="129"/>
      <c r="K12" s="129"/>
      <c r="L12" s="129"/>
      <c r="M12" s="130"/>
      <c r="N12" s="130"/>
      <c r="O12" s="130"/>
      <c r="P12" s="130"/>
      <c r="Q12" s="130"/>
      <c r="R12" s="130"/>
    </row>
    <row r="13" spans="2:18" ht="15" x14ac:dyDescent="0.2">
      <c r="B13" s="131"/>
      <c r="C13" s="131"/>
      <c r="D13" s="690" t="s">
        <v>260</v>
      </c>
      <c r="E13" s="690"/>
      <c r="F13" s="690"/>
      <c r="G13" s="129"/>
      <c r="H13" s="129"/>
      <c r="I13" s="129"/>
      <c r="J13" s="129"/>
      <c r="K13" s="129"/>
      <c r="L13" s="129"/>
      <c r="M13" s="130"/>
      <c r="N13" s="130"/>
      <c r="O13" s="130"/>
      <c r="P13" s="690" t="s">
        <v>261</v>
      </c>
      <c r="Q13" s="690"/>
      <c r="R13" s="690"/>
    </row>
    <row r="14" spans="2:18" ht="15" x14ac:dyDescent="0.2">
      <c r="B14" s="128" t="s">
        <v>113</v>
      </c>
      <c r="C14" s="128"/>
      <c r="D14" s="151" t="s">
        <v>262</v>
      </c>
      <c r="G14" s="129"/>
      <c r="H14" s="690" t="s">
        <v>263</v>
      </c>
      <c r="I14" s="690"/>
      <c r="J14" s="690"/>
      <c r="K14" s="129"/>
      <c r="L14" s="690" t="s">
        <v>264</v>
      </c>
      <c r="M14" s="690"/>
      <c r="N14" s="690"/>
      <c r="O14" s="130"/>
      <c r="P14" s="130"/>
      <c r="Q14" s="130"/>
      <c r="R14" s="128" t="s">
        <v>149</v>
      </c>
    </row>
    <row r="15" spans="2:18" ht="15" x14ac:dyDescent="0.2">
      <c r="B15" s="132" t="s">
        <v>68</v>
      </c>
      <c r="C15" s="131"/>
      <c r="D15" s="132" t="s">
        <v>281</v>
      </c>
      <c r="E15" s="129"/>
      <c r="F15" s="132" t="s">
        <v>149</v>
      </c>
      <c r="G15" s="129"/>
      <c r="H15" s="132" t="s">
        <v>262</v>
      </c>
      <c r="I15" s="129"/>
      <c r="J15" s="132" t="s">
        <v>149</v>
      </c>
      <c r="K15" s="129"/>
      <c r="L15" s="132" t="s">
        <v>262</v>
      </c>
      <c r="M15" s="129"/>
      <c r="N15" s="132" t="s">
        <v>149</v>
      </c>
      <c r="O15" s="130"/>
      <c r="P15" s="132" t="s">
        <v>262</v>
      </c>
      <c r="Q15" s="129"/>
      <c r="R15" s="132" t="s">
        <v>265</v>
      </c>
    </row>
    <row r="16" spans="2:18" ht="15" x14ac:dyDescent="0.2">
      <c r="B16" s="133" t="s">
        <v>70</v>
      </c>
      <c r="C16" s="134"/>
      <c r="D16" s="133" t="s">
        <v>88</v>
      </c>
      <c r="E16" s="134"/>
      <c r="F16" s="133" t="s">
        <v>72</v>
      </c>
      <c r="G16" s="134"/>
      <c r="H16" s="133" t="s">
        <v>90</v>
      </c>
      <c r="I16" s="134"/>
      <c r="J16" s="133" t="s">
        <v>102</v>
      </c>
      <c r="K16" s="129"/>
      <c r="L16" s="133" t="s">
        <v>116</v>
      </c>
      <c r="M16" s="134"/>
      <c r="N16" s="133" t="s">
        <v>123</v>
      </c>
      <c r="O16" s="130"/>
      <c r="P16" s="133" t="s">
        <v>266</v>
      </c>
      <c r="Q16" s="134"/>
      <c r="R16" s="133" t="s">
        <v>267</v>
      </c>
    </row>
    <row r="17" spans="1:21" ht="15" x14ac:dyDescent="0.2">
      <c r="B17" s="129"/>
      <c r="C17" s="129"/>
      <c r="D17" s="129"/>
      <c r="E17" s="129"/>
      <c r="F17" s="653"/>
      <c r="G17" s="129"/>
      <c r="H17" s="129"/>
      <c r="I17" s="129"/>
      <c r="J17" s="653"/>
      <c r="K17" s="129"/>
      <c r="L17" s="155"/>
      <c r="M17" s="129"/>
      <c r="N17" s="129"/>
      <c r="O17" s="130"/>
      <c r="P17" s="129"/>
      <c r="Q17" s="129"/>
      <c r="R17" s="129"/>
    </row>
    <row r="18" spans="1:21" ht="15" x14ac:dyDescent="0.2">
      <c r="A18" s="149"/>
      <c r="B18" s="129" t="s">
        <v>73</v>
      </c>
      <c r="C18" s="129"/>
      <c r="D18" s="135">
        <f ca="1">+'COS 1'!L126</f>
        <v>2169243.245019305</v>
      </c>
      <c r="E18" s="129"/>
      <c r="F18" s="127">
        <f ca="1">ROUND(D18/D$32,3)-0.001</f>
        <v>0.66300000000000003</v>
      </c>
      <c r="G18" s="129"/>
      <c r="H18" s="135">
        <v>1578340.9000000774</v>
      </c>
      <c r="I18" s="247"/>
      <c r="J18" s="127">
        <f>ROUND(H18/H$32,3)</f>
        <v>0.65300000000000002</v>
      </c>
      <c r="K18" s="129"/>
      <c r="L18" s="135">
        <v>2082645.1194196795</v>
      </c>
      <c r="M18" s="314"/>
      <c r="N18" s="127">
        <f>ROUND(L18/L$32,3)</f>
        <v>0.63700000000000001</v>
      </c>
      <c r="O18" s="130"/>
      <c r="P18" s="135">
        <f>+L18-H18</f>
        <v>504304.21941960207</v>
      </c>
      <c r="Q18" s="129"/>
      <c r="R18" s="127">
        <f>+P18/H18</f>
        <v>0.31951539709803967</v>
      </c>
      <c r="S18" s="204"/>
      <c r="U18" s="329"/>
    </row>
    <row r="19" spans="1:21" ht="15" x14ac:dyDescent="0.2">
      <c r="A19" s="149"/>
      <c r="B19" s="129"/>
      <c r="C19" s="129"/>
      <c r="D19" s="129"/>
      <c r="E19" s="129"/>
      <c r="F19" s="653"/>
      <c r="G19" s="129"/>
      <c r="H19" s="135"/>
      <c r="I19" s="129"/>
      <c r="J19" s="653"/>
      <c r="K19" s="129"/>
      <c r="L19" s="135"/>
      <c r="M19" s="289"/>
      <c r="N19" s="129"/>
      <c r="O19" s="130"/>
      <c r="P19" s="129"/>
      <c r="Q19" s="129"/>
      <c r="R19" s="127"/>
      <c r="U19" s="328"/>
    </row>
    <row r="20" spans="1:21" ht="15" x14ac:dyDescent="0.2">
      <c r="A20" s="149"/>
      <c r="B20" s="129" t="s">
        <v>543</v>
      </c>
      <c r="C20" s="129"/>
      <c r="D20" s="134">
        <f ca="1">+'COS 1'!N126</f>
        <v>761816.0559553192</v>
      </c>
      <c r="E20" s="129"/>
      <c r="F20" s="127">
        <f t="shared" ref="F20" ca="1" si="0">ROUND(D20/D$32,3)</f>
        <v>0.23300000000000001</v>
      </c>
      <c r="G20" s="129"/>
      <c r="H20" s="148">
        <v>624375.55999999936</v>
      </c>
      <c r="I20" s="485"/>
      <c r="J20" s="127">
        <f t="shared" ref="J20" si="1">ROUND(H20/H$32,3)</f>
        <v>0.25800000000000001</v>
      </c>
      <c r="K20" s="129"/>
      <c r="L20" s="148">
        <v>890114.9186613278</v>
      </c>
      <c r="M20" s="247"/>
      <c r="N20" s="127">
        <f t="shared" ref="N20" si="2">ROUND(L20/L$32,3)</f>
        <v>0.27200000000000002</v>
      </c>
      <c r="O20" s="130"/>
      <c r="P20" s="134">
        <f>+L20-H20</f>
        <v>265739.35866132844</v>
      </c>
      <c r="Q20" s="129"/>
      <c r="R20" s="127">
        <f>+P20/H20</f>
        <v>0.42560820071389199</v>
      </c>
      <c r="S20" s="204"/>
      <c r="U20" s="329"/>
    </row>
    <row r="21" spans="1:21" ht="15" x14ac:dyDescent="0.2">
      <c r="A21" s="149"/>
      <c r="B21" s="129"/>
      <c r="C21" s="129"/>
      <c r="D21" s="134"/>
      <c r="E21" s="129"/>
      <c r="F21" s="653"/>
      <c r="G21" s="129"/>
      <c r="H21" s="148"/>
      <c r="I21" s="129"/>
      <c r="J21" s="653"/>
      <c r="K21" s="129"/>
      <c r="L21" s="148"/>
      <c r="M21" s="289"/>
      <c r="N21" s="129"/>
      <c r="O21" s="130"/>
      <c r="P21" s="134"/>
      <c r="Q21" s="129"/>
      <c r="R21" s="127"/>
      <c r="U21" s="328"/>
    </row>
    <row r="22" spans="1:21" ht="15" x14ac:dyDescent="0.2">
      <c r="A22" s="149"/>
      <c r="B22" s="129" t="s">
        <v>75</v>
      </c>
      <c r="C22" s="129"/>
      <c r="D22" s="134">
        <f ca="1">+'COS 1'!P126</f>
        <v>228257.83206792796</v>
      </c>
      <c r="E22" s="129"/>
      <c r="F22" s="127">
        <f t="shared" ref="F22" ca="1" si="3">ROUND(D22/D$32,3)</f>
        <v>7.0000000000000007E-2</v>
      </c>
      <c r="G22" s="129"/>
      <c r="H22" s="148">
        <v>169076.32</v>
      </c>
      <c r="I22" s="129"/>
      <c r="J22" s="127">
        <f t="shared" ref="J22" si="4">ROUND(H22/H$32,3)</f>
        <v>7.0000000000000007E-2</v>
      </c>
      <c r="K22" s="129"/>
      <c r="L22" s="148">
        <v>229173.37914750952</v>
      </c>
      <c r="M22" s="289"/>
      <c r="N22" s="127">
        <f t="shared" ref="N22" si="5">ROUND(L22/L$32,3)</f>
        <v>7.0000000000000007E-2</v>
      </c>
      <c r="O22" s="130"/>
      <c r="P22" s="134">
        <f>+L22-H22</f>
        <v>60097.059147509513</v>
      </c>
      <c r="Q22" s="129"/>
      <c r="R22" s="127">
        <f>+P22/H22</f>
        <v>0.35544338289069405</v>
      </c>
      <c r="S22" s="204"/>
      <c r="U22" s="329"/>
    </row>
    <row r="23" spans="1:21" ht="15" hidden="1" x14ac:dyDescent="0.2">
      <c r="A23" s="149"/>
      <c r="B23" s="129"/>
      <c r="C23" s="129"/>
      <c r="D23" s="134"/>
      <c r="E23" s="129"/>
      <c r="F23" s="653"/>
      <c r="G23" s="129"/>
      <c r="H23" s="148"/>
      <c r="I23" s="129"/>
      <c r="J23" s="653"/>
      <c r="K23" s="129"/>
      <c r="L23" s="148"/>
      <c r="M23" s="289"/>
      <c r="N23" s="129"/>
      <c r="O23" s="130"/>
      <c r="P23" s="134"/>
      <c r="Q23" s="129"/>
      <c r="R23" s="127"/>
      <c r="U23" s="328"/>
    </row>
    <row r="24" spans="1:21" ht="15" hidden="1" x14ac:dyDescent="0.2">
      <c r="A24" s="149"/>
      <c r="B24" s="129" t="s">
        <v>268</v>
      </c>
      <c r="C24" s="129"/>
      <c r="D24" s="134">
        <f ca="1">+'COS 1'!R126</f>
        <v>0</v>
      </c>
      <c r="E24" s="129"/>
      <c r="F24" s="127">
        <f t="shared" ref="F24" ca="1" si="6">ROUND(D24/D$32,3)</f>
        <v>0</v>
      </c>
      <c r="G24" s="129"/>
      <c r="H24" s="148"/>
      <c r="I24" s="129"/>
      <c r="J24" s="127">
        <f t="shared" ref="J24" si="7">ROUND(H24/H$32,3)</f>
        <v>0</v>
      </c>
      <c r="K24" s="129"/>
      <c r="L24" s="148">
        <v>0</v>
      </c>
      <c r="M24" s="289"/>
      <c r="N24" s="127">
        <f t="shared" ref="N24" si="8">ROUND(L24/L$32,3)</f>
        <v>0</v>
      </c>
      <c r="O24" s="130"/>
      <c r="P24" s="134">
        <f>+L24-H24</f>
        <v>0</v>
      </c>
      <c r="Q24" s="129"/>
      <c r="R24" s="127" t="e">
        <f>+P24/H24</f>
        <v>#DIV/0!</v>
      </c>
      <c r="S24" s="204"/>
      <c r="U24" s="329"/>
    </row>
    <row r="25" spans="1:21" ht="15" hidden="1" x14ac:dyDescent="0.2">
      <c r="A25" s="149"/>
      <c r="B25" s="129"/>
      <c r="C25" s="129"/>
      <c r="D25" s="134"/>
      <c r="E25" s="129"/>
      <c r="F25" s="653"/>
      <c r="G25" s="129"/>
      <c r="H25" s="148"/>
      <c r="I25" s="129"/>
      <c r="J25" s="653"/>
      <c r="K25" s="129"/>
      <c r="L25" s="148"/>
      <c r="M25" s="289"/>
      <c r="N25" s="129"/>
      <c r="O25" s="130"/>
      <c r="P25" s="134"/>
      <c r="Q25" s="129"/>
      <c r="R25" s="127"/>
      <c r="U25" s="328"/>
    </row>
    <row r="26" spans="1:21" ht="15" hidden="1" x14ac:dyDescent="0.2">
      <c r="A26" s="149"/>
      <c r="B26" s="129" t="s">
        <v>179</v>
      </c>
      <c r="C26" s="129"/>
      <c r="D26" s="134">
        <f ca="1">+'COS 1'!T126</f>
        <v>0</v>
      </c>
      <c r="E26" s="129"/>
      <c r="F26" s="127">
        <f t="shared" ref="F26" ca="1" si="9">ROUND(D26/D$32,3)</f>
        <v>0</v>
      </c>
      <c r="G26" s="129"/>
      <c r="H26" s="148"/>
      <c r="I26" s="129"/>
      <c r="J26" s="127">
        <f t="shared" ref="J26" si="10">ROUND(H26/H$32,3)</f>
        <v>0</v>
      </c>
      <c r="K26" s="129"/>
      <c r="L26" s="148">
        <v>0</v>
      </c>
      <c r="M26" s="289"/>
      <c r="N26" s="127">
        <f t="shared" ref="N26" si="11">ROUND(L26/L$32,3)</f>
        <v>0</v>
      </c>
      <c r="O26" s="130"/>
      <c r="P26" s="134">
        <f>+L26-H26</f>
        <v>0</v>
      </c>
      <c r="Q26" s="129"/>
      <c r="R26" s="127" t="e">
        <f>+P26/H26</f>
        <v>#DIV/0!</v>
      </c>
      <c r="S26" s="204"/>
      <c r="U26" s="329"/>
    </row>
    <row r="27" spans="1:21" ht="15" x14ac:dyDescent="0.2">
      <c r="A27" s="149"/>
      <c r="B27" s="129"/>
      <c r="C27" s="129"/>
      <c r="D27" s="134"/>
      <c r="E27" s="129"/>
      <c r="F27" s="653"/>
      <c r="G27" s="129"/>
      <c r="H27" s="148"/>
      <c r="I27" s="129"/>
      <c r="J27" s="653"/>
      <c r="K27" s="129"/>
      <c r="L27" s="148"/>
      <c r="M27" s="289"/>
      <c r="N27" s="129"/>
      <c r="O27" s="130"/>
      <c r="P27" s="134"/>
      <c r="Q27" s="129"/>
      <c r="R27" s="127"/>
      <c r="U27" s="328"/>
    </row>
    <row r="28" spans="1:21" ht="15" x14ac:dyDescent="0.2">
      <c r="A28" s="149"/>
      <c r="B28" s="129" t="s">
        <v>269</v>
      </c>
      <c r="C28" s="129"/>
      <c r="D28" s="134">
        <f ca="1">+'COS 1'!V126</f>
        <v>78027.353669221702</v>
      </c>
      <c r="E28" s="129"/>
      <c r="F28" s="127">
        <f t="shared" ref="F28" ca="1" si="12">ROUND(D28/D$32,3)</f>
        <v>2.4E-2</v>
      </c>
      <c r="G28" s="129"/>
      <c r="H28" s="148">
        <v>23468.130000000016</v>
      </c>
      <c r="I28" s="129"/>
      <c r="J28" s="127">
        <f t="shared" ref="J28" si="13">ROUND(H28/H$32,3)</f>
        <v>0.01</v>
      </c>
      <c r="K28" s="129"/>
      <c r="L28" s="148">
        <v>35241.243333333376</v>
      </c>
      <c r="M28" s="289"/>
      <c r="N28" s="127">
        <f t="shared" ref="N28" si="14">ROUND(L28/L$32,3)</f>
        <v>1.0999999999999999E-2</v>
      </c>
      <c r="O28" s="130"/>
      <c r="P28" s="134">
        <f>+L28-H28</f>
        <v>11773.11333333336</v>
      </c>
      <c r="Q28" s="129"/>
      <c r="R28" s="127">
        <f>+P28/H28</f>
        <v>0.50166388772063863</v>
      </c>
      <c r="S28" s="204"/>
      <c r="U28" s="329"/>
    </row>
    <row r="29" spans="1:21" ht="15" x14ac:dyDescent="0.2">
      <c r="B29" s="129"/>
      <c r="C29" s="129"/>
      <c r="D29" s="134"/>
      <c r="E29" s="129"/>
      <c r="F29" s="653"/>
      <c r="G29" s="129"/>
      <c r="H29" s="148"/>
      <c r="I29" s="129"/>
      <c r="J29" s="653"/>
      <c r="K29" s="129"/>
      <c r="L29" s="148"/>
      <c r="M29" s="289"/>
      <c r="N29" s="129"/>
      <c r="O29" s="130"/>
      <c r="P29" s="134"/>
      <c r="Q29" s="129"/>
      <c r="R29" s="127"/>
      <c r="S29" s="371"/>
      <c r="U29" s="328"/>
    </row>
    <row r="30" spans="1:21" ht="15" x14ac:dyDescent="0.2">
      <c r="A30" s="205"/>
      <c r="B30" s="129" t="s">
        <v>270</v>
      </c>
      <c r="C30" s="129"/>
      <c r="D30" s="136">
        <f ca="1">+'COS 1'!X126</f>
        <v>31978.799999999988</v>
      </c>
      <c r="E30" s="129"/>
      <c r="F30" s="127">
        <f t="shared" ref="F30" ca="1" si="15">ROUND(D30/D$32,3)</f>
        <v>0.01</v>
      </c>
      <c r="G30" s="129"/>
      <c r="H30" s="332">
        <v>21319.200000000001</v>
      </c>
      <c r="I30" s="129"/>
      <c r="J30" s="127">
        <f t="shared" ref="J30" si="16">ROUND(H30/H$32,3)</f>
        <v>8.9999999999999993E-3</v>
      </c>
      <c r="K30" s="129"/>
      <c r="L30" s="332">
        <v>31978.799999999999</v>
      </c>
      <c r="M30" s="289"/>
      <c r="N30" s="127">
        <f t="shared" ref="N30" si="17">ROUND(L30/L$32,3)</f>
        <v>0.01</v>
      </c>
      <c r="O30" s="130"/>
      <c r="P30" s="136">
        <f>+L30-H30</f>
        <v>10659.599999999999</v>
      </c>
      <c r="Q30" s="129"/>
      <c r="R30" s="127">
        <f>+P30/H30</f>
        <v>0.49999999999999989</v>
      </c>
      <c r="S30" s="204"/>
      <c r="U30" s="329"/>
    </row>
    <row r="31" spans="1:21" ht="15" x14ac:dyDescent="0.2">
      <c r="B31" s="129"/>
      <c r="C31" s="129"/>
      <c r="D31" s="134"/>
      <c r="E31" s="129"/>
      <c r="F31" s="656"/>
      <c r="G31" s="129"/>
      <c r="H31" s="134"/>
      <c r="I31" s="129"/>
      <c r="J31" s="657"/>
      <c r="K31" s="129"/>
      <c r="L31" s="134"/>
      <c r="M31" s="129"/>
      <c r="N31" s="657"/>
      <c r="O31" s="130"/>
      <c r="P31" s="134"/>
      <c r="Q31" s="129"/>
      <c r="R31" s="127"/>
      <c r="S31" s="371"/>
      <c r="T31" s="205"/>
      <c r="U31" s="328"/>
    </row>
    <row r="32" spans="1:21" ht="15.75" thickBot="1" x14ac:dyDescent="0.25">
      <c r="B32" s="129" t="s">
        <v>271</v>
      </c>
      <c r="C32" s="129"/>
      <c r="D32" s="134">
        <f ca="1">SUM(D18:D30)</f>
        <v>3269323.2867117734</v>
      </c>
      <c r="E32" s="129"/>
      <c r="F32" s="658">
        <f ca="1">SUM(F18:F30)</f>
        <v>1</v>
      </c>
      <c r="G32" s="129"/>
      <c r="H32" s="134">
        <f>SUM(H18:H30)</f>
        <v>2416580.1100000767</v>
      </c>
      <c r="I32" s="129"/>
      <c r="J32" s="658">
        <f>SUM(J18:J30)</f>
        <v>1</v>
      </c>
      <c r="K32" s="129"/>
      <c r="L32" s="134">
        <f>SUM(L18:L30)</f>
        <v>3269153.4605618496</v>
      </c>
      <c r="M32" s="129"/>
      <c r="N32" s="658">
        <f>SUM(N18:N30)</f>
        <v>1</v>
      </c>
      <c r="O32" s="130"/>
      <c r="P32" s="134">
        <f>SUM(P18:P30)</f>
        <v>852573.3505617734</v>
      </c>
      <c r="Q32" s="129"/>
      <c r="R32" s="127">
        <f>+P32/H32</f>
        <v>0.35280160878330924</v>
      </c>
      <c r="S32" s="204"/>
      <c r="U32" s="329"/>
    </row>
    <row r="33" spans="2:19" ht="15.75" thickTop="1" x14ac:dyDescent="0.2">
      <c r="B33" s="129"/>
      <c r="C33" s="129"/>
      <c r="D33" s="134"/>
      <c r="E33" s="129"/>
      <c r="F33" s="653"/>
      <c r="G33" s="129"/>
      <c r="H33" s="134"/>
      <c r="I33" s="129"/>
      <c r="J33" s="129"/>
      <c r="K33" s="129"/>
      <c r="L33" s="134"/>
      <c r="M33" s="129"/>
      <c r="N33" s="129"/>
      <c r="O33" s="130"/>
      <c r="P33" s="134"/>
      <c r="Q33" s="129"/>
      <c r="R33" s="127"/>
      <c r="S33" s="371"/>
    </row>
    <row r="34" spans="2:19" ht="15" x14ac:dyDescent="0.2">
      <c r="B34" s="137" t="s">
        <v>272</v>
      </c>
      <c r="C34" s="137"/>
      <c r="D34" s="136">
        <f>+-'COS 1'!J123</f>
        <v>62802.98</v>
      </c>
      <c r="E34" s="137"/>
      <c r="F34" s="137"/>
      <c r="G34" s="137"/>
      <c r="H34" s="332">
        <f>+D34</f>
        <v>62802.98</v>
      </c>
      <c r="I34" s="482"/>
      <c r="J34" s="137"/>
      <c r="K34" s="137"/>
      <c r="L34" s="332">
        <f>+H34</f>
        <v>62802.98</v>
      </c>
      <c r="M34" s="482"/>
      <c r="N34" s="137"/>
      <c r="O34" s="138"/>
      <c r="P34" s="136">
        <f>+L34-H34</f>
        <v>0</v>
      </c>
      <c r="Q34" s="137"/>
      <c r="R34" s="127">
        <f>+P34/H34</f>
        <v>0</v>
      </c>
      <c r="S34" s="204"/>
    </row>
    <row r="35" spans="2:19" ht="15" x14ac:dyDescent="0.2">
      <c r="B35" s="129"/>
      <c r="C35" s="129"/>
      <c r="D35" s="129"/>
      <c r="E35" s="129"/>
      <c r="F35" s="129"/>
      <c r="G35" s="129"/>
      <c r="H35" s="129"/>
      <c r="I35" s="129"/>
      <c r="J35" s="129"/>
      <c r="K35" s="129"/>
      <c r="L35" s="129"/>
      <c r="M35" s="129"/>
      <c r="N35" s="129"/>
      <c r="O35" s="130"/>
      <c r="P35" s="129"/>
      <c r="Q35" s="129"/>
      <c r="R35" s="127"/>
      <c r="S35" s="371"/>
    </row>
    <row r="36" spans="2:19" ht="15.75" thickBot="1" x14ac:dyDescent="0.25">
      <c r="B36" s="129" t="s">
        <v>273</v>
      </c>
      <c r="C36" s="129"/>
      <c r="D36" s="139">
        <f ca="1">+D34+D32</f>
        <v>3332126.2667117734</v>
      </c>
      <c r="E36" s="129"/>
      <c r="F36" s="129"/>
      <c r="G36" s="129"/>
      <c r="H36" s="139">
        <f>+H34+H32</f>
        <v>2479383.0900000767</v>
      </c>
      <c r="I36" s="129"/>
      <c r="J36" s="129"/>
      <c r="K36" s="129"/>
      <c r="L36" s="139">
        <f>+L34+L32</f>
        <v>3331956.4405618496</v>
      </c>
      <c r="M36" s="129"/>
      <c r="N36" s="129"/>
      <c r="O36" s="130"/>
      <c r="P36" s="139">
        <f>+L36-H36</f>
        <v>852573.35056177294</v>
      </c>
      <c r="Q36" s="129"/>
      <c r="R36" s="127">
        <f>+P36/H36</f>
        <v>0.34386511467324177</v>
      </c>
      <c r="S36" s="204"/>
    </row>
    <row r="37" spans="2:19" ht="13.5" thickTop="1" x14ac:dyDescent="0.2">
      <c r="B37" s="82"/>
    </row>
    <row r="38" spans="2:19" ht="15" x14ac:dyDescent="0.2">
      <c r="B38" s="626"/>
    </row>
    <row r="39" spans="2:19" ht="15" x14ac:dyDescent="0.2">
      <c r="B39" s="16"/>
      <c r="C39" s="16"/>
      <c r="D39" s="145"/>
      <c r="H39" s="249"/>
      <c r="L39" s="103"/>
    </row>
    <row r="40" spans="2:19" ht="15" x14ac:dyDescent="0.2">
      <c r="B40" s="16"/>
      <c r="C40" s="16"/>
      <c r="D40" s="146"/>
      <c r="H40" s="103"/>
      <c r="L40" s="206"/>
    </row>
    <row r="41" spans="2:19" x14ac:dyDescent="0.2">
      <c r="D41" s="103"/>
      <c r="H41" s="103"/>
      <c r="P41" s="103"/>
    </row>
    <row r="42" spans="2:19" x14ac:dyDescent="0.2">
      <c r="H42" s="206"/>
      <c r="L42" s="637"/>
    </row>
    <row r="43" spans="2:19" x14ac:dyDescent="0.2">
      <c r="L43" s="103"/>
    </row>
    <row r="45" spans="2:19" x14ac:dyDescent="0.2">
      <c r="H45" s="371"/>
    </row>
    <row r="46" spans="2:19" x14ac:dyDescent="0.2">
      <c r="H46" s="371"/>
      <c r="L46" s="323"/>
    </row>
    <row r="47" spans="2:19" x14ac:dyDescent="0.2">
      <c r="L47" s="322"/>
    </row>
    <row r="48" spans="2:19" x14ac:dyDescent="0.2">
      <c r="H48" s="80"/>
      <c r="L48" s="80"/>
    </row>
    <row r="49" spans="4:12" x14ac:dyDescent="0.2">
      <c r="H49" s="80"/>
      <c r="L49" s="80"/>
    </row>
    <row r="50" spans="4:12" x14ac:dyDescent="0.2">
      <c r="H50" s="80"/>
      <c r="L50" s="80"/>
    </row>
    <row r="51" spans="4:12" x14ac:dyDescent="0.2">
      <c r="H51" s="80"/>
      <c r="L51" s="261"/>
    </row>
    <row r="52" spans="4:12" x14ac:dyDescent="0.2">
      <c r="D52" s="205"/>
      <c r="H52" s="80"/>
      <c r="L52" s="80"/>
    </row>
    <row r="53" spans="4:12" x14ac:dyDescent="0.2">
      <c r="H53" s="80"/>
      <c r="L53" s="80"/>
    </row>
    <row r="54" spans="4:12" x14ac:dyDescent="0.2">
      <c r="H54" s="80"/>
      <c r="L54" s="80"/>
    </row>
    <row r="55" spans="4:12" x14ac:dyDescent="0.2">
      <c r="H55" s="80"/>
      <c r="L55" s="80"/>
    </row>
    <row r="68" spans="10:10" x14ac:dyDescent="0.2">
      <c r="J68">
        <f>170/2</f>
        <v>85</v>
      </c>
    </row>
  </sheetData>
  <mergeCells count="8">
    <mergeCell ref="H14:J14"/>
    <mergeCell ref="L14:N14"/>
    <mergeCell ref="B6:R6"/>
    <mergeCell ref="B9:R9"/>
    <mergeCell ref="B10:R10"/>
    <mergeCell ref="D13:F13"/>
    <mergeCell ref="P13:R13"/>
    <mergeCell ref="B7:R7"/>
  </mergeCells>
  <phoneticPr fontId="14" type="noConversion"/>
  <pageMargins left="0.75" right="0.75" top="1" bottom="1" header="0.5" footer="0.5"/>
  <pageSetup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02"/>
  <sheetViews>
    <sheetView workbookViewId="0"/>
  </sheetViews>
  <sheetFormatPr defaultRowHeight="12.75" x14ac:dyDescent="0.2"/>
  <cols>
    <col min="1" max="1" width="9.5546875" style="57" customWidth="1"/>
    <col min="2" max="2" width="10.77734375" style="663" customWidth="1"/>
    <col min="3" max="3" width="11" style="664" customWidth="1"/>
    <col min="4" max="4" width="5.6640625" style="300" bestFit="1" customWidth="1"/>
    <col min="5" max="5" width="1" style="105" customWidth="1"/>
    <col min="6" max="6" width="41.77734375" style="61" customWidth="1"/>
    <col min="7" max="7" width="1.44140625" style="61" customWidth="1"/>
    <col min="8" max="8" width="7.109375" style="72" customWidth="1"/>
    <col min="9" max="9" width="1.44140625" style="57" customWidth="1"/>
    <col min="10" max="10" width="9.109375" style="75" customWidth="1"/>
    <col min="11" max="11" width="3.44140625" style="57" bestFit="1" customWidth="1"/>
    <col min="12" max="12" width="11.21875" style="75" customWidth="1"/>
    <col min="13" max="13" width="1.109375" style="75" customWidth="1"/>
    <col min="14" max="14" width="10.44140625" style="75" bestFit="1" customWidth="1"/>
    <col min="15" max="15" width="1.44140625" style="75" customWidth="1"/>
    <col min="16" max="16" width="9.44140625" style="75" customWidth="1"/>
    <col min="17" max="17" width="1.5546875" style="75" hidden="1" customWidth="1"/>
    <col min="18" max="18" width="9.44140625" style="75" hidden="1" customWidth="1"/>
    <col min="19" max="19" width="1.44140625" style="75" hidden="1" customWidth="1"/>
    <col min="20" max="20" width="8.88671875" style="75" hidden="1" customWidth="1"/>
    <col min="21" max="21" width="1.21875" style="75" customWidth="1"/>
    <col min="22" max="22" width="12.21875" style="75" customWidth="1"/>
    <col min="23" max="23" width="1.33203125" style="75" customWidth="1"/>
    <col min="24" max="24" width="11.33203125" style="75" customWidth="1"/>
    <col min="25" max="25" width="2.44140625" customWidth="1"/>
    <col min="26" max="26" width="9.33203125" customWidth="1"/>
    <col min="27" max="27" width="12.33203125" customWidth="1"/>
    <col min="28" max="28" width="1.77734375" customWidth="1"/>
    <col min="29" max="29" width="40.6640625" style="57" bestFit="1" customWidth="1"/>
    <col min="30" max="30" width="1.33203125" customWidth="1"/>
    <col min="31" max="31" width="4" customWidth="1"/>
    <col min="32" max="32" width="1.6640625" customWidth="1"/>
    <col min="33" max="33" width="10.77734375" bestFit="1" customWidth="1"/>
    <col min="34" max="34" width="2.5546875" customWidth="1"/>
    <col min="35" max="35" width="10.77734375" bestFit="1" customWidth="1"/>
    <col min="36" max="36" width="0.88671875" customWidth="1"/>
    <col min="37" max="37" width="10.77734375" bestFit="1" customWidth="1"/>
    <col min="38" max="38" width="1.21875" customWidth="1"/>
    <col min="39" max="39" width="9.6640625" customWidth="1"/>
    <col min="40" max="40" width="1.21875" customWidth="1"/>
    <col min="41" max="41" width="10.109375" customWidth="1"/>
    <col min="42" max="42" width="0.88671875" customWidth="1"/>
    <col min="43" max="43" width="11.109375" customWidth="1"/>
    <col min="44" max="44" width="0.88671875" customWidth="1"/>
    <col min="45" max="45" width="10.77734375" customWidth="1"/>
    <col min="46" max="46" width="1.33203125" hidden="1" customWidth="1"/>
    <col min="47" max="47" width="10.77734375" hidden="1" customWidth="1"/>
    <col min="48" max="48" width="0.77734375" customWidth="1"/>
    <col min="49" max="49" width="9.77734375" customWidth="1"/>
    <col min="50" max="50" width="0.77734375" customWidth="1"/>
    <col min="51" max="51" width="9.77734375" customWidth="1"/>
    <col min="52" max="52" width="3.21875" customWidth="1"/>
    <col min="53" max="53" width="10.21875" customWidth="1"/>
  </cols>
  <sheetData>
    <row r="1" spans="1:56" s="62" customFormat="1" ht="15" x14ac:dyDescent="0.2">
      <c r="B1" s="659"/>
      <c r="C1" s="660"/>
      <c r="D1" s="296"/>
      <c r="E1" s="145"/>
      <c r="F1" s="697" t="s">
        <v>386</v>
      </c>
      <c r="G1" s="697"/>
      <c r="H1" s="697"/>
      <c r="I1" s="697"/>
      <c r="J1" s="697"/>
      <c r="K1" s="697"/>
      <c r="L1" s="697"/>
      <c r="M1" s="697"/>
      <c r="N1" s="697"/>
      <c r="O1" s="697"/>
      <c r="P1" s="697"/>
      <c r="Q1" s="697"/>
      <c r="R1" s="697"/>
      <c r="S1" s="697"/>
      <c r="T1" s="697"/>
      <c r="U1" s="697"/>
      <c r="V1" s="697"/>
      <c r="W1" s="697"/>
      <c r="X1" s="697"/>
      <c r="AC1" s="262" t="s">
        <v>386</v>
      </c>
      <c r="AD1" s="262"/>
      <c r="AE1" s="262"/>
      <c r="AF1" s="262"/>
      <c r="AG1" s="262"/>
      <c r="AH1" s="262"/>
      <c r="AI1" s="262"/>
      <c r="AJ1" s="262"/>
      <c r="AK1" s="262"/>
      <c r="AL1" s="262"/>
      <c r="AM1" s="262"/>
      <c r="AN1" s="262"/>
      <c r="AO1" s="262"/>
      <c r="AP1" s="262"/>
      <c r="AQ1" s="262"/>
      <c r="AR1" s="262"/>
      <c r="AS1" s="262"/>
      <c r="AT1" s="262"/>
      <c r="AU1" s="262"/>
      <c r="AV1" s="262"/>
      <c r="AW1" s="262"/>
      <c r="AX1" s="262"/>
      <c r="AY1" s="262"/>
    </row>
    <row r="2" spans="1:56" s="62" customFormat="1" ht="13.5" customHeight="1" x14ac:dyDescent="0.2">
      <c r="B2" s="659"/>
      <c r="C2" s="660"/>
      <c r="D2" s="296"/>
      <c r="E2" s="145"/>
      <c r="F2" s="695"/>
      <c r="G2" s="695"/>
      <c r="H2" s="695"/>
      <c r="I2" s="695"/>
      <c r="J2" s="695"/>
      <c r="K2" s="695"/>
      <c r="L2" s="695"/>
      <c r="M2" s="695"/>
      <c r="N2" s="695"/>
      <c r="O2" s="695"/>
      <c r="P2" s="695"/>
      <c r="Q2" s="695"/>
      <c r="R2" s="695"/>
      <c r="S2" s="695"/>
      <c r="T2" s="695"/>
      <c r="U2" s="695"/>
      <c r="V2" s="695"/>
      <c r="W2" s="695"/>
      <c r="X2" s="695"/>
      <c r="AC2" s="695"/>
      <c r="AD2" s="695"/>
      <c r="AE2" s="695"/>
      <c r="AF2" s="695"/>
      <c r="AG2" s="695"/>
      <c r="AH2" s="695"/>
      <c r="AI2" s="695"/>
      <c r="AJ2" s="695"/>
      <c r="AK2" s="695"/>
      <c r="AL2" s="695"/>
      <c r="AM2" s="695"/>
      <c r="AN2" s="695"/>
      <c r="AO2" s="695"/>
      <c r="AP2" s="695"/>
      <c r="AQ2" s="695"/>
      <c r="AR2" s="695"/>
      <c r="AS2" s="695"/>
      <c r="AT2" s="695"/>
      <c r="AU2" s="695"/>
      <c r="AV2" s="262"/>
      <c r="AW2" s="262"/>
      <c r="AX2" s="262"/>
      <c r="AY2" s="262"/>
    </row>
    <row r="3" spans="1:56" s="62" customFormat="1" ht="16.149999999999999" customHeight="1" x14ac:dyDescent="0.2">
      <c r="B3" s="659"/>
      <c r="C3" s="660"/>
      <c r="D3" s="296"/>
      <c r="E3" s="145"/>
      <c r="F3" s="698" t="s">
        <v>388</v>
      </c>
      <c r="G3" s="698"/>
      <c r="H3" s="698"/>
      <c r="I3" s="698"/>
      <c r="J3" s="698"/>
      <c r="K3" s="698"/>
      <c r="L3" s="698"/>
      <c r="M3" s="698"/>
      <c r="N3" s="698"/>
      <c r="O3" s="698"/>
      <c r="P3" s="698"/>
      <c r="Q3" s="698"/>
      <c r="R3" s="698"/>
      <c r="S3" s="698"/>
      <c r="T3" s="698"/>
      <c r="U3" s="698"/>
      <c r="V3" s="698"/>
      <c r="W3" s="698"/>
      <c r="X3" s="698"/>
      <c r="AC3" s="505" t="s">
        <v>380</v>
      </c>
      <c r="AD3" s="262"/>
      <c r="AE3" s="262"/>
      <c r="AF3" s="262"/>
      <c r="AG3" s="262"/>
      <c r="AH3" s="262"/>
      <c r="AI3" s="262"/>
      <c r="AJ3" s="262"/>
      <c r="AK3" s="262"/>
      <c r="AL3" s="262"/>
      <c r="AM3" s="262"/>
      <c r="AN3" s="262"/>
      <c r="AO3" s="262"/>
      <c r="AP3" s="262"/>
      <c r="AQ3" s="262"/>
      <c r="AR3" s="262"/>
      <c r="AS3" s="262"/>
      <c r="AT3" s="262"/>
      <c r="AU3" s="262"/>
      <c r="AV3" s="262"/>
      <c r="AW3" s="262"/>
      <c r="AX3" s="262"/>
      <c r="AY3" s="262"/>
    </row>
    <row r="4" spans="1:56" s="62" customFormat="1" ht="11.85" customHeight="1" x14ac:dyDescent="0.2">
      <c r="B4" s="659"/>
      <c r="C4" s="660"/>
      <c r="D4" s="296"/>
      <c r="E4" s="145"/>
      <c r="F4" s="93"/>
      <c r="G4" s="93"/>
      <c r="H4" s="93"/>
      <c r="I4" s="93"/>
      <c r="J4" s="93"/>
      <c r="K4" s="93"/>
      <c r="L4" s="93"/>
      <c r="M4" s="93"/>
      <c r="N4" s="93"/>
      <c r="O4" s="93"/>
      <c r="P4" s="93"/>
      <c r="Q4" s="93"/>
      <c r="R4" s="93"/>
      <c r="S4" s="93"/>
      <c r="T4" s="93"/>
      <c r="U4" s="93"/>
      <c r="V4" s="93"/>
      <c r="W4" s="93"/>
      <c r="X4" s="93"/>
    </row>
    <row r="5" spans="1:56" s="58" customFormat="1" ht="7.9" customHeight="1" x14ac:dyDescent="0.2">
      <c r="B5" s="661"/>
      <c r="C5" s="291"/>
      <c r="D5" s="297"/>
      <c r="E5" s="290"/>
      <c r="F5" s="63"/>
      <c r="G5" s="63"/>
      <c r="H5" s="71"/>
      <c r="I5" s="63"/>
      <c r="J5" s="76"/>
      <c r="K5" s="63"/>
      <c r="L5" s="76"/>
      <c r="M5" s="77"/>
      <c r="N5"/>
      <c r="O5"/>
      <c r="P5"/>
      <c r="Q5"/>
      <c r="R5"/>
      <c r="S5"/>
      <c r="T5"/>
      <c r="U5"/>
      <c r="V5"/>
      <c r="W5"/>
      <c r="X5"/>
    </row>
    <row r="6" spans="1:56" s="58" customFormat="1" ht="15" customHeight="1" x14ac:dyDescent="0.2">
      <c r="B6" s="661"/>
      <c r="C6" s="291"/>
      <c r="D6" s="297"/>
      <c r="E6" s="290"/>
      <c r="F6" s="63"/>
      <c r="G6" s="63"/>
      <c r="H6" s="71" t="s">
        <v>69</v>
      </c>
      <c r="I6" s="63"/>
      <c r="J6" s="76" t="s">
        <v>35</v>
      </c>
      <c r="K6" s="63"/>
      <c r="L6" s="76"/>
      <c r="M6" s="77"/>
      <c r="N6" s="65" t="s">
        <v>544</v>
      </c>
      <c r="O6"/>
      <c r="P6"/>
      <c r="Q6"/>
      <c r="R6" s="65" t="s">
        <v>212</v>
      </c>
      <c r="S6" s="65"/>
      <c r="T6" s="65" t="s">
        <v>180</v>
      </c>
      <c r="U6" s="65"/>
      <c r="V6" s="696" t="s">
        <v>112</v>
      </c>
      <c r="W6" s="696"/>
      <c r="X6" s="696"/>
      <c r="AC6" s="63"/>
      <c r="AD6" s="63"/>
      <c r="AE6" s="71" t="s">
        <v>69</v>
      </c>
      <c r="AF6" s="63"/>
      <c r="AG6" s="76" t="s">
        <v>35</v>
      </c>
      <c r="AS6" s="58" t="s">
        <v>277</v>
      </c>
      <c r="AU6" s="58" t="s">
        <v>316</v>
      </c>
      <c r="AW6" s="58" t="s">
        <v>38</v>
      </c>
      <c r="AY6" s="58" t="s">
        <v>314</v>
      </c>
    </row>
    <row r="7" spans="1:56" s="65" customFormat="1" ht="11.85" customHeight="1" x14ac:dyDescent="0.2">
      <c r="A7" s="58"/>
      <c r="B7" s="661"/>
      <c r="C7" s="291"/>
      <c r="D7" s="298" t="s">
        <v>36</v>
      </c>
      <c r="E7" s="294"/>
      <c r="F7" s="295"/>
      <c r="G7" s="64"/>
      <c r="H7" s="74" t="s">
        <v>34</v>
      </c>
      <c r="I7" s="63"/>
      <c r="J7" s="79" t="s">
        <v>184</v>
      </c>
      <c r="K7" s="63"/>
      <c r="L7" s="79" t="s">
        <v>73</v>
      </c>
      <c r="M7" s="77"/>
      <c r="N7" s="78" t="s">
        <v>212</v>
      </c>
      <c r="O7" s="77"/>
      <c r="P7" s="78" t="s">
        <v>75</v>
      </c>
      <c r="Q7" s="77"/>
      <c r="R7" s="78" t="s">
        <v>41</v>
      </c>
      <c r="S7" s="77"/>
      <c r="T7" s="78" t="s">
        <v>181</v>
      </c>
      <c r="U7" s="77"/>
      <c r="V7" s="78" t="s">
        <v>37</v>
      </c>
      <c r="W7" s="77"/>
      <c r="X7" s="78" t="s">
        <v>212</v>
      </c>
      <c r="AC7" s="66" t="s">
        <v>36</v>
      </c>
      <c r="AD7" s="64"/>
      <c r="AE7" s="74" t="s">
        <v>34</v>
      </c>
      <c r="AF7" s="63"/>
      <c r="AG7" s="79" t="s">
        <v>184</v>
      </c>
      <c r="AI7" s="263" t="s">
        <v>274</v>
      </c>
      <c r="AJ7" s="58"/>
      <c r="AK7" s="263" t="s">
        <v>275</v>
      </c>
      <c r="AL7" s="58"/>
      <c r="AM7" s="263" t="s">
        <v>276</v>
      </c>
      <c r="AN7" s="58"/>
      <c r="AO7" s="263" t="s">
        <v>230</v>
      </c>
      <c r="AP7" s="58"/>
      <c r="AQ7" s="263" t="s">
        <v>188</v>
      </c>
      <c r="AR7" s="58"/>
      <c r="AS7" s="263" t="s">
        <v>278</v>
      </c>
      <c r="AT7" s="58"/>
      <c r="AU7" s="263" t="s">
        <v>317</v>
      </c>
      <c r="AV7" s="58"/>
      <c r="AW7" s="263" t="s">
        <v>184</v>
      </c>
      <c r="AX7" s="58"/>
      <c r="AY7" s="263" t="s">
        <v>184</v>
      </c>
      <c r="AZ7" s="58"/>
      <c r="BA7" s="58"/>
    </row>
    <row r="8" spans="1:56" s="73" customFormat="1" ht="14.25" customHeight="1" x14ac:dyDescent="0.2">
      <c r="A8" s="72"/>
      <c r="B8" s="662"/>
      <c r="C8" s="291"/>
      <c r="D8" s="693" t="s">
        <v>70</v>
      </c>
      <c r="E8" s="694"/>
      <c r="F8" s="694"/>
      <c r="G8" s="70"/>
      <c r="H8" s="69">
        <v>-2</v>
      </c>
      <c r="I8" s="71"/>
      <c r="J8" s="76">
        <v>-3</v>
      </c>
      <c r="K8" s="71"/>
      <c r="L8" s="76">
        <v>-4</v>
      </c>
      <c r="M8" s="77"/>
      <c r="N8" s="77">
        <v>-5</v>
      </c>
      <c r="O8" s="77"/>
      <c r="P8" s="77">
        <v>-6</v>
      </c>
      <c r="Q8" s="77"/>
      <c r="R8" s="77">
        <v>-7</v>
      </c>
      <c r="S8" s="77"/>
      <c r="T8" s="77">
        <v>-8</v>
      </c>
      <c r="U8" s="77"/>
      <c r="V8" s="77">
        <v>-7</v>
      </c>
      <c r="W8" s="77"/>
      <c r="X8" s="77">
        <v>-8</v>
      </c>
      <c r="AC8" s="69">
        <v>-1</v>
      </c>
      <c r="AD8" s="70"/>
      <c r="AE8" s="69">
        <v>-2</v>
      </c>
      <c r="AF8" s="71"/>
      <c r="AG8" s="76">
        <v>-3</v>
      </c>
      <c r="AH8" s="70"/>
      <c r="AI8" s="69">
        <v>-4</v>
      </c>
      <c r="AJ8" s="71"/>
      <c r="AK8" s="76">
        <v>-5</v>
      </c>
      <c r="AL8" s="70"/>
      <c r="AM8" s="69">
        <v>-6</v>
      </c>
      <c r="AN8" s="71"/>
      <c r="AO8" s="76">
        <v>-7</v>
      </c>
      <c r="AP8" s="70"/>
      <c r="AQ8" s="69">
        <v>-8</v>
      </c>
      <c r="AR8" s="71"/>
      <c r="AS8" s="76">
        <v>-9</v>
      </c>
      <c r="AT8" s="70"/>
      <c r="AU8" s="69">
        <v>-10</v>
      </c>
      <c r="AV8" s="71"/>
      <c r="AW8" s="76">
        <v>-10</v>
      </c>
      <c r="AX8" s="70"/>
      <c r="AY8" s="69">
        <v>-11</v>
      </c>
      <c r="AZ8" s="72"/>
      <c r="BA8" s="72"/>
    </row>
    <row r="9" spans="1:56" s="65" customFormat="1" ht="9" customHeight="1" x14ac:dyDescent="0.2">
      <c r="A9" s="58"/>
      <c r="B9" s="661"/>
      <c r="C9" s="291"/>
      <c r="D9" s="299"/>
      <c r="E9" s="291"/>
      <c r="F9" s="64"/>
      <c r="G9" s="64"/>
      <c r="H9" s="69"/>
      <c r="I9" s="63"/>
      <c r="J9" s="76"/>
      <c r="K9" s="63"/>
      <c r="L9" s="76"/>
      <c r="M9" s="77"/>
      <c r="N9" s="77"/>
      <c r="O9" s="77"/>
      <c r="P9" s="77"/>
      <c r="Q9" s="77"/>
      <c r="R9" s="77"/>
      <c r="S9" s="77"/>
      <c r="T9" s="77"/>
      <c r="U9" s="77"/>
      <c r="V9" s="77"/>
      <c r="W9" s="77"/>
      <c r="X9" s="77"/>
      <c r="AC9" s="58"/>
    </row>
    <row r="10" spans="1:56" x14ac:dyDescent="0.2">
      <c r="F10" s="106" t="s">
        <v>33</v>
      </c>
      <c r="G10" s="59"/>
      <c r="H10" s="71"/>
      <c r="I10" s="60"/>
      <c r="J10" s="67"/>
      <c r="K10" s="60"/>
      <c r="L10" s="67"/>
      <c r="AC10" s="106" t="s">
        <v>33</v>
      </c>
    </row>
    <row r="11" spans="1:56" ht="7.9" customHeight="1" x14ac:dyDescent="0.2">
      <c r="F11" s="59" t="s">
        <v>256</v>
      </c>
      <c r="G11" s="59"/>
      <c r="H11" s="71"/>
      <c r="I11" s="60"/>
      <c r="J11" s="67"/>
      <c r="K11" s="60"/>
      <c r="L11" s="67"/>
      <c r="AC11" s="59" t="s">
        <v>256</v>
      </c>
    </row>
    <row r="12" spans="1:56" x14ac:dyDescent="0.2">
      <c r="F12" s="234" t="s">
        <v>32</v>
      </c>
      <c r="G12" s="59"/>
      <c r="H12" s="164"/>
      <c r="I12" s="60"/>
      <c r="J12" s="67"/>
      <c r="K12" s="60"/>
      <c r="L12" s="67"/>
      <c r="AC12" s="109" t="s">
        <v>32</v>
      </c>
    </row>
    <row r="13" spans="1:56" x14ac:dyDescent="0.2">
      <c r="A13" s="160"/>
      <c r="B13" s="665"/>
      <c r="F13" s="109"/>
      <c r="G13" s="97"/>
      <c r="H13" s="164"/>
      <c r="I13" s="60"/>
      <c r="J13" s="101"/>
      <c r="K13" s="101"/>
      <c r="L13" s="101"/>
      <c r="M13" s="102"/>
      <c r="N13" s="101"/>
      <c r="O13" s="102"/>
      <c r="P13" s="101"/>
      <c r="Q13" s="102"/>
      <c r="R13" s="101"/>
      <c r="S13" s="102"/>
      <c r="T13" s="101"/>
      <c r="U13" s="102"/>
      <c r="V13" s="101"/>
      <c r="W13" s="102"/>
      <c r="X13" s="101"/>
      <c r="Z13" s="95"/>
      <c r="AC13" s="109" t="s">
        <v>10</v>
      </c>
      <c r="AE13" s="140"/>
      <c r="AG13" s="80"/>
      <c r="AI13" s="67"/>
      <c r="AJ13" s="67"/>
      <c r="AK13" s="67"/>
      <c r="AL13" s="67"/>
      <c r="AM13" s="67"/>
      <c r="AN13" s="67"/>
      <c r="AO13" s="67"/>
      <c r="AP13" s="67"/>
      <c r="AQ13" s="67"/>
      <c r="AR13" s="67"/>
      <c r="AS13" s="67"/>
      <c r="AT13" s="67"/>
      <c r="AU13" s="67"/>
      <c r="AV13" s="67"/>
      <c r="AW13" s="67"/>
      <c r="AX13" s="67"/>
      <c r="AY13" s="67"/>
      <c r="BA13" s="95"/>
    </row>
    <row r="14" spans="1:56" s="371" customFormat="1" x14ac:dyDescent="0.2">
      <c r="A14" s="160"/>
      <c r="B14" s="665"/>
      <c r="C14" s="664"/>
      <c r="D14" s="300"/>
      <c r="E14" s="105"/>
      <c r="F14" s="109" t="s">
        <v>356</v>
      </c>
      <c r="G14" s="97"/>
      <c r="H14" s="164">
        <v>2</v>
      </c>
      <c r="I14" s="60"/>
      <c r="J14" s="535">
        <v>210732.92250333872</v>
      </c>
      <c r="K14" s="535"/>
      <c r="L14" s="535">
        <f>(VLOOKUP($H14,Factors,L$195))*$J14</f>
        <v>129579.67404730298</v>
      </c>
      <c r="M14" s="536"/>
      <c r="N14" s="535">
        <f>(VLOOKUP($H14,Factors,N$195))*$J14</f>
        <v>60564.641927459546</v>
      </c>
      <c r="O14" s="536"/>
      <c r="P14" s="535">
        <f>(VLOOKUP($H14,Factors,P$195))*$J14</f>
        <v>19998.554345566845</v>
      </c>
      <c r="Q14" s="536"/>
      <c r="R14" s="535">
        <f>(VLOOKUP($H14,Factors,R$195))*$J14</f>
        <v>0</v>
      </c>
      <c r="S14" s="536"/>
      <c r="T14" s="535">
        <f>(VLOOKUP($H14,Factors,T$195))*$J14</f>
        <v>0</v>
      </c>
      <c r="U14" s="536"/>
      <c r="V14" s="535">
        <f>(VLOOKUP($H14,Factors,V$195))*$J14</f>
        <v>105.36646125166936</v>
      </c>
      <c r="W14" s="536"/>
      <c r="X14" s="535">
        <f>(VLOOKUP($H14,Factors,X$195))*$J14</f>
        <v>484.68572175767906</v>
      </c>
      <c r="Z14" s="105">
        <f t="shared" ref="Z14:Z16" si="0">SUM(L14:X14)-J14</f>
        <v>0</v>
      </c>
      <c r="AC14" s="109" t="s">
        <v>356</v>
      </c>
      <c r="AE14" s="140">
        <f t="shared" ref="AE14" si="1">+H14</f>
        <v>2</v>
      </c>
      <c r="AG14" s="191">
        <f t="shared" ref="AG14" si="2">+J14</f>
        <v>210732.92250333872</v>
      </c>
      <c r="AH14" s="101"/>
      <c r="AI14" s="104">
        <f>(VLOOKUP($AE14,func,AI$195))*$AG14</f>
        <v>110318.68493049784</v>
      </c>
      <c r="AJ14" s="190"/>
      <c r="AK14" s="104">
        <f>(VLOOKUP($AE14,func,AK$195))*$AG14</f>
        <v>99824.18538983156</v>
      </c>
      <c r="AL14" s="190"/>
      <c r="AM14" s="104">
        <f>(VLOOKUP($AE14,func,AM$195))*$AG14</f>
        <v>0</v>
      </c>
      <c r="AN14" s="190"/>
      <c r="AO14" s="104">
        <f>(VLOOKUP($AE14,func,AO$195))*$AG14</f>
        <v>0</v>
      </c>
      <c r="AP14" s="190"/>
      <c r="AQ14" s="104">
        <f>(VLOOKUP($AE14,func,AQ$195))*$AG14</f>
        <v>0</v>
      </c>
      <c r="AR14" s="190"/>
      <c r="AS14" s="104">
        <f>(VLOOKUP($AE14,func,AS$195))*$AG14</f>
        <v>0</v>
      </c>
      <c r="AT14" s="190"/>
      <c r="AU14" s="104">
        <f>(VLOOKUP($AE14,func,AU$195))*$AG14</f>
        <v>0</v>
      </c>
      <c r="AV14" s="67"/>
      <c r="AW14" s="67">
        <f>(VLOOKUP($AE14,func,AW$195))*$AG14</f>
        <v>105.36646125166936</v>
      </c>
      <c r="AX14" s="67"/>
      <c r="AY14" s="67">
        <f>(VLOOKUP($AE14,func,AY$195))*$AG14</f>
        <v>484.68572175767906</v>
      </c>
      <c r="BA14" s="95">
        <f t="shared" ref="BA14:BA38" si="3">SUM(AI14:AY14)-AG14</f>
        <v>0</v>
      </c>
    </row>
    <row r="15" spans="1:56" x14ac:dyDescent="0.2">
      <c r="A15" s="160"/>
      <c r="B15" s="665"/>
      <c r="F15" s="109" t="s">
        <v>321</v>
      </c>
      <c r="G15" s="97"/>
      <c r="H15" s="164">
        <v>1</v>
      </c>
      <c r="I15" s="60"/>
      <c r="J15" s="191">
        <v>123204</v>
      </c>
      <c r="K15" s="101"/>
      <c r="L15" s="104">
        <f>(VLOOKUP($H15,Factors,L$195))*$J15</f>
        <v>69031.201199999996</v>
      </c>
      <c r="M15" s="190"/>
      <c r="N15" s="104">
        <f>(VLOOKUP($H15,Factors,N$195))*$J15</f>
        <v>38661.415200000003</v>
      </c>
      <c r="O15" s="190"/>
      <c r="P15" s="104">
        <f>(VLOOKUP($H15,Factors,P$195))*$J15</f>
        <v>14858.402399999999</v>
      </c>
      <c r="Q15" s="190"/>
      <c r="R15" s="104">
        <f>(VLOOKUP($H15,Factors,R$195))*$J15</f>
        <v>0</v>
      </c>
      <c r="S15" s="190"/>
      <c r="T15" s="104">
        <f>(VLOOKUP($H15,Factors,T$195))*$J15</f>
        <v>0</v>
      </c>
      <c r="U15" s="190"/>
      <c r="V15" s="104">
        <f>(VLOOKUP($H15,Factors,V$195))*$J15</f>
        <v>110.8836</v>
      </c>
      <c r="W15" s="190"/>
      <c r="X15" s="104">
        <f>(VLOOKUP($H15,Factors,X$195))*$J15</f>
        <v>542.09760000000006</v>
      </c>
      <c r="Y15" s="105"/>
      <c r="Z15" s="105">
        <f t="shared" si="0"/>
        <v>0</v>
      </c>
      <c r="AC15" s="109" t="s">
        <v>321</v>
      </c>
      <c r="AE15" s="140">
        <f t="shared" ref="AE15:AE17" si="4">+H15</f>
        <v>1</v>
      </c>
      <c r="AG15" s="191">
        <f t="shared" ref="AG15:AG17" si="5">+J15</f>
        <v>123204</v>
      </c>
      <c r="AH15" s="101"/>
      <c r="AI15" s="104">
        <f>(VLOOKUP($AE15,func,AI$195))*$AG15</f>
        <v>122551.01880000001</v>
      </c>
      <c r="AJ15" s="190"/>
      <c r="AK15" s="104">
        <f>(VLOOKUP($AE15,func,AK$195))*$AG15</f>
        <v>0</v>
      </c>
      <c r="AL15" s="190"/>
      <c r="AM15" s="104">
        <f>(VLOOKUP($AE15,func,AM$195))*$AG15</f>
        <v>0</v>
      </c>
      <c r="AN15" s="190"/>
      <c r="AO15" s="104">
        <f>(VLOOKUP($AE15,func,AO$195))*$AG15</f>
        <v>0</v>
      </c>
      <c r="AP15" s="190"/>
      <c r="AQ15" s="104">
        <f>(VLOOKUP($AE15,func,AQ$195))*$AG15</f>
        <v>0</v>
      </c>
      <c r="AR15" s="190"/>
      <c r="AS15" s="104">
        <f>(VLOOKUP($AE15,func,AS$195))*$AG15</f>
        <v>0</v>
      </c>
      <c r="AT15" s="190"/>
      <c r="AU15" s="104">
        <f>(VLOOKUP($AE15,func,AU$195))*$AG15</f>
        <v>0</v>
      </c>
      <c r="AV15" s="67"/>
      <c r="AW15" s="67">
        <f>(VLOOKUP($AE15,func,AW$195))*$AG15</f>
        <v>110.8836</v>
      </c>
      <c r="AX15" s="67"/>
      <c r="AY15" s="67">
        <f>(VLOOKUP($AE15,func,AY$195))*$AG15</f>
        <v>542.09760000000006</v>
      </c>
      <c r="AZ15" s="306"/>
      <c r="BA15" s="95">
        <f t="shared" si="3"/>
        <v>0</v>
      </c>
      <c r="BB15" s="80"/>
      <c r="BC15" s="80"/>
      <c r="BD15" s="80"/>
    </row>
    <row r="16" spans="1:56" x14ac:dyDescent="0.2">
      <c r="A16" s="160"/>
      <c r="B16" s="665"/>
      <c r="F16" s="109" t="s">
        <v>468</v>
      </c>
      <c r="G16" s="97"/>
      <c r="H16" s="164">
        <v>2</v>
      </c>
      <c r="I16" s="60"/>
      <c r="J16" s="191">
        <v>99434.502824948198</v>
      </c>
      <c r="K16" s="101"/>
      <c r="L16" s="104">
        <f>(VLOOKUP($H16,Factors,L$195))*$J16</f>
        <v>61142.275787060644</v>
      </c>
      <c r="M16" s="190"/>
      <c r="N16" s="104">
        <f>(VLOOKUP($H16,Factors,N$195))*$J16</f>
        <v>28577.476111890111</v>
      </c>
      <c r="O16" s="190"/>
      <c r="P16" s="104">
        <f>(VLOOKUP($H16,Factors,P$195))*$J16</f>
        <v>9436.3343180875836</v>
      </c>
      <c r="Q16" s="190"/>
      <c r="R16" s="104">
        <f>(VLOOKUP($H16,Factors,R$195))*$J16</f>
        <v>0</v>
      </c>
      <c r="S16" s="190"/>
      <c r="T16" s="104">
        <f>(VLOOKUP($H16,Factors,T$195))*$J16</f>
        <v>0</v>
      </c>
      <c r="U16" s="190"/>
      <c r="V16" s="104">
        <f>(VLOOKUP($H16,Factors,V$195))*$J16</f>
        <v>49.717251412474099</v>
      </c>
      <c r="W16" s="190"/>
      <c r="X16" s="104">
        <f>(VLOOKUP($H16,Factors,X$195))*$J16</f>
        <v>228.69935649738085</v>
      </c>
      <c r="Y16" s="105"/>
      <c r="Z16" s="105">
        <f t="shared" si="0"/>
        <v>0</v>
      </c>
      <c r="AC16" s="109" t="s">
        <v>323</v>
      </c>
      <c r="AE16" s="140">
        <f t="shared" si="4"/>
        <v>2</v>
      </c>
      <c r="AG16" s="191">
        <f t="shared" si="5"/>
        <v>99434.502824948198</v>
      </c>
      <c r="AH16" s="101"/>
      <c r="AI16" s="104">
        <f>(VLOOKUP($AE16,func,AI$195))*$AG16</f>
        <v>52053.962228860386</v>
      </c>
      <c r="AJ16" s="190"/>
      <c r="AK16" s="104">
        <f>(VLOOKUP($AE16,func,AK$195))*$AG16</f>
        <v>47102.123988177962</v>
      </c>
      <c r="AL16" s="190"/>
      <c r="AM16" s="104">
        <f>(VLOOKUP($AE16,func,AM$195))*$AG16</f>
        <v>0</v>
      </c>
      <c r="AN16" s="190"/>
      <c r="AO16" s="104">
        <f>(VLOOKUP($AE16,func,AO$195))*$AG16</f>
        <v>0</v>
      </c>
      <c r="AP16" s="190"/>
      <c r="AQ16" s="104">
        <f>(VLOOKUP($AE16,func,AQ$195))*$AG16</f>
        <v>0</v>
      </c>
      <c r="AR16" s="190"/>
      <c r="AS16" s="104">
        <f>(VLOOKUP($AE16,func,AS$195))*$AG16</f>
        <v>0</v>
      </c>
      <c r="AT16" s="190"/>
      <c r="AU16" s="104">
        <f>(VLOOKUP($AE16,func,AU$195))*$AG16</f>
        <v>0</v>
      </c>
      <c r="AV16" s="67"/>
      <c r="AW16" s="67">
        <f>(VLOOKUP($AE16,func,AW$195))*$AG16</f>
        <v>49.717251412474099</v>
      </c>
      <c r="AX16" s="67"/>
      <c r="AY16" s="67">
        <f>(VLOOKUP($AE16,func,AY$195))*$AG16</f>
        <v>228.69935649738085</v>
      </c>
      <c r="AZ16" s="306"/>
      <c r="BA16" s="95">
        <f t="shared" si="3"/>
        <v>0</v>
      </c>
      <c r="BB16" s="80"/>
      <c r="BC16" s="80"/>
      <c r="BD16" s="80"/>
    </row>
    <row r="17" spans="1:56" s="288" customFormat="1" x14ac:dyDescent="0.2">
      <c r="A17" s="160"/>
      <c r="B17" s="665"/>
      <c r="C17" s="664"/>
      <c r="D17" s="300"/>
      <c r="E17" s="105"/>
      <c r="F17" s="109" t="s">
        <v>351</v>
      </c>
      <c r="G17" s="97"/>
      <c r="H17" s="164">
        <v>2</v>
      </c>
      <c r="I17" s="60"/>
      <c r="J17" s="191">
        <v>8634.2986438832959</v>
      </c>
      <c r="K17" s="101"/>
      <c r="L17" s="104">
        <f>(VLOOKUP($H17,Factors,L$195))*$J17</f>
        <v>5309.2302361238389</v>
      </c>
      <c r="M17" s="190"/>
      <c r="N17" s="104">
        <f>(VLOOKUP($H17,Factors,N$195))*$J17</f>
        <v>2481.4974302520591</v>
      </c>
      <c r="O17" s="190"/>
      <c r="P17" s="104">
        <f>(VLOOKUP($H17,Factors,P$195))*$J17</f>
        <v>819.39494130452476</v>
      </c>
      <c r="Q17" s="190"/>
      <c r="R17" s="104">
        <f>(VLOOKUP($H17,Factors,R$195))*$J17</f>
        <v>0</v>
      </c>
      <c r="S17" s="190"/>
      <c r="T17" s="104">
        <f>(VLOOKUP($H17,Factors,T$195))*$J17</f>
        <v>0</v>
      </c>
      <c r="U17" s="190"/>
      <c r="V17" s="104">
        <f>(VLOOKUP($H17,Factors,V$195))*$J17</f>
        <v>4.3171493219416481</v>
      </c>
      <c r="W17" s="190"/>
      <c r="X17" s="104">
        <f>(VLOOKUP($H17,Factors,X$195))*$J17</f>
        <v>19.858886880931582</v>
      </c>
      <c r="Y17" s="105"/>
      <c r="Z17" s="105">
        <f t="shared" ref="Z17" si="6">SUM(L17:X17)-J17</f>
        <v>0</v>
      </c>
      <c r="AC17" s="109" t="s">
        <v>353</v>
      </c>
      <c r="AE17" s="140">
        <f t="shared" si="4"/>
        <v>2</v>
      </c>
      <c r="AG17" s="191">
        <f t="shared" si="5"/>
        <v>8634.2986438832959</v>
      </c>
      <c r="AH17" s="101"/>
      <c r="AI17" s="104">
        <f>(VLOOKUP($AE17,func,AI$195))*$AG17</f>
        <v>4520.0553400729059</v>
      </c>
      <c r="AJ17" s="190"/>
      <c r="AK17" s="104">
        <f>(VLOOKUP($AE17,func,AK$195))*$AG17</f>
        <v>4090.0672676075174</v>
      </c>
      <c r="AL17" s="190"/>
      <c r="AM17" s="104">
        <f>(VLOOKUP($AE17,func,AM$195))*$AG17</f>
        <v>0</v>
      </c>
      <c r="AN17" s="190"/>
      <c r="AO17" s="104">
        <f>(VLOOKUP($AE17,func,AO$195))*$AG17</f>
        <v>0</v>
      </c>
      <c r="AP17" s="190"/>
      <c r="AQ17" s="104">
        <f>(VLOOKUP($AE17,func,AQ$195))*$AG17</f>
        <v>0</v>
      </c>
      <c r="AR17" s="190"/>
      <c r="AS17" s="104">
        <f>(VLOOKUP($AE17,func,AS$195))*$AG17</f>
        <v>0</v>
      </c>
      <c r="AT17" s="190"/>
      <c r="AU17" s="104">
        <f>(VLOOKUP($AE17,func,AU$195))*$AG17</f>
        <v>0</v>
      </c>
      <c r="AV17" s="67"/>
      <c r="AW17" s="67">
        <f>(VLOOKUP($AE17,func,AW$195))*$AG17</f>
        <v>4.3171493219416481</v>
      </c>
      <c r="AX17" s="67"/>
      <c r="AY17" s="67">
        <f>(VLOOKUP($AE17,func,AY$195))*$AG17</f>
        <v>19.858886880931582</v>
      </c>
      <c r="AZ17" s="306"/>
      <c r="BA17" s="95">
        <f t="shared" si="3"/>
        <v>0</v>
      </c>
      <c r="BB17" s="80"/>
      <c r="BC17" s="80"/>
      <c r="BD17" s="80"/>
    </row>
    <row r="18" spans="1:56" x14ac:dyDescent="0.2">
      <c r="A18" s="160"/>
      <c r="B18" s="665"/>
      <c r="C18" s="666"/>
      <c r="D18" s="301"/>
      <c r="E18" s="292"/>
      <c r="F18" s="150"/>
      <c r="G18" s="97"/>
      <c r="H18" s="69"/>
      <c r="I18" s="60"/>
      <c r="J18" s="534"/>
      <c r="K18" s="60"/>
      <c r="L18" s="534"/>
      <c r="M18" s="60"/>
      <c r="N18" s="534"/>
      <c r="O18" s="60"/>
      <c r="P18" s="534"/>
      <c r="Q18" s="60"/>
      <c r="R18" s="534"/>
      <c r="S18" s="60"/>
      <c r="T18" s="534"/>
      <c r="U18" s="60"/>
      <c r="V18" s="534"/>
      <c r="W18" s="60"/>
      <c r="X18" s="534"/>
      <c r="Z18" s="95">
        <f>SUM(L18:X18)-J18</f>
        <v>0</v>
      </c>
      <c r="AC18" s="150"/>
      <c r="AD18" s="97"/>
      <c r="AE18" s="69"/>
      <c r="AF18" s="60"/>
      <c r="AG18" s="191"/>
      <c r="AH18" s="60"/>
      <c r="AI18" s="191"/>
      <c r="AJ18" s="60"/>
      <c r="AK18" s="191"/>
      <c r="AL18" s="60"/>
      <c r="AM18" s="191"/>
      <c r="AN18" s="60"/>
      <c r="AO18" s="191"/>
      <c r="AP18" s="60"/>
      <c r="AQ18" s="191"/>
      <c r="AR18" s="60"/>
      <c r="AS18" s="191"/>
      <c r="AT18" s="60"/>
      <c r="AU18" s="191"/>
      <c r="AV18" s="60"/>
      <c r="AW18" s="191"/>
      <c r="AX18" s="60"/>
      <c r="AY18" s="191"/>
      <c r="BA18" s="95">
        <f t="shared" si="3"/>
        <v>0</v>
      </c>
      <c r="BB18" s="80"/>
      <c r="BC18" s="80"/>
      <c r="BD18" s="80"/>
    </row>
    <row r="19" spans="1:56" x14ac:dyDescent="0.2">
      <c r="A19" s="160"/>
      <c r="B19" s="665"/>
      <c r="C19" s="666"/>
      <c r="D19" s="301"/>
      <c r="E19" s="292"/>
      <c r="F19" s="109" t="s">
        <v>12</v>
      </c>
      <c r="G19" s="163"/>
      <c r="H19" s="164"/>
      <c r="I19" s="109"/>
      <c r="J19" s="191">
        <f>SUM(J14:J17)</f>
        <v>442005.72397217026</v>
      </c>
      <c r="K19" s="109"/>
      <c r="L19" s="191">
        <f>SUM(L14:L17)</f>
        <v>265062.38127048744</v>
      </c>
      <c r="M19" s="109"/>
      <c r="N19" s="652">
        <f>SUM(N14:N17)</f>
        <v>130285.03066960172</v>
      </c>
      <c r="O19" s="109"/>
      <c r="P19" s="191">
        <f>SUM(P14:P17)</f>
        <v>45112.686004958952</v>
      </c>
      <c r="Q19" s="109"/>
      <c r="R19" s="191">
        <f>SUM(R14:R17)</f>
        <v>0</v>
      </c>
      <c r="S19" s="109"/>
      <c r="T19" s="191">
        <f>SUM(T14:T17)</f>
        <v>0</v>
      </c>
      <c r="U19" s="109"/>
      <c r="V19" s="191">
        <f>SUM(V14:V17)</f>
        <v>270.28446198608515</v>
      </c>
      <c r="W19" s="109"/>
      <c r="X19" s="191">
        <f>SUM(X14:X17)</f>
        <v>1275.3415651359915</v>
      </c>
      <c r="Y19" s="165"/>
      <c r="Z19" s="165">
        <f>SUM(Z15:Z17)</f>
        <v>0</v>
      </c>
      <c r="AA19" s="165"/>
      <c r="AB19" s="165"/>
      <c r="AC19" s="109" t="s">
        <v>11</v>
      </c>
      <c r="AD19" s="163"/>
      <c r="AE19" s="164"/>
      <c r="AF19" s="109"/>
      <c r="AG19" s="232">
        <f>SUM(AG14:AG17)</f>
        <v>442005.72397217026</v>
      </c>
      <c r="AH19" s="109"/>
      <c r="AI19" s="232">
        <f>SUM(AI14:AI17)</f>
        <v>289443.72129943111</v>
      </c>
      <c r="AJ19" s="109"/>
      <c r="AK19" s="232">
        <f>SUM(AK14:AK17)</f>
        <v>151016.37664561704</v>
      </c>
      <c r="AL19" s="109"/>
      <c r="AM19" s="232">
        <f>SUM(AM14:AM17)</f>
        <v>0</v>
      </c>
      <c r="AN19" s="109"/>
      <c r="AO19" s="232">
        <f>SUM(AO14:AO17)</f>
        <v>0</v>
      </c>
      <c r="AP19" s="109"/>
      <c r="AQ19" s="232">
        <f>SUM(AQ14:AQ17)</f>
        <v>0</v>
      </c>
      <c r="AR19" s="109"/>
      <c r="AS19" s="232">
        <f>SUM(AS14:AS17)</f>
        <v>0</v>
      </c>
      <c r="AT19" s="109"/>
      <c r="AU19" s="232">
        <f>SUM(AU14:AU17)</f>
        <v>0</v>
      </c>
      <c r="AV19" s="109"/>
      <c r="AW19" s="232">
        <f>SUM(AW14:AW17)</f>
        <v>270.28446198608515</v>
      </c>
      <c r="AX19" s="109"/>
      <c r="AY19" s="232">
        <f>SUM(AY14:AY17)</f>
        <v>1275.3415651359915</v>
      </c>
      <c r="AZ19" s="165"/>
      <c r="BA19" s="95">
        <f t="shared" si="3"/>
        <v>0</v>
      </c>
      <c r="BB19" s="80"/>
      <c r="BC19" s="80"/>
      <c r="BD19" s="80"/>
    </row>
    <row r="20" spans="1:56" x14ac:dyDescent="0.2">
      <c r="A20" s="167"/>
      <c r="B20" s="230"/>
      <c r="F20" s="109"/>
      <c r="G20" s="163"/>
      <c r="H20" s="164"/>
      <c r="I20" s="109"/>
      <c r="J20" s="191"/>
      <c r="K20" s="98"/>
      <c r="L20" s="81"/>
      <c r="M20" s="99"/>
      <c r="N20" s="81"/>
      <c r="O20" s="99"/>
      <c r="P20" s="81"/>
      <c r="Q20" s="99"/>
      <c r="R20" s="81"/>
      <c r="S20" s="99"/>
      <c r="T20" s="81"/>
      <c r="U20" s="99"/>
      <c r="V20" s="81"/>
      <c r="W20" s="99"/>
      <c r="X20" s="81"/>
      <c r="Z20" s="95">
        <f t="shared" ref="Z20" si="7">SUM(L20:X20)-J20</f>
        <v>0</v>
      </c>
      <c r="AC20" s="109"/>
      <c r="AE20" s="140"/>
      <c r="AG20" s="191"/>
      <c r="AH20" s="98"/>
      <c r="AI20" s="81"/>
      <c r="AJ20" s="99"/>
      <c r="AK20" s="81"/>
      <c r="AL20" s="99"/>
      <c r="AM20" s="81"/>
      <c r="AN20" s="99"/>
      <c r="AO20" s="81"/>
      <c r="AP20" s="99"/>
      <c r="AQ20" s="81"/>
      <c r="AR20" s="99"/>
      <c r="AS20" s="81"/>
      <c r="AT20" s="99"/>
      <c r="AU20" s="81"/>
      <c r="AV20" s="81"/>
      <c r="AW20" s="81"/>
      <c r="AX20" s="81"/>
      <c r="AY20" s="81"/>
      <c r="BA20" s="95">
        <f t="shared" si="3"/>
        <v>0</v>
      </c>
      <c r="BB20" s="80"/>
      <c r="BC20" s="80"/>
      <c r="BD20" s="80"/>
    </row>
    <row r="21" spans="1:56" x14ac:dyDescent="0.2">
      <c r="A21" s="167"/>
      <c r="B21" s="230"/>
      <c r="F21" s="234" t="s">
        <v>31</v>
      </c>
      <c r="G21" s="163"/>
      <c r="H21" s="164"/>
      <c r="I21" s="109"/>
      <c r="J21" s="191"/>
      <c r="K21" s="98"/>
      <c r="L21" s="81"/>
      <c r="M21" s="99"/>
      <c r="N21" s="81"/>
      <c r="O21" s="99"/>
      <c r="P21" s="81"/>
      <c r="Q21" s="99"/>
      <c r="R21" s="81"/>
      <c r="S21" s="99"/>
      <c r="T21" s="81"/>
      <c r="U21" s="99"/>
      <c r="V21" s="81"/>
      <c r="W21" s="99"/>
      <c r="X21" s="81"/>
      <c r="Z21" s="95">
        <f t="shared" ref="Z21:Z23" si="8">SUM(L21:X21)-J21</f>
        <v>0</v>
      </c>
      <c r="AC21" s="109" t="s">
        <v>31</v>
      </c>
      <c r="AE21" s="140"/>
      <c r="AG21" s="191"/>
      <c r="AH21" s="98"/>
      <c r="AI21" s="81"/>
      <c r="AJ21" s="99"/>
      <c r="AK21" s="81"/>
      <c r="AL21" s="99"/>
      <c r="AM21" s="81"/>
      <c r="AN21" s="99"/>
      <c r="AO21" s="81"/>
      <c r="AP21" s="99"/>
      <c r="AQ21" s="81"/>
      <c r="AR21" s="99"/>
      <c r="AS21" s="81"/>
      <c r="AT21" s="99"/>
      <c r="AU21" s="81"/>
      <c r="AV21" s="81"/>
      <c r="AW21" s="81"/>
      <c r="AX21" s="81"/>
      <c r="AY21" s="81"/>
      <c r="BA21" s="95">
        <f t="shared" si="3"/>
        <v>0</v>
      </c>
      <c r="BB21" s="80"/>
      <c r="BC21" s="80"/>
      <c r="BD21" s="80"/>
    </row>
    <row r="22" spans="1:56" x14ac:dyDescent="0.2">
      <c r="A22" s="167"/>
      <c r="B22" s="230"/>
      <c r="F22" s="109"/>
      <c r="G22" s="163"/>
      <c r="H22" s="164"/>
      <c r="I22" s="109"/>
      <c r="J22" s="191"/>
      <c r="K22" s="98"/>
      <c r="L22" s="81"/>
      <c r="M22" s="99"/>
      <c r="N22" s="81"/>
      <c r="O22" s="99"/>
      <c r="P22" s="81"/>
      <c r="Q22" s="99"/>
      <c r="R22" s="81"/>
      <c r="S22" s="99"/>
      <c r="T22" s="81"/>
      <c r="U22" s="99"/>
      <c r="V22" s="81"/>
      <c r="W22" s="99"/>
      <c r="X22" s="81"/>
      <c r="Z22" s="95">
        <f t="shared" si="8"/>
        <v>0</v>
      </c>
      <c r="AC22" s="109" t="s">
        <v>10</v>
      </c>
      <c r="AE22" s="140"/>
      <c r="AG22" s="191"/>
      <c r="AH22" s="98"/>
      <c r="AI22" s="81"/>
      <c r="AJ22" s="99"/>
      <c r="AK22" s="81"/>
      <c r="AL22" s="99"/>
      <c r="AM22" s="81"/>
      <c r="AN22" s="99"/>
      <c r="AO22" s="81"/>
      <c r="AP22" s="99"/>
      <c r="AQ22" s="81"/>
      <c r="AR22" s="99"/>
      <c r="AS22" s="81"/>
      <c r="AT22" s="99"/>
      <c r="AU22" s="81"/>
      <c r="AV22" s="81"/>
      <c r="AW22" s="81"/>
      <c r="AX22" s="81"/>
      <c r="AY22" s="81"/>
      <c r="BA22" s="95">
        <f t="shared" si="3"/>
        <v>0</v>
      </c>
      <c r="BB22" s="80"/>
      <c r="BC22" s="80"/>
      <c r="BD22" s="80"/>
    </row>
    <row r="23" spans="1:56" ht="5.45" customHeight="1" x14ac:dyDescent="0.2">
      <c r="A23" s="167"/>
      <c r="B23" s="230"/>
      <c r="F23"/>
      <c r="G23" s="163"/>
      <c r="H23" s="164"/>
      <c r="I23" s="109"/>
      <c r="J23" s="191"/>
      <c r="K23" s="98"/>
      <c r="L23" s="81"/>
      <c r="M23" s="99"/>
      <c r="N23" s="81"/>
      <c r="O23" s="99"/>
      <c r="P23" s="81"/>
      <c r="Q23" s="99"/>
      <c r="R23" s="81"/>
      <c r="S23" s="99"/>
      <c r="T23" s="81"/>
      <c r="U23" s="99"/>
      <c r="V23" s="81"/>
      <c r="W23" s="99"/>
      <c r="X23" s="81"/>
      <c r="Z23" s="95">
        <f t="shared" si="8"/>
        <v>0</v>
      </c>
      <c r="AC23" s="306"/>
      <c r="AE23" s="140"/>
      <c r="AG23" s="191"/>
      <c r="AH23" s="98"/>
      <c r="AI23" s="81"/>
      <c r="AJ23" s="99"/>
      <c r="AK23" s="81"/>
      <c r="AL23" s="99"/>
      <c r="AM23" s="81"/>
      <c r="AN23" s="99"/>
      <c r="AO23" s="81"/>
      <c r="AP23" s="99"/>
      <c r="AQ23" s="81"/>
      <c r="AR23" s="99"/>
      <c r="AS23" s="81"/>
      <c r="AT23" s="99"/>
      <c r="AU23" s="81"/>
      <c r="AV23" s="81"/>
      <c r="AW23" s="81"/>
      <c r="AX23" s="81"/>
      <c r="AY23" s="81"/>
      <c r="BA23" s="95">
        <f t="shared" si="3"/>
        <v>0</v>
      </c>
      <c r="BB23" s="80"/>
      <c r="BC23" s="80"/>
      <c r="BD23" s="80"/>
    </row>
    <row r="24" spans="1:56" s="304" customFormat="1" x14ac:dyDescent="0.2">
      <c r="A24" s="167"/>
      <c r="B24" s="230"/>
      <c r="C24" s="664"/>
      <c r="D24" s="300"/>
      <c r="E24" s="105"/>
      <c r="F24" s="109" t="s">
        <v>355</v>
      </c>
      <c r="G24" s="163"/>
      <c r="H24" s="164">
        <v>2</v>
      </c>
      <c r="I24" s="109"/>
      <c r="J24" s="633">
        <v>210732.92250333872</v>
      </c>
      <c r="K24" s="634"/>
      <c r="L24" s="535">
        <f t="shared" ref="L24:L30" si="9">(VLOOKUP($H24,Factors,L$195))*$J24</f>
        <v>129579.67404730298</v>
      </c>
      <c r="M24" s="536"/>
      <c r="N24" s="535">
        <f t="shared" ref="N24:N30" si="10">(VLOOKUP($H24,Factors,N$195))*$J24</f>
        <v>60564.641927459546</v>
      </c>
      <c r="O24" s="536"/>
      <c r="P24" s="535">
        <f t="shared" ref="P24:P30" si="11">(VLOOKUP($H24,Factors,P$195))*$J24</f>
        <v>19998.554345566845</v>
      </c>
      <c r="Q24" s="536"/>
      <c r="R24" s="535">
        <f t="shared" ref="R24:R30" si="12">(VLOOKUP($H24,Factors,R$195))*$J24</f>
        <v>0</v>
      </c>
      <c r="S24" s="536"/>
      <c r="T24" s="535">
        <f t="shared" ref="T24:T30" si="13">(VLOOKUP($H24,Factors,T$195))*$J24</f>
        <v>0</v>
      </c>
      <c r="U24" s="536"/>
      <c r="V24" s="535">
        <f t="shared" ref="V24:V30" si="14">(VLOOKUP($H24,Factors,V$195))*$J24</f>
        <v>105.36646125166936</v>
      </c>
      <c r="W24" s="536"/>
      <c r="X24" s="535">
        <f t="shared" ref="X24:X30" si="15">(VLOOKUP($H24,Factors,X$195))*$J24</f>
        <v>484.68572175767906</v>
      </c>
      <c r="Y24" s="105"/>
      <c r="Z24" s="105">
        <f t="shared" ref="Z24" si="16">SUM(L24:X24)-J24</f>
        <v>0</v>
      </c>
      <c r="AC24" s="109" t="s">
        <v>355</v>
      </c>
      <c r="AE24" s="140">
        <f t="shared" ref="AE24:AE30" si="17">+H24</f>
        <v>2</v>
      </c>
      <c r="AG24" s="191">
        <f t="shared" ref="AG24:AG30" si="18">+J24</f>
        <v>210732.92250333872</v>
      </c>
      <c r="AH24" s="98"/>
      <c r="AI24" s="104">
        <f t="shared" ref="AI24:AI30" si="19">(VLOOKUP($AE24,func,AI$195))*$AG24</f>
        <v>110318.68493049784</v>
      </c>
      <c r="AJ24" s="190"/>
      <c r="AK24" s="104">
        <f t="shared" ref="AK24:AK30" si="20">(VLOOKUP($AE24,func,AK$195))*$AG24</f>
        <v>99824.18538983156</v>
      </c>
      <c r="AL24" s="190"/>
      <c r="AM24" s="104">
        <f t="shared" ref="AM24:AM30" si="21">(VLOOKUP($AE24,func,AM$195))*$AG24</f>
        <v>0</v>
      </c>
      <c r="AN24" s="190"/>
      <c r="AO24" s="104">
        <f t="shared" ref="AO24:AO30" si="22">(VLOOKUP($AE24,func,AO$195))*$AG24</f>
        <v>0</v>
      </c>
      <c r="AP24" s="190"/>
      <c r="AQ24" s="104">
        <f t="shared" ref="AQ24:AQ30" si="23">(VLOOKUP($AE24,func,AQ$195))*$AG24</f>
        <v>0</v>
      </c>
      <c r="AR24" s="190"/>
      <c r="AS24" s="104">
        <f t="shared" ref="AS24:AS30" si="24">(VLOOKUP($AE24,func,AS$195))*$AG24</f>
        <v>0</v>
      </c>
      <c r="AT24" s="190"/>
      <c r="AU24" s="104">
        <f t="shared" ref="AU24:AU30" si="25">(VLOOKUP($AE24,func,AU$195))*$AG24</f>
        <v>0</v>
      </c>
      <c r="AV24" s="67"/>
      <c r="AW24" s="67">
        <f t="shared" ref="AW24:AW30" si="26">(VLOOKUP($AE24,func,AW$195))*$AG24</f>
        <v>105.36646125166936</v>
      </c>
      <c r="AX24" s="67"/>
      <c r="AY24" s="67">
        <f t="shared" ref="AY24:AY30" si="27">(VLOOKUP($AE24,func,AY$195))*$AG24</f>
        <v>484.68572175767906</v>
      </c>
      <c r="BA24" s="95">
        <f t="shared" si="3"/>
        <v>0</v>
      </c>
      <c r="BB24" s="80"/>
      <c r="BC24" s="80"/>
      <c r="BD24" s="80"/>
    </row>
    <row r="25" spans="1:56" x14ac:dyDescent="0.2">
      <c r="A25" s="167"/>
      <c r="B25" s="230"/>
      <c r="F25" s="109" t="s">
        <v>324</v>
      </c>
      <c r="G25" s="163"/>
      <c r="H25" s="164">
        <v>1</v>
      </c>
      <c r="I25" s="109"/>
      <c r="J25" s="191">
        <v>108011.74</v>
      </c>
      <c r="K25" s="98"/>
      <c r="L25" s="104">
        <f t="shared" si="9"/>
        <v>60518.977922000005</v>
      </c>
      <c r="M25" s="190"/>
      <c r="N25" s="104">
        <f t="shared" si="10"/>
        <v>33894.084012000007</v>
      </c>
      <c r="O25" s="190"/>
      <c r="P25" s="104">
        <f t="shared" si="11"/>
        <v>13026.215844</v>
      </c>
      <c r="Q25" s="190"/>
      <c r="R25" s="104">
        <f t="shared" si="12"/>
        <v>0</v>
      </c>
      <c r="S25" s="190"/>
      <c r="T25" s="104">
        <f t="shared" si="13"/>
        <v>0</v>
      </c>
      <c r="U25" s="190"/>
      <c r="V25" s="104">
        <f t="shared" si="14"/>
        <v>97.210566</v>
      </c>
      <c r="W25" s="190"/>
      <c r="X25" s="104">
        <f t="shared" si="15"/>
        <v>475.25165600000003</v>
      </c>
      <c r="Y25" s="105"/>
      <c r="Z25" s="105">
        <f t="shared" ref="Z25:Z29" si="28">SUM(L25:X25)-J25</f>
        <v>0</v>
      </c>
      <c r="AC25" s="109" t="s">
        <v>324</v>
      </c>
      <c r="AE25" s="140">
        <f t="shared" si="17"/>
        <v>1</v>
      </c>
      <c r="AG25" s="191">
        <f t="shared" si="18"/>
        <v>108011.74</v>
      </c>
      <c r="AH25" s="98"/>
      <c r="AI25" s="104">
        <f t="shared" si="19"/>
        <v>107439.277778</v>
      </c>
      <c r="AJ25" s="190"/>
      <c r="AK25" s="104">
        <f t="shared" si="20"/>
        <v>0</v>
      </c>
      <c r="AL25" s="190"/>
      <c r="AM25" s="104">
        <f t="shared" si="21"/>
        <v>0</v>
      </c>
      <c r="AN25" s="190"/>
      <c r="AO25" s="104">
        <f t="shared" si="22"/>
        <v>0</v>
      </c>
      <c r="AP25" s="190"/>
      <c r="AQ25" s="104">
        <f t="shared" si="23"/>
        <v>0</v>
      </c>
      <c r="AR25" s="190"/>
      <c r="AS25" s="104">
        <f t="shared" si="24"/>
        <v>0</v>
      </c>
      <c r="AT25" s="190"/>
      <c r="AU25" s="104">
        <f t="shared" si="25"/>
        <v>0</v>
      </c>
      <c r="AV25" s="67"/>
      <c r="AW25" s="67">
        <f t="shared" si="26"/>
        <v>97.210566</v>
      </c>
      <c r="AX25" s="67"/>
      <c r="AY25" s="67">
        <f t="shared" si="27"/>
        <v>475.25165600000003</v>
      </c>
      <c r="BA25" s="95">
        <f t="shared" si="3"/>
        <v>0</v>
      </c>
      <c r="BB25" s="80"/>
      <c r="BC25" s="80"/>
      <c r="BD25" s="80"/>
    </row>
    <row r="26" spans="1:56" s="281" customFormat="1" x14ac:dyDescent="0.2">
      <c r="A26" s="167"/>
      <c r="B26" s="230"/>
      <c r="C26" s="664"/>
      <c r="D26" s="300"/>
      <c r="E26" s="105"/>
      <c r="F26" s="109" t="s">
        <v>322</v>
      </c>
      <c r="G26" s="163"/>
      <c r="H26" s="164">
        <v>1</v>
      </c>
      <c r="I26" s="109"/>
      <c r="J26" s="191">
        <v>101367.40000000001</v>
      </c>
      <c r="K26" s="98"/>
      <c r="L26" s="104">
        <f t="shared" si="9"/>
        <v>56796.154220000004</v>
      </c>
      <c r="M26" s="190"/>
      <c r="N26" s="104">
        <f t="shared" si="10"/>
        <v>31809.090120000004</v>
      </c>
      <c r="O26" s="190"/>
      <c r="P26" s="104">
        <f t="shared" si="11"/>
        <v>12224.908440000001</v>
      </c>
      <c r="Q26" s="190"/>
      <c r="R26" s="104">
        <f t="shared" si="12"/>
        <v>0</v>
      </c>
      <c r="S26" s="190"/>
      <c r="T26" s="104">
        <f t="shared" si="13"/>
        <v>0</v>
      </c>
      <c r="U26" s="190"/>
      <c r="V26" s="104">
        <f t="shared" si="14"/>
        <v>91.23066</v>
      </c>
      <c r="W26" s="190"/>
      <c r="X26" s="104">
        <f t="shared" si="15"/>
        <v>446.01656000000008</v>
      </c>
      <c r="Y26" s="105"/>
      <c r="Z26" s="105">
        <f t="shared" si="28"/>
        <v>0</v>
      </c>
      <c r="AC26" s="109" t="s">
        <v>322</v>
      </c>
      <c r="AE26" s="140">
        <f t="shared" si="17"/>
        <v>1</v>
      </c>
      <c r="AG26" s="191">
        <f t="shared" si="18"/>
        <v>101367.40000000001</v>
      </c>
      <c r="AH26" s="98"/>
      <c r="AI26" s="104">
        <f t="shared" si="19"/>
        <v>100830.15278000002</v>
      </c>
      <c r="AJ26" s="190"/>
      <c r="AK26" s="104">
        <f t="shared" si="20"/>
        <v>0</v>
      </c>
      <c r="AL26" s="190"/>
      <c r="AM26" s="104">
        <f t="shared" si="21"/>
        <v>0</v>
      </c>
      <c r="AN26" s="190"/>
      <c r="AO26" s="104">
        <f t="shared" si="22"/>
        <v>0</v>
      </c>
      <c r="AP26" s="190"/>
      <c r="AQ26" s="104">
        <f t="shared" si="23"/>
        <v>0</v>
      </c>
      <c r="AR26" s="190"/>
      <c r="AS26" s="104">
        <f t="shared" si="24"/>
        <v>0</v>
      </c>
      <c r="AT26" s="190"/>
      <c r="AU26" s="104">
        <f t="shared" si="25"/>
        <v>0</v>
      </c>
      <c r="AV26" s="67"/>
      <c r="AW26" s="67">
        <f t="shared" si="26"/>
        <v>91.23066</v>
      </c>
      <c r="AX26" s="67"/>
      <c r="AY26" s="67">
        <f t="shared" si="27"/>
        <v>446.01656000000008</v>
      </c>
      <c r="BA26" s="95">
        <f t="shared" si="3"/>
        <v>0</v>
      </c>
      <c r="BB26" s="80"/>
      <c r="BC26" s="80"/>
      <c r="BD26" s="80"/>
    </row>
    <row r="27" spans="1:56" x14ac:dyDescent="0.2">
      <c r="A27" s="167"/>
      <c r="B27" s="230"/>
      <c r="F27" s="109" t="s">
        <v>539</v>
      </c>
      <c r="G27" s="163"/>
      <c r="H27" s="164">
        <v>2</v>
      </c>
      <c r="I27" s="109"/>
      <c r="J27" s="191">
        <v>-7514.7931656311703</v>
      </c>
      <c r="K27" s="98"/>
      <c r="L27" s="104">
        <f t="shared" si="9"/>
        <v>-4620.8463175466068</v>
      </c>
      <c r="M27" s="190"/>
      <c r="N27" s="104">
        <f t="shared" si="10"/>
        <v>-2159.7515558023983</v>
      </c>
      <c r="O27" s="190"/>
      <c r="P27" s="104">
        <f t="shared" si="11"/>
        <v>-713.15387141839801</v>
      </c>
      <c r="Q27" s="190"/>
      <c r="R27" s="104">
        <f t="shared" si="12"/>
        <v>0</v>
      </c>
      <c r="S27" s="190"/>
      <c r="T27" s="104">
        <f t="shared" si="13"/>
        <v>0</v>
      </c>
      <c r="U27" s="190"/>
      <c r="V27" s="104">
        <f t="shared" si="14"/>
        <v>-3.7573965828155851</v>
      </c>
      <c r="W27" s="190"/>
      <c r="X27" s="104">
        <f t="shared" si="15"/>
        <v>-17.284024280951691</v>
      </c>
      <c r="Y27" s="105"/>
      <c r="Z27" s="105">
        <f t="shared" si="28"/>
        <v>0</v>
      </c>
      <c r="AC27" s="109" t="s">
        <v>539</v>
      </c>
      <c r="AE27" s="140">
        <f t="shared" si="17"/>
        <v>2</v>
      </c>
      <c r="AG27" s="191">
        <f t="shared" si="18"/>
        <v>-7514.7931656311703</v>
      </c>
      <c r="AH27" s="98"/>
      <c r="AI27" s="104">
        <f t="shared" si="19"/>
        <v>-3933.994222207918</v>
      </c>
      <c r="AJ27" s="190"/>
      <c r="AK27" s="104">
        <f t="shared" si="20"/>
        <v>-3559.7575225594856</v>
      </c>
      <c r="AL27" s="190"/>
      <c r="AM27" s="104">
        <f t="shared" si="21"/>
        <v>0</v>
      </c>
      <c r="AN27" s="190"/>
      <c r="AO27" s="104">
        <f t="shared" si="22"/>
        <v>0</v>
      </c>
      <c r="AP27" s="190"/>
      <c r="AQ27" s="104">
        <f t="shared" si="23"/>
        <v>0</v>
      </c>
      <c r="AR27" s="190"/>
      <c r="AS27" s="104">
        <f t="shared" si="24"/>
        <v>0</v>
      </c>
      <c r="AT27" s="190"/>
      <c r="AU27" s="104">
        <f t="shared" si="25"/>
        <v>0</v>
      </c>
      <c r="AV27" s="67"/>
      <c r="AW27" s="67">
        <f t="shared" si="26"/>
        <v>-3.7573965828155851</v>
      </c>
      <c r="AX27" s="67"/>
      <c r="AY27" s="67">
        <f t="shared" si="27"/>
        <v>-17.284024280951691</v>
      </c>
      <c r="BA27" s="95">
        <f t="shared" si="3"/>
        <v>0</v>
      </c>
      <c r="BB27" s="80"/>
      <c r="BC27" s="80"/>
      <c r="BD27" s="80"/>
    </row>
    <row r="28" spans="1:56" x14ac:dyDescent="0.2">
      <c r="A28" s="167"/>
      <c r="B28" s="230"/>
      <c r="F28" s="109" t="s">
        <v>351</v>
      </c>
      <c r="G28" s="163"/>
      <c r="H28" s="164">
        <v>2</v>
      </c>
      <c r="I28" s="109"/>
      <c r="J28" s="191">
        <v>8634.9369065712035</v>
      </c>
      <c r="K28" s="98"/>
      <c r="L28" s="104">
        <f t="shared" si="9"/>
        <v>5309.6227038506331</v>
      </c>
      <c r="M28" s="190"/>
      <c r="N28" s="104">
        <f t="shared" si="10"/>
        <v>2481.680866948564</v>
      </c>
      <c r="O28" s="190"/>
      <c r="P28" s="104">
        <f t="shared" si="11"/>
        <v>819.45551243360717</v>
      </c>
      <c r="Q28" s="190"/>
      <c r="R28" s="104">
        <f t="shared" si="12"/>
        <v>0</v>
      </c>
      <c r="S28" s="190"/>
      <c r="T28" s="104">
        <f t="shared" si="13"/>
        <v>0</v>
      </c>
      <c r="U28" s="190"/>
      <c r="V28" s="104">
        <f t="shared" si="14"/>
        <v>4.3174684532856018</v>
      </c>
      <c r="W28" s="190"/>
      <c r="X28" s="104">
        <f t="shared" si="15"/>
        <v>19.860354885113768</v>
      </c>
      <c r="Y28" s="105"/>
      <c r="Z28" s="105">
        <f t="shared" si="28"/>
        <v>0</v>
      </c>
      <c r="AC28" s="109" t="s">
        <v>346</v>
      </c>
      <c r="AE28" s="140">
        <f t="shared" si="17"/>
        <v>2</v>
      </c>
      <c r="AG28" s="191">
        <f t="shared" si="18"/>
        <v>8634.9369065712035</v>
      </c>
      <c r="AH28" s="98"/>
      <c r="AI28" s="104">
        <f t="shared" si="19"/>
        <v>4520.3894705900257</v>
      </c>
      <c r="AJ28" s="190"/>
      <c r="AK28" s="104">
        <f t="shared" si="20"/>
        <v>4090.369612642779</v>
      </c>
      <c r="AL28" s="190"/>
      <c r="AM28" s="104">
        <f t="shared" si="21"/>
        <v>0</v>
      </c>
      <c r="AN28" s="190"/>
      <c r="AO28" s="104">
        <f t="shared" si="22"/>
        <v>0</v>
      </c>
      <c r="AP28" s="190"/>
      <c r="AQ28" s="104">
        <f t="shared" si="23"/>
        <v>0</v>
      </c>
      <c r="AR28" s="190"/>
      <c r="AS28" s="104">
        <f t="shared" si="24"/>
        <v>0</v>
      </c>
      <c r="AT28" s="190"/>
      <c r="AU28" s="104">
        <f t="shared" si="25"/>
        <v>0</v>
      </c>
      <c r="AV28" s="81"/>
      <c r="AW28" s="81">
        <f t="shared" si="26"/>
        <v>4.3174684532856018</v>
      </c>
      <c r="AX28" s="81"/>
      <c r="AY28" s="81">
        <f t="shared" si="27"/>
        <v>19.860354885113768</v>
      </c>
      <c r="BA28" s="95">
        <f t="shared" si="3"/>
        <v>0</v>
      </c>
      <c r="BB28" s="80"/>
      <c r="BC28" s="80"/>
      <c r="BD28" s="80"/>
    </row>
    <row r="29" spans="1:56" s="281" customFormat="1" x14ac:dyDescent="0.2">
      <c r="A29" s="167"/>
      <c r="B29" s="230"/>
      <c r="C29" s="664"/>
      <c r="D29" s="300"/>
      <c r="E29" s="105"/>
      <c r="F29" s="109" t="s">
        <v>469</v>
      </c>
      <c r="G29" s="163"/>
      <c r="H29" s="164">
        <v>2</v>
      </c>
      <c r="I29" s="109"/>
      <c r="J29" s="191">
        <v>43481.65</v>
      </c>
      <c r="K29" s="98"/>
      <c r="L29" s="104">
        <f t="shared" si="9"/>
        <v>26736.866585</v>
      </c>
      <c r="M29" s="190"/>
      <c r="N29" s="104">
        <f t="shared" si="10"/>
        <v>12496.62621</v>
      </c>
      <c r="O29" s="190"/>
      <c r="P29" s="104">
        <f t="shared" si="11"/>
        <v>4126.4085850000001</v>
      </c>
      <c r="Q29" s="190"/>
      <c r="R29" s="104">
        <f t="shared" si="12"/>
        <v>0</v>
      </c>
      <c r="S29" s="190"/>
      <c r="T29" s="104">
        <f t="shared" si="13"/>
        <v>0</v>
      </c>
      <c r="U29" s="190"/>
      <c r="V29" s="104">
        <f t="shared" si="14"/>
        <v>21.740825000000001</v>
      </c>
      <c r="W29" s="190"/>
      <c r="X29" s="104">
        <f t="shared" si="15"/>
        <v>100.007795</v>
      </c>
      <c r="Y29" s="105"/>
      <c r="Z29" s="105">
        <f t="shared" si="28"/>
        <v>0</v>
      </c>
      <c r="AC29" s="109" t="s">
        <v>350</v>
      </c>
      <c r="AE29" s="140">
        <f t="shared" si="17"/>
        <v>2</v>
      </c>
      <c r="AG29" s="191">
        <f t="shared" si="18"/>
        <v>43481.65</v>
      </c>
      <c r="AH29" s="98"/>
      <c r="AI29" s="104">
        <f t="shared" si="19"/>
        <v>22762.643775000004</v>
      </c>
      <c r="AJ29" s="190"/>
      <c r="AK29" s="104">
        <f t="shared" si="20"/>
        <v>20597.257605000003</v>
      </c>
      <c r="AL29" s="190"/>
      <c r="AM29" s="104">
        <f t="shared" si="21"/>
        <v>0</v>
      </c>
      <c r="AN29" s="190"/>
      <c r="AO29" s="104">
        <f t="shared" si="22"/>
        <v>0</v>
      </c>
      <c r="AP29" s="190"/>
      <c r="AQ29" s="104">
        <f t="shared" si="23"/>
        <v>0</v>
      </c>
      <c r="AR29" s="190"/>
      <c r="AS29" s="104">
        <f t="shared" si="24"/>
        <v>0</v>
      </c>
      <c r="AT29" s="190"/>
      <c r="AU29" s="104">
        <f t="shared" si="25"/>
        <v>0</v>
      </c>
      <c r="AV29" s="81"/>
      <c r="AW29" s="81">
        <f t="shared" si="26"/>
        <v>21.740825000000001</v>
      </c>
      <c r="AX29" s="81"/>
      <c r="AY29" s="81">
        <f t="shared" si="27"/>
        <v>100.007795</v>
      </c>
      <c r="BA29" s="95">
        <f t="shared" si="3"/>
        <v>0</v>
      </c>
      <c r="BB29" s="80"/>
      <c r="BC29" s="80"/>
      <c r="BD29" s="80"/>
    </row>
    <row r="30" spans="1:56" s="288" customFormat="1" x14ac:dyDescent="0.2">
      <c r="A30" s="167"/>
      <c r="B30" s="230"/>
      <c r="C30" s="664"/>
      <c r="D30" s="300"/>
      <c r="E30" s="105"/>
      <c r="F30" s="109" t="s">
        <v>378</v>
      </c>
      <c r="G30" s="163"/>
      <c r="H30" s="164">
        <v>2</v>
      </c>
      <c r="I30" s="109"/>
      <c r="J30" s="191">
        <v>28396.471747858806</v>
      </c>
      <c r="K30" s="98"/>
      <c r="L30" s="104">
        <f t="shared" si="9"/>
        <v>17460.99047775838</v>
      </c>
      <c r="M30" s="190"/>
      <c r="N30" s="104">
        <f t="shared" si="10"/>
        <v>8161.1459803346206</v>
      </c>
      <c r="O30" s="190"/>
      <c r="P30" s="104">
        <f t="shared" si="11"/>
        <v>2694.8251688718005</v>
      </c>
      <c r="Q30" s="190"/>
      <c r="R30" s="104">
        <f t="shared" si="12"/>
        <v>0</v>
      </c>
      <c r="S30" s="190"/>
      <c r="T30" s="104">
        <f t="shared" si="13"/>
        <v>0</v>
      </c>
      <c r="U30" s="190"/>
      <c r="V30" s="104">
        <f t="shared" si="14"/>
        <v>14.198235873929404</v>
      </c>
      <c r="W30" s="190"/>
      <c r="X30" s="104">
        <f t="shared" si="15"/>
        <v>65.311885020075252</v>
      </c>
      <c r="Y30" s="105"/>
      <c r="Z30" s="105">
        <f t="shared" ref="Z30" si="29">SUM(L30:X30)-J30</f>
        <v>0</v>
      </c>
      <c r="AC30" s="109" t="s">
        <v>354</v>
      </c>
      <c r="AE30" s="140">
        <f t="shared" si="17"/>
        <v>2</v>
      </c>
      <c r="AG30" s="191">
        <f t="shared" si="18"/>
        <v>28396.471747858806</v>
      </c>
      <c r="AH30" s="98"/>
      <c r="AI30" s="104">
        <f t="shared" si="19"/>
        <v>14865.552960004088</v>
      </c>
      <c r="AJ30" s="190"/>
      <c r="AK30" s="104">
        <f t="shared" si="20"/>
        <v>13451.408666960717</v>
      </c>
      <c r="AL30" s="190"/>
      <c r="AM30" s="104">
        <f t="shared" si="21"/>
        <v>0</v>
      </c>
      <c r="AN30" s="190"/>
      <c r="AO30" s="104">
        <f t="shared" si="22"/>
        <v>0</v>
      </c>
      <c r="AP30" s="190"/>
      <c r="AQ30" s="104">
        <f t="shared" si="23"/>
        <v>0</v>
      </c>
      <c r="AR30" s="190"/>
      <c r="AS30" s="104">
        <f t="shared" si="24"/>
        <v>0</v>
      </c>
      <c r="AT30" s="190"/>
      <c r="AU30" s="104">
        <f t="shared" si="25"/>
        <v>0</v>
      </c>
      <c r="AV30" s="67"/>
      <c r="AW30" s="67">
        <f t="shared" si="26"/>
        <v>14.198235873929404</v>
      </c>
      <c r="AX30" s="67"/>
      <c r="AY30" s="67">
        <f t="shared" si="27"/>
        <v>65.311885020075252</v>
      </c>
      <c r="BA30" s="95">
        <f t="shared" si="3"/>
        <v>0</v>
      </c>
      <c r="BB30" s="80"/>
      <c r="BC30" s="80"/>
      <c r="BD30" s="80"/>
    </row>
    <row r="31" spans="1:56" x14ac:dyDescent="0.2">
      <c r="A31" s="160"/>
      <c r="B31" s="665"/>
      <c r="F31" s="109"/>
      <c r="G31" s="163"/>
      <c r="H31" s="164"/>
      <c r="I31" s="109"/>
      <c r="J31" s="534"/>
      <c r="K31" s="109"/>
      <c r="L31" s="534"/>
      <c r="M31" s="109"/>
      <c r="N31" s="534"/>
      <c r="O31" s="109"/>
      <c r="P31" s="534"/>
      <c r="Q31" s="109"/>
      <c r="R31" s="534"/>
      <c r="S31" s="109"/>
      <c r="T31" s="534"/>
      <c r="U31" s="109"/>
      <c r="V31" s="534"/>
      <c r="W31" s="109"/>
      <c r="X31" s="534"/>
      <c r="Y31" s="82"/>
      <c r="Z31" s="95"/>
      <c r="AC31" s="109"/>
      <c r="AG31" s="191"/>
      <c r="AH31" s="81"/>
      <c r="AI31" s="81"/>
      <c r="AJ31" s="81"/>
      <c r="AK31" s="81"/>
      <c r="AL31" s="81"/>
      <c r="AM31" s="81"/>
      <c r="AN31" s="81"/>
      <c r="AO31" s="81"/>
      <c r="AP31" s="81"/>
      <c r="AQ31" s="81"/>
      <c r="AR31" s="81"/>
      <c r="AS31" s="81"/>
      <c r="AT31" s="81"/>
      <c r="AU31" s="81"/>
      <c r="AV31" s="81"/>
      <c r="AW31" s="81"/>
      <c r="AX31" s="81"/>
      <c r="AY31" s="81"/>
      <c r="BA31" s="95">
        <f t="shared" si="3"/>
        <v>0</v>
      </c>
      <c r="BB31" s="80"/>
      <c r="BC31" s="80"/>
      <c r="BD31" s="80"/>
    </row>
    <row r="32" spans="1:56" x14ac:dyDescent="0.2">
      <c r="A32" s="160"/>
      <c r="B32" s="665"/>
      <c r="F32" s="109" t="s">
        <v>13</v>
      </c>
      <c r="G32" s="163"/>
      <c r="H32" s="164"/>
      <c r="I32" s="109"/>
      <c r="J32" s="192">
        <f>SUM(J24:J31)</f>
        <v>493110.32799213758</v>
      </c>
      <c r="K32" s="223"/>
      <c r="L32" s="192">
        <f>SUM(L24:L31)</f>
        <v>291781.43963836541</v>
      </c>
      <c r="M32" s="223"/>
      <c r="N32" s="652">
        <f>SUM(N24:N31)</f>
        <v>147247.51756094032</v>
      </c>
      <c r="O32" s="223"/>
      <c r="P32" s="192">
        <f>SUM(P24:P31)</f>
        <v>52177.214024453846</v>
      </c>
      <c r="Q32" s="223"/>
      <c r="R32" s="192">
        <f>SUM(R24:R31)</f>
        <v>0</v>
      </c>
      <c r="S32" s="223"/>
      <c r="T32" s="192">
        <f>SUM(T24:T31)</f>
        <v>0</v>
      </c>
      <c r="U32" s="223"/>
      <c r="V32" s="192">
        <f>SUM(V24:V31)</f>
        <v>330.30681999606867</v>
      </c>
      <c r="W32" s="223"/>
      <c r="X32" s="192">
        <f>SUM(X24:X31)</f>
        <v>1573.8499483819166</v>
      </c>
      <c r="Y32" s="82"/>
      <c r="Z32" s="95">
        <f t="shared" ref="Z32:Z36" si="30">SUM(L32:X32)-J32</f>
        <v>0</v>
      </c>
      <c r="AC32" s="109" t="s">
        <v>11</v>
      </c>
      <c r="AD32" s="163"/>
      <c r="AE32" s="164"/>
      <c r="AF32" s="109"/>
      <c r="AG32" s="232">
        <f>SUM(AG24:AG31)</f>
        <v>493110.32799213758</v>
      </c>
      <c r="AH32" s="109"/>
      <c r="AI32" s="232">
        <f>SUM(AI24:AI31)</f>
        <v>356802.70747188403</v>
      </c>
      <c r="AJ32" s="109"/>
      <c r="AK32" s="232">
        <f>SUM(AK24:AK31)</f>
        <v>134403.46375187556</v>
      </c>
      <c r="AL32" s="109"/>
      <c r="AM32" s="232">
        <f>SUM(AM24:AM31)</f>
        <v>0</v>
      </c>
      <c r="AN32" s="109"/>
      <c r="AO32" s="232">
        <f>SUM(AO24:AO31)</f>
        <v>0</v>
      </c>
      <c r="AP32" s="109"/>
      <c r="AQ32" s="232">
        <f>SUM(AQ24:AQ31)</f>
        <v>0</v>
      </c>
      <c r="AR32" s="109"/>
      <c r="AS32" s="232">
        <f>SUM(AS24:AS31)</f>
        <v>0</v>
      </c>
      <c r="AT32" s="109"/>
      <c r="AU32" s="232">
        <f>SUM(AU24:AU31)</f>
        <v>0</v>
      </c>
      <c r="AV32" s="109"/>
      <c r="AW32" s="232">
        <f>SUM(AW24:AW31)</f>
        <v>330.30681999606867</v>
      </c>
      <c r="AX32" s="109"/>
      <c r="AY32" s="232">
        <f>SUM(AY24:AY31)</f>
        <v>1573.8499483819166</v>
      </c>
      <c r="BA32" s="95">
        <f t="shared" si="3"/>
        <v>0</v>
      </c>
      <c r="BB32" s="80"/>
      <c r="BC32" s="80"/>
      <c r="BD32" s="80"/>
    </row>
    <row r="33" spans="1:56" x14ac:dyDescent="0.2">
      <c r="A33" s="160"/>
      <c r="B33" s="665"/>
      <c r="F33" s="109"/>
      <c r="G33" s="163"/>
      <c r="H33" s="164"/>
      <c r="I33" s="109"/>
      <c r="J33" s="191"/>
      <c r="K33" s="109"/>
      <c r="L33" s="191"/>
      <c r="M33" s="109"/>
      <c r="N33" s="191"/>
      <c r="O33" s="109"/>
      <c r="P33" s="191"/>
      <c r="Q33" s="109"/>
      <c r="R33" s="191"/>
      <c r="S33" s="109"/>
      <c r="T33" s="191"/>
      <c r="U33" s="109"/>
      <c r="V33" s="191"/>
      <c r="W33" s="109"/>
      <c r="X33" s="191"/>
      <c r="Z33" s="95">
        <f t="shared" si="30"/>
        <v>0</v>
      </c>
      <c r="AC33" s="109"/>
      <c r="AE33" s="140"/>
      <c r="AG33" s="191"/>
      <c r="AH33" s="109"/>
      <c r="AI33" s="191"/>
      <c r="AJ33" s="109"/>
      <c r="AK33" s="191"/>
      <c r="AL33" s="109"/>
      <c r="AM33" s="191"/>
      <c r="AN33" s="109"/>
      <c r="AO33" s="191"/>
      <c r="AP33" s="109"/>
      <c r="AQ33" s="191"/>
      <c r="AR33" s="109"/>
      <c r="AS33" s="191"/>
      <c r="AT33" s="109"/>
      <c r="AU33" s="191"/>
      <c r="AV33" s="109"/>
      <c r="AW33" s="191"/>
      <c r="AX33" s="109"/>
      <c r="AY33" s="191"/>
      <c r="BA33" s="95">
        <f t="shared" si="3"/>
        <v>0</v>
      </c>
      <c r="BB33" s="80"/>
      <c r="BC33" s="80"/>
      <c r="BD33" s="80"/>
    </row>
    <row r="34" spans="1:56" x14ac:dyDescent="0.2">
      <c r="A34" s="160"/>
      <c r="B34" s="665"/>
      <c r="F34" s="234" t="s">
        <v>30</v>
      </c>
      <c r="G34" s="163"/>
      <c r="H34" s="164"/>
      <c r="I34" s="109"/>
      <c r="J34" s="191"/>
      <c r="K34" s="98"/>
      <c r="L34" s="81"/>
      <c r="M34" s="99"/>
      <c r="N34" s="81"/>
      <c r="O34" s="99"/>
      <c r="P34" s="81"/>
      <c r="Q34" s="99"/>
      <c r="R34" s="81"/>
      <c r="S34" s="99"/>
      <c r="T34" s="81"/>
      <c r="U34" s="99"/>
      <c r="V34" s="81"/>
      <c r="W34" s="99"/>
      <c r="X34" s="81"/>
      <c r="Z34" s="95">
        <f t="shared" si="30"/>
        <v>0</v>
      </c>
      <c r="AC34" s="109" t="s">
        <v>30</v>
      </c>
      <c r="AE34" s="140"/>
      <c r="AG34" s="191"/>
      <c r="AH34" s="98"/>
      <c r="AI34" s="81"/>
      <c r="AJ34" s="99"/>
      <c r="AK34" s="81"/>
      <c r="AL34" s="99"/>
      <c r="AM34" s="81"/>
      <c r="AN34" s="99"/>
      <c r="AO34" s="81"/>
      <c r="AP34" s="99"/>
      <c r="AQ34" s="81"/>
      <c r="AR34" s="99"/>
      <c r="AS34" s="81"/>
      <c r="AT34" s="99"/>
      <c r="AU34" s="81"/>
      <c r="AV34" s="81"/>
      <c r="AW34" s="81"/>
      <c r="AX34" s="81"/>
      <c r="AY34" s="81"/>
      <c r="BA34" s="95">
        <f t="shared" si="3"/>
        <v>0</v>
      </c>
      <c r="BB34" s="80"/>
      <c r="BC34" s="80"/>
      <c r="BD34" s="80"/>
    </row>
    <row r="35" spans="1:56" x14ac:dyDescent="0.2">
      <c r="A35" s="160"/>
      <c r="B35" s="665"/>
      <c r="F35" s="109"/>
      <c r="G35" s="163"/>
      <c r="H35" s="164"/>
      <c r="I35" s="109"/>
      <c r="J35" s="191"/>
      <c r="K35" s="98"/>
      <c r="L35" s="81"/>
      <c r="M35" s="99"/>
      <c r="N35" s="81"/>
      <c r="O35" s="99"/>
      <c r="P35" s="81"/>
      <c r="Q35" s="99"/>
      <c r="R35" s="81"/>
      <c r="S35" s="99"/>
      <c r="T35" s="81"/>
      <c r="U35" s="99"/>
      <c r="V35" s="81"/>
      <c r="W35" s="99"/>
      <c r="X35" s="81"/>
      <c r="Z35" s="95"/>
      <c r="AC35" s="109"/>
      <c r="AE35" s="140"/>
      <c r="AG35" s="191"/>
      <c r="AH35" s="98"/>
      <c r="AI35" s="81"/>
      <c r="AJ35" s="99"/>
      <c r="AK35" s="81"/>
      <c r="AL35" s="99"/>
      <c r="AM35" s="81"/>
      <c r="AN35" s="99"/>
      <c r="AO35" s="81"/>
      <c r="AP35" s="99"/>
      <c r="AQ35" s="81"/>
      <c r="AR35" s="99"/>
      <c r="AS35" s="81"/>
      <c r="AT35" s="99"/>
      <c r="AU35" s="81"/>
      <c r="AV35" s="81"/>
      <c r="AW35" s="81"/>
      <c r="AX35" s="81"/>
      <c r="AY35" s="81"/>
      <c r="BA35" s="95">
        <f t="shared" si="3"/>
        <v>0</v>
      </c>
      <c r="BB35" s="80"/>
      <c r="BC35" s="80"/>
      <c r="BD35" s="80"/>
    </row>
    <row r="36" spans="1:56" ht="4.1500000000000004" customHeight="1" x14ac:dyDescent="0.2">
      <c r="A36" s="160"/>
      <c r="B36" s="665"/>
      <c r="F36"/>
      <c r="G36" s="163"/>
      <c r="H36" s="164"/>
      <c r="I36" s="109"/>
      <c r="J36" s="191"/>
      <c r="K36" s="224"/>
      <c r="L36" s="224"/>
      <c r="M36" s="224"/>
      <c r="N36" s="224"/>
      <c r="O36" s="224"/>
      <c r="P36" s="224"/>
      <c r="Q36" s="224"/>
      <c r="R36" s="224"/>
      <c r="S36" s="224"/>
      <c r="T36" s="224"/>
      <c r="U36" s="224"/>
      <c r="V36" s="224"/>
      <c r="W36" s="224"/>
      <c r="X36" s="224"/>
      <c r="Z36" s="95">
        <f t="shared" si="30"/>
        <v>0</v>
      </c>
      <c r="AC36" s="306"/>
      <c r="AG36" s="191"/>
      <c r="AH36" s="224"/>
      <c r="AI36" s="224"/>
      <c r="AJ36" s="224"/>
      <c r="AK36" s="224"/>
      <c r="AL36" s="224"/>
      <c r="AM36" s="224"/>
      <c r="AN36" s="224"/>
      <c r="AO36" s="224"/>
      <c r="AP36" s="224"/>
      <c r="AQ36" s="224"/>
      <c r="AR36" s="224"/>
      <c r="AS36" s="224"/>
      <c r="AT36" s="224"/>
      <c r="AU36" s="224"/>
      <c r="AV36" s="224"/>
      <c r="AW36" s="224"/>
      <c r="AX36" s="224"/>
      <c r="AY36" s="224"/>
      <c r="BA36" s="95">
        <f t="shared" si="3"/>
        <v>0</v>
      </c>
      <c r="BB36" s="80"/>
      <c r="BC36" s="80"/>
      <c r="BD36" s="80"/>
    </row>
    <row r="37" spans="1:56" s="304" customFormat="1" x14ac:dyDescent="0.2">
      <c r="A37" s="160"/>
      <c r="B37" s="665"/>
      <c r="C37" s="664"/>
      <c r="D37" s="300"/>
      <c r="E37" s="105"/>
      <c r="F37" s="109" t="s">
        <v>355</v>
      </c>
      <c r="G37" s="163"/>
      <c r="H37" s="164">
        <v>6</v>
      </c>
      <c r="I37" s="109"/>
      <c r="J37" s="633">
        <v>331150.40281680762</v>
      </c>
      <c r="K37" s="635"/>
      <c r="L37" s="535">
        <f>(VLOOKUP($H37,Factors,L$195))*$J37</f>
        <v>157329.55637826532</v>
      </c>
      <c r="M37" s="536"/>
      <c r="N37" s="535">
        <f>(VLOOKUP($H37,Factors,N$195))*$J37</f>
        <v>65236.629354911107</v>
      </c>
      <c r="O37" s="536"/>
      <c r="P37" s="535">
        <f>(VLOOKUP($H37,Factors,P$195))*$J37</f>
        <v>19140.49328281148</v>
      </c>
      <c r="Q37" s="536"/>
      <c r="R37" s="535">
        <f>(VLOOKUP($H37,Factors,R$195))*$J37</f>
        <v>0</v>
      </c>
      <c r="S37" s="536"/>
      <c r="T37" s="535">
        <f>(VLOOKUP($H37,Factors,T$195))*$J37</f>
        <v>0</v>
      </c>
      <c r="U37" s="536"/>
      <c r="V37" s="535">
        <f>(VLOOKUP($H37,Factors,V$195))*$J37</f>
        <v>20895.590417740561</v>
      </c>
      <c r="W37" s="536"/>
      <c r="X37" s="535">
        <f>(VLOOKUP($H37,Factors,X$195))*$J37</f>
        <v>68548.13338307917</v>
      </c>
      <c r="Y37" s="105"/>
      <c r="Z37" s="105">
        <f t="shared" ref="Z37" si="31">SUM(L37:X37)-J37</f>
        <v>0</v>
      </c>
      <c r="AC37" s="109" t="s">
        <v>355</v>
      </c>
      <c r="AE37" s="140">
        <f t="shared" ref="AE37:AE40" si="32">+H37</f>
        <v>6</v>
      </c>
      <c r="AG37" s="191">
        <f t="shared" ref="AG37:AG40" si="33">+J37</f>
        <v>331150.40281680762</v>
      </c>
      <c r="AH37" s="223"/>
      <c r="AI37" s="104">
        <f>(VLOOKUP($AE37,func,AI$195))*$AG37</f>
        <v>83814.166952934</v>
      </c>
      <c r="AJ37" s="190"/>
      <c r="AK37" s="104">
        <f>(VLOOKUP($AE37,func,AK$195))*$AG37</f>
        <v>8709.2555940820403</v>
      </c>
      <c r="AL37" s="190"/>
      <c r="AM37" s="104">
        <f>(VLOOKUP($AE37,func,AM$195))*$AG37</f>
        <v>149183.25646897184</v>
      </c>
      <c r="AN37" s="190"/>
      <c r="AO37" s="104">
        <f>(VLOOKUP($AE37,func,AO$195))*$AG37</f>
        <v>0</v>
      </c>
      <c r="AP37" s="190"/>
      <c r="AQ37" s="104">
        <f>(VLOOKUP($AE37,func,AQ$195))*$AG37</f>
        <v>0</v>
      </c>
      <c r="AR37" s="190"/>
      <c r="AS37" s="104">
        <f>(VLOOKUP($AE37,func,AS$195))*$AG37</f>
        <v>0</v>
      </c>
      <c r="AT37" s="190"/>
      <c r="AU37" s="104">
        <f>(VLOOKUP($AE37,func,AU$195))*$AG37</f>
        <v>0</v>
      </c>
      <c r="AV37" s="67"/>
      <c r="AW37" s="67">
        <f>(VLOOKUP($AE37,func,AW$195))*$AG37</f>
        <v>20895.590417740561</v>
      </c>
      <c r="AX37" s="67"/>
      <c r="AY37" s="67">
        <f>(VLOOKUP($AE37,func,AY$195))*$AG37</f>
        <v>68548.13338307917</v>
      </c>
      <c r="BA37" s="95">
        <f t="shared" si="3"/>
        <v>0</v>
      </c>
      <c r="BB37" s="80"/>
      <c r="BC37" s="80"/>
      <c r="BD37" s="80"/>
    </row>
    <row r="38" spans="1:56" x14ac:dyDescent="0.2">
      <c r="A38" s="160"/>
      <c r="B38" s="665"/>
      <c r="F38" s="109" t="s">
        <v>369</v>
      </c>
      <c r="G38" s="163"/>
      <c r="H38" s="164">
        <v>6</v>
      </c>
      <c r="I38" s="109"/>
      <c r="J38" s="191">
        <v>99434.502824948198</v>
      </c>
      <c r="K38" s="223"/>
      <c r="L38" s="104">
        <f>(VLOOKUP($H38,Factors,L$195))*$J38</f>
        <v>47241.332292132895</v>
      </c>
      <c r="M38" s="190"/>
      <c r="N38" s="104">
        <f>(VLOOKUP($H38,Factors,N$195))*$J38</f>
        <v>19588.597056514795</v>
      </c>
      <c r="O38" s="190"/>
      <c r="P38" s="104">
        <f>(VLOOKUP($H38,Factors,P$195))*$J38</f>
        <v>5747.3142632820054</v>
      </c>
      <c r="Q38" s="190"/>
      <c r="R38" s="104">
        <f>(VLOOKUP($H38,Factors,R$195))*$J38</f>
        <v>0</v>
      </c>
      <c r="S38" s="190"/>
      <c r="T38" s="104">
        <f>(VLOOKUP($H38,Factors,T$195))*$J38</f>
        <v>0</v>
      </c>
      <c r="U38" s="190"/>
      <c r="V38" s="104">
        <f>(VLOOKUP($H38,Factors,V$195))*$J38</f>
        <v>6274.3171282542316</v>
      </c>
      <c r="W38" s="190"/>
      <c r="X38" s="104">
        <f>(VLOOKUP($H38,Factors,X$195))*$J38</f>
        <v>20582.942084764276</v>
      </c>
      <c r="Y38" s="105"/>
      <c r="Z38" s="105">
        <f t="shared" ref="Z38:Z40" si="34">SUM(L38:X38)-J38</f>
        <v>0</v>
      </c>
      <c r="AC38" s="109" t="s">
        <v>349</v>
      </c>
      <c r="AE38" s="140">
        <f t="shared" si="32"/>
        <v>6</v>
      </c>
      <c r="AG38" s="191">
        <f t="shared" si="33"/>
        <v>99434.502824948198</v>
      </c>
      <c r="AH38" s="223"/>
      <c r="AI38" s="104">
        <f>(VLOOKUP($AE38,func,AI$195))*$AG38</f>
        <v>25166.872664994389</v>
      </c>
      <c r="AJ38" s="190"/>
      <c r="AK38" s="104">
        <f>(VLOOKUP($AE38,func,AK$195))*$AG38</f>
        <v>2615.1274242961376</v>
      </c>
      <c r="AL38" s="190"/>
      <c r="AM38" s="104">
        <f>(VLOOKUP($AE38,func,AM$195))*$AG38</f>
        <v>44795.243522639168</v>
      </c>
      <c r="AN38" s="190"/>
      <c r="AO38" s="104">
        <f>(VLOOKUP($AE38,func,AO$195))*$AG38</f>
        <v>0</v>
      </c>
      <c r="AP38" s="190"/>
      <c r="AQ38" s="104">
        <f>(VLOOKUP($AE38,func,AQ$195))*$AG38</f>
        <v>0</v>
      </c>
      <c r="AR38" s="190"/>
      <c r="AS38" s="104">
        <f>(VLOOKUP($AE38,func,AS$195))*$AG38</f>
        <v>0</v>
      </c>
      <c r="AT38" s="190"/>
      <c r="AU38" s="104">
        <f>(VLOOKUP($AE38,func,AU$195))*$AG38</f>
        <v>0</v>
      </c>
      <c r="AV38" s="67"/>
      <c r="AW38" s="67">
        <f>(VLOOKUP($AE38,func,AW$195))*$AG38</f>
        <v>6274.3171282542316</v>
      </c>
      <c r="AX38" s="67"/>
      <c r="AY38" s="67">
        <f>(VLOOKUP($AE38,func,AY$195))*$AG38</f>
        <v>20582.942084764276</v>
      </c>
      <c r="BA38" s="95">
        <f t="shared" si="3"/>
        <v>0</v>
      </c>
      <c r="BB38" s="80"/>
      <c r="BC38" s="80"/>
      <c r="BD38" s="80"/>
    </row>
    <row r="39" spans="1:56" s="281" customFormat="1" x14ac:dyDescent="0.2">
      <c r="A39" s="160"/>
      <c r="B39" s="665"/>
      <c r="C39" s="664"/>
      <c r="D39" s="300"/>
      <c r="E39" s="105"/>
      <c r="F39" s="109" t="s">
        <v>474</v>
      </c>
      <c r="G39" s="163"/>
      <c r="H39" s="164">
        <v>6</v>
      </c>
      <c r="I39" s="109"/>
      <c r="J39" s="191">
        <v>48331.76</v>
      </c>
      <c r="K39" s="223"/>
      <c r="L39" s="104">
        <f>(VLOOKUP($H39,Factors,L$195))*$J39</f>
        <v>22962.419176000003</v>
      </c>
      <c r="M39" s="190"/>
      <c r="N39" s="104">
        <f>(VLOOKUP($H39,Factors,N$195))*$J39</f>
        <v>9521.3567200000016</v>
      </c>
      <c r="O39" s="190"/>
      <c r="P39" s="104">
        <f>(VLOOKUP($H39,Factors,P$195))*$J39</f>
        <v>2793.5757279999998</v>
      </c>
      <c r="Q39" s="190"/>
      <c r="R39" s="104">
        <f>(VLOOKUP($H39,Factors,R$195))*$J39</f>
        <v>0</v>
      </c>
      <c r="S39" s="190"/>
      <c r="T39" s="104">
        <f>(VLOOKUP($H39,Factors,T$195))*$J39</f>
        <v>0</v>
      </c>
      <c r="U39" s="190"/>
      <c r="V39" s="104">
        <f>(VLOOKUP($H39,Factors,V$195))*$J39</f>
        <v>3049.7340560000002</v>
      </c>
      <c r="W39" s="190"/>
      <c r="X39" s="104">
        <f>(VLOOKUP($H39,Factors,X$195))*$J39</f>
        <v>10004.67432</v>
      </c>
      <c r="Y39" s="105"/>
      <c r="Z39" s="105">
        <f t="shared" si="34"/>
        <v>0</v>
      </c>
      <c r="AC39" s="109" t="s">
        <v>346</v>
      </c>
      <c r="AE39" s="140">
        <f t="shared" si="32"/>
        <v>6</v>
      </c>
      <c r="AG39" s="191">
        <f t="shared" si="33"/>
        <v>48331.76</v>
      </c>
      <c r="AH39" s="223"/>
      <c r="AI39" s="104">
        <f>(VLOOKUP($AE39,func,AI$195))*$AG39</f>
        <v>12232.768456</v>
      </c>
      <c r="AJ39" s="190"/>
      <c r="AK39" s="104">
        <f>(VLOOKUP($AE39,func,AK$195))*$AG39</f>
        <v>1271.1252880000002</v>
      </c>
      <c r="AL39" s="190"/>
      <c r="AM39" s="104">
        <f>(VLOOKUP($AE39,func,AM$195))*$AG39</f>
        <v>21773.457880000002</v>
      </c>
      <c r="AN39" s="190"/>
      <c r="AO39" s="104">
        <f>(VLOOKUP($AE39,func,AO$195))*$AG39</f>
        <v>0</v>
      </c>
      <c r="AP39" s="190"/>
      <c r="AQ39" s="104">
        <f>(VLOOKUP($AE39,func,AQ$195))*$AG39</f>
        <v>0</v>
      </c>
      <c r="AR39" s="190"/>
      <c r="AS39" s="104">
        <f>(VLOOKUP($AE39,func,AS$195))*$AG39</f>
        <v>0</v>
      </c>
      <c r="AT39" s="190"/>
      <c r="AU39" s="104">
        <f>(VLOOKUP($AE39,func,AU$195))*$AG39</f>
        <v>0</v>
      </c>
      <c r="AV39" s="67"/>
      <c r="AW39" s="67">
        <f>(VLOOKUP($AE39,func,AW$195))*$AG39</f>
        <v>3049.7340560000002</v>
      </c>
      <c r="AX39" s="67"/>
      <c r="AY39" s="67">
        <f>(VLOOKUP($AE39,func,AY$195))*$AG39</f>
        <v>10004.67432</v>
      </c>
      <c r="BA39" s="95">
        <f t="shared" ref="BA39:BA62" si="35">SUM(AI39:AY39)-AG39</f>
        <v>0</v>
      </c>
      <c r="BB39" s="80"/>
      <c r="BC39" s="80"/>
      <c r="BD39" s="80"/>
    </row>
    <row r="40" spans="1:56" s="281" customFormat="1" x14ac:dyDescent="0.2">
      <c r="A40" s="227"/>
      <c r="B40" s="667"/>
      <c r="C40" s="664"/>
      <c r="D40" s="300"/>
      <c r="E40" s="105"/>
      <c r="F40" s="109" t="s">
        <v>351</v>
      </c>
      <c r="G40" s="163"/>
      <c r="H40" s="164">
        <v>6</v>
      </c>
      <c r="I40" s="109"/>
      <c r="J40" s="191">
        <v>13570.113825611274</v>
      </c>
      <c r="K40" s="98"/>
      <c r="L40" s="104">
        <f>(VLOOKUP($H40,Factors,L$195))*$J40</f>
        <v>6447.1610785479161</v>
      </c>
      <c r="M40" s="190"/>
      <c r="N40" s="104">
        <f>(VLOOKUP($H40,Factors,N$195))*$J40</f>
        <v>2673.3124236454209</v>
      </c>
      <c r="O40" s="190"/>
      <c r="P40" s="104">
        <f>(VLOOKUP($H40,Factors,P$195))*$J40</f>
        <v>784.3525791203316</v>
      </c>
      <c r="Q40" s="190"/>
      <c r="R40" s="104">
        <f>(VLOOKUP($H40,Factors,R$195))*$J40</f>
        <v>0</v>
      </c>
      <c r="S40" s="190"/>
      <c r="T40" s="104">
        <f>(VLOOKUP($H40,Factors,T$195))*$J40</f>
        <v>0</v>
      </c>
      <c r="U40" s="190"/>
      <c r="V40" s="104">
        <f>(VLOOKUP($H40,Factors,V$195))*$J40</f>
        <v>856.27418239607141</v>
      </c>
      <c r="W40" s="190"/>
      <c r="X40" s="104">
        <f>(VLOOKUP($H40,Factors,X$195))*$J40</f>
        <v>2809.0135619015336</v>
      </c>
      <c r="Y40" s="105"/>
      <c r="Z40" s="105">
        <f t="shared" si="34"/>
        <v>0</v>
      </c>
      <c r="AC40" s="109" t="s">
        <v>351</v>
      </c>
      <c r="AE40" s="140">
        <f t="shared" si="32"/>
        <v>6</v>
      </c>
      <c r="AG40" s="191">
        <f t="shared" si="33"/>
        <v>13570.113825611274</v>
      </c>
      <c r="AH40" s="98"/>
      <c r="AI40" s="104">
        <f>(VLOOKUP($AE40,func,AI$195))*$AG40</f>
        <v>3434.5958092622132</v>
      </c>
      <c r="AJ40" s="190"/>
      <c r="AK40" s="104">
        <f>(VLOOKUP($AE40,func,AK$195))*$AG40</f>
        <v>356.89399361357653</v>
      </c>
      <c r="AL40" s="190"/>
      <c r="AM40" s="104">
        <f>(VLOOKUP($AE40,func,AM$195))*$AG40</f>
        <v>6113.3362784378787</v>
      </c>
      <c r="AN40" s="190"/>
      <c r="AO40" s="104">
        <f>(VLOOKUP($AE40,func,AO$195))*$AG40</f>
        <v>0</v>
      </c>
      <c r="AP40" s="190"/>
      <c r="AQ40" s="104">
        <f>(VLOOKUP($AE40,func,AQ$195))*$AG40</f>
        <v>0</v>
      </c>
      <c r="AR40" s="190"/>
      <c r="AS40" s="104">
        <f>(VLOOKUP($AE40,func,AS$195))*$AG40</f>
        <v>0</v>
      </c>
      <c r="AT40" s="190"/>
      <c r="AU40" s="104">
        <f>(VLOOKUP($AE40,func,AU$195))*$AG40</f>
        <v>0</v>
      </c>
      <c r="AV40" s="67"/>
      <c r="AW40" s="67">
        <f>(VLOOKUP($AE40,func,AW$195))*$AG40</f>
        <v>856.27418239607141</v>
      </c>
      <c r="AX40" s="67"/>
      <c r="AY40" s="67">
        <f>(VLOOKUP($AE40,func,AY$195))*$AG40</f>
        <v>2809.0135619015336</v>
      </c>
      <c r="BA40" s="95">
        <f t="shared" si="35"/>
        <v>0</v>
      </c>
      <c r="BB40" s="80"/>
      <c r="BC40" s="80"/>
      <c r="BD40" s="80"/>
    </row>
    <row r="41" spans="1:56" x14ac:dyDescent="0.2">
      <c r="A41" s="227"/>
      <c r="B41" s="667"/>
      <c r="F41" s="109"/>
      <c r="G41" s="163"/>
      <c r="H41" s="164"/>
      <c r="I41" s="109"/>
      <c r="J41" s="232"/>
      <c r="K41" s="98"/>
      <c r="L41" s="231"/>
      <c r="M41" s="98"/>
      <c r="N41" s="231"/>
      <c r="O41" s="98"/>
      <c r="P41" s="231"/>
      <c r="Q41" s="98"/>
      <c r="R41" s="231"/>
      <c r="S41" s="98"/>
      <c r="T41" s="231"/>
      <c r="U41" s="98"/>
      <c r="V41" s="231"/>
      <c r="W41" s="98"/>
      <c r="X41" s="231"/>
      <c r="Y41" s="105"/>
      <c r="Z41" s="105"/>
      <c r="AC41" s="109"/>
      <c r="AE41" s="140"/>
      <c r="AG41" s="232"/>
      <c r="AH41" s="98"/>
      <c r="AI41" s="231"/>
      <c r="AJ41" s="98"/>
      <c r="AK41" s="231"/>
      <c r="AL41" s="98"/>
      <c r="AM41" s="231"/>
      <c r="AN41" s="98"/>
      <c r="AO41" s="231"/>
      <c r="AP41" s="98"/>
      <c r="AQ41" s="231"/>
      <c r="AR41" s="98"/>
      <c r="AS41" s="231"/>
      <c r="AT41" s="98"/>
      <c r="AU41" s="231"/>
      <c r="AV41" s="98"/>
      <c r="AW41" s="231"/>
      <c r="AX41" s="98"/>
      <c r="AY41" s="231"/>
      <c r="BA41" s="95">
        <f t="shared" si="35"/>
        <v>0</v>
      </c>
      <c r="BB41" s="80"/>
      <c r="BC41" s="80"/>
      <c r="BD41" s="80"/>
    </row>
    <row r="42" spans="1:56" x14ac:dyDescent="0.2">
      <c r="A42" s="160"/>
      <c r="B42" s="665"/>
      <c r="F42" s="109"/>
      <c r="G42" s="163"/>
      <c r="H42" s="164"/>
      <c r="I42" s="109"/>
      <c r="J42" s="191"/>
      <c r="K42" s="98"/>
      <c r="L42" s="81"/>
      <c r="M42" s="98"/>
      <c r="N42" s="81"/>
      <c r="O42" s="98"/>
      <c r="P42" s="81"/>
      <c r="Q42" s="98"/>
      <c r="R42" s="81"/>
      <c r="S42" s="98"/>
      <c r="T42" s="81"/>
      <c r="U42" s="98"/>
      <c r="V42" s="81"/>
      <c r="W42" s="98"/>
      <c r="X42" s="81"/>
      <c r="Z42" s="95">
        <f t="shared" ref="Z42:Z43" si="36">SUM(L42:X42)-J42</f>
        <v>0</v>
      </c>
      <c r="AC42" s="109"/>
      <c r="AG42" s="191"/>
      <c r="AH42" s="98"/>
      <c r="AI42" s="81"/>
      <c r="AJ42" s="98"/>
      <c r="AK42" s="81"/>
      <c r="AL42" s="98"/>
      <c r="AM42" s="81"/>
      <c r="AN42" s="98"/>
      <c r="AO42" s="81"/>
      <c r="AP42" s="98"/>
      <c r="AQ42" s="81"/>
      <c r="AR42" s="98"/>
      <c r="AS42" s="81"/>
      <c r="AT42" s="98"/>
      <c r="AU42" s="81"/>
      <c r="AV42" s="98"/>
      <c r="AW42" s="81"/>
      <c r="AX42" s="98"/>
      <c r="AY42" s="81"/>
      <c r="BA42" s="95">
        <f t="shared" si="35"/>
        <v>0</v>
      </c>
      <c r="BB42" s="80"/>
      <c r="BC42" s="80"/>
      <c r="BD42" s="80"/>
    </row>
    <row r="43" spans="1:56" x14ac:dyDescent="0.2">
      <c r="A43" s="160"/>
      <c r="B43" s="665"/>
      <c r="F43" s="109" t="s">
        <v>14</v>
      </c>
      <c r="G43" s="163"/>
      <c r="H43" s="164"/>
      <c r="I43" s="109"/>
      <c r="J43" s="232">
        <f>SUM(J37:J42)</f>
        <v>492486.77946736704</v>
      </c>
      <c r="K43" s="109"/>
      <c r="L43" s="232">
        <f>SUM(L37:L42)</f>
        <v>233980.46892494612</v>
      </c>
      <c r="M43" s="109"/>
      <c r="N43" s="652">
        <f>SUM(N37:N42)</f>
        <v>97019.895555071314</v>
      </c>
      <c r="O43" s="109"/>
      <c r="P43" s="232">
        <f>SUM(P37:P42)</f>
        <v>28465.735853213817</v>
      </c>
      <c r="Q43" s="109"/>
      <c r="R43" s="232">
        <f>SUM(R37:R42)</f>
        <v>0</v>
      </c>
      <c r="S43" s="109"/>
      <c r="T43" s="232">
        <f>SUM(T37:T42)</f>
        <v>0</v>
      </c>
      <c r="U43" s="109"/>
      <c r="V43" s="232">
        <f>SUM(V37:V42)</f>
        <v>31075.915784390865</v>
      </c>
      <c r="W43" s="109"/>
      <c r="X43" s="232">
        <f>SUM(X37:X42)</f>
        <v>101944.76334974499</v>
      </c>
      <c r="Z43" s="95">
        <f t="shared" si="36"/>
        <v>0</v>
      </c>
      <c r="AC43" s="109" t="s">
        <v>11</v>
      </c>
      <c r="AD43" s="163"/>
      <c r="AE43" s="164"/>
      <c r="AF43" s="109"/>
      <c r="AG43" s="232">
        <f>SUM(AG37:AG42)</f>
        <v>492486.77946736704</v>
      </c>
      <c r="AH43" s="109"/>
      <c r="AI43" s="232">
        <f>SUM(AI37:AI42)</f>
        <v>124648.40388319061</v>
      </c>
      <c r="AJ43" s="109"/>
      <c r="AK43" s="232">
        <f>SUM(AK37:AK42)</f>
        <v>12952.402299991754</v>
      </c>
      <c r="AL43" s="109"/>
      <c r="AM43" s="232">
        <f>SUM(AM37:AM42)</f>
        <v>221865.29415004887</v>
      </c>
      <c r="AN43" s="109"/>
      <c r="AO43" s="232">
        <f>SUM(AO37:AO42)</f>
        <v>0</v>
      </c>
      <c r="AP43" s="109"/>
      <c r="AQ43" s="232">
        <f>SUM(AQ37:AQ42)</f>
        <v>0</v>
      </c>
      <c r="AR43" s="109"/>
      <c r="AS43" s="232">
        <f>SUM(AS37:AS42)</f>
        <v>0</v>
      </c>
      <c r="AT43" s="109"/>
      <c r="AU43" s="232">
        <f>SUM(AU37:AU42)</f>
        <v>0</v>
      </c>
      <c r="AV43" s="109"/>
      <c r="AW43" s="232">
        <f>SUM(AW37:AW42)</f>
        <v>31075.915784390865</v>
      </c>
      <c r="AX43" s="109"/>
      <c r="AY43" s="232">
        <f>SUM(AY37:AY42)</f>
        <v>101944.76334974499</v>
      </c>
      <c r="BA43" s="95">
        <f t="shared" si="35"/>
        <v>0</v>
      </c>
      <c r="BB43" s="80"/>
      <c r="BC43" s="80"/>
      <c r="BD43" s="80"/>
    </row>
    <row r="44" spans="1:56" x14ac:dyDescent="0.2">
      <c r="A44" s="160"/>
      <c r="B44" s="665"/>
      <c r="F44" s="109"/>
      <c r="G44" s="163"/>
      <c r="H44" s="164"/>
      <c r="I44" s="109"/>
      <c r="J44" s="191"/>
      <c r="K44" s="98"/>
      <c r="L44" s="81"/>
      <c r="M44" s="99"/>
      <c r="N44" s="81"/>
      <c r="O44" s="99"/>
      <c r="P44" s="81"/>
      <c r="Q44" s="99"/>
      <c r="R44" s="81"/>
      <c r="S44" s="99"/>
      <c r="T44" s="81"/>
      <c r="U44" s="99"/>
      <c r="V44" s="81"/>
      <c r="W44" s="99"/>
      <c r="X44" s="81"/>
      <c r="Z44" s="95">
        <f t="shared" ref="Z44:Z49" si="37">SUM(L44:X44)-J44</f>
        <v>0</v>
      </c>
      <c r="AC44" s="109"/>
      <c r="AE44" s="140"/>
      <c r="AG44" s="191"/>
      <c r="AH44" s="98"/>
      <c r="AI44" s="81"/>
      <c r="AJ44" s="99"/>
      <c r="AK44" s="81"/>
      <c r="AL44" s="99"/>
      <c r="AM44" s="81"/>
      <c r="AN44" s="99"/>
      <c r="AO44" s="81"/>
      <c r="AP44" s="99"/>
      <c r="AQ44" s="81"/>
      <c r="AR44" s="99"/>
      <c r="AS44" s="81"/>
      <c r="AT44" s="99"/>
      <c r="AU44" s="81"/>
      <c r="AV44" s="99"/>
      <c r="AW44" s="81"/>
      <c r="AX44" s="99"/>
      <c r="AY44" s="81"/>
      <c r="BA44" s="95">
        <f t="shared" si="35"/>
        <v>0</v>
      </c>
      <c r="BB44" s="80"/>
      <c r="BC44" s="80"/>
      <c r="BD44" s="80"/>
    </row>
    <row r="45" spans="1:56" x14ac:dyDescent="0.2">
      <c r="A45" s="160"/>
      <c r="B45" s="665"/>
      <c r="F45" s="234" t="s">
        <v>258</v>
      </c>
      <c r="G45" s="163"/>
      <c r="H45" s="164"/>
      <c r="I45" s="109"/>
      <c r="J45" s="191"/>
      <c r="K45" s="98"/>
      <c r="L45" s="81"/>
      <c r="M45" s="99"/>
      <c r="N45" s="81"/>
      <c r="O45" s="99"/>
      <c r="P45" s="81"/>
      <c r="Q45" s="99"/>
      <c r="R45" s="81"/>
      <c r="S45" s="99"/>
      <c r="T45" s="81"/>
      <c r="U45" s="99"/>
      <c r="V45" s="81"/>
      <c r="W45" s="99"/>
      <c r="X45" s="81"/>
      <c r="Z45" s="95">
        <f t="shared" si="37"/>
        <v>0</v>
      </c>
      <c r="AC45" s="109" t="s">
        <v>258</v>
      </c>
      <c r="AE45" s="140"/>
      <c r="AG45" s="191"/>
      <c r="AH45" s="98"/>
      <c r="AI45" s="81"/>
      <c r="AJ45" s="99"/>
      <c r="AK45" s="81"/>
      <c r="AL45" s="99"/>
      <c r="AM45" s="81"/>
      <c r="AN45" s="99"/>
      <c r="AO45" s="81"/>
      <c r="AP45" s="99"/>
      <c r="AQ45" s="81"/>
      <c r="AR45" s="99"/>
      <c r="AS45" s="81"/>
      <c r="AT45" s="99"/>
      <c r="AU45" s="81"/>
      <c r="AV45" s="99"/>
      <c r="AW45" s="81"/>
      <c r="AX45" s="99"/>
      <c r="AY45" s="81"/>
      <c r="BA45" s="95">
        <f t="shared" si="35"/>
        <v>0</v>
      </c>
      <c r="BB45" s="80"/>
      <c r="BC45" s="80"/>
      <c r="BD45" s="80"/>
    </row>
    <row r="46" spans="1:56" x14ac:dyDescent="0.2">
      <c r="A46" s="160"/>
      <c r="B46" s="665"/>
      <c r="F46" s="109" t="s">
        <v>470</v>
      </c>
      <c r="G46" s="163"/>
      <c r="H46" s="164">
        <v>10</v>
      </c>
      <c r="I46" s="109"/>
      <c r="J46" s="191">
        <v>49449.188410587434</v>
      </c>
      <c r="K46" s="98"/>
      <c r="L46" s="104">
        <f>(VLOOKUP($H46,Factors,L$195))*$J46</f>
        <v>42605.420734562133</v>
      </c>
      <c r="M46" s="190"/>
      <c r="N46" s="104">
        <f>(VLOOKUP($H46,Factors,N$195))*$J46</f>
        <v>6082.2501745022546</v>
      </c>
      <c r="O46" s="190"/>
      <c r="P46" s="104">
        <f>(VLOOKUP($H46,Factors,P$195))*$J46</f>
        <v>103.8432956622336</v>
      </c>
      <c r="Q46" s="190"/>
      <c r="R46" s="104">
        <f>(VLOOKUP($H46,Factors,R$195))*$J46</f>
        <v>0</v>
      </c>
      <c r="S46" s="190"/>
      <c r="T46" s="104">
        <f>(VLOOKUP($H46,Factors,T$195))*$J46</f>
        <v>0</v>
      </c>
      <c r="U46" s="190"/>
      <c r="V46" s="104">
        <f>(VLOOKUP($H46,Factors,V$195))*$J46</f>
        <v>642.83944933763667</v>
      </c>
      <c r="W46" s="190"/>
      <c r="X46" s="104">
        <f>(VLOOKUP($H46,Factors,X$195))*$J46</f>
        <v>14.834756523176228</v>
      </c>
      <c r="Y46" s="105"/>
      <c r="Z46" s="105">
        <f t="shared" si="37"/>
        <v>0</v>
      </c>
      <c r="AC46" s="109" t="s">
        <v>357</v>
      </c>
      <c r="AE46" s="140">
        <f t="shared" ref="AE46:AE49" si="38">+H46</f>
        <v>10</v>
      </c>
      <c r="AG46" s="191">
        <f t="shared" ref="AG46:AG49" si="39">+J46</f>
        <v>49449.188410587434</v>
      </c>
      <c r="AH46" s="98"/>
      <c r="AI46" s="104">
        <f>(VLOOKUP($AE46,func,AI$195))*$AG46</f>
        <v>0</v>
      </c>
      <c r="AJ46" s="190"/>
      <c r="AK46" s="104">
        <f>(VLOOKUP($AE46,func,AK$195))*$AG46</f>
        <v>0</v>
      </c>
      <c r="AL46" s="190"/>
      <c r="AM46" s="104">
        <f>(VLOOKUP($AE46,func,AM$195))*$AG46</f>
        <v>0</v>
      </c>
      <c r="AN46" s="190"/>
      <c r="AO46" s="104">
        <f>(VLOOKUP($AE46,func,AO$195))*$AG46</f>
        <v>0</v>
      </c>
      <c r="AP46" s="190"/>
      <c r="AQ46" s="104">
        <f>(VLOOKUP($AE46,func,AQ$195))*$AG46</f>
        <v>0</v>
      </c>
      <c r="AR46" s="190"/>
      <c r="AS46" s="104">
        <f>(VLOOKUP($AE46,func,AS$195))*$AG46</f>
        <v>48791.51420472662</v>
      </c>
      <c r="AT46" s="190"/>
      <c r="AU46" s="104">
        <f>(VLOOKUP($AE46,func,AU$195))*$AG46</f>
        <v>0</v>
      </c>
      <c r="AV46" s="190"/>
      <c r="AW46" s="104">
        <f>(VLOOKUP($AE46,func,AW$195))*$AG46</f>
        <v>642.83944933763667</v>
      </c>
      <c r="AX46" s="190"/>
      <c r="AY46" s="104">
        <f>(VLOOKUP($AE46,func,AY$195))*$AG46</f>
        <v>14.834756523176228</v>
      </c>
      <c r="BA46" s="95">
        <f t="shared" si="35"/>
        <v>0</v>
      </c>
      <c r="BB46" s="80"/>
      <c r="BC46" s="80"/>
      <c r="BD46" s="80"/>
    </row>
    <row r="47" spans="1:56" s="304" customFormat="1" x14ac:dyDescent="0.2">
      <c r="A47" s="82"/>
      <c r="B47" s="668"/>
      <c r="C47" s="664"/>
      <c r="D47" s="300"/>
      <c r="E47" s="105"/>
      <c r="F47" s="109" t="s">
        <v>325</v>
      </c>
      <c r="G47" s="59"/>
      <c r="H47" s="164">
        <v>10</v>
      </c>
      <c r="I47" s="109"/>
      <c r="J47" s="191">
        <v>53172.860159361007</v>
      </c>
      <c r="K47" s="224"/>
      <c r="L47" s="162">
        <f>(VLOOKUP($H47,Factors,L$195))*$J47</f>
        <v>45813.736313305446</v>
      </c>
      <c r="M47" s="105"/>
      <c r="N47" s="162">
        <f>(VLOOKUP($H47,Factors,N$195))*$J47</f>
        <v>6540.2617996014042</v>
      </c>
      <c r="O47" s="105"/>
      <c r="P47" s="162">
        <f>(VLOOKUP($H47,Factors,P$195))*$J47</f>
        <v>111.66300633465811</v>
      </c>
      <c r="Q47" s="105"/>
      <c r="R47" s="162">
        <f>(VLOOKUP($H47,Factors,R$195))*$J47</f>
        <v>0</v>
      </c>
      <c r="S47" s="105"/>
      <c r="T47" s="162">
        <f>(VLOOKUP($H47,Factors,T$195))*$J47</f>
        <v>0</v>
      </c>
      <c r="U47" s="105"/>
      <c r="V47" s="162">
        <f>(VLOOKUP($H47,Factors,V$195))*$J47</f>
        <v>691.24718207169303</v>
      </c>
      <c r="W47" s="105"/>
      <c r="X47" s="162">
        <f>(VLOOKUP($H47,Factors,X$195))*$J47</f>
        <v>15.951858047808301</v>
      </c>
      <c r="Y47" s="105"/>
      <c r="Z47" s="105">
        <f t="shared" ref="Z47" si="40">SUM(L47:X47)-J47</f>
        <v>0</v>
      </c>
      <c r="AC47" s="109" t="s">
        <v>325</v>
      </c>
      <c r="AE47" s="140">
        <f t="shared" si="38"/>
        <v>10</v>
      </c>
      <c r="AG47" s="191">
        <f t="shared" si="39"/>
        <v>53172.860159361007</v>
      </c>
      <c r="AH47" s="224"/>
      <c r="AI47" s="162">
        <f>(VLOOKUP($AE47,func,AI$195))*$AG47</f>
        <v>0</v>
      </c>
      <c r="AJ47" s="105"/>
      <c r="AK47" s="162">
        <f>(VLOOKUP($AE47,func,AK$195))*$AG47</f>
        <v>0</v>
      </c>
      <c r="AL47" s="105"/>
      <c r="AM47" s="162">
        <f>(VLOOKUP($AE47,func,AM$195))*$AG47</f>
        <v>0</v>
      </c>
      <c r="AN47" s="105"/>
      <c r="AO47" s="162">
        <f>(VLOOKUP($AE47,func,AO$195))*$AG47</f>
        <v>0</v>
      </c>
      <c r="AP47" s="105"/>
      <c r="AQ47" s="162">
        <f>(VLOOKUP($AE47,func,AQ$195))*$AG47</f>
        <v>0</v>
      </c>
      <c r="AR47" s="105"/>
      <c r="AS47" s="162">
        <f>(VLOOKUP($AE47,func,AS$195))*$AG47</f>
        <v>52465.661119241508</v>
      </c>
      <c r="AT47" s="105"/>
      <c r="AU47" s="162">
        <f>(VLOOKUP($AE47,func,AU$195))*$AG47</f>
        <v>0</v>
      </c>
      <c r="AV47" s="105"/>
      <c r="AW47" s="162">
        <f>(VLOOKUP($AE47,func,AW$195))*$AG47</f>
        <v>691.24718207169303</v>
      </c>
      <c r="AX47" s="105"/>
      <c r="AY47" s="162">
        <f>(VLOOKUP($AE47,func,AY$195))*$AG47</f>
        <v>15.951858047808301</v>
      </c>
      <c r="BA47" s="95">
        <f t="shared" si="35"/>
        <v>0</v>
      </c>
      <c r="BB47" s="80"/>
      <c r="BC47" s="80"/>
      <c r="BD47" s="80"/>
    </row>
    <row r="48" spans="1:56" s="371" customFormat="1" x14ac:dyDescent="0.2">
      <c r="A48" s="82"/>
      <c r="B48" s="668"/>
      <c r="C48" s="664"/>
      <c r="D48" s="300"/>
      <c r="E48" s="105"/>
      <c r="F48" s="109" t="s">
        <v>404</v>
      </c>
      <c r="G48" s="59"/>
      <c r="H48" s="164">
        <v>10</v>
      </c>
      <c r="I48" s="109"/>
      <c r="J48" s="191">
        <v>20698.45</v>
      </c>
      <c r="K48" s="224"/>
      <c r="L48" s="162">
        <f>(VLOOKUP($H48,Factors,L$195))*$J48</f>
        <v>17833.784520000001</v>
      </c>
      <c r="M48" s="105"/>
      <c r="N48" s="162">
        <f>(VLOOKUP($H48,Factors,N$195))*$J48</f>
        <v>2545.9093499999999</v>
      </c>
      <c r="O48" s="105"/>
      <c r="P48" s="162">
        <f>(VLOOKUP($H48,Factors,P$195))*$J48</f>
        <v>43.466744999999996</v>
      </c>
      <c r="Q48" s="105"/>
      <c r="R48" s="162"/>
      <c r="S48" s="105"/>
      <c r="T48" s="162"/>
      <c r="U48" s="105"/>
      <c r="V48" s="162">
        <f>(VLOOKUP($H48,Factors,V$195))*$J48</f>
        <v>269.07985000000002</v>
      </c>
      <c r="W48" s="105"/>
      <c r="X48" s="162">
        <f>(VLOOKUP($H48,Factors,X$195))*$J48</f>
        <v>6.2095349999999998</v>
      </c>
      <c r="Y48" s="105"/>
      <c r="Z48" s="105">
        <f t="shared" ref="Z48" si="41">SUM(L48:X48)-J48</f>
        <v>0</v>
      </c>
      <c r="AC48" s="109" t="s">
        <v>404</v>
      </c>
      <c r="AE48" s="140">
        <f t="shared" ref="AE48" si="42">+H48</f>
        <v>10</v>
      </c>
      <c r="AG48" s="191">
        <f t="shared" ref="AG48" si="43">+J48</f>
        <v>20698.45</v>
      </c>
      <c r="AH48" s="224"/>
      <c r="AI48" s="162">
        <f>(VLOOKUP($AE48,func,AI$195))*$AG48</f>
        <v>0</v>
      </c>
      <c r="AJ48" s="105"/>
      <c r="AK48" s="162">
        <f>(VLOOKUP($AE48,func,AK$195))*$AG48</f>
        <v>0</v>
      </c>
      <c r="AL48" s="105"/>
      <c r="AM48" s="162">
        <f>(VLOOKUP($AE48,func,AM$195))*$AG48</f>
        <v>0</v>
      </c>
      <c r="AN48" s="105"/>
      <c r="AO48" s="162">
        <f>(VLOOKUP($AE48,func,AO$195))*$AG48</f>
        <v>0</v>
      </c>
      <c r="AP48" s="105"/>
      <c r="AQ48" s="162">
        <f>(VLOOKUP($AE48,func,AQ$195))*$AG48</f>
        <v>0</v>
      </c>
      <c r="AR48" s="105"/>
      <c r="AS48" s="162">
        <f>(VLOOKUP($AE48,func,AS$195))*$AG48</f>
        <v>20423.160615000001</v>
      </c>
      <c r="AT48" s="105"/>
      <c r="AU48" s="162">
        <f>(VLOOKUP($AE48,func,AU$195))*$AG48</f>
        <v>0</v>
      </c>
      <c r="AV48" s="105"/>
      <c r="AW48" s="162">
        <f>(VLOOKUP($AE48,func,AW$195))*$AG48</f>
        <v>269.07985000000002</v>
      </c>
      <c r="AX48" s="105"/>
      <c r="AY48" s="162">
        <f>(VLOOKUP($AE48,func,AY$195))*$AG48</f>
        <v>6.2095349999999998</v>
      </c>
      <c r="BA48" s="95">
        <f t="shared" ref="BA48" si="44">SUM(AI48:AY48)-AG48</f>
        <v>0</v>
      </c>
      <c r="BB48" s="80"/>
      <c r="BC48" s="80"/>
      <c r="BD48" s="80"/>
    </row>
    <row r="49" spans="1:56" x14ac:dyDescent="0.2">
      <c r="A49" s="160"/>
      <c r="B49" s="665"/>
      <c r="F49" s="109" t="s">
        <v>412</v>
      </c>
      <c r="G49" s="163"/>
      <c r="H49" s="164">
        <v>10</v>
      </c>
      <c r="I49" s="109"/>
      <c r="J49" s="232">
        <v>23604.28</v>
      </c>
      <c r="K49" s="98"/>
      <c r="L49" s="231">
        <f>(VLOOKUP($H49,Factors,L$195))*$J49</f>
        <v>20337.447648000001</v>
      </c>
      <c r="M49" s="98"/>
      <c r="N49" s="231">
        <f>(VLOOKUP($H49,Factors,N$195))*$J49</f>
        <v>2903.3264399999998</v>
      </c>
      <c r="O49" s="98"/>
      <c r="P49" s="231">
        <f>(VLOOKUP($H49,Factors,P$195))*$J49</f>
        <v>49.568987999999997</v>
      </c>
      <c r="Q49" s="98"/>
      <c r="R49" s="231">
        <f>(VLOOKUP($H49,Factors,R$195))*$J49</f>
        <v>0</v>
      </c>
      <c r="S49" s="98"/>
      <c r="T49" s="231">
        <f>(VLOOKUP($H49,Factors,T$195))*$J49</f>
        <v>0</v>
      </c>
      <c r="U49" s="98"/>
      <c r="V49" s="231">
        <f>(VLOOKUP($H49,Factors,V$195))*$J49</f>
        <v>306.85563999999999</v>
      </c>
      <c r="W49" s="98"/>
      <c r="X49" s="231">
        <f>(VLOOKUP($H49,Factors,X$195))*$J49</f>
        <v>7.0812839999999992</v>
      </c>
      <c r="Y49" s="105"/>
      <c r="Z49" s="105">
        <f t="shared" si="37"/>
        <v>0</v>
      </c>
      <c r="AC49" s="109" t="s">
        <v>361</v>
      </c>
      <c r="AE49" s="140">
        <f t="shared" si="38"/>
        <v>10</v>
      </c>
      <c r="AG49" s="232">
        <f t="shared" si="39"/>
        <v>23604.28</v>
      </c>
      <c r="AH49" s="98"/>
      <c r="AI49" s="231">
        <f>(VLOOKUP($AE49,func,AI$195))*$AG49</f>
        <v>0</v>
      </c>
      <c r="AJ49" s="98"/>
      <c r="AK49" s="231">
        <f>(VLOOKUP($AE49,func,AK$195))*$AG49</f>
        <v>0</v>
      </c>
      <c r="AL49" s="98"/>
      <c r="AM49" s="231">
        <f>(VLOOKUP($AE49,func,AM$195))*$AG49</f>
        <v>0</v>
      </c>
      <c r="AN49" s="98"/>
      <c r="AO49" s="231">
        <f>(VLOOKUP($AE49,func,AO$195))*$AG49</f>
        <v>0</v>
      </c>
      <c r="AP49" s="98"/>
      <c r="AQ49" s="231">
        <f>(VLOOKUP($AE49,func,AQ$195))*$AG49</f>
        <v>0</v>
      </c>
      <c r="AR49" s="98"/>
      <c r="AS49" s="231">
        <f>(VLOOKUP($AE49,func,AS$195))*$AG49</f>
        <v>23290.343076000001</v>
      </c>
      <c r="AT49" s="98"/>
      <c r="AU49" s="231">
        <f>(VLOOKUP($AE49,func,AU$195))*$AG49</f>
        <v>0</v>
      </c>
      <c r="AV49" s="98"/>
      <c r="AW49" s="231">
        <f>(VLOOKUP($AE49,func,AW$195))*$AG49</f>
        <v>306.85563999999999</v>
      </c>
      <c r="AX49" s="98"/>
      <c r="AY49" s="231">
        <f>(VLOOKUP($AE49,func,AY$195))*$AG49</f>
        <v>7.0812839999999992</v>
      </c>
      <c r="BA49" s="95">
        <f t="shared" si="35"/>
        <v>0</v>
      </c>
      <c r="BB49" s="80"/>
      <c r="BC49" s="80"/>
      <c r="BD49" s="80"/>
    </row>
    <row r="50" spans="1:56" x14ac:dyDescent="0.2">
      <c r="A50" s="160"/>
      <c r="B50" s="665"/>
      <c r="F50" s="109"/>
      <c r="G50" s="163"/>
      <c r="H50" s="164"/>
      <c r="I50" s="109"/>
      <c r="J50" s="191"/>
      <c r="K50" s="109"/>
      <c r="L50" s="191"/>
      <c r="M50" s="109"/>
      <c r="N50" s="191"/>
      <c r="O50" s="109"/>
      <c r="P50" s="191"/>
      <c r="Q50" s="109"/>
      <c r="R50" s="191"/>
      <c r="S50" s="109"/>
      <c r="T50" s="191"/>
      <c r="U50" s="109"/>
      <c r="V50" s="191"/>
      <c r="W50" s="109"/>
      <c r="X50" s="191"/>
      <c r="Z50" s="95">
        <f>SUM(L50:X50)-J50</f>
        <v>0</v>
      </c>
      <c r="AC50" s="109"/>
      <c r="AG50" s="191"/>
      <c r="AH50" s="109"/>
      <c r="AI50" s="191"/>
      <c r="AJ50" s="109"/>
      <c r="AK50" s="191"/>
      <c r="AL50" s="109"/>
      <c r="AM50" s="191"/>
      <c r="AN50" s="109"/>
      <c r="AO50" s="191"/>
      <c r="AP50" s="109"/>
      <c r="AQ50" s="191"/>
      <c r="AR50" s="109"/>
      <c r="AS50" s="191"/>
      <c r="AT50" s="109"/>
      <c r="AU50" s="191"/>
      <c r="AV50" s="109"/>
      <c r="AW50" s="191"/>
      <c r="AX50" s="109"/>
      <c r="AY50" s="191"/>
      <c r="BA50" s="95">
        <f t="shared" si="35"/>
        <v>0</v>
      </c>
      <c r="BB50" s="80"/>
      <c r="BC50" s="80"/>
      <c r="BD50" s="80"/>
    </row>
    <row r="51" spans="1:56" x14ac:dyDescent="0.2">
      <c r="A51" s="160"/>
      <c r="B51" s="665"/>
      <c r="F51" s="109" t="s">
        <v>15</v>
      </c>
      <c r="G51" s="163"/>
      <c r="H51" s="164"/>
      <c r="I51" s="109"/>
      <c r="J51" s="191">
        <f>SUM(J46:J50)</f>
        <v>146924.77856994845</v>
      </c>
      <c r="K51" s="109"/>
      <c r="L51" s="191">
        <f>SUM(L46:L50)</f>
        <v>126590.38921586757</v>
      </c>
      <c r="M51" s="109"/>
      <c r="N51" s="652">
        <f>SUM(N46:N50)</f>
        <v>18071.747764103657</v>
      </c>
      <c r="O51" s="109"/>
      <c r="P51" s="191">
        <f>SUM(P46:P50)</f>
        <v>308.54203499689169</v>
      </c>
      <c r="Q51" s="109"/>
      <c r="R51" s="191">
        <f>SUM(R46:R50)</f>
        <v>0</v>
      </c>
      <c r="S51" s="109"/>
      <c r="T51" s="191">
        <f>SUM(T46:T50)</f>
        <v>0</v>
      </c>
      <c r="U51" s="109"/>
      <c r="V51" s="191">
        <f>SUM(V46:V50)</f>
        <v>1910.0221214093297</v>
      </c>
      <c r="W51" s="109"/>
      <c r="X51" s="191">
        <f>SUM(X46:X50)</f>
        <v>44.077433570984525</v>
      </c>
      <c r="Z51" s="95"/>
      <c r="AC51" s="109" t="s">
        <v>15</v>
      </c>
      <c r="AD51" s="163"/>
      <c r="AE51" s="164"/>
      <c r="AF51" s="109"/>
      <c r="AG51" s="191">
        <f>SUM(AG46:AG50)</f>
        <v>146924.77856994845</v>
      </c>
      <c r="AH51" s="109"/>
      <c r="AI51" s="191">
        <f>SUM(AI46:AI50)</f>
        <v>0</v>
      </c>
      <c r="AJ51" s="109"/>
      <c r="AK51" s="191">
        <f>SUM(AK46:AK50)</f>
        <v>0</v>
      </c>
      <c r="AL51" s="109"/>
      <c r="AM51" s="191">
        <f>SUM(AM46:AM50)</f>
        <v>0</v>
      </c>
      <c r="AN51" s="109"/>
      <c r="AO51" s="191">
        <f>SUM(AO46:AO50)</f>
        <v>0</v>
      </c>
      <c r="AP51" s="109"/>
      <c r="AQ51" s="191">
        <f>SUM(AQ46:AQ50)</f>
        <v>0</v>
      </c>
      <c r="AR51" s="109"/>
      <c r="AS51" s="191">
        <f>SUM(AS46:AS50)</f>
        <v>144970.67901496813</v>
      </c>
      <c r="AT51" s="109"/>
      <c r="AU51" s="191">
        <f>SUM(AU46:AU50)</f>
        <v>0</v>
      </c>
      <c r="AV51" s="109"/>
      <c r="AW51" s="191">
        <f>SUM(AW46:AW50)</f>
        <v>1910.0221214093297</v>
      </c>
      <c r="AX51" s="109"/>
      <c r="AY51" s="191">
        <f>SUM(AY46:AY50)</f>
        <v>44.077433570984525</v>
      </c>
      <c r="BA51" s="95">
        <f t="shared" si="35"/>
        <v>0</v>
      </c>
      <c r="BB51" s="80"/>
      <c r="BC51" s="80"/>
      <c r="BD51" s="80"/>
    </row>
    <row r="52" spans="1:56" x14ac:dyDescent="0.2">
      <c r="A52" s="160"/>
      <c r="B52" s="665"/>
      <c r="F52" s="109" t="s">
        <v>16</v>
      </c>
      <c r="G52" s="163"/>
      <c r="H52" s="164"/>
      <c r="I52" s="109"/>
      <c r="J52" s="191"/>
      <c r="K52" s="81"/>
      <c r="L52" s="81"/>
      <c r="M52" s="99"/>
      <c r="N52" s="81"/>
      <c r="O52" s="99"/>
      <c r="P52" s="81"/>
      <c r="Q52" s="99"/>
      <c r="R52" s="81"/>
      <c r="S52" s="99"/>
      <c r="T52" s="81"/>
      <c r="U52" s="99"/>
      <c r="V52" s="81"/>
      <c r="W52" s="99"/>
      <c r="X52" s="81"/>
      <c r="Z52" s="95">
        <f>SUM(L52:X52)-J52</f>
        <v>0</v>
      </c>
      <c r="AC52" s="109" t="s">
        <v>16</v>
      </c>
      <c r="AD52" s="163"/>
      <c r="AE52" s="164"/>
      <c r="AF52" s="109"/>
      <c r="AG52" s="191"/>
      <c r="AH52" s="81"/>
      <c r="AI52" s="81"/>
      <c r="AJ52" s="99"/>
      <c r="AK52" s="81"/>
      <c r="AL52" s="99"/>
      <c r="AM52" s="81"/>
      <c r="AN52" s="99"/>
      <c r="AO52" s="81"/>
      <c r="AP52" s="99"/>
      <c r="AQ52" s="81"/>
      <c r="AR52" s="99"/>
      <c r="AS52" s="81"/>
      <c r="AT52" s="99"/>
      <c r="AU52" s="81"/>
      <c r="AV52" s="99"/>
      <c r="AW52" s="81"/>
      <c r="AX52" s="99"/>
      <c r="AY52" s="81"/>
      <c r="BA52" s="95">
        <f t="shared" si="35"/>
        <v>0</v>
      </c>
      <c r="BB52" s="80"/>
      <c r="BC52" s="80"/>
      <c r="BD52" s="80"/>
    </row>
    <row r="53" spans="1:56" x14ac:dyDescent="0.2">
      <c r="A53" s="160"/>
      <c r="B53" s="665"/>
      <c r="F53" s="109"/>
      <c r="G53" s="163"/>
      <c r="H53" s="164"/>
      <c r="I53" s="109"/>
      <c r="J53" s="191"/>
      <c r="K53" s="81"/>
      <c r="L53" s="81"/>
      <c r="M53" s="99"/>
      <c r="N53" s="81"/>
      <c r="O53" s="99"/>
      <c r="P53" s="81"/>
      <c r="Q53" s="99"/>
      <c r="R53" s="81"/>
      <c r="S53" s="99"/>
      <c r="T53" s="81"/>
      <c r="U53" s="99"/>
      <c r="V53" s="81"/>
      <c r="W53" s="99"/>
      <c r="X53" s="81"/>
      <c r="Z53" s="95">
        <f>SUM(L53:X53)-J53</f>
        <v>0</v>
      </c>
      <c r="AC53" s="109"/>
      <c r="AE53" s="140"/>
      <c r="AG53" s="191"/>
      <c r="AH53" s="81"/>
      <c r="AI53" s="81"/>
      <c r="AJ53" s="99"/>
      <c r="AK53" s="81"/>
      <c r="AL53" s="99"/>
      <c r="AM53" s="81"/>
      <c r="AN53" s="99"/>
      <c r="AO53" s="81"/>
      <c r="AP53" s="99"/>
      <c r="AQ53" s="81"/>
      <c r="AR53" s="99"/>
      <c r="AS53" s="81"/>
      <c r="AT53" s="99"/>
      <c r="AU53" s="81"/>
      <c r="AV53" s="81"/>
      <c r="AW53" s="81"/>
      <c r="AX53" s="81"/>
      <c r="AY53" s="81"/>
      <c r="BA53" s="95">
        <f t="shared" si="35"/>
        <v>0</v>
      </c>
      <c r="BB53" s="80"/>
      <c r="BC53" s="80"/>
      <c r="BD53" s="80"/>
    </row>
    <row r="54" spans="1:56" x14ac:dyDescent="0.2">
      <c r="A54" s="160"/>
      <c r="B54" s="665"/>
      <c r="F54" s="234" t="s">
        <v>257</v>
      </c>
      <c r="G54" s="163"/>
      <c r="H54" s="164"/>
      <c r="I54" s="109"/>
      <c r="J54" s="191"/>
      <c r="K54" s="98"/>
      <c r="L54" s="81"/>
      <c r="M54" s="99"/>
      <c r="N54" s="81"/>
      <c r="O54" s="99"/>
      <c r="P54" s="81"/>
      <c r="Q54" s="99"/>
      <c r="R54" s="81"/>
      <c r="S54" s="99"/>
      <c r="T54" s="81"/>
      <c r="U54" s="99"/>
      <c r="V54" s="81"/>
      <c r="W54" s="99"/>
      <c r="X54" s="81"/>
      <c r="Z54" s="95">
        <f>SUM(L54:X54)-J54</f>
        <v>0</v>
      </c>
      <c r="AC54" s="109" t="s">
        <v>257</v>
      </c>
      <c r="AE54" s="140"/>
      <c r="AG54" s="191"/>
      <c r="AH54" s="98"/>
      <c r="AI54" s="81"/>
      <c r="AJ54" s="99"/>
      <c r="AK54" s="81"/>
      <c r="AL54" s="99"/>
      <c r="AM54" s="81"/>
      <c r="AN54" s="99"/>
      <c r="AO54" s="81"/>
      <c r="AP54" s="99"/>
      <c r="AQ54" s="81"/>
      <c r="AR54" s="99"/>
      <c r="AS54" s="81"/>
      <c r="AT54" s="99"/>
      <c r="AU54" s="81"/>
      <c r="AV54" s="81"/>
      <c r="AW54" s="81"/>
      <c r="AX54" s="81"/>
      <c r="AY54" s="81"/>
      <c r="BA54" s="95">
        <f t="shared" si="35"/>
        <v>0</v>
      </c>
      <c r="BB54" s="80"/>
      <c r="BC54" s="80"/>
      <c r="BD54" s="80"/>
    </row>
    <row r="55" spans="1:56" x14ac:dyDescent="0.2">
      <c r="A55" s="160"/>
      <c r="B55" s="665"/>
      <c r="F55" s="109" t="s">
        <v>10</v>
      </c>
      <c r="G55" s="163"/>
      <c r="H55" s="164"/>
      <c r="I55" s="109"/>
      <c r="J55" s="191"/>
      <c r="K55" s="98"/>
      <c r="L55" s="81"/>
      <c r="M55" s="99"/>
      <c r="N55" s="81"/>
      <c r="O55" s="99"/>
      <c r="P55" s="81"/>
      <c r="Q55" s="99"/>
      <c r="R55" s="81"/>
      <c r="S55" s="99"/>
      <c r="T55" s="81"/>
      <c r="U55" s="99"/>
      <c r="V55" s="81"/>
      <c r="W55" s="99"/>
      <c r="X55" s="81"/>
      <c r="Z55" s="95">
        <f>SUM(L55:X55)-J55</f>
        <v>0</v>
      </c>
      <c r="AC55" s="109" t="s">
        <v>10</v>
      </c>
      <c r="AG55" s="191"/>
      <c r="AH55" s="98"/>
      <c r="AI55" s="81"/>
      <c r="AJ55" s="99"/>
      <c r="AK55" s="81"/>
      <c r="AL55" s="99"/>
      <c r="AM55" s="81"/>
      <c r="AN55" s="99"/>
      <c r="AO55" s="81"/>
      <c r="AP55" s="99"/>
      <c r="AQ55" s="81"/>
      <c r="AR55" s="99"/>
      <c r="AS55" s="81"/>
      <c r="AT55" s="99"/>
      <c r="AU55" s="81"/>
      <c r="AV55" s="99"/>
      <c r="AW55" s="81"/>
      <c r="AX55" s="99"/>
      <c r="AY55" s="81"/>
      <c r="BA55" s="95">
        <f t="shared" si="35"/>
        <v>0</v>
      </c>
      <c r="BB55" s="80"/>
      <c r="BC55" s="80"/>
      <c r="BD55" s="80"/>
    </row>
    <row r="56" spans="1:56" x14ac:dyDescent="0.2">
      <c r="A56" s="160"/>
      <c r="B56" s="665"/>
      <c r="F56" s="240" t="s">
        <v>373</v>
      </c>
      <c r="G56" s="241"/>
      <c r="H56" s="242">
        <v>12</v>
      </c>
      <c r="I56" s="240"/>
      <c r="J56" s="191">
        <v>94604.456651043642</v>
      </c>
      <c r="K56" s="98"/>
      <c r="L56" s="104">
        <f t="shared" ref="L56:L61" si="45">(VLOOKUP($H56,Factors,L$195))*$J56</f>
        <v>55107.095999232923</v>
      </c>
      <c r="M56" s="190"/>
      <c r="N56" s="104">
        <f t="shared" ref="N56:N61" si="46">(VLOOKUP($H56,Factors,N$195))*$J56</f>
        <v>18684.380188581119</v>
      </c>
      <c r="O56" s="190"/>
      <c r="P56" s="104">
        <f t="shared" ref="P56:P61" si="47">(VLOOKUP($H56,Factors,P$195))*$J56</f>
        <v>4834.2877348683296</v>
      </c>
      <c r="Q56" s="190"/>
      <c r="R56" s="104">
        <f t="shared" ref="R56:R61" si="48">(VLOOKUP($H56,Factors,R$195))*$J56</f>
        <v>0</v>
      </c>
      <c r="S56" s="190"/>
      <c r="T56" s="104">
        <f t="shared" ref="T56:T61" si="49">(VLOOKUP($H56,Factors,T$195))*$J56</f>
        <v>0</v>
      </c>
      <c r="U56" s="190"/>
      <c r="V56" s="104">
        <f t="shared" ref="V56:V61" si="50">(VLOOKUP($H56,Factors,V$195))*$J56</f>
        <v>3907.1640596881025</v>
      </c>
      <c r="W56" s="190"/>
      <c r="X56" s="104">
        <f t="shared" ref="X56:X61" si="51">(VLOOKUP($H56,Factors,X$195))*$J56</f>
        <v>12071.528668673167</v>
      </c>
      <c r="Y56" s="105"/>
      <c r="Z56" s="95">
        <f t="shared" ref="Z56" si="52">SUM(L56:X56)-J56</f>
        <v>0</v>
      </c>
      <c r="AC56" s="109" t="s">
        <v>326</v>
      </c>
      <c r="AE56" s="140">
        <f t="shared" ref="AE56:AE61" si="53">+H56</f>
        <v>12</v>
      </c>
      <c r="AG56" s="191">
        <f t="shared" ref="AG56:AG61" si="54">+J56</f>
        <v>94604.456651043642</v>
      </c>
      <c r="AH56" s="98"/>
      <c r="AI56" s="104">
        <f t="shared" ref="AI56:AI61" si="55">(VLOOKUP($AE56,func,AI$195))*$AG56</f>
        <v>17814.019187391517</v>
      </c>
      <c r="AJ56" s="190"/>
      <c r="AK56" s="104">
        <f t="shared" ref="AK56:AK61" si="56">(VLOOKUP($AE56,func,AK$195))*$AG56</f>
        <v>17426.14091512224</v>
      </c>
      <c r="AL56" s="190"/>
      <c r="AM56" s="104">
        <f t="shared" ref="AM56:AM61" si="57">(VLOOKUP($AE56,func,AM$195))*$AG56</f>
        <v>26243.276274999505</v>
      </c>
      <c r="AN56" s="190"/>
      <c r="AO56" s="104">
        <f t="shared" ref="AO56:AO61" si="58">(VLOOKUP($AE56,func,AO$195))*$AG56</f>
        <v>0</v>
      </c>
      <c r="AP56" s="190"/>
      <c r="AQ56" s="104">
        <f t="shared" ref="AQ56:AQ61" si="59">(VLOOKUP($AE56,func,AQ$195))*$AG56</f>
        <v>0</v>
      </c>
      <c r="AR56" s="190"/>
      <c r="AS56" s="104">
        <f t="shared" ref="AS56:AS61" si="60">(VLOOKUP($AE56,func,AS$195))*$AG56</f>
        <v>17142.327545169108</v>
      </c>
      <c r="AT56" s="190"/>
      <c r="AU56" s="104">
        <f t="shared" ref="AU56:AU61" si="61">(VLOOKUP($AE56,func,AU$195))*$AG56</f>
        <v>0</v>
      </c>
      <c r="AV56" s="67"/>
      <c r="AW56" s="67">
        <f t="shared" ref="AW56:AW61" si="62">(VLOOKUP($AE56,func,AW$195))*$AG56</f>
        <v>3907.1640596881025</v>
      </c>
      <c r="AX56" s="67"/>
      <c r="AY56" s="67">
        <f t="shared" ref="AY56:AY61" si="63">(VLOOKUP($AE56,func,AY$195))*$AG56</f>
        <v>12071.528668673167</v>
      </c>
      <c r="BA56" s="95">
        <f t="shared" si="35"/>
        <v>0</v>
      </c>
      <c r="BB56" s="80"/>
      <c r="BC56" s="80"/>
      <c r="BD56" s="80"/>
    </row>
    <row r="57" spans="1:56" s="315" customFormat="1" x14ac:dyDescent="0.2">
      <c r="A57" s="316"/>
      <c r="B57" s="669"/>
      <c r="C57" s="664"/>
      <c r="D57" s="300"/>
      <c r="E57" s="105"/>
      <c r="F57" s="240" t="s">
        <v>346</v>
      </c>
      <c r="G57" s="516"/>
      <c r="H57" s="242">
        <v>12</v>
      </c>
      <c r="I57" s="240"/>
      <c r="J57" s="191">
        <v>19071.46</v>
      </c>
      <c r="K57" s="223"/>
      <c r="L57" s="162">
        <f t="shared" si="45"/>
        <v>11109.12545</v>
      </c>
      <c r="M57" s="105"/>
      <c r="N57" s="162">
        <f t="shared" si="46"/>
        <v>3766.6133500000001</v>
      </c>
      <c r="O57" s="105"/>
      <c r="P57" s="162">
        <f t="shared" si="47"/>
        <v>974.55160599999999</v>
      </c>
      <c r="Q57" s="105"/>
      <c r="R57" s="162">
        <f t="shared" si="48"/>
        <v>0</v>
      </c>
      <c r="S57" s="105"/>
      <c r="T57" s="162">
        <f t="shared" si="49"/>
        <v>0</v>
      </c>
      <c r="U57" s="105"/>
      <c r="V57" s="162">
        <f t="shared" si="50"/>
        <v>787.651298</v>
      </c>
      <c r="W57" s="105"/>
      <c r="X57" s="162">
        <f t="shared" si="51"/>
        <v>2433.5182959999997</v>
      </c>
      <c r="Y57" s="105"/>
      <c r="Z57" s="95">
        <f t="shared" ref="Z57:Z71" si="64">SUM(L57:X57)-J57</f>
        <v>0</v>
      </c>
      <c r="AC57" s="109" t="s">
        <v>346</v>
      </c>
      <c r="AE57" s="140">
        <f t="shared" si="53"/>
        <v>12</v>
      </c>
      <c r="AG57" s="191">
        <f t="shared" si="54"/>
        <v>19071.46</v>
      </c>
      <c r="AH57" s="223"/>
      <c r="AI57" s="162">
        <f t="shared" si="55"/>
        <v>3591.1559179999999</v>
      </c>
      <c r="AJ57" s="105"/>
      <c r="AK57" s="162">
        <f t="shared" si="56"/>
        <v>3512.9629319999999</v>
      </c>
      <c r="AL57" s="105"/>
      <c r="AM57" s="162">
        <f t="shared" si="57"/>
        <v>5290.4230039999993</v>
      </c>
      <c r="AN57" s="105"/>
      <c r="AO57" s="162">
        <f t="shared" si="58"/>
        <v>0</v>
      </c>
      <c r="AP57" s="105"/>
      <c r="AQ57" s="162">
        <f t="shared" si="59"/>
        <v>0</v>
      </c>
      <c r="AR57" s="105"/>
      <c r="AS57" s="162">
        <f t="shared" si="60"/>
        <v>3455.748552</v>
      </c>
      <c r="AT57" s="105"/>
      <c r="AU57" s="162">
        <f t="shared" si="61"/>
        <v>0</v>
      </c>
      <c r="AV57" s="165"/>
      <c r="AW57" s="165">
        <f t="shared" si="62"/>
        <v>787.651298</v>
      </c>
      <c r="AX57" s="165"/>
      <c r="AY57" s="165">
        <f t="shared" si="63"/>
        <v>2433.5182959999997</v>
      </c>
      <c r="BA57" s="95">
        <f t="shared" si="35"/>
        <v>0</v>
      </c>
      <c r="BB57" s="80"/>
      <c r="BC57" s="80"/>
      <c r="BD57" s="80"/>
    </row>
    <row r="58" spans="1:56" x14ac:dyDescent="0.2">
      <c r="A58" s="227"/>
      <c r="B58" s="667"/>
      <c r="C58" s="670"/>
      <c r="F58" s="240" t="s">
        <v>347</v>
      </c>
      <c r="G58" s="241"/>
      <c r="H58" s="242">
        <v>12</v>
      </c>
      <c r="I58" s="240"/>
      <c r="J58" s="191">
        <v>75287.81</v>
      </c>
      <c r="K58" s="98"/>
      <c r="L58" s="104">
        <f t="shared" si="45"/>
        <v>43855.149324999998</v>
      </c>
      <c r="M58" s="190"/>
      <c r="N58" s="104">
        <f t="shared" si="46"/>
        <v>14869.342474999999</v>
      </c>
      <c r="O58" s="190"/>
      <c r="P58" s="104">
        <f t="shared" si="47"/>
        <v>3847.2070909999998</v>
      </c>
      <c r="Q58" s="190"/>
      <c r="R58" s="104">
        <f t="shared" si="48"/>
        <v>0</v>
      </c>
      <c r="S58" s="190"/>
      <c r="T58" s="104">
        <f t="shared" si="49"/>
        <v>0</v>
      </c>
      <c r="U58" s="190"/>
      <c r="V58" s="104">
        <f t="shared" si="50"/>
        <v>3109.3865530000003</v>
      </c>
      <c r="W58" s="190"/>
      <c r="X58" s="104">
        <f t="shared" si="51"/>
        <v>9606.7245559999992</v>
      </c>
      <c r="Y58" s="105"/>
      <c r="Z58" s="95">
        <f t="shared" si="64"/>
        <v>0</v>
      </c>
      <c r="AC58" s="109" t="s">
        <v>347</v>
      </c>
      <c r="AE58" s="140">
        <f t="shared" si="53"/>
        <v>12</v>
      </c>
      <c r="AG58" s="191">
        <f t="shared" si="54"/>
        <v>75287.81</v>
      </c>
      <c r="AH58" s="98"/>
      <c r="AI58" s="104">
        <f t="shared" si="55"/>
        <v>14176.694622999999</v>
      </c>
      <c r="AJ58" s="190"/>
      <c r="AK58" s="104">
        <f t="shared" si="56"/>
        <v>13868.014601999999</v>
      </c>
      <c r="AL58" s="190"/>
      <c r="AM58" s="104">
        <f t="shared" si="57"/>
        <v>20884.838494</v>
      </c>
      <c r="AN58" s="190"/>
      <c r="AO58" s="104">
        <f t="shared" si="58"/>
        <v>0</v>
      </c>
      <c r="AP58" s="190"/>
      <c r="AQ58" s="104">
        <f t="shared" si="59"/>
        <v>0</v>
      </c>
      <c r="AR58" s="190"/>
      <c r="AS58" s="104">
        <f t="shared" si="60"/>
        <v>13642.151172</v>
      </c>
      <c r="AT58" s="190"/>
      <c r="AU58" s="104">
        <f t="shared" si="61"/>
        <v>0</v>
      </c>
      <c r="AV58" s="67"/>
      <c r="AW58" s="67">
        <f t="shared" si="62"/>
        <v>3109.3865530000003</v>
      </c>
      <c r="AX58" s="67"/>
      <c r="AY58" s="67">
        <f t="shared" si="63"/>
        <v>9606.7245559999992</v>
      </c>
      <c r="BA58" s="95">
        <f t="shared" si="35"/>
        <v>0</v>
      </c>
      <c r="BB58" s="80"/>
      <c r="BC58" s="80"/>
      <c r="BD58" s="80"/>
    </row>
    <row r="59" spans="1:56" x14ac:dyDescent="0.2">
      <c r="A59" s="184"/>
      <c r="B59" s="185"/>
      <c r="F59" s="240" t="s">
        <v>327</v>
      </c>
      <c r="G59" s="241"/>
      <c r="H59" s="242">
        <v>14</v>
      </c>
      <c r="I59" s="240"/>
      <c r="J59" s="191">
        <v>238520.58228412725</v>
      </c>
      <c r="K59" s="98"/>
      <c r="L59" s="104">
        <f t="shared" si="45"/>
        <v>136767.70188171856</v>
      </c>
      <c r="M59" s="190"/>
      <c r="N59" s="104">
        <f t="shared" si="46"/>
        <v>56171.597127911962</v>
      </c>
      <c r="O59" s="190"/>
      <c r="P59" s="104">
        <f t="shared" si="47"/>
        <v>17054.221633315097</v>
      </c>
      <c r="Q59" s="190"/>
      <c r="R59" s="104">
        <f t="shared" si="48"/>
        <v>0</v>
      </c>
      <c r="S59" s="190"/>
      <c r="T59" s="104">
        <f t="shared" si="49"/>
        <v>0</v>
      </c>
      <c r="U59" s="190"/>
      <c r="V59" s="104">
        <f t="shared" si="50"/>
        <v>6821.6886533260395</v>
      </c>
      <c r="W59" s="190"/>
      <c r="X59" s="104">
        <f t="shared" si="51"/>
        <v>21705.372987855579</v>
      </c>
      <c r="Y59" s="105"/>
      <c r="Z59" s="95">
        <f t="shared" si="64"/>
        <v>0</v>
      </c>
      <c r="AC59" s="109" t="s">
        <v>327</v>
      </c>
      <c r="AE59" s="140">
        <f t="shared" si="53"/>
        <v>14</v>
      </c>
      <c r="AG59" s="191">
        <f t="shared" si="54"/>
        <v>238520.58228412725</v>
      </c>
      <c r="AH59" s="98"/>
      <c r="AI59" s="104">
        <f t="shared" si="55"/>
        <v>85748.149331143737</v>
      </c>
      <c r="AJ59" s="190"/>
      <c r="AK59" s="104">
        <f t="shared" si="56"/>
        <v>60059.482619143244</v>
      </c>
      <c r="AL59" s="190"/>
      <c r="AM59" s="104">
        <f t="shared" si="57"/>
        <v>46654.625894775287</v>
      </c>
      <c r="AN59" s="190"/>
      <c r="AO59" s="104">
        <f t="shared" si="58"/>
        <v>0</v>
      </c>
      <c r="AP59" s="190"/>
      <c r="AQ59" s="104">
        <f t="shared" si="59"/>
        <v>0</v>
      </c>
      <c r="AR59" s="190"/>
      <c r="AS59" s="104">
        <f t="shared" si="60"/>
        <v>17531.262797883352</v>
      </c>
      <c r="AT59" s="190"/>
      <c r="AU59" s="104">
        <f t="shared" si="61"/>
        <v>0</v>
      </c>
      <c r="AV59" s="67"/>
      <c r="AW59" s="67">
        <f t="shared" si="62"/>
        <v>6821.6886533260395</v>
      </c>
      <c r="AX59" s="67"/>
      <c r="AY59" s="67">
        <f t="shared" si="63"/>
        <v>21705.372987855579</v>
      </c>
      <c r="BA59" s="95">
        <f t="shared" si="35"/>
        <v>0</v>
      </c>
      <c r="BB59" s="80"/>
      <c r="BC59" s="80"/>
      <c r="BD59" s="80"/>
    </row>
    <row r="60" spans="1:56" x14ac:dyDescent="0.2">
      <c r="A60" s="228"/>
      <c r="B60" s="671"/>
      <c r="F60" s="240" t="s">
        <v>328</v>
      </c>
      <c r="G60" s="241"/>
      <c r="H60" s="242">
        <v>17</v>
      </c>
      <c r="I60" s="240"/>
      <c r="J60" s="191">
        <v>87450</v>
      </c>
      <c r="K60" s="98"/>
      <c r="L60" s="104">
        <f t="shared" ca="1" si="45"/>
        <v>51079.544999999998</v>
      </c>
      <c r="M60" s="190"/>
      <c r="N60" s="104">
        <f t="shared" ca="1" si="46"/>
        <v>20375.850000000002</v>
      </c>
      <c r="O60" s="190"/>
      <c r="P60" s="104">
        <f t="shared" ca="1" si="47"/>
        <v>6104.01</v>
      </c>
      <c r="Q60" s="190"/>
      <c r="R60" s="104">
        <f t="shared" ca="1" si="48"/>
        <v>0</v>
      </c>
      <c r="S60" s="190"/>
      <c r="T60" s="104">
        <f t="shared" ca="1" si="49"/>
        <v>0</v>
      </c>
      <c r="U60" s="190"/>
      <c r="V60" s="104">
        <f t="shared" ca="1" si="50"/>
        <v>2090.0550000000003</v>
      </c>
      <c r="W60" s="190"/>
      <c r="X60" s="104">
        <f t="shared" ca="1" si="51"/>
        <v>7800.54</v>
      </c>
      <c r="Y60" s="105"/>
      <c r="Z60" s="95">
        <f t="shared" ref="Z60" ca="1" si="65">SUM(L60:X60)-J60</f>
        <v>0</v>
      </c>
      <c r="AC60" s="109" t="s">
        <v>328</v>
      </c>
      <c r="AE60" s="140">
        <f t="shared" si="53"/>
        <v>17</v>
      </c>
      <c r="AG60" s="191">
        <f t="shared" si="54"/>
        <v>87450</v>
      </c>
      <c r="AH60" s="98"/>
      <c r="AI60" s="104">
        <f t="shared" ca="1" si="55"/>
        <v>33353.43</v>
      </c>
      <c r="AJ60" s="190"/>
      <c r="AK60" s="104">
        <f t="shared" ca="1" si="56"/>
        <v>18294.54</v>
      </c>
      <c r="AL60" s="190"/>
      <c r="AM60" s="104">
        <f t="shared" ca="1" si="57"/>
        <v>13860.825000000001</v>
      </c>
      <c r="AN60" s="190"/>
      <c r="AO60" s="104">
        <f t="shared" ca="1" si="58"/>
        <v>3454.2750000000001</v>
      </c>
      <c r="AP60" s="190"/>
      <c r="AQ60" s="104">
        <f t="shared" ca="1" si="59"/>
        <v>1783.98</v>
      </c>
      <c r="AR60" s="190"/>
      <c r="AS60" s="104">
        <f t="shared" ca="1" si="60"/>
        <v>6829.8450000000003</v>
      </c>
      <c r="AT60" s="190"/>
      <c r="AU60" s="104">
        <f t="shared" ca="1" si="61"/>
        <v>0</v>
      </c>
      <c r="AV60" s="67"/>
      <c r="AW60" s="67">
        <f t="shared" ca="1" si="62"/>
        <v>2081.31</v>
      </c>
      <c r="AX60" s="67"/>
      <c r="AY60" s="67">
        <f t="shared" ca="1" si="63"/>
        <v>7791.7950000000001</v>
      </c>
      <c r="BA60" s="95">
        <f t="shared" ca="1" si="35"/>
        <v>0</v>
      </c>
      <c r="BB60" s="80"/>
      <c r="BC60" s="80"/>
      <c r="BD60" s="80"/>
    </row>
    <row r="61" spans="1:56" s="288" customFormat="1" ht="12" customHeight="1" x14ac:dyDescent="0.2">
      <c r="A61" s="228"/>
      <c r="B61" s="671"/>
      <c r="C61" s="664"/>
      <c r="D61" s="300"/>
      <c r="E61" s="105"/>
      <c r="F61" s="109" t="s">
        <v>471</v>
      </c>
      <c r="G61" s="163"/>
      <c r="H61" s="164">
        <v>12</v>
      </c>
      <c r="I61" s="109"/>
      <c r="J61" s="232">
        <v>122166.38522</v>
      </c>
      <c r="K61" s="223"/>
      <c r="L61" s="231">
        <f t="shared" si="45"/>
        <v>71161.91939065</v>
      </c>
      <c r="M61" s="223"/>
      <c r="N61" s="231">
        <f t="shared" si="46"/>
        <v>24127.861080949999</v>
      </c>
      <c r="O61" s="223"/>
      <c r="P61" s="231">
        <f t="shared" si="47"/>
        <v>6242.7022847419994</v>
      </c>
      <c r="Q61" s="223"/>
      <c r="R61" s="231">
        <f t="shared" si="48"/>
        <v>0</v>
      </c>
      <c r="S61" s="223"/>
      <c r="T61" s="231">
        <f t="shared" si="49"/>
        <v>0</v>
      </c>
      <c r="U61" s="223"/>
      <c r="V61" s="231">
        <f t="shared" si="50"/>
        <v>5045.4717095860005</v>
      </c>
      <c r="W61" s="223"/>
      <c r="X61" s="231">
        <f t="shared" si="51"/>
        <v>15588.430754071998</v>
      </c>
      <c r="Y61" s="292"/>
      <c r="Z61" s="95">
        <f t="shared" si="64"/>
        <v>0</v>
      </c>
      <c r="AA61" s="82"/>
      <c r="AB61" s="82"/>
      <c r="AC61" s="109" t="s">
        <v>352</v>
      </c>
      <c r="AD61" s="82"/>
      <c r="AE61" s="305">
        <f t="shared" si="53"/>
        <v>12</v>
      </c>
      <c r="AF61" s="82"/>
      <c r="AG61" s="232">
        <f t="shared" si="54"/>
        <v>122166.38522</v>
      </c>
      <c r="AH61" s="223"/>
      <c r="AI61" s="231">
        <f t="shared" si="55"/>
        <v>23003.930336925998</v>
      </c>
      <c r="AJ61" s="223"/>
      <c r="AK61" s="231">
        <f t="shared" si="56"/>
        <v>22503.048157524001</v>
      </c>
      <c r="AL61" s="223"/>
      <c r="AM61" s="231">
        <f t="shared" si="57"/>
        <v>33888.955260027993</v>
      </c>
      <c r="AN61" s="223"/>
      <c r="AO61" s="231">
        <f t="shared" si="58"/>
        <v>0</v>
      </c>
      <c r="AP61" s="223"/>
      <c r="AQ61" s="231">
        <f t="shared" si="59"/>
        <v>0</v>
      </c>
      <c r="AR61" s="223"/>
      <c r="AS61" s="231">
        <f t="shared" si="60"/>
        <v>22136.549001863998</v>
      </c>
      <c r="AT61" s="223"/>
      <c r="AU61" s="231">
        <f t="shared" si="61"/>
        <v>0</v>
      </c>
      <c r="AV61" s="223"/>
      <c r="AW61" s="231">
        <f t="shared" si="62"/>
        <v>5045.4717095860005</v>
      </c>
      <c r="AX61" s="223"/>
      <c r="AY61" s="231">
        <f t="shared" si="63"/>
        <v>15588.430754071998</v>
      </c>
      <c r="BA61" s="95">
        <f t="shared" si="35"/>
        <v>0</v>
      </c>
      <c r="BB61" s="80"/>
      <c r="BC61" s="80"/>
      <c r="BD61" s="80"/>
    </row>
    <row r="62" spans="1:56" s="288" customFormat="1" ht="12" customHeight="1" x14ac:dyDescent="0.2">
      <c r="A62" s="228"/>
      <c r="B62" s="671"/>
      <c r="C62" s="664"/>
      <c r="D62" s="300"/>
      <c r="E62" s="105"/>
      <c r="F62" s="109"/>
      <c r="G62" s="163"/>
      <c r="H62" s="164"/>
      <c r="I62" s="109"/>
      <c r="J62" s="192"/>
      <c r="K62" s="223"/>
      <c r="L62" s="150"/>
      <c r="M62" s="223"/>
      <c r="N62" s="150"/>
      <c r="O62" s="223"/>
      <c r="P62" s="150"/>
      <c r="Q62" s="223"/>
      <c r="R62" s="150"/>
      <c r="S62" s="223"/>
      <c r="T62" s="150"/>
      <c r="U62" s="223"/>
      <c r="V62" s="150"/>
      <c r="W62" s="223"/>
      <c r="X62" s="150"/>
      <c r="Y62" s="292"/>
      <c r="Z62" s="95">
        <f t="shared" si="64"/>
        <v>0</v>
      </c>
      <c r="AA62" s="82"/>
      <c r="AB62" s="82"/>
      <c r="AC62" s="109"/>
      <c r="AD62" s="82"/>
      <c r="AE62" s="305"/>
      <c r="AF62" s="82"/>
      <c r="AG62" s="192"/>
      <c r="AH62" s="223"/>
      <c r="AI62" s="150"/>
      <c r="AJ62" s="223"/>
      <c r="AK62" s="150"/>
      <c r="AL62" s="223"/>
      <c r="AM62" s="150"/>
      <c r="AN62" s="223"/>
      <c r="AO62" s="150"/>
      <c r="AP62" s="223"/>
      <c r="AQ62" s="150"/>
      <c r="AR62" s="223"/>
      <c r="AS62" s="150"/>
      <c r="AT62" s="223"/>
      <c r="AU62" s="150"/>
      <c r="AV62" s="223"/>
      <c r="AW62" s="150"/>
      <c r="AX62" s="223"/>
      <c r="AY62" s="150"/>
      <c r="BA62" s="95">
        <f t="shared" si="35"/>
        <v>0</v>
      </c>
      <c r="BB62" s="80"/>
      <c r="BC62" s="80"/>
      <c r="BD62" s="80"/>
    </row>
    <row r="63" spans="1:56" x14ac:dyDescent="0.2">
      <c r="A63" s="228"/>
      <c r="B63" s="671"/>
      <c r="F63" s="109" t="s">
        <v>17</v>
      </c>
      <c r="G63" s="163"/>
      <c r="H63" s="164"/>
      <c r="I63" s="109"/>
      <c r="J63" s="232">
        <f>SUM(J56:J62)</f>
        <v>637100.69415517082</v>
      </c>
      <c r="K63" s="109"/>
      <c r="L63" s="232">
        <f ca="1">SUM(L56:L62)</f>
        <v>369080.53704660147</v>
      </c>
      <c r="M63" s="109"/>
      <c r="N63" s="652">
        <f ca="1">SUM(N56:N62)</f>
        <v>137995.64422244308</v>
      </c>
      <c r="O63" s="109"/>
      <c r="P63" s="232">
        <f ca="1">SUM(P56:P62)</f>
        <v>39056.980349925427</v>
      </c>
      <c r="Q63" s="109"/>
      <c r="R63" s="232">
        <f ca="1">SUM(R56:R62)</f>
        <v>0</v>
      </c>
      <c r="S63" s="109"/>
      <c r="T63" s="232">
        <f ca="1">SUM(T56:T62)</f>
        <v>0</v>
      </c>
      <c r="U63" s="109"/>
      <c r="V63" s="232">
        <f ca="1">SUM(V56:V62)</f>
        <v>21761.417273600142</v>
      </c>
      <c r="W63" s="109"/>
      <c r="X63" s="232">
        <f ca="1">SUM(X56:X62)</f>
        <v>69206.115262600739</v>
      </c>
      <c r="Z63" s="95">
        <f t="shared" ca="1" si="64"/>
        <v>0</v>
      </c>
      <c r="AC63" s="109" t="s">
        <v>17</v>
      </c>
      <c r="AD63" s="163"/>
      <c r="AE63" s="164"/>
      <c r="AF63" s="109"/>
      <c r="AG63" s="232">
        <f>SUM(AG56:AG62)</f>
        <v>637100.69415517082</v>
      </c>
      <c r="AH63" s="109"/>
      <c r="AI63" s="232">
        <f ca="1">SUM(AI56:AI62)</f>
        <v>177687.37939646124</v>
      </c>
      <c r="AJ63" s="109"/>
      <c r="AK63" s="232">
        <f ca="1">SUM(AK56:AK62)</f>
        <v>135664.18922578948</v>
      </c>
      <c r="AL63" s="109"/>
      <c r="AM63" s="232">
        <f ca="1">SUM(AM56:AM62)</f>
        <v>146822.94392780279</v>
      </c>
      <c r="AN63" s="109"/>
      <c r="AO63" s="232">
        <f ca="1">SUM(AO56:AO62)</f>
        <v>3454.2750000000001</v>
      </c>
      <c r="AP63" s="109"/>
      <c r="AQ63" s="232">
        <f ca="1">SUM(AQ56:AQ62)</f>
        <v>1783.98</v>
      </c>
      <c r="AR63" s="109"/>
      <c r="AS63" s="232">
        <f ca="1">SUM(AS56:AS62)</f>
        <v>80737.884068916464</v>
      </c>
      <c r="AT63" s="109"/>
      <c r="AU63" s="232">
        <f ca="1">SUM(AU56:AU62)</f>
        <v>0</v>
      </c>
      <c r="AV63" s="109"/>
      <c r="AW63" s="232">
        <f ca="1">SUM(AW56:AW62)</f>
        <v>21752.672273600143</v>
      </c>
      <c r="AX63" s="109"/>
      <c r="AY63" s="232">
        <f ca="1">SUM(AY56:AY62)</f>
        <v>69197.370262600743</v>
      </c>
      <c r="BA63" s="95">
        <f t="shared" ref="BA63:BA81" ca="1" si="66">SUM(AI63:AY63)-AG63</f>
        <v>0</v>
      </c>
      <c r="BB63" s="80"/>
      <c r="BC63" s="80"/>
      <c r="BD63" s="80"/>
    </row>
    <row r="64" spans="1:56" x14ac:dyDescent="0.2">
      <c r="A64" s="228"/>
      <c r="B64" s="671"/>
      <c r="F64" s="109" t="s">
        <v>18</v>
      </c>
      <c r="G64" s="163"/>
      <c r="H64" s="164"/>
      <c r="I64" s="109"/>
      <c r="J64" s="191"/>
      <c r="K64" s="98"/>
      <c r="L64" s="81"/>
      <c r="M64" s="99"/>
      <c r="N64" s="81"/>
      <c r="O64" s="99"/>
      <c r="P64" s="81"/>
      <c r="Q64" s="99"/>
      <c r="R64" s="81"/>
      <c r="S64" s="99"/>
      <c r="T64" s="81"/>
      <c r="U64" s="99"/>
      <c r="V64" s="81"/>
      <c r="W64" s="99"/>
      <c r="X64" s="81"/>
      <c r="Z64" s="95">
        <f t="shared" si="64"/>
        <v>0</v>
      </c>
      <c r="AC64" s="109" t="s">
        <v>18</v>
      </c>
      <c r="AD64" s="163"/>
      <c r="AE64" s="164"/>
      <c r="AF64" s="109"/>
      <c r="AG64" s="191"/>
      <c r="AH64" s="98"/>
      <c r="AI64" s="81"/>
      <c r="AJ64" s="99"/>
      <c r="AK64" s="81"/>
      <c r="AL64" s="99"/>
      <c r="AM64" s="81"/>
      <c r="AN64" s="99"/>
      <c r="AO64" s="81"/>
      <c r="AP64" s="99"/>
      <c r="AQ64" s="81"/>
      <c r="AR64" s="99"/>
      <c r="AS64" s="81"/>
      <c r="AT64" s="99"/>
      <c r="AU64" s="81"/>
      <c r="AV64" s="99"/>
      <c r="AW64" s="81"/>
      <c r="AX64" s="99"/>
      <c r="AY64" s="81"/>
      <c r="BA64" s="95">
        <f t="shared" si="66"/>
        <v>0</v>
      </c>
      <c r="BB64" s="80"/>
      <c r="BC64" s="80"/>
      <c r="BD64" s="80"/>
    </row>
    <row r="65" spans="1:56" ht="7.15" customHeight="1" x14ac:dyDescent="0.2">
      <c r="A65" s="228"/>
      <c r="B65" s="671"/>
      <c r="F65" s="109"/>
      <c r="G65" s="163"/>
      <c r="H65" s="164"/>
      <c r="I65" s="109"/>
      <c r="J65" s="191"/>
      <c r="K65" s="98"/>
      <c r="L65" s="81"/>
      <c r="M65" s="99"/>
      <c r="N65" s="81"/>
      <c r="O65" s="99"/>
      <c r="P65" s="81"/>
      <c r="Q65" s="99"/>
      <c r="R65" s="81"/>
      <c r="S65" s="99"/>
      <c r="T65" s="81"/>
      <c r="U65" s="99"/>
      <c r="V65" s="81"/>
      <c r="W65" s="99"/>
      <c r="X65" s="81"/>
      <c r="Z65" s="95">
        <f t="shared" si="64"/>
        <v>0</v>
      </c>
      <c r="AC65" s="109"/>
      <c r="AD65" s="163"/>
      <c r="AE65" s="164"/>
      <c r="AF65" s="109"/>
      <c r="AG65" s="191"/>
      <c r="AH65" s="98"/>
      <c r="AI65" s="81"/>
      <c r="AJ65" s="99"/>
      <c r="AK65" s="81"/>
      <c r="AL65" s="99"/>
      <c r="AM65" s="81"/>
      <c r="AN65" s="99"/>
      <c r="AO65" s="81"/>
      <c r="AP65" s="99"/>
      <c r="AQ65" s="81"/>
      <c r="AR65" s="99"/>
      <c r="AS65" s="81"/>
      <c r="AT65" s="99"/>
      <c r="AU65" s="81"/>
      <c r="AV65" s="99"/>
      <c r="AW65" s="81"/>
      <c r="AX65" s="99"/>
      <c r="AY65" s="81"/>
      <c r="BA65" s="95">
        <f t="shared" si="66"/>
        <v>0</v>
      </c>
      <c r="BB65" s="80"/>
      <c r="BC65" s="80"/>
      <c r="BD65" s="80"/>
    </row>
    <row r="66" spans="1:56" x14ac:dyDescent="0.2">
      <c r="A66" s="110"/>
      <c r="B66" s="185"/>
      <c r="F66" s="109" t="s">
        <v>19</v>
      </c>
      <c r="G66" s="163"/>
      <c r="H66" s="164"/>
      <c r="I66" s="109"/>
      <c r="J66" s="191"/>
      <c r="K66" s="109"/>
      <c r="L66" s="191"/>
      <c r="M66" s="109"/>
      <c r="N66" s="191"/>
      <c r="O66" s="109"/>
      <c r="P66" s="191"/>
      <c r="Q66" s="109"/>
      <c r="R66" s="191"/>
      <c r="S66" s="109"/>
      <c r="T66" s="191"/>
      <c r="U66" s="109"/>
      <c r="V66" s="191"/>
      <c r="W66" s="109"/>
      <c r="X66" s="191"/>
      <c r="Z66" s="95">
        <f t="shared" si="64"/>
        <v>0</v>
      </c>
      <c r="AC66" s="109" t="s">
        <v>19</v>
      </c>
      <c r="AD66" s="163"/>
      <c r="AE66" s="164"/>
      <c r="AF66" s="109"/>
      <c r="AG66" s="191"/>
      <c r="AH66" s="109"/>
      <c r="AI66" s="191"/>
      <c r="AJ66" s="109"/>
      <c r="AK66" s="191"/>
      <c r="AL66" s="109"/>
      <c r="AM66" s="191"/>
      <c r="AN66" s="109"/>
      <c r="AO66" s="191"/>
      <c r="AP66" s="109"/>
      <c r="AQ66" s="191"/>
      <c r="AR66" s="109"/>
      <c r="AS66" s="191"/>
      <c r="AT66" s="109"/>
      <c r="AU66" s="191"/>
      <c r="AV66" s="109"/>
      <c r="AW66" s="191"/>
      <c r="AX66" s="109"/>
      <c r="AY66" s="191"/>
      <c r="BA66" s="95">
        <f t="shared" si="66"/>
        <v>0</v>
      </c>
      <c r="BB66" s="80"/>
      <c r="BC66" s="80"/>
      <c r="BD66" s="80"/>
    </row>
    <row r="67" spans="1:56" s="57" customFormat="1" x14ac:dyDescent="0.2">
      <c r="A67" s="110"/>
      <c r="B67" s="185"/>
      <c r="C67" s="664"/>
      <c r="D67" s="300"/>
      <c r="E67" s="105"/>
      <c r="F67" s="109" t="s">
        <v>18</v>
      </c>
      <c r="G67" s="163"/>
      <c r="H67" s="164"/>
      <c r="I67" s="109"/>
      <c r="J67" s="232">
        <f>+J63+J51+J43+J32+J19</f>
        <v>2211628.3041567942</v>
      </c>
      <c r="K67" s="109"/>
      <c r="L67" s="232">
        <f ca="1">+L63+L51+L43+L32+L19</f>
        <v>1286495.216096268</v>
      </c>
      <c r="M67" s="109"/>
      <c r="N67" s="652">
        <f ca="1">+N63+N51+N43+N32+N19</f>
        <v>530619.83577216009</v>
      </c>
      <c r="O67" s="109"/>
      <c r="P67" s="232">
        <f ca="1">+P63+P51+P43+P32+P19</f>
        <v>165121.15826754892</v>
      </c>
      <c r="Q67" s="109"/>
      <c r="R67" s="232">
        <f ca="1">+R63+R51+R43+R32+R19</f>
        <v>0</v>
      </c>
      <c r="S67" s="109"/>
      <c r="T67" s="232">
        <f ca="1">+T63+T51+T43+T32+T19</f>
        <v>0</v>
      </c>
      <c r="U67" s="109"/>
      <c r="V67" s="232">
        <f ca="1">+V63+V51+V43+V32+V19</f>
        <v>55347.946461382489</v>
      </c>
      <c r="W67" s="109"/>
      <c r="X67" s="232">
        <f ca="1">+X63+X51+X43+X32+X19</f>
        <v>174044.14755943461</v>
      </c>
      <c r="Y67"/>
      <c r="Z67" s="95">
        <f t="shared" ca="1" si="64"/>
        <v>0</v>
      </c>
      <c r="AC67" s="109" t="s">
        <v>18</v>
      </c>
      <c r="AD67" s="163"/>
      <c r="AE67" s="164"/>
      <c r="AF67" s="109"/>
      <c r="AG67" s="232">
        <f>+AG63+AG51+AG43+AG32+AG19</f>
        <v>2211628.3041567942</v>
      </c>
      <c r="AH67" s="109"/>
      <c r="AI67" s="232">
        <f ca="1">+AI63+AI51+AI43+AI32+AI19</f>
        <v>948582.21205096692</v>
      </c>
      <c r="AJ67" s="109"/>
      <c r="AK67" s="232">
        <f ca="1">+AK63+AK51+AK43+AK32+AK19</f>
        <v>434036.43192327383</v>
      </c>
      <c r="AL67" s="109"/>
      <c r="AM67" s="232">
        <f ca="1">+AM63+AM51+AM43+AM32+AM19</f>
        <v>368688.23807785165</v>
      </c>
      <c r="AN67" s="109"/>
      <c r="AO67" s="232">
        <f ca="1">+AO63+AO51+AO43+AO32+AO19</f>
        <v>3454.2750000000001</v>
      </c>
      <c r="AP67" s="109"/>
      <c r="AQ67" s="232">
        <f ca="1">+AQ63+AQ51+AQ43+AQ32+AQ19</f>
        <v>1783.98</v>
      </c>
      <c r="AR67" s="109"/>
      <c r="AS67" s="232">
        <f ca="1">+AS63+AS51+AS43+AS32+AS19</f>
        <v>225708.5630838846</v>
      </c>
      <c r="AT67" s="109"/>
      <c r="AU67" s="232">
        <f ca="1">+AU63+AU51+AU43+AU32+AU19</f>
        <v>0</v>
      </c>
      <c r="AV67" s="109"/>
      <c r="AW67" s="232">
        <f ca="1">+AW63+AW51+AW43+AW32+AW19</f>
        <v>55339.201461382487</v>
      </c>
      <c r="AX67" s="109"/>
      <c r="AY67" s="232">
        <f ca="1">+AY63+AY51+AY43+AY32+AY19</f>
        <v>174035.40255943462</v>
      </c>
      <c r="AZ67"/>
      <c r="BA67" s="95">
        <f t="shared" ca="1" si="66"/>
        <v>0</v>
      </c>
      <c r="BB67" s="80"/>
      <c r="BC67" s="80"/>
      <c r="BD67" s="80"/>
    </row>
    <row r="68" spans="1:56" x14ac:dyDescent="0.2">
      <c r="A68" s="110"/>
      <c r="B68" s="185"/>
      <c r="C68" s="666"/>
      <c r="D68" s="301"/>
      <c r="E68" s="292"/>
      <c r="F68" s="98"/>
      <c r="G68" s="97"/>
      <c r="H68" s="69"/>
      <c r="I68" s="60"/>
      <c r="J68" s="150"/>
      <c r="K68" s="98"/>
      <c r="L68" s="81"/>
      <c r="M68" s="99"/>
      <c r="N68" s="81"/>
      <c r="O68" s="99"/>
      <c r="P68" s="81"/>
      <c r="Q68" s="99"/>
      <c r="R68" s="81"/>
      <c r="S68" s="99"/>
      <c r="T68" s="81"/>
      <c r="U68" s="99"/>
      <c r="V68" s="81"/>
      <c r="W68" s="99"/>
      <c r="X68" s="81"/>
      <c r="Z68" s="95">
        <f t="shared" si="64"/>
        <v>0</v>
      </c>
      <c r="AC68" s="98"/>
      <c r="AD68" s="97"/>
      <c r="AE68" s="69"/>
      <c r="AF68" s="60"/>
      <c r="AG68" s="224"/>
      <c r="AH68" s="98"/>
      <c r="AI68" s="81"/>
      <c r="AJ68" s="99"/>
      <c r="AK68" s="81"/>
      <c r="AL68" s="99"/>
      <c r="AM68" s="81"/>
      <c r="AN68" s="99"/>
      <c r="AO68" s="81"/>
      <c r="AP68" s="99"/>
      <c r="AQ68" s="81"/>
      <c r="AR68" s="99"/>
      <c r="AS68" s="81"/>
      <c r="AT68" s="99"/>
      <c r="AU68" s="81"/>
      <c r="AV68" s="99"/>
      <c r="AW68" s="81"/>
      <c r="AX68" s="99"/>
      <c r="AY68" s="81"/>
      <c r="BA68" s="95">
        <f t="shared" si="66"/>
        <v>0</v>
      </c>
      <c r="BB68" s="80"/>
      <c r="BC68" s="80"/>
      <c r="BD68" s="80"/>
    </row>
    <row r="69" spans="1:56" x14ac:dyDescent="0.2">
      <c r="A69" s="184"/>
      <c r="B69" s="185"/>
      <c r="F69" s="233" t="s">
        <v>20</v>
      </c>
      <c r="G69" s="163"/>
      <c r="H69" s="164"/>
      <c r="I69" s="60"/>
      <c r="J69" s="307"/>
      <c r="K69" s="98"/>
      <c r="L69" s="81"/>
      <c r="M69" s="99"/>
      <c r="N69" s="81"/>
      <c r="O69" s="99"/>
      <c r="P69" s="81"/>
      <c r="Q69" s="99"/>
      <c r="R69" s="81"/>
      <c r="S69" s="99"/>
      <c r="T69" s="81"/>
      <c r="U69" s="99"/>
      <c r="V69" s="81"/>
      <c r="W69" s="99"/>
      <c r="X69" s="81"/>
      <c r="Z69" s="95">
        <f t="shared" si="64"/>
        <v>0</v>
      </c>
      <c r="AC69" s="233" t="s">
        <v>20</v>
      </c>
      <c r="AE69" s="140"/>
      <c r="AG69" s="224"/>
      <c r="AH69" s="98"/>
      <c r="AI69" s="81"/>
      <c r="AJ69" s="99"/>
      <c r="AK69" s="81"/>
      <c r="AL69" s="99"/>
      <c r="AM69" s="81"/>
      <c r="AN69" s="99"/>
      <c r="AO69" s="81"/>
      <c r="AP69" s="99"/>
      <c r="AQ69" s="81"/>
      <c r="AR69" s="99"/>
      <c r="AS69" s="81"/>
      <c r="AT69" s="99"/>
      <c r="AU69" s="81"/>
      <c r="AV69" s="99"/>
      <c r="AW69" s="81"/>
      <c r="AX69" s="99"/>
      <c r="AY69" s="81"/>
      <c r="BA69" s="95">
        <f t="shared" si="66"/>
        <v>0</v>
      </c>
      <c r="BB69" s="80"/>
      <c r="BC69" s="80"/>
      <c r="BD69" s="80"/>
    </row>
    <row r="70" spans="1:56" ht="4.1500000000000004" customHeight="1" x14ac:dyDescent="0.2">
      <c r="A70" s="228"/>
      <c r="B70" s="671"/>
      <c r="F70" s="109" t="s">
        <v>256</v>
      </c>
      <c r="G70" s="163"/>
      <c r="H70" s="164"/>
      <c r="I70" s="60"/>
      <c r="J70" s="307"/>
      <c r="K70" s="98"/>
      <c r="L70" s="81"/>
      <c r="M70" s="99"/>
      <c r="N70" s="81"/>
      <c r="O70" s="99"/>
      <c r="P70" s="81"/>
      <c r="Q70" s="99"/>
      <c r="R70" s="81"/>
      <c r="S70" s="99"/>
      <c r="T70" s="81"/>
      <c r="U70" s="99"/>
      <c r="V70" s="81"/>
      <c r="W70" s="99"/>
      <c r="X70" s="81"/>
      <c r="Z70" s="95">
        <f t="shared" si="64"/>
        <v>0</v>
      </c>
      <c r="AC70" s="109" t="s">
        <v>256</v>
      </c>
      <c r="AE70" s="140"/>
      <c r="AG70" s="224"/>
      <c r="AH70" s="98"/>
      <c r="AI70" s="81"/>
      <c r="AJ70" s="99"/>
      <c r="AK70" s="81"/>
      <c r="AL70" s="99"/>
      <c r="AM70" s="81"/>
      <c r="AN70" s="99"/>
      <c r="AO70" s="81"/>
      <c r="AP70" s="99"/>
      <c r="AQ70" s="81"/>
      <c r="AR70" s="99"/>
      <c r="AS70" s="81"/>
      <c r="AT70" s="99"/>
      <c r="AU70" s="81"/>
      <c r="AV70" s="99"/>
      <c r="AW70" s="81"/>
      <c r="AX70" s="99"/>
      <c r="AY70" s="81"/>
      <c r="BA70" s="95">
        <f t="shared" si="66"/>
        <v>0</v>
      </c>
      <c r="BB70" s="80"/>
      <c r="BC70" s="80"/>
      <c r="BD70" s="80"/>
    </row>
    <row r="71" spans="1:56" x14ac:dyDescent="0.2">
      <c r="A71" s="228"/>
      <c r="B71" s="671"/>
      <c r="F71" s="109" t="s">
        <v>476</v>
      </c>
      <c r="G71" s="163"/>
      <c r="H71" s="164">
        <v>15</v>
      </c>
      <c r="I71" s="60"/>
      <c r="J71" s="192">
        <v>3081.8076666666666</v>
      </c>
      <c r="K71" s="98"/>
      <c r="L71" s="104">
        <f t="shared" ref="L71:L81" si="67">(VLOOKUP($H71,Factors,L$195))*$J71</f>
        <v>1776.3539390666667</v>
      </c>
      <c r="M71" s="190"/>
      <c r="N71" s="104">
        <f t="shared" ref="N71:N81" si="68">(VLOOKUP($H71,Factors,N$195))*$J71</f>
        <v>698.95397879999996</v>
      </c>
      <c r="O71" s="190"/>
      <c r="P71" s="104">
        <f t="shared" ref="P71:P81" si="69">(VLOOKUP($H71,Factors,P$195))*$J71</f>
        <v>201.85840216666668</v>
      </c>
      <c r="Q71" s="190"/>
      <c r="R71" s="104">
        <f t="shared" ref="R71:R81" si="70">(VLOOKUP($H71,Factors,R$195))*$J71</f>
        <v>0</v>
      </c>
      <c r="S71" s="190"/>
      <c r="T71" s="104">
        <f t="shared" ref="T71:T81" si="71">(VLOOKUP($H71,Factors,T$195))*$J71</f>
        <v>0</v>
      </c>
      <c r="U71" s="190"/>
      <c r="V71" s="104">
        <f t="shared" ref="V71:V81" si="72">(VLOOKUP($H71,Factors,V$195))*$J71</f>
        <v>63.48523793333333</v>
      </c>
      <c r="W71" s="190"/>
      <c r="X71" s="104">
        <f t="shared" ref="X71:X81" si="73">(VLOOKUP($H71,Factors,X$195))*$J71</f>
        <v>341.1561087</v>
      </c>
      <c r="Y71" s="105"/>
      <c r="Z71" s="95">
        <f t="shared" si="64"/>
        <v>0</v>
      </c>
      <c r="AC71" s="109" t="s">
        <v>476</v>
      </c>
      <c r="AE71" s="140">
        <f t="shared" ref="AE71:AE95" si="74">+H71</f>
        <v>15</v>
      </c>
      <c r="AG71" s="191">
        <f t="shared" ref="AG71:AG95" si="75">+J71</f>
        <v>3081.8076666666666</v>
      </c>
      <c r="AH71" s="98"/>
      <c r="AI71" s="104">
        <f t="shared" ref="AI71:AI81" si="76">(VLOOKUP($AE71,func,AI$195))*$AG71</f>
        <v>1013.2983608</v>
      </c>
      <c r="AJ71" s="190"/>
      <c r="AK71" s="104">
        <f t="shared" ref="AK71:AK81" si="77">(VLOOKUP($AE71,func,AK$195))*$AG71</f>
        <v>769.83555513333329</v>
      </c>
      <c r="AL71" s="190"/>
      <c r="AM71" s="104">
        <f t="shared" ref="AM71:AM81" si="78">(VLOOKUP($AE71,func,AM$195))*$AG71</f>
        <v>422.20765033333333</v>
      </c>
      <c r="AN71" s="190"/>
      <c r="AO71" s="104">
        <f t="shared" ref="AO71:AO81" si="79">(VLOOKUP($AE71,func,AO$195))*$AG71</f>
        <v>268.73362853333333</v>
      </c>
      <c r="AP71" s="190"/>
      <c r="AQ71" s="104">
        <f t="shared" ref="AQ71:AQ81" si="80">(VLOOKUP($AE71,func,AQ$195))*$AG71</f>
        <v>146.69404493333334</v>
      </c>
      <c r="AR71" s="190"/>
      <c r="AS71" s="104">
        <f t="shared" ref="AS71:AS81" si="81">(VLOOKUP($AE71,func,AS$195))*$AG71</f>
        <v>58.554345666666663</v>
      </c>
      <c r="AT71" s="190"/>
      <c r="AU71" s="104">
        <f t="shared" ref="AU71:AU81" si="82">(VLOOKUP($AE71,func,AU$195))*$AG71</f>
        <v>0</v>
      </c>
      <c r="AV71" s="190"/>
      <c r="AW71" s="104">
        <f t="shared" ref="AW71:AW81" si="83">(VLOOKUP($AE71,func,AW$195))*$AG71</f>
        <v>63.177057166666671</v>
      </c>
      <c r="AX71" s="190"/>
      <c r="AY71" s="104">
        <f t="shared" ref="AY71:AY81" si="84">(VLOOKUP($AE71,func,AY$195))*$AG71</f>
        <v>339.30702409999998</v>
      </c>
      <c r="BA71" s="95">
        <f t="shared" si="66"/>
        <v>0</v>
      </c>
      <c r="BB71" s="80"/>
      <c r="BC71" s="80"/>
      <c r="BD71" s="80"/>
    </row>
    <row r="72" spans="1:56" x14ac:dyDescent="0.2">
      <c r="A72" s="228"/>
      <c r="B72" s="671"/>
      <c r="F72" s="109" t="s">
        <v>329</v>
      </c>
      <c r="G72" s="163"/>
      <c r="H72" s="164">
        <v>2</v>
      </c>
      <c r="I72" s="60"/>
      <c r="J72" s="192">
        <v>5262.0674999999992</v>
      </c>
      <c r="K72" s="98"/>
      <c r="L72" s="104">
        <f t="shared" si="67"/>
        <v>3235.6453057499994</v>
      </c>
      <c r="M72" s="190"/>
      <c r="N72" s="104">
        <f t="shared" si="68"/>
        <v>1512.3181994999998</v>
      </c>
      <c r="O72" s="190"/>
      <c r="P72" s="104">
        <f t="shared" si="69"/>
        <v>499.37020574999991</v>
      </c>
      <c r="Q72" s="190"/>
      <c r="R72" s="104">
        <f t="shared" si="70"/>
        <v>0</v>
      </c>
      <c r="S72" s="190"/>
      <c r="T72" s="104">
        <f t="shared" si="71"/>
        <v>0</v>
      </c>
      <c r="U72" s="190"/>
      <c r="V72" s="104">
        <f t="shared" si="72"/>
        <v>2.6310337499999998</v>
      </c>
      <c r="W72" s="190"/>
      <c r="X72" s="104">
        <f t="shared" si="73"/>
        <v>12.102755249999998</v>
      </c>
      <c r="Y72" s="105"/>
      <c r="Z72" s="95">
        <f t="shared" ref="Z72:Z81" si="85">SUM(L72:X72)-J72</f>
        <v>0</v>
      </c>
      <c r="AC72" s="109" t="s">
        <v>329</v>
      </c>
      <c r="AE72" s="140">
        <f t="shared" ref="AE72:AE89" si="86">+H72</f>
        <v>2</v>
      </c>
      <c r="AF72" s="371"/>
      <c r="AG72" s="191">
        <f t="shared" ref="AG72:AG89" si="87">+J72</f>
        <v>5262.0674999999992</v>
      </c>
      <c r="AH72" s="98"/>
      <c r="AI72" s="104">
        <f t="shared" si="76"/>
        <v>2754.6923362500002</v>
      </c>
      <c r="AJ72" s="190"/>
      <c r="AK72" s="104">
        <f t="shared" si="77"/>
        <v>2492.6413747499996</v>
      </c>
      <c r="AL72" s="190"/>
      <c r="AM72" s="104">
        <f t="shared" si="78"/>
        <v>0</v>
      </c>
      <c r="AN72" s="190"/>
      <c r="AO72" s="104">
        <f t="shared" si="79"/>
        <v>0</v>
      </c>
      <c r="AP72" s="190"/>
      <c r="AQ72" s="104">
        <f t="shared" si="80"/>
        <v>0</v>
      </c>
      <c r="AR72" s="190"/>
      <c r="AS72" s="104">
        <f t="shared" si="81"/>
        <v>0</v>
      </c>
      <c r="AT72" s="190"/>
      <c r="AU72" s="104">
        <f t="shared" si="82"/>
        <v>0</v>
      </c>
      <c r="AV72" s="190"/>
      <c r="AW72" s="104">
        <f t="shared" si="83"/>
        <v>2.6310337499999998</v>
      </c>
      <c r="AX72" s="190"/>
      <c r="AY72" s="104">
        <f t="shared" si="84"/>
        <v>12.102755249999998</v>
      </c>
      <c r="AZ72" s="371"/>
      <c r="BA72" s="95">
        <f t="shared" si="66"/>
        <v>0</v>
      </c>
      <c r="BB72" s="80"/>
      <c r="BC72" s="80"/>
      <c r="BD72" s="80"/>
    </row>
    <row r="73" spans="1:56" s="371" customFormat="1" x14ac:dyDescent="0.2">
      <c r="A73" s="228"/>
      <c r="B73" s="671"/>
      <c r="C73" s="664"/>
      <c r="D73" s="300"/>
      <c r="E73" s="105"/>
      <c r="F73" s="109" t="s">
        <v>475</v>
      </c>
      <c r="G73" s="163"/>
      <c r="H73" s="164">
        <v>2</v>
      </c>
      <c r="I73" s="60"/>
      <c r="J73" s="192">
        <v>14209.379444444445</v>
      </c>
      <c r="K73" s="98"/>
      <c r="L73" s="104">
        <f t="shared" si="67"/>
        <v>8737.3474203888891</v>
      </c>
      <c r="M73" s="190"/>
      <c r="N73" s="104">
        <f t="shared" si="68"/>
        <v>4083.7756523333333</v>
      </c>
      <c r="O73" s="190"/>
      <c r="P73" s="104">
        <f t="shared" si="69"/>
        <v>1348.4701092777777</v>
      </c>
      <c r="Q73" s="190"/>
      <c r="R73" s="104">
        <f t="shared" si="70"/>
        <v>0</v>
      </c>
      <c r="S73" s="190"/>
      <c r="T73" s="104">
        <f t="shared" si="71"/>
        <v>0</v>
      </c>
      <c r="U73" s="190"/>
      <c r="V73" s="104">
        <f t="shared" si="72"/>
        <v>7.1046897222222229</v>
      </c>
      <c r="W73" s="190"/>
      <c r="X73" s="104">
        <f t="shared" si="73"/>
        <v>32.681572722222221</v>
      </c>
      <c r="Y73" s="105"/>
      <c r="Z73" s="95">
        <f t="shared" si="85"/>
        <v>0</v>
      </c>
      <c r="AC73" s="109" t="s">
        <v>475</v>
      </c>
      <c r="AE73" s="140">
        <f t="shared" si="86"/>
        <v>2</v>
      </c>
      <c r="AG73" s="191">
        <f t="shared" si="87"/>
        <v>14209.379444444445</v>
      </c>
      <c r="AH73" s="98"/>
      <c r="AI73" s="104">
        <f t="shared" si="76"/>
        <v>7438.610139166668</v>
      </c>
      <c r="AJ73" s="190"/>
      <c r="AK73" s="104">
        <f t="shared" si="77"/>
        <v>6730.9830428333335</v>
      </c>
      <c r="AL73" s="190"/>
      <c r="AM73" s="104">
        <f t="shared" si="78"/>
        <v>0</v>
      </c>
      <c r="AN73" s="190"/>
      <c r="AO73" s="104">
        <f t="shared" si="79"/>
        <v>0</v>
      </c>
      <c r="AP73" s="190"/>
      <c r="AQ73" s="104">
        <f t="shared" si="80"/>
        <v>0</v>
      </c>
      <c r="AR73" s="190"/>
      <c r="AS73" s="104">
        <f t="shared" si="81"/>
        <v>0</v>
      </c>
      <c r="AT73" s="190"/>
      <c r="AU73" s="104">
        <f t="shared" si="82"/>
        <v>0</v>
      </c>
      <c r="AV73" s="190"/>
      <c r="AW73" s="104">
        <f t="shared" si="83"/>
        <v>7.1046897222222229</v>
      </c>
      <c r="AX73" s="190"/>
      <c r="AY73" s="104">
        <f t="shared" si="84"/>
        <v>32.681572722222221</v>
      </c>
      <c r="BA73" s="95">
        <f t="shared" si="66"/>
        <v>0</v>
      </c>
      <c r="BB73" s="80"/>
      <c r="BC73" s="80"/>
      <c r="BD73" s="80"/>
    </row>
    <row r="74" spans="1:56" s="371" customFormat="1" x14ac:dyDescent="0.2">
      <c r="A74" s="228"/>
      <c r="B74" s="671"/>
      <c r="C74" s="664"/>
      <c r="D74" s="300"/>
      <c r="E74" s="105"/>
      <c r="F74" s="109" t="s">
        <v>477</v>
      </c>
      <c r="G74" s="163"/>
      <c r="H74" s="164">
        <v>6</v>
      </c>
      <c r="I74" s="60"/>
      <c r="J74" s="192">
        <v>42.371666666666663</v>
      </c>
      <c r="K74" s="98"/>
      <c r="L74" s="104">
        <f t="shared" si="67"/>
        <v>20.130778833333331</v>
      </c>
      <c r="M74" s="190"/>
      <c r="N74" s="104">
        <f t="shared" si="68"/>
        <v>8.3472183333333323</v>
      </c>
      <c r="O74" s="190"/>
      <c r="P74" s="104">
        <f t="shared" si="69"/>
        <v>2.4490823333333331</v>
      </c>
      <c r="Q74" s="190"/>
      <c r="R74" s="104">
        <f t="shared" si="70"/>
        <v>0</v>
      </c>
      <c r="S74" s="190"/>
      <c r="T74" s="104">
        <f t="shared" si="71"/>
        <v>0</v>
      </c>
      <c r="U74" s="190"/>
      <c r="V74" s="104">
        <f t="shared" si="72"/>
        <v>2.6736521666666664</v>
      </c>
      <c r="W74" s="190"/>
      <c r="X74" s="104">
        <f t="shared" si="73"/>
        <v>8.7709349999999979</v>
      </c>
      <c r="Y74" s="105"/>
      <c r="Z74" s="95">
        <f t="shared" si="85"/>
        <v>0</v>
      </c>
      <c r="AC74" s="109" t="s">
        <v>477</v>
      </c>
      <c r="AE74" s="140">
        <f t="shared" si="86"/>
        <v>6</v>
      </c>
      <c r="AG74" s="191">
        <f t="shared" si="87"/>
        <v>42.371666666666663</v>
      </c>
      <c r="AH74" s="98"/>
      <c r="AI74" s="104">
        <f t="shared" si="76"/>
        <v>10.724268833333332</v>
      </c>
      <c r="AJ74" s="190"/>
      <c r="AK74" s="104">
        <f t="shared" si="77"/>
        <v>1.1143748333333332</v>
      </c>
      <c r="AL74" s="190"/>
      <c r="AM74" s="104">
        <f t="shared" si="78"/>
        <v>19.088435833333332</v>
      </c>
      <c r="AN74" s="190"/>
      <c r="AO74" s="104">
        <f t="shared" si="79"/>
        <v>0</v>
      </c>
      <c r="AP74" s="190"/>
      <c r="AQ74" s="104">
        <f t="shared" si="80"/>
        <v>0</v>
      </c>
      <c r="AR74" s="190"/>
      <c r="AS74" s="104">
        <f t="shared" si="81"/>
        <v>0</v>
      </c>
      <c r="AT74" s="190"/>
      <c r="AU74" s="104">
        <f t="shared" si="82"/>
        <v>0</v>
      </c>
      <c r="AV74" s="190"/>
      <c r="AW74" s="104">
        <f t="shared" si="83"/>
        <v>2.6736521666666664</v>
      </c>
      <c r="AX74" s="190"/>
      <c r="AY74" s="104">
        <f t="shared" si="84"/>
        <v>8.7709349999999979</v>
      </c>
      <c r="BA74" s="95">
        <f t="shared" si="66"/>
        <v>0</v>
      </c>
      <c r="BB74" s="80"/>
      <c r="BC74" s="80"/>
      <c r="BD74" s="80"/>
    </row>
    <row r="75" spans="1:56" s="371" customFormat="1" x14ac:dyDescent="0.2">
      <c r="A75" s="228"/>
      <c r="B75" s="671"/>
      <c r="C75" s="664"/>
      <c r="D75" s="300"/>
      <c r="E75" s="105"/>
      <c r="F75" s="109" t="s">
        <v>478</v>
      </c>
      <c r="G75" s="163"/>
      <c r="H75" s="164">
        <v>12</v>
      </c>
      <c r="I75" s="60"/>
      <c r="J75" s="192">
        <v>5184.1064000000006</v>
      </c>
      <c r="K75" s="98"/>
      <c r="L75" s="104">
        <f t="shared" si="67"/>
        <v>3019.7419780000005</v>
      </c>
      <c r="M75" s="190"/>
      <c r="N75" s="104">
        <f t="shared" si="68"/>
        <v>1023.8610140000002</v>
      </c>
      <c r="O75" s="190"/>
      <c r="P75" s="104">
        <f t="shared" si="69"/>
        <v>264.90783704</v>
      </c>
      <c r="Q75" s="190"/>
      <c r="R75" s="104">
        <f t="shared" si="70"/>
        <v>0</v>
      </c>
      <c r="S75" s="190"/>
      <c r="T75" s="104">
        <f t="shared" si="71"/>
        <v>0</v>
      </c>
      <c r="U75" s="190"/>
      <c r="V75" s="104">
        <f t="shared" si="72"/>
        <v>214.10359432000004</v>
      </c>
      <c r="W75" s="190"/>
      <c r="X75" s="104">
        <f t="shared" si="73"/>
        <v>661.49197664000008</v>
      </c>
      <c r="Y75" s="105"/>
      <c r="Z75" s="95">
        <f t="shared" si="85"/>
        <v>0</v>
      </c>
      <c r="AC75" s="109" t="s">
        <v>478</v>
      </c>
      <c r="AE75" s="140">
        <f t="shared" si="86"/>
        <v>12</v>
      </c>
      <c r="AG75" s="191">
        <f t="shared" si="87"/>
        <v>5184.1064000000006</v>
      </c>
      <c r="AH75" s="98"/>
      <c r="AI75" s="104">
        <f t="shared" si="76"/>
        <v>976.1672351200001</v>
      </c>
      <c r="AJ75" s="190"/>
      <c r="AK75" s="104">
        <f t="shared" si="77"/>
        <v>954.91239888000007</v>
      </c>
      <c r="AL75" s="190"/>
      <c r="AM75" s="104">
        <f t="shared" si="78"/>
        <v>1438.07111536</v>
      </c>
      <c r="AN75" s="190"/>
      <c r="AO75" s="104">
        <f t="shared" si="79"/>
        <v>0</v>
      </c>
      <c r="AP75" s="190"/>
      <c r="AQ75" s="104">
        <f t="shared" si="80"/>
        <v>0</v>
      </c>
      <c r="AR75" s="190"/>
      <c r="AS75" s="104">
        <f t="shared" si="81"/>
        <v>939.36007968000013</v>
      </c>
      <c r="AT75" s="190"/>
      <c r="AU75" s="104">
        <f t="shared" si="82"/>
        <v>0</v>
      </c>
      <c r="AV75" s="190"/>
      <c r="AW75" s="104">
        <f t="shared" si="83"/>
        <v>214.10359432000004</v>
      </c>
      <c r="AX75" s="190"/>
      <c r="AY75" s="104">
        <f t="shared" si="84"/>
        <v>661.49197664000008</v>
      </c>
      <c r="BA75" s="95">
        <f t="shared" si="66"/>
        <v>0</v>
      </c>
      <c r="BB75" s="80"/>
      <c r="BC75" s="80"/>
      <c r="BD75" s="80"/>
    </row>
    <row r="76" spans="1:56" s="371" customFormat="1" x14ac:dyDescent="0.2">
      <c r="A76" s="228"/>
      <c r="B76" s="671"/>
      <c r="C76" s="664"/>
      <c r="D76" s="300"/>
      <c r="E76" s="105"/>
      <c r="F76" s="109" t="s">
        <v>479</v>
      </c>
      <c r="G76" s="163"/>
      <c r="H76" s="164">
        <v>12</v>
      </c>
      <c r="I76" s="60"/>
      <c r="J76" s="192">
        <v>6007.8592000000008</v>
      </c>
      <c r="K76" s="98"/>
      <c r="L76" s="104">
        <f t="shared" si="67"/>
        <v>3499.5779840000005</v>
      </c>
      <c r="M76" s="190"/>
      <c r="N76" s="104">
        <f t="shared" si="68"/>
        <v>1186.5521920000001</v>
      </c>
      <c r="O76" s="190"/>
      <c r="P76" s="104">
        <f t="shared" si="69"/>
        <v>307.00160512000002</v>
      </c>
      <c r="Q76" s="190"/>
      <c r="R76" s="104">
        <f t="shared" si="70"/>
        <v>0</v>
      </c>
      <c r="S76" s="190"/>
      <c r="T76" s="104">
        <f t="shared" si="71"/>
        <v>0</v>
      </c>
      <c r="U76" s="190"/>
      <c r="V76" s="104">
        <f t="shared" si="72"/>
        <v>248.12458496000005</v>
      </c>
      <c r="W76" s="190"/>
      <c r="X76" s="104">
        <f t="shared" si="73"/>
        <v>766.60283392000008</v>
      </c>
      <c r="Y76" s="105"/>
      <c r="Z76" s="95">
        <f t="shared" si="85"/>
        <v>0</v>
      </c>
      <c r="AC76" s="109" t="s">
        <v>479</v>
      </c>
      <c r="AE76" s="140">
        <f t="shared" si="86"/>
        <v>12</v>
      </c>
      <c r="AG76" s="191">
        <f t="shared" si="87"/>
        <v>6007.8592000000008</v>
      </c>
      <c r="AH76" s="98"/>
      <c r="AI76" s="104">
        <f t="shared" si="76"/>
        <v>1131.2798873600002</v>
      </c>
      <c r="AJ76" s="190"/>
      <c r="AK76" s="104">
        <f t="shared" si="77"/>
        <v>1106.6476646400001</v>
      </c>
      <c r="AL76" s="190"/>
      <c r="AM76" s="104">
        <f t="shared" si="78"/>
        <v>1666.5801420800001</v>
      </c>
      <c r="AN76" s="190"/>
      <c r="AO76" s="104">
        <f t="shared" si="79"/>
        <v>0</v>
      </c>
      <c r="AP76" s="190"/>
      <c r="AQ76" s="104">
        <f t="shared" si="80"/>
        <v>0</v>
      </c>
      <c r="AR76" s="190"/>
      <c r="AS76" s="104">
        <f t="shared" si="81"/>
        <v>1088.6240870400002</v>
      </c>
      <c r="AT76" s="190"/>
      <c r="AU76" s="104">
        <f t="shared" si="82"/>
        <v>0</v>
      </c>
      <c r="AV76" s="190"/>
      <c r="AW76" s="104">
        <f t="shared" si="83"/>
        <v>248.12458496000005</v>
      </c>
      <c r="AX76" s="190"/>
      <c r="AY76" s="104">
        <f t="shared" si="84"/>
        <v>766.60283392000008</v>
      </c>
      <c r="BA76" s="95">
        <f t="shared" si="66"/>
        <v>0</v>
      </c>
      <c r="BB76" s="80"/>
      <c r="BC76" s="80"/>
      <c r="BD76" s="80"/>
    </row>
    <row r="77" spans="1:56" x14ac:dyDescent="0.2">
      <c r="A77" s="228"/>
      <c r="B77" s="671"/>
      <c r="F77" s="109" t="s">
        <v>330</v>
      </c>
      <c r="G77" s="163"/>
      <c r="H77" s="164">
        <v>2</v>
      </c>
      <c r="I77" s="60"/>
      <c r="J77" s="192">
        <v>7958.0855000000001</v>
      </c>
      <c r="K77" s="98"/>
      <c r="L77" s="104">
        <f t="shared" si="67"/>
        <v>4893.4267739500001</v>
      </c>
      <c r="M77" s="190"/>
      <c r="N77" s="104">
        <f t="shared" si="68"/>
        <v>2287.1537727</v>
      </c>
      <c r="O77" s="190"/>
      <c r="P77" s="104">
        <f t="shared" si="69"/>
        <v>755.22231394999994</v>
      </c>
      <c r="Q77" s="190"/>
      <c r="R77" s="104">
        <f t="shared" si="70"/>
        <v>0</v>
      </c>
      <c r="S77" s="190"/>
      <c r="T77" s="104">
        <f t="shared" si="71"/>
        <v>0</v>
      </c>
      <c r="U77" s="190"/>
      <c r="V77" s="104">
        <f t="shared" si="72"/>
        <v>3.9790427500000001</v>
      </c>
      <c r="W77" s="190"/>
      <c r="X77" s="104">
        <f t="shared" si="73"/>
        <v>18.303596649999999</v>
      </c>
      <c r="Y77" s="105"/>
      <c r="Z77" s="95">
        <f t="shared" si="85"/>
        <v>0</v>
      </c>
      <c r="AC77" s="109" t="s">
        <v>330</v>
      </c>
      <c r="AE77" s="140">
        <f t="shared" si="86"/>
        <v>2</v>
      </c>
      <c r="AF77" s="371"/>
      <c r="AG77" s="191">
        <f t="shared" si="87"/>
        <v>7958.0855000000001</v>
      </c>
      <c r="AH77" s="98"/>
      <c r="AI77" s="104">
        <f t="shared" si="76"/>
        <v>4166.0577592500003</v>
      </c>
      <c r="AJ77" s="190"/>
      <c r="AK77" s="104">
        <f t="shared" si="77"/>
        <v>3769.7451013500004</v>
      </c>
      <c r="AL77" s="190"/>
      <c r="AM77" s="104">
        <f t="shared" si="78"/>
        <v>0</v>
      </c>
      <c r="AN77" s="190"/>
      <c r="AO77" s="104">
        <f t="shared" si="79"/>
        <v>0</v>
      </c>
      <c r="AP77" s="190"/>
      <c r="AQ77" s="104">
        <f t="shared" si="80"/>
        <v>0</v>
      </c>
      <c r="AR77" s="190"/>
      <c r="AS77" s="104">
        <f t="shared" si="81"/>
        <v>0</v>
      </c>
      <c r="AT77" s="190"/>
      <c r="AU77" s="104">
        <f t="shared" si="82"/>
        <v>0</v>
      </c>
      <c r="AV77" s="190"/>
      <c r="AW77" s="104">
        <f t="shared" si="83"/>
        <v>3.9790427500000001</v>
      </c>
      <c r="AX77" s="190"/>
      <c r="AY77" s="104">
        <f t="shared" si="84"/>
        <v>18.303596649999999</v>
      </c>
      <c r="AZ77" s="371"/>
      <c r="BA77" s="95">
        <f t="shared" si="66"/>
        <v>0</v>
      </c>
      <c r="BB77" s="80"/>
      <c r="BC77" s="80"/>
      <c r="BD77" s="80"/>
    </row>
    <row r="78" spans="1:56" ht="15.6" customHeight="1" x14ac:dyDescent="0.2">
      <c r="A78" s="228"/>
      <c r="B78" s="671"/>
      <c r="F78" s="109" t="s">
        <v>331</v>
      </c>
      <c r="G78" s="163"/>
      <c r="H78" s="164">
        <v>2</v>
      </c>
      <c r="I78" s="60"/>
      <c r="J78" s="192">
        <v>184.35026666666667</v>
      </c>
      <c r="K78" s="98"/>
      <c r="L78" s="104">
        <f t="shared" si="67"/>
        <v>113.35697897333334</v>
      </c>
      <c r="M78" s="190"/>
      <c r="N78" s="104">
        <f t="shared" si="68"/>
        <v>52.982266639999999</v>
      </c>
      <c r="O78" s="190"/>
      <c r="P78" s="104">
        <f t="shared" si="69"/>
        <v>17.494840306666667</v>
      </c>
      <c r="Q78" s="190"/>
      <c r="R78" s="104">
        <f t="shared" si="70"/>
        <v>0</v>
      </c>
      <c r="S78" s="190"/>
      <c r="T78" s="104">
        <f t="shared" si="71"/>
        <v>0</v>
      </c>
      <c r="U78" s="190"/>
      <c r="V78" s="104">
        <f t="shared" si="72"/>
        <v>9.2175133333333339E-2</v>
      </c>
      <c r="W78" s="190"/>
      <c r="X78" s="104">
        <f t="shared" si="73"/>
        <v>0.42400561333333331</v>
      </c>
      <c r="Y78" s="105"/>
      <c r="Z78" s="95">
        <f t="shared" si="85"/>
        <v>0</v>
      </c>
      <c r="AC78" s="109" t="s">
        <v>331</v>
      </c>
      <c r="AE78" s="140">
        <f t="shared" si="86"/>
        <v>2</v>
      </c>
      <c r="AF78" s="371"/>
      <c r="AG78" s="191">
        <f t="shared" si="87"/>
        <v>184.35026666666667</v>
      </c>
      <c r="AH78" s="98"/>
      <c r="AI78" s="104">
        <f t="shared" si="76"/>
        <v>96.507364600000017</v>
      </c>
      <c r="AJ78" s="190"/>
      <c r="AK78" s="104">
        <f t="shared" si="77"/>
        <v>87.326721320000004</v>
      </c>
      <c r="AL78" s="190"/>
      <c r="AM78" s="104">
        <f t="shared" si="78"/>
        <v>0</v>
      </c>
      <c r="AN78" s="190"/>
      <c r="AO78" s="104">
        <f t="shared" si="79"/>
        <v>0</v>
      </c>
      <c r="AP78" s="190"/>
      <c r="AQ78" s="104">
        <f t="shared" si="80"/>
        <v>0</v>
      </c>
      <c r="AR78" s="190"/>
      <c r="AS78" s="104">
        <f t="shared" si="81"/>
        <v>0</v>
      </c>
      <c r="AT78" s="190"/>
      <c r="AU78" s="104">
        <f t="shared" si="82"/>
        <v>0</v>
      </c>
      <c r="AV78" s="190"/>
      <c r="AW78" s="104">
        <f t="shared" si="83"/>
        <v>9.2175133333333339E-2</v>
      </c>
      <c r="AX78" s="190"/>
      <c r="AY78" s="104">
        <f t="shared" si="84"/>
        <v>0.42400561333333331</v>
      </c>
      <c r="AZ78" s="371"/>
      <c r="BA78" s="95">
        <f t="shared" si="66"/>
        <v>0</v>
      </c>
      <c r="BB78" s="80"/>
      <c r="BC78" s="80"/>
      <c r="BD78" s="80"/>
    </row>
    <row r="79" spans="1:56" x14ac:dyDescent="0.2">
      <c r="A79" s="228"/>
      <c r="B79" s="671"/>
      <c r="F79" s="109" t="s">
        <v>415</v>
      </c>
      <c r="G79" s="163"/>
      <c r="H79" s="164">
        <v>3</v>
      </c>
      <c r="I79" s="60"/>
      <c r="J79" s="192">
        <v>26640.513437500002</v>
      </c>
      <c r="K79" s="98"/>
      <c r="L79" s="104">
        <f t="shared" si="67"/>
        <v>15576.708206906251</v>
      </c>
      <c r="M79" s="190"/>
      <c r="N79" s="104">
        <f t="shared" si="68"/>
        <v>7278.188271125</v>
      </c>
      <c r="O79" s="190"/>
      <c r="P79" s="104">
        <f t="shared" si="69"/>
        <v>2400.3102607187502</v>
      </c>
      <c r="Q79" s="190"/>
      <c r="R79" s="104">
        <f t="shared" si="70"/>
        <v>0</v>
      </c>
      <c r="S79" s="190"/>
      <c r="T79" s="104">
        <f t="shared" si="71"/>
        <v>0</v>
      </c>
      <c r="U79" s="190"/>
      <c r="V79" s="104">
        <f t="shared" si="72"/>
        <v>319.68616125</v>
      </c>
      <c r="W79" s="190"/>
      <c r="X79" s="104">
        <f t="shared" si="73"/>
        <v>1065.6205375000002</v>
      </c>
      <c r="Y79" s="105"/>
      <c r="Z79" s="95">
        <f t="shared" si="85"/>
        <v>0</v>
      </c>
      <c r="AC79" s="109" t="s">
        <v>415</v>
      </c>
      <c r="AE79" s="140">
        <f t="shared" si="86"/>
        <v>3</v>
      </c>
      <c r="AF79" s="371"/>
      <c r="AG79" s="191">
        <f t="shared" si="87"/>
        <v>26640.513437500002</v>
      </c>
      <c r="AH79" s="98"/>
      <c r="AI79" s="104">
        <f t="shared" si="76"/>
        <v>13328.248872781251</v>
      </c>
      <c r="AJ79" s="190"/>
      <c r="AK79" s="104">
        <f t="shared" si="77"/>
        <v>11998.887252250001</v>
      </c>
      <c r="AL79" s="190"/>
      <c r="AM79" s="104">
        <f t="shared" si="78"/>
        <v>0</v>
      </c>
      <c r="AN79" s="190"/>
      <c r="AO79" s="104">
        <f t="shared" si="79"/>
        <v>0</v>
      </c>
      <c r="AP79" s="190"/>
      <c r="AQ79" s="104">
        <f t="shared" si="80"/>
        <v>0</v>
      </c>
      <c r="AR79" s="190"/>
      <c r="AS79" s="104">
        <f t="shared" si="81"/>
        <v>0</v>
      </c>
      <c r="AT79" s="190"/>
      <c r="AU79" s="104">
        <f t="shared" si="82"/>
        <v>0</v>
      </c>
      <c r="AV79" s="190"/>
      <c r="AW79" s="104">
        <f t="shared" si="83"/>
        <v>306.36590453125001</v>
      </c>
      <c r="AX79" s="190"/>
      <c r="AY79" s="104">
        <f t="shared" si="84"/>
        <v>1007.0114079375001</v>
      </c>
      <c r="AZ79" s="371"/>
      <c r="BA79" s="95">
        <f t="shared" si="66"/>
        <v>0</v>
      </c>
      <c r="BB79" s="80"/>
      <c r="BC79" s="80"/>
      <c r="BD79" s="80"/>
    </row>
    <row r="80" spans="1:56" x14ac:dyDescent="0.2">
      <c r="A80" s="228"/>
      <c r="B80" s="671"/>
      <c r="F80" s="109" t="s">
        <v>365</v>
      </c>
      <c r="G80" s="163"/>
      <c r="H80" s="164">
        <v>2</v>
      </c>
      <c r="I80" s="60"/>
      <c r="J80" s="192">
        <v>35555.920714285705</v>
      </c>
      <c r="K80" s="98"/>
      <c r="L80" s="104">
        <f t="shared" si="67"/>
        <v>21863.33564721428</v>
      </c>
      <c r="M80" s="190"/>
      <c r="N80" s="104">
        <f t="shared" si="68"/>
        <v>10218.771613285711</v>
      </c>
      <c r="O80" s="190"/>
      <c r="P80" s="104">
        <f t="shared" si="69"/>
        <v>3374.2568757857134</v>
      </c>
      <c r="Q80" s="190"/>
      <c r="R80" s="104">
        <f t="shared" si="70"/>
        <v>0</v>
      </c>
      <c r="S80" s="190"/>
      <c r="T80" s="104">
        <f t="shared" si="71"/>
        <v>0</v>
      </c>
      <c r="U80" s="190"/>
      <c r="V80" s="104">
        <f t="shared" si="72"/>
        <v>17.777960357142852</v>
      </c>
      <c r="W80" s="190"/>
      <c r="X80" s="104">
        <f t="shared" si="73"/>
        <v>81.778617642857114</v>
      </c>
      <c r="Y80" s="105"/>
      <c r="Z80" s="95">
        <f t="shared" si="85"/>
        <v>0</v>
      </c>
      <c r="AC80" s="109" t="s">
        <v>365</v>
      </c>
      <c r="AE80" s="140">
        <f t="shared" si="86"/>
        <v>2</v>
      </c>
      <c r="AF80" s="371"/>
      <c r="AG80" s="191">
        <f t="shared" si="87"/>
        <v>35555.920714285705</v>
      </c>
      <c r="AH80" s="98"/>
      <c r="AI80" s="104">
        <f t="shared" si="76"/>
        <v>18613.524493928569</v>
      </c>
      <c r="AJ80" s="190"/>
      <c r="AK80" s="104">
        <f t="shared" si="77"/>
        <v>16842.839642357139</v>
      </c>
      <c r="AL80" s="190"/>
      <c r="AM80" s="104">
        <f t="shared" si="78"/>
        <v>0</v>
      </c>
      <c r="AN80" s="190"/>
      <c r="AO80" s="104">
        <f t="shared" si="79"/>
        <v>0</v>
      </c>
      <c r="AP80" s="190"/>
      <c r="AQ80" s="104">
        <f t="shared" si="80"/>
        <v>0</v>
      </c>
      <c r="AR80" s="190"/>
      <c r="AS80" s="104">
        <f t="shared" si="81"/>
        <v>0</v>
      </c>
      <c r="AT80" s="190"/>
      <c r="AU80" s="104">
        <f t="shared" si="82"/>
        <v>0</v>
      </c>
      <c r="AV80" s="190"/>
      <c r="AW80" s="104">
        <f t="shared" si="83"/>
        <v>17.777960357142852</v>
      </c>
      <c r="AX80" s="190"/>
      <c r="AY80" s="104">
        <f t="shared" si="84"/>
        <v>81.778617642857114</v>
      </c>
      <c r="AZ80" s="371"/>
      <c r="BA80" s="95">
        <f t="shared" si="66"/>
        <v>0</v>
      </c>
      <c r="BB80" s="80"/>
      <c r="BC80" s="80"/>
      <c r="BD80" s="80"/>
    </row>
    <row r="81" spans="1:56" x14ac:dyDescent="0.2">
      <c r="A81" s="228"/>
      <c r="B81" s="671"/>
      <c r="F81" s="109" t="s">
        <v>332</v>
      </c>
      <c r="G81" s="163"/>
      <c r="H81" s="164">
        <v>5</v>
      </c>
      <c r="I81" s="60"/>
      <c r="J81" s="192">
        <v>9155.8008333333346</v>
      </c>
      <c r="K81" s="98"/>
      <c r="L81" s="104">
        <f t="shared" si="67"/>
        <v>5725.1222610833338</v>
      </c>
      <c r="M81" s="190"/>
      <c r="N81" s="104">
        <f t="shared" si="68"/>
        <v>2345.7161735</v>
      </c>
      <c r="O81" s="190"/>
      <c r="P81" s="104">
        <f t="shared" si="69"/>
        <v>689.4318027500002</v>
      </c>
      <c r="Q81" s="190"/>
      <c r="R81" s="104">
        <f t="shared" si="70"/>
        <v>0</v>
      </c>
      <c r="S81" s="190"/>
      <c r="T81" s="104">
        <f t="shared" si="71"/>
        <v>0</v>
      </c>
      <c r="U81" s="190"/>
      <c r="V81" s="104">
        <f t="shared" si="72"/>
        <v>89.72684816666667</v>
      </c>
      <c r="W81" s="190"/>
      <c r="X81" s="104">
        <f t="shared" si="73"/>
        <v>305.80374783333338</v>
      </c>
      <c r="Y81" s="105"/>
      <c r="Z81" s="95">
        <f t="shared" si="85"/>
        <v>0</v>
      </c>
      <c r="AC81" s="109" t="s">
        <v>332</v>
      </c>
      <c r="AE81" s="140">
        <f t="shared" si="86"/>
        <v>5</v>
      </c>
      <c r="AF81" s="371"/>
      <c r="AG81" s="191">
        <f t="shared" si="87"/>
        <v>9155.8008333333346</v>
      </c>
      <c r="AH81" s="98"/>
      <c r="AI81" s="104">
        <f t="shared" si="76"/>
        <v>2911.5446650000004</v>
      </c>
      <c r="AJ81" s="190"/>
      <c r="AK81" s="104">
        <f t="shared" si="77"/>
        <v>0</v>
      </c>
      <c r="AL81" s="190"/>
      <c r="AM81" s="104">
        <f t="shared" si="78"/>
        <v>5848.7255723333346</v>
      </c>
      <c r="AN81" s="190"/>
      <c r="AO81" s="104">
        <f t="shared" si="79"/>
        <v>0</v>
      </c>
      <c r="AP81" s="190"/>
      <c r="AQ81" s="104">
        <f t="shared" si="80"/>
        <v>0</v>
      </c>
      <c r="AR81" s="190"/>
      <c r="AS81" s="104">
        <f t="shared" si="81"/>
        <v>0</v>
      </c>
      <c r="AT81" s="190"/>
      <c r="AU81" s="104">
        <f t="shared" si="82"/>
        <v>0</v>
      </c>
      <c r="AV81" s="190"/>
      <c r="AW81" s="104">
        <f t="shared" si="83"/>
        <v>89.72684816666667</v>
      </c>
      <c r="AX81" s="190"/>
      <c r="AY81" s="104">
        <f t="shared" si="84"/>
        <v>305.80374783333338</v>
      </c>
      <c r="AZ81" s="371"/>
      <c r="BA81" s="95">
        <f t="shared" si="66"/>
        <v>0</v>
      </c>
      <c r="BB81" s="80"/>
      <c r="BC81" s="80"/>
      <c r="BD81" s="80"/>
    </row>
    <row r="82" spans="1:56" x14ac:dyDescent="0.2">
      <c r="A82" s="228"/>
      <c r="B82" s="672"/>
      <c r="F82" s="109" t="s">
        <v>333</v>
      </c>
      <c r="G82" s="163"/>
      <c r="H82" s="164"/>
      <c r="I82" s="60"/>
      <c r="J82" s="192"/>
      <c r="K82" s="81"/>
      <c r="L82" s="104"/>
      <c r="M82" s="190"/>
      <c r="N82" s="104"/>
      <c r="O82" s="190"/>
      <c r="P82" s="104"/>
      <c r="Q82" s="190"/>
      <c r="R82" s="104"/>
      <c r="S82" s="190"/>
      <c r="T82" s="104"/>
      <c r="U82" s="190"/>
      <c r="V82" s="104"/>
      <c r="W82" s="190"/>
      <c r="X82" s="104"/>
      <c r="Y82" s="105"/>
      <c r="Z82" s="95"/>
      <c r="AC82" s="109" t="s">
        <v>333</v>
      </c>
      <c r="AE82" s="140"/>
      <c r="AF82" s="371"/>
      <c r="AG82" s="191"/>
      <c r="AH82" s="98"/>
      <c r="AI82" s="104"/>
      <c r="AJ82" s="190"/>
      <c r="AK82" s="104"/>
      <c r="AL82" s="190"/>
      <c r="AM82" s="104"/>
      <c r="AN82" s="190"/>
      <c r="AO82" s="104"/>
      <c r="AP82" s="190"/>
      <c r="AQ82" s="104"/>
      <c r="AR82" s="190"/>
      <c r="AS82" s="104"/>
      <c r="AT82" s="190"/>
      <c r="AU82" s="104"/>
      <c r="AV82" s="190"/>
      <c r="AW82" s="104"/>
      <c r="AX82" s="190"/>
      <c r="AY82" s="104"/>
      <c r="AZ82" s="371"/>
      <c r="BA82" s="95"/>
      <c r="BB82" s="80"/>
      <c r="BC82" s="80"/>
      <c r="BD82" s="80"/>
    </row>
    <row r="83" spans="1:56" x14ac:dyDescent="0.2">
      <c r="B83" s="268"/>
      <c r="F83" s="57" t="s">
        <v>417</v>
      </c>
      <c r="G83" s="163"/>
      <c r="H83" s="164">
        <v>4</v>
      </c>
      <c r="I83" s="60"/>
      <c r="J83" s="192">
        <v>34161.462352990005</v>
      </c>
      <c r="K83" s="98"/>
      <c r="L83" s="104">
        <f t="shared" ref="L83:L95" si="88">(VLOOKUP($H83,Factors,L$195))*$J83</f>
        <v>15997.812819905219</v>
      </c>
      <c r="M83" s="190"/>
      <c r="N83" s="104">
        <f t="shared" ref="N83:N95" si="89">(VLOOKUP($H83,Factors,N$195))*$J83</f>
        <v>6565.8330642446781</v>
      </c>
      <c r="O83" s="190"/>
      <c r="P83" s="104">
        <f t="shared" ref="P83:P95" si="90">(VLOOKUP($H83,Factors,P$195))*$J83</f>
        <v>1906.2095992968425</v>
      </c>
      <c r="Q83" s="190"/>
      <c r="R83" s="104">
        <f t="shared" ref="R83:R95" si="91">(VLOOKUP($H83,Factors,R$195))*$J83</f>
        <v>0</v>
      </c>
      <c r="S83" s="190"/>
      <c r="T83" s="104">
        <f t="shared" ref="T83:T95" si="92">(VLOOKUP($H83,Factors,T$195))*$J83</f>
        <v>0</v>
      </c>
      <c r="U83" s="190"/>
      <c r="V83" s="104">
        <f t="shared" ref="V83:V95" si="93">(VLOOKUP($H83,Factors,V$195))*$J83</f>
        <v>2264.9049540032379</v>
      </c>
      <c r="W83" s="190"/>
      <c r="X83" s="104">
        <f t="shared" ref="X83:X95" si="94">(VLOOKUP($H83,Factors,X$195))*$J83</f>
        <v>7426.7019155400267</v>
      </c>
      <c r="Y83" s="105"/>
      <c r="Z83" s="95">
        <f t="shared" ref="Z83:Z94" si="95">SUM(L83:X83)-J83</f>
        <v>0</v>
      </c>
      <c r="AC83" s="57" t="s">
        <v>417</v>
      </c>
      <c r="AE83" s="140">
        <f t="shared" si="86"/>
        <v>4</v>
      </c>
      <c r="AF83" s="371"/>
      <c r="AG83" s="191">
        <f t="shared" si="87"/>
        <v>34161.462352990005</v>
      </c>
      <c r="AH83" s="98"/>
      <c r="AI83" s="104">
        <f t="shared" ref="AI83:AI95" si="96">(VLOOKUP($AE83,func,AI$195))*$AG83</f>
        <v>8127.0118937763227</v>
      </c>
      <c r="AJ83" s="190"/>
      <c r="AK83" s="104">
        <f t="shared" ref="AK83:AK95" si="97">(VLOOKUP($AE83,func,AK$195))*$AG83</f>
        <v>0</v>
      </c>
      <c r="AL83" s="190"/>
      <c r="AM83" s="104">
        <f t="shared" ref="AM83:AM95" si="98">(VLOOKUP($AE83,func,AM$195))*$AG83</f>
        <v>16342.843589670418</v>
      </c>
      <c r="AN83" s="190"/>
      <c r="AO83" s="104">
        <f t="shared" ref="AO83:AO95" si="99">(VLOOKUP($AE83,func,AO$195))*$AG83</f>
        <v>0</v>
      </c>
      <c r="AP83" s="190"/>
      <c r="AQ83" s="104">
        <f t="shared" ref="AQ83:AQ95" si="100">(VLOOKUP($AE83,func,AQ$195))*$AG83</f>
        <v>0</v>
      </c>
      <c r="AR83" s="190"/>
      <c r="AS83" s="104">
        <f t="shared" ref="AS83:AS95" si="101">(VLOOKUP($AE83,func,AS$195))*$AG83</f>
        <v>0</v>
      </c>
      <c r="AT83" s="190"/>
      <c r="AU83" s="104">
        <f t="shared" ref="AU83:AU95" si="102">(VLOOKUP($AE83,func,AU$195))*$AG83</f>
        <v>0</v>
      </c>
      <c r="AV83" s="190"/>
      <c r="AW83" s="104">
        <f t="shared" ref="AW83:AW95" si="103">(VLOOKUP($AE83,func,AW$195))*$AG83</f>
        <v>2264.9049540032379</v>
      </c>
      <c r="AX83" s="190"/>
      <c r="AY83" s="104">
        <f t="shared" ref="AY83:AY95" si="104">(VLOOKUP($AE83,func,AY$195))*$AG83</f>
        <v>7426.7019155400267</v>
      </c>
      <c r="AZ83" s="371"/>
      <c r="BA83" s="95">
        <f t="shared" ref="BA83:BA98" si="105">SUM(AI83:AY83)-AG83</f>
        <v>0</v>
      </c>
      <c r="BB83" s="80"/>
      <c r="BC83" s="80"/>
      <c r="BD83" s="80"/>
    </row>
    <row r="84" spans="1:56" x14ac:dyDescent="0.2">
      <c r="A84" s="228"/>
      <c r="B84" s="673"/>
      <c r="F84" s="60" t="s">
        <v>418</v>
      </c>
      <c r="G84" s="163"/>
      <c r="H84" s="164">
        <v>3</v>
      </c>
      <c r="I84" s="60"/>
      <c r="J84" s="192">
        <v>32313.459524787781</v>
      </c>
      <c r="K84" s="98"/>
      <c r="L84" s="104">
        <f t="shared" si="88"/>
        <v>18893.679784143416</v>
      </c>
      <c r="M84" s="190"/>
      <c r="N84" s="104">
        <f t="shared" si="89"/>
        <v>8828.037142172021</v>
      </c>
      <c r="O84" s="190"/>
      <c r="P84" s="104">
        <f t="shared" si="90"/>
        <v>2911.4427031833789</v>
      </c>
      <c r="Q84" s="190"/>
      <c r="R84" s="104">
        <f t="shared" si="91"/>
        <v>0</v>
      </c>
      <c r="S84" s="190"/>
      <c r="T84" s="104">
        <f t="shared" si="92"/>
        <v>0</v>
      </c>
      <c r="U84" s="190"/>
      <c r="V84" s="104">
        <f t="shared" si="93"/>
        <v>387.7615142974534</v>
      </c>
      <c r="W84" s="190"/>
      <c r="X84" s="104">
        <f t="shared" si="94"/>
        <v>1292.5383809915113</v>
      </c>
      <c r="Y84" s="105"/>
      <c r="Z84" s="95">
        <f t="shared" si="95"/>
        <v>0</v>
      </c>
      <c r="AC84" s="60" t="s">
        <v>418</v>
      </c>
      <c r="AE84" s="140">
        <f t="shared" si="86"/>
        <v>3</v>
      </c>
      <c r="AF84" s="371"/>
      <c r="AG84" s="191">
        <f t="shared" si="87"/>
        <v>32313.459524787781</v>
      </c>
      <c r="AH84" s="98"/>
      <c r="AI84" s="104">
        <f t="shared" si="96"/>
        <v>16166.423800251325</v>
      </c>
      <c r="AJ84" s="190"/>
      <c r="AK84" s="104">
        <f t="shared" si="97"/>
        <v>14553.982169964416</v>
      </c>
      <c r="AL84" s="190"/>
      <c r="AM84" s="104">
        <f t="shared" si="98"/>
        <v>0</v>
      </c>
      <c r="AN84" s="190"/>
      <c r="AO84" s="104">
        <f t="shared" si="99"/>
        <v>0</v>
      </c>
      <c r="AP84" s="190"/>
      <c r="AQ84" s="104">
        <f t="shared" si="100"/>
        <v>0</v>
      </c>
      <c r="AR84" s="190"/>
      <c r="AS84" s="104">
        <f t="shared" si="101"/>
        <v>0</v>
      </c>
      <c r="AT84" s="190"/>
      <c r="AU84" s="104">
        <f t="shared" si="102"/>
        <v>0</v>
      </c>
      <c r="AV84" s="190"/>
      <c r="AW84" s="104">
        <f t="shared" si="103"/>
        <v>371.60478453505948</v>
      </c>
      <c r="AX84" s="190"/>
      <c r="AY84" s="104">
        <f t="shared" si="104"/>
        <v>1221.4487700369782</v>
      </c>
      <c r="AZ84" s="371"/>
      <c r="BA84" s="95">
        <f t="shared" si="105"/>
        <v>0</v>
      </c>
      <c r="BB84" s="80"/>
      <c r="BC84" s="80"/>
      <c r="BD84" s="80"/>
    </row>
    <row r="85" spans="1:56" x14ac:dyDescent="0.2">
      <c r="A85" s="228"/>
      <c r="B85" s="671"/>
      <c r="F85" s="109" t="s">
        <v>334</v>
      </c>
      <c r="G85" s="163"/>
      <c r="H85" s="164">
        <v>9</v>
      </c>
      <c r="I85" s="60"/>
      <c r="J85" s="192">
        <v>34234.962</v>
      </c>
      <c r="K85" s="98"/>
      <c r="L85" s="104">
        <f t="shared" si="88"/>
        <v>28394.477482800001</v>
      </c>
      <c r="M85" s="190"/>
      <c r="N85" s="104">
        <f t="shared" si="89"/>
        <v>5056.5038874000002</v>
      </c>
      <c r="O85" s="190"/>
      <c r="P85" s="104">
        <f t="shared" si="90"/>
        <v>171.17481000000001</v>
      </c>
      <c r="Q85" s="190"/>
      <c r="R85" s="104">
        <f t="shared" si="91"/>
        <v>0</v>
      </c>
      <c r="S85" s="190"/>
      <c r="T85" s="104">
        <f t="shared" si="92"/>
        <v>0</v>
      </c>
      <c r="U85" s="190"/>
      <c r="V85" s="104">
        <f t="shared" si="93"/>
        <v>612.80581979999999</v>
      </c>
      <c r="W85" s="190"/>
      <c r="X85" s="104">
        <f t="shared" si="94"/>
        <v>0</v>
      </c>
      <c r="Y85" s="105"/>
      <c r="Z85" s="95">
        <f t="shared" si="95"/>
        <v>0</v>
      </c>
      <c r="AC85" s="109" t="s">
        <v>334</v>
      </c>
      <c r="AE85" s="140">
        <f t="shared" si="86"/>
        <v>9</v>
      </c>
      <c r="AF85" s="371"/>
      <c r="AG85" s="191">
        <f t="shared" si="87"/>
        <v>34234.962</v>
      </c>
      <c r="AH85" s="98"/>
      <c r="AI85" s="104">
        <f t="shared" si="96"/>
        <v>0</v>
      </c>
      <c r="AJ85" s="190"/>
      <c r="AK85" s="104">
        <f t="shared" si="97"/>
        <v>0</v>
      </c>
      <c r="AL85" s="190"/>
      <c r="AM85" s="104">
        <f t="shared" si="98"/>
        <v>0</v>
      </c>
      <c r="AN85" s="190"/>
      <c r="AO85" s="104">
        <f t="shared" si="99"/>
        <v>0</v>
      </c>
      <c r="AP85" s="190"/>
      <c r="AQ85" s="104">
        <f t="shared" si="100"/>
        <v>33622.1561802</v>
      </c>
      <c r="AR85" s="190"/>
      <c r="AS85" s="104">
        <f t="shared" si="101"/>
        <v>0</v>
      </c>
      <c r="AT85" s="190"/>
      <c r="AU85" s="104">
        <f t="shared" si="102"/>
        <v>0</v>
      </c>
      <c r="AV85" s="190"/>
      <c r="AW85" s="104">
        <f t="shared" si="103"/>
        <v>612.80581979999999</v>
      </c>
      <c r="AX85" s="190"/>
      <c r="AY85" s="104">
        <f t="shared" si="104"/>
        <v>0</v>
      </c>
      <c r="AZ85" s="371"/>
      <c r="BA85" s="95">
        <f t="shared" si="105"/>
        <v>0</v>
      </c>
      <c r="BB85" s="80"/>
      <c r="BC85" s="80"/>
      <c r="BD85" s="80"/>
    </row>
    <row r="86" spans="1:56" x14ac:dyDescent="0.2">
      <c r="A86" s="228"/>
      <c r="B86" s="671"/>
      <c r="F86" s="109" t="s">
        <v>335</v>
      </c>
      <c r="G86" s="163"/>
      <c r="H86" s="164">
        <v>8</v>
      </c>
      <c r="I86" s="60"/>
      <c r="J86" s="192">
        <v>68477.068722222219</v>
      </c>
      <c r="K86" s="98"/>
      <c r="L86" s="104">
        <f t="shared" si="88"/>
        <v>55233.603631344442</v>
      </c>
      <c r="M86" s="190"/>
      <c r="N86" s="104">
        <f t="shared" si="89"/>
        <v>12373.806318105555</v>
      </c>
      <c r="O86" s="190"/>
      <c r="P86" s="104">
        <f t="shared" si="90"/>
        <v>869.65877277222216</v>
      </c>
      <c r="Q86" s="190"/>
      <c r="R86" s="104">
        <f t="shared" si="91"/>
        <v>0</v>
      </c>
      <c r="S86" s="190"/>
      <c r="T86" s="104">
        <f t="shared" si="92"/>
        <v>0</v>
      </c>
      <c r="U86" s="190"/>
      <c r="V86" s="104">
        <f t="shared" si="93"/>
        <v>0</v>
      </c>
      <c r="W86" s="190"/>
      <c r="X86" s="104">
        <f t="shared" si="94"/>
        <v>0</v>
      </c>
      <c r="Y86" s="105"/>
      <c r="Z86" s="95">
        <f t="shared" si="95"/>
        <v>0</v>
      </c>
      <c r="AC86" s="109" t="s">
        <v>335</v>
      </c>
      <c r="AE86" s="140">
        <f t="shared" si="86"/>
        <v>8</v>
      </c>
      <c r="AF86" s="371"/>
      <c r="AG86" s="191">
        <f t="shared" si="87"/>
        <v>68477.068722222219</v>
      </c>
      <c r="AH86" s="98"/>
      <c r="AI86" s="104">
        <f t="shared" si="96"/>
        <v>0</v>
      </c>
      <c r="AJ86" s="190"/>
      <c r="AK86" s="104">
        <f t="shared" si="97"/>
        <v>0</v>
      </c>
      <c r="AL86" s="190"/>
      <c r="AM86" s="104">
        <f t="shared" si="98"/>
        <v>0</v>
      </c>
      <c r="AN86" s="190"/>
      <c r="AO86" s="104">
        <f t="shared" si="99"/>
        <v>68477.068722222219</v>
      </c>
      <c r="AP86" s="190"/>
      <c r="AQ86" s="104">
        <f t="shared" si="100"/>
        <v>0</v>
      </c>
      <c r="AR86" s="190"/>
      <c r="AS86" s="104">
        <f t="shared" si="101"/>
        <v>0</v>
      </c>
      <c r="AT86" s="190"/>
      <c r="AU86" s="104">
        <f t="shared" si="102"/>
        <v>0</v>
      </c>
      <c r="AV86" s="190"/>
      <c r="AW86" s="104">
        <f t="shared" si="103"/>
        <v>0</v>
      </c>
      <c r="AX86" s="190"/>
      <c r="AY86" s="104">
        <f t="shared" si="104"/>
        <v>0</v>
      </c>
      <c r="AZ86" s="371"/>
      <c r="BA86" s="95">
        <f t="shared" si="105"/>
        <v>0</v>
      </c>
      <c r="BB86" s="80"/>
      <c r="BC86" s="80"/>
      <c r="BD86" s="80"/>
    </row>
    <row r="87" spans="1:56" x14ac:dyDescent="0.2">
      <c r="A87" s="228"/>
      <c r="B87" s="671"/>
      <c r="F87" s="109" t="s">
        <v>336</v>
      </c>
      <c r="G87" s="163"/>
      <c r="H87" s="164">
        <v>7</v>
      </c>
      <c r="I87" s="60"/>
      <c r="J87" s="192">
        <v>16456.964651162791</v>
      </c>
      <c r="K87" s="98"/>
      <c r="L87" s="104">
        <f t="shared" si="88"/>
        <v>0</v>
      </c>
      <c r="M87" s="190"/>
      <c r="N87" s="104">
        <f t="shared" si="89"/>
        <v>0</v>
      </c>
      <c r="O87" s="190"/>
      <c r="P87" s="104">
        <f t="shared" si="90"/>
        <v>0</v>
      </c>
      <c r="Q87" s="190"/>
      <c r="R87" s="104">
        <f t="shared" si="91"/>
        <v>0</v>
      </c>
      <c r="S87" s="190"/>
      <c r="T87" s="104">
        <f t="shared" si="92"/>
        <v>0</v>
      </c>
      <c r="U87" s="190"/>
      <c r="V87" s="104">
        <f t="shared" si="93"/>
        <v>0</v>
      </c>
      <c r="W87" s="190"/>
      <c r="X87" s="104">
        <f t="shared" si="94"/>
        <v>16456.964651162791</v>
      </c>
      <c r="Y87" s="105"/>
      <c r="Z87" s="95">
        <f t="shared" si="95"/>
        <v>0</v>
      </c>
      <c r="AC87" s="109" t="s">
        <v>336</v>
      </c>
      <c r="AE87" s="140">
        <f t="shared" si="86"/>
        <v>7</v>
      </c>
      <c r="AF87" s="371"/>
      <c r="AG87" s="191">
        <f t="shared" si="87"/>
        <v>16456.964651162791</v>
      </c>
      <c r="AH87" s="98"/>
      <c r="AI87" s="104">
        <f t="shared" si="96"/>
        <v>0</v>
      </c>
      <c r="AJ87" s="190"/>
      <c r="AK87" s="104">
        <f t="shared" si="97"/>
        <v>0</v>
      </c>
      <c r="AL87" s="190"/>
      <c r="AM87" s="104">
        <f t="shared" si="98"/>
        <v>0</v>
      </c>
      <c r="AN87" s="190"/>
      <c r="AO87" s="104">
        <f t="shared" si="99"/>
        <v>0</v>
      </c>
      <c r="AP87" s="190"/>
      <c r="AQ87" s="104">
        <f t="shared" si="100"/>
        <v>0</v>
      </c>
      <c r="AR87" s="190"/>
      <c r="AS87" s="104">
        <f t="shared" si="101"/>
        <v>0</v>
      </c>
      <c r="AT87" s="190"/>
      <c r="AU87" s="104">
        <f t="shared" si="102"/>
        <v>0</v>
      </c>
      <c r="AV87" s="190"/>
      <c r="AW87" s="104">
        <f t="shared" si="103"/>
        <v>0</v>
      </c>
      <c r="AX87" s="190"/>
      <c r="AY87" s="104">
        <f t="shared" si="104"/>
        <v>16456.964651162791</v>
      </c>
      <c r="AZ87" s="371"/>
      <c r="BA87" s="95">
        <f t="shared" si="105"/>
        <v>0</v>
      </c>
      <c r="BB87" s="80"/>
      <c r="BC87" s="80"/>
      <c r="BD87" s="80"/>
    </row>
    <row r="88" spans="1:56" x14ac:dyDescent="0.2">
      <c r="A88" s="228"/>
      <c r="B88" s="671"/>
      <c r="F88" s="109" t="s">
        <v>337</v>
      </c>
      <c r="G88" s="163"/>
      <c r="H88" s="164">
        <v>12</v>
      </c>
      <c r="I88" s="60"/>
      <c r="J88" s="192">
        <v>4707.6633000000011</v>
      </c>
      <c r="K88" s="98"/>
      <c r="L88" s="104">
        <f t="shared" si="88"/>
        <v>2742.2138722500008</v>
      </c>
      <c r="M88" s="190"/>
      <c r="N88" s="104">
        <f t="shared" si="89"/>
        <v>929.76350175000027</v>
      </c>
      <c r="O88" s="190"/>
      <c r="P88" s="104">
        <f t="shared" si="90"/>
        <v>240.56159463000006</v>
      </c>
      <c r="Q88" s="190"/>
      <c r="R88" s="104">
        <f t="shared" si="91"/>
        <v>0</v>
      </c>
      <c r="S88" s="190"/>
      <c r="T88" s="104">
        <f t="shared" si="92"/>
        <v>0</v>
      </c>
      <c r="U88" s="190"/>
      <c r="V88" s="104">
        <f t="shared" si="93"/>
        <v>194.42649429000005</v>
      </c>
      <c r="W88" s="190"/>
      <c r="X88" s="104">
        <f t="shared" si="94"/>
        <v>600.69783708000011</v>
      </c>
      <c r="Y88" s="105"/>
      <c r="Z88" s="95">
        <f t="shared" si="95"/>
        <v>0</v>
      </c>
      <c r="AC88" s="109" t="s">
        <v>337</v>
      </c>
      <c r="AE88" s="140">
        <f t="shared" si="86"/>
        <v>12</v>
      </c>
      <c r="AF88" s="371"/>
      <c r="AG88" s="191">
        <f t="shared" si="87"/>
        <v>4707.6633000000011</v>
      </c>
      <c r="AH88" s="98"/>
      <c r="AI88" s="104">
        <f t="shared" si="96"/>
        <v>886.45299939000017</v>
      </c>
      <c r="AJ88" s="190"/>
      <c r="AK88" s="104">
        <f t="shared" si="97"/>
        <v>867.1515798600002</v>
      </c>
      <c r="AL88" s="190"/>
      <c r="AM88" s="104">
        <f t="shared" si="98"/>
        <v>1305.9057994200002</v>
      </c>
      <c r="AN88" s="190"/>
      <c r="AO88" s="104">
        <f t="shared" si="99"/>
        <v>0</v>
      </c>
      <c r="AP88" s="190"/>
      <c r="AQ88" s="104">
        <f t="shared" si="100"/>
        <v>0</v>
      </c>
      <c r="AR88" s="190"/>
      <c r="AS88" s="104">
        <f t="shared" si="101"/>
        <v>853.0285899600002</v>
      </c>
      <c r="AT88" s="190"/>
      <c r="AU88" s="104">
        <f t="shared" si="102"/>
        <v>0</v>
      </c>
      <c r="AV88" s="190"/>
      <c r="AW88" s="104">
        <f t="shared" si="103"/>
        <v>194.42649429000005</v>
      </c>
      <c r="AX88" s="190"/>
      <c r="AY88" s="104">
        <f t="shared" si="104"/>
        <v>600.69783708000011</v>
      </c>
      <c r="AZ88" s="371"/>
      <c r="BA88" s="95">
        <f t="shared" si="105"/>
        <v>0</v>
      </c>
      <c r="BB88" s="80"/>
      <c r="BC88" s="80"/>
      <c r="BD88" s="80"/>
    </row>
    <row r="89" spans="1:56" x14ac:dyDescent="0.2">
      <c r="A89" s="228"/>
      <c r="B89" s="671"/>
      <c r="F89" s="109" t="s">
        <v>367</v>
      </c>
      <c r="G89" s="163"/>
      <c r="H89" s="164">
        <v>12</v>
      </c>
      <c r="I89" s="60"/>
      <c r="J89" s="192">
        <v>55799.256041535169</v>
      </c>
      <c r="K89" s="98"/>
      <c r="L89" s="104">
        <f t="shared" si="88"/>
        <v>32503.066644194238</v>
      </c>
      <c r="M89" s="190"/>
      <c r="N89" s="104">
        <f t="shared" si="89"/>
        <v>11020.353068203196</v>
      </c>
      <c r="O89" s="190"/>
      <c r="P89" s="104">
        <f t="shared" si="90"/>
        <v>2851.3419837224469</v>
      </c>
      <c r="Q89" s="190"/>
      <c r="R89" s="104">
        <f t="shared" si="91"/>
        <v>0</v>
      </c>
      <c r="S89" s="190"/>
      <c r="T89" s="104">
        <f t="shared" si="92"/>
        <v>0</v>
      </c>
      <c r="U89" s="190"/>
      <c r="V89" s="104">
        <f t="shared" si="93"/>
        <v>2304.5092745154025</v>
      </c>
      <c r="W89" s="190"/>
      <c r="X89" s="104">
        <f t="shared" si="94"/>
        <v>7119.9850708998874</v>
      </c>
      <c r="Y89" s="105"/>
      <c r="Z89" s="95">
        <f t="shared" si="95"/>
        <v>0</v>
      </c>
      <c r="AC89" s="109" t="s">
        <v>367</v>
      </c>
      <c r="AE89" s="140">
        <f t="shared" si="86"/>
        <v>12</v>
      </c>
      <c r="AF89" s="371"/>
      <c r="AG89" s="191">
        <f t="shared" si="87"/>
        <v>55799.256041535169</v>
      </c>
      <c r="AH89" s="98"/>
      <c r="AI89" s="104">
        <f t="shared" si="96"/>
        <v>10506.999912621071</v>
      </c>
      <c r="AJ89" s="190"/>
      <c r="AK89" s="104">
        <f t="shared" si="97"/>
        <v>10278.222962850778</v>
      </c>
      <c r="AL89" s="190"/>
      <c r="AM89" s="104">
        <f t="shared" si="98"/>
        <v>15478.713625921855</v>
      </c>
      <c r="AN89" s="190"/>
      <c r="AO89" s="104">
        <f t="shared" si="99"/>
        <v>0</v>
      </c>
      <c r="AP89" s="190"/>
      <c r="AQ89" s="104">
        <f t="shared" si="100"/>
        <v>0</v>
      </c>
      <c r="AR89" s="190"/>
      <c r="AS89" s="104">
        <f t="shared" si="101"/>
        <v>10110.825194726172</v>
      </c>
      <c r="AT89" s="190"/>
      <c r="AU89" s="104">
        <f t="shared" si="102"/>
        <v>0</v>
      </c>
      <c r="AV89" s="190"/>
      <c r="AW89" s="104">
        <f t="shared" si="103"/>
        <v>2304.5092745154025</v>
      </c>
      <c r="AX89" s="190"/>
      <c r="AY89" s="104">
        <f t="shared" si="104"/>
        <v>7119.9850708998874</v>
      </c>
      <c r="AZ89" s="371"/>
      <c r="BA89" s="95">
        <f t="shared" si="105"/>
        <v>0</v>
      </c>
      <c r="BB89" s="80"/>
      <c r="BC89" s="80"/>
      <c r="BD89" s="80"/>
    </row>
    <row r="90" spans="1:56" x14ac:dyDescent="0.2">
      <c r="A90" s="184"/>
      <c r="B90" s="185"/>
      <c r="F90" s="109" t="s">
        <v>481</v>
      </c>
      <c r="G90" s="163"/>
      <c r="H90" s="164">
        <v>12</v>
      </c>
      <c r="I90" s="60"/>
      <c r="J90" s="192">
        <v>56572.444619020956</v>
      </c>
      <c r="K90" s="98"/>
      <c r="L90" s="104">
        <f t="shared" si="88"/>
        <v>32953.448990579709</v>
      </c>
      <c r="M90" s="190"/>
      <c r="N90" s="104">
        <f t="shared" si="89"/>
        <v>11173.057812256638</v>
      </c>
      <c r="O90" s="190"/>
      <c r="P90" s="104">
        <f t="shared" si="90"/>
        <v>2890.8519200319711</v>
      </c>
      <c r="Q90" s="190"/>
      <c r="R90" s="104">
        <f t="shared" si="91"/>
        <v>0</v>
      </c>
      <c r="S90" s="190"/>
      <c r="T90" s="104">
        <f t="shared" si="92"/>
        <v>0</v>
      </c>
      <c r="U90" s="190"/>
      <c r="V90" s="104">
        <f t="shared" si="93"/>
        <v>2336.4419627655657</v>
      </c>
      <c r="W90" s="190"/>
      <c r="X90" s="104">
        <f t="shared" si="94"/>
        <v>7218.643933387074</v>
      </c>
      <c r="Y90" s="105"/>
      <c r="Z90" s="95">
        <f t="shared" si="95"/>
        <v>0</v>
      </c>
      <c r="AC90" s="109" t="s">
        <v>338</v>
      </c>
      <c r="AE90" s="140">
        <f t="shared" ref="AE90:AE94" si="106">+H90</f>
        <v>12</v>
      </c>
      <c r="AF90" s="310"/>
      <c r="AG90" s="191">
        <f t="shared" ref="AG90:AG94" si="107">+J90</f>
        <v>56572.444619020956</v>
      </c>
      <c r="AH90" s="98"/>
      <c r="AI90" s="104">
        <f t="shared" si="96"/>
        <v>10652.591321761645</v>
      </c>
      <c r="AJ90" s="190"/>
      <c r="AK90" s="104">
        <f t="shared" si="97"/>
        <v>10420.644298823659</v>
      </c>
      <c r="AL90" s="190"/>
      <c r="AM90" s="104">
        <f t="shared" si="98"/>
        <v>15693.196137316412</v>
      </c>
      <c r="AN90" s="190"/>
      <c r="AO90" s="104">
        <f t="shared" si="99"/>
        <v>0</v>
      </c>
      <c r="AP90" s="190"/>
      <c r="AQ90" s="104">
        <f t="shared" si="100"/>
        <v>0</v>
      </c>
      <c r="AR90" s="190"/>
      <c r="AS90" s="104">
        <f t="shared" si="101"/>
        <v>10250.926964966597</v>
      </c>
      <c r="AT90" s="190"/>
      <c r="AU90" s="104">
        <f t="shared" si="102"/>
        <v>0</v>
      </c>
      <c r="AV90" s="190"/>
      <c r="AW90" s="104">
        <f t="shared" si="103"/>
        <v>2336.4419627655657</v>
      </c>
      <c r="AX90" s="190"/>
      <c r="AY90" s="104">
        <f t="shared" si="104"/>
        <v>7218.643933387074</v>
      </c>
      <c r="AZ90" s="310"/>
      <c r="BA90" s="95">
        <f t="shared" si="105"/>
        <v>0</v>
      </c>
      <c r="BB90" s="80"/>
      <c r="BC90" s="80"/>
      <c r="BD90" s="80"/>
    </row>
    <row r="91" spans="1:56" x14ac:dyDescent="0.2">
      <c r="A91" s="228"/>
      <c r="B91" s="671"/>
      <c r="F91" s="109" t="s">
        <v>339</v>
      </c>
      <c r="G91" s="163"/>
      <c r="H91" s="164">
        <v>12</v>
      </c>
      <c r="I91" s="60"/>
      <c r="J91" s="192">
        <v>19803.623999999996</v>
      </c>
      <c r="K91" s="98"/>
      <c r="L91" s="104">
        <f t="shared" si="88"/>
        <v>11535.610979999998</v>
      </c>
      <c r="M91" s="190"/>
      <c r="N91" s="104">
        <f t="shared" si="89"/>
        <v>3911.2157399999996</v>
      </c>
      <c r="O91" s="190"/>
      <c r="P91" s="104">
        <f t="shared" si="90"/>
        <v>1011.9651863999998</v>
      </c>
      <c r="Q91" s="190"/>
      <c r="R91" s="104">
        <f t="shared" si="91"/>
        <v>0</v>
      </c>
      <c r="S91" s="190"/>
      <c r="T91" s="104">
        <f t="shared" si="92"/>
        <v>0</v>
      </c>
      <c r="U91" s="190"/>
      <c r="V91" s="104">
        <f t="shared" si="93"/>
        <v>817.88967119999995</v>
      </c>
      <c r="W91" s="190"/>
      <c r="X91" s="104">
        <f t="shared" si="94"/>
        <v>2526.9424223999995</v>
      </c>
      <c r="Y91" s="105"/>
      <c r="Z91" s="95">
        <f t="shared" si="95"/>
        <v>0</v>
      </c>
      <c r="AC91" s="109" t="s">
        <v>339</v>
      </c>
      <c r="AE91" s="140">
        <f t="shared" si="106"/>
        <v>12</v>
      </c>
      <c r="AF91" s="310"/>
      <c r="AG91" s="191">
        <f t="shared" si="107"/>
        <v>19803.623999999996</v>
      </c>
      <c r="AH91" s="98"/>
      <c r="AI91" s="104">
        <f t="shared" si="96"/>
        <v>3729.0223991999992</v>
      </c>
      <c r="AJ91" s="190"/>
      <c r="AK91" s="104">
        <f t="shared" si="97"/>
        <v>3647.8275407999995</v>
      </c>
      <c r="AL91" s="190"/>
      <c r="AM91" s="104">
        <f t="shared" si="98"/>
        <v>5493.5252975999983</v>
      </c>
      <c r="AN91" s="190"/>
      <c r="AO91" s="104">
        <f t="shared" si="99"/>
        <v>0</v>
      </c>
      <c r="AP91" s="190"/>
      <c r="AQ91" s="104">
        <f t="shared" si="100"/>
        <v>0</v>
      </c>
      <c r="AR91" s="190"/>
      <c r="AS91" s="104">
        <f t="shared" si="101"/>
        <v>3588.4166687999991</v>
      </c>
      <c r="AT91" s="190"/>
      <c r="AU91" s="104">
        <f t="shared" si="102"/>
        <v>0</v>
      </c>
      <c r="AV91" s="190"/>
      <c r="AW91" s="104">
        <f t="shared" si="103"/>
        <v>817.88967119999995</v>
      </c>
      <c r="AX91" s="190"/>
      <c r="AY91" s="104">
        <f t="shared" si="104"/>
        <v>2526.9424223999995</v>
      </c>
      <c r="AZ91" s="310"/>
      <c r="BA91" s="95">
        <f t="shared" si="105"/>
        <v>0</v>
      </c>
      <c r="BB91" s="80"/>
      <c r="BC91" s="80"/>
      <c r="BD91" s="80"/>
    </row>
    <row r="92" spans="1:56" x14ac:dyDescent="0.2">
      <c r="A92" s="228"/>
      <c r="B92" s="671"/>
      <c r="F92" s="109" t="s">
        <v>340</v>
      </c>
      <c r="G92" s="163"/>
      <c r="H92" s="164">
        <v>2</v>
      </c>
      <c r="I92" s="60"/>
      <c r="J92" s="192">
        <v>4534.2929999999997</v>
      </c>
      <c r="K92" s="98"/>
      <c r="L92" s="104">
        <f t="shared" si="88"/>
        <v>2788.1367656999996</v>
      </c>
      <c r="M92" s="190"/>
      <c r="N92" s="104">
        <f t="shared" si="89"/>
        <v>1303.1558081999999</v>
      </c>
      <c r="O92" s="190"/>
      <c r="P92" s="104">
        <f t="shared" si="90"/>
        <v>430.30440569999996</v>
      </c>
      <c r="Q92" s="190"/>
      <c r="R92" s="104">
        <f t="shared" si="91"/>
        <v>0</v>
      </c>
      <c r="S92" s="190"/>
      <c r="T92" s="104">
        <f t="shared" si="92"/>
        <v>0</v>
      </c>
      <c r="U92" s="190"/>
      <c r="V92" s="104">
        <f t="shared" si="93"/>
        <v>2.2671465</v>
      </c>
      <c r="W92" s="190"/>
      <c r="X92" s="104">
        <f t="shared" si="94"/>
        <v>10.428873899999999</v>
      </c>
      <c r="Y92" s="105"/>
      <c r="Z92" s="95">
        <f t="shared" si="95"/>
        <v>0</v>
      </c>
      <c r="AC92" s="109" t="s">
        <v>340</v>
      </c>
      <c r="AE92" s="140">
        <f t="shared" si="106"/>
        <v>2</v>
      </c>
      <c r="AF92" s="310"/>
      <c r="AG92" s="191">
        <f t="shared" si="107"/>
        <v>4534.2929999999997</v>
      </c>
      <c r="AH92" s="98"/>
      <c r="AI92" s="104">
        <f t="shared" si="96"/>
        <v>2373.7023855000002</v>
      </c>
      <c r="AJ92" s="190"/>
      <c r="AK92" s="104">
        <f t="shared" si="97"/>
        <v>2147.8945940999997</v>
      </c>
      <c r="AL92" s="190"/>
      <c r="AM92" s="104">
        <f t="shared" si="98"/>
        <v>0</v>
      </c>
      <c r="AN92" s="190"/>
      <c r="AO92" s="104">
        <f t="shared" si="99"/>
        <v>0</v>
      </c>
      <c r="AP92" s="190"/>
      <c r="AQ92" s="104">
        <f t="shared" si="100"/>
        <v>0</v>
      </c>
      <c r="AR92" s="190"/>
      <c r="AS92" s="104">
        <f t="shared" si="101"/>
        <v>0</v>
      </c>
      <c r="AT92" s="190"/>
      <c r="AU92" s="104">
        <f t="shared" si="102"/>
        <v>0</v>
      </c>
      <c r="AV92" s="190"/>
      <c r="AW92" s="104">
        <f t="shared" si="103"/>
        <v>2.2671465</v>
      </c>
      <c r="AX92" s="190"/>
      <c r="AY92" s="104">
        <f t="shared" si="104"/>
        <v>10.428873899999999</v>
      </c>
      <c r="AZ92" s="310"/>
      <c r="BA92" s="95">
        <f t="shared" si="105"/>
        <v>0</v>
      </c>
      <c r="BB92" s="80"/>
      <c r="BC92" s="80"/>
      <c r="BD92" s="80"/>
    </row>
    <row r="93" spans="1:56" ht="11.25" customHeight="1" x14ac:dyDescent="0.2">
      <c r="A93" s="228"/>
      <c r="B93" s="671"/>
      <c r="F93" s="109" t="s">
        <v>341</v>
      </c>
      <c r="G93" s="163"/>
      <c r="H93" s="164">
        <v>12</v>
      </c>
      <c r="I93" s="60"/>
      <c r="J93" s="192">
        <v>773.8130000000001</v>
      </c>
      <c r="K93" s="98"/>
      <c r="L93" s="104">
        <f t="shared" si="88"/>
        <v>450.74607250000008</v>
      </c>
      <c r="M93" s="190"/>
      <c r="N93" s="104">
        <f t="shared" si="89"/>
        <v>152.82806750000003</v>
      </c>
      <c r="O93" s="190"/>
      <c r="P93" s="104">
        <f t="shared" si="90"/>
        <v>39.541844300000008</v>
      </c>
      <c r="Q93" s="190"/>
      <c r="R93" s="104">
        <f t="shared" si="91"/>
        <v>0</v>
      </c>
      <c r="S93" s="190"/>
      <c r="T93" s="104">
        <f t="shared" si="92"/>
        <v>0</v>
      </c>
      <c r="U93" s="190"/>
      <c r="V93" s="104">
        <f t="shared" si="93"/>
        <v>31.958476900000008</v>
      </c>
      <c r="W93" s="190"/>
      <c r="X93" s="104">
        <f t="shared" si="94"/>
        <v>98.738538800000001</v>
      </c>
      <c r="Y93" s="105"/>
      <c r="Z93" s="95">
        <f t="shared" si="95"/>
        <v>0</v>
      </c>
      <c r="AC93" s="109" t="s">
        <v>341</v>
      </c>
      <c r="AE93" s="140">
        <f t="shared" si="106"/>
        <v>12</v>
      </c>
      <c r="AF93" s="310"/>
      <c r="AG93" s="191">
        <f t="shared" si="107"/>
        <v>773.8130000000001</v>
      </c>
      <c r="AH93" s="98"/>
      <c r="AI93" s="104">
        <f t="shared" si="96"/>
        <v>145.70898790000001</v>
      </c>
      <c r="AJ93" s="190"/>
      <c r="AK93" s="104">
        <f t="shared" si="97"/>
        <v>142.53635460000001</v>
      </c>
      <c r="AL93" s="190"/>
      <c r="AM93" s="104">
        <f t="shared" si="98"/>
        <v>214.6557262</v>
      </c>
      <c r="AN93" s="190"/>
      <c r="AO93" s="104">
        <f t="shared" si="99"/>
        <v>0</v>
      </c>
      <c r="AP93" s="190"/>
      <c r="AQ93" s="104">
        <f t="shared" si="100"/>
        <v>0</v>
      </c>
      <c r="AR93" s="190"/>
      <c r="AS93" s="104">
        <f t="shared" si="101"/>
        <v>140.21491560000001</v>
      </c>
      <c r="AT93" s="190"/>
      <c r="AU93" s="104">
        <f t="shared" si="102"/>
        <v>0</v>
      </c>
      <c r="AV93" s="190"/>
      <c r="AW93" s="104">
        <f t="shared" si="103"/>
        <v>31.958476900000008</v>
      </c>
      <c r="AX93" s="190"/>
      <c r="AY93" s="104">
        <f t="shared" si="104"/>
        <v>98.738538800000001</v>
      </c>
      <c r="AZ93" s="310"/>
      <c r="BA93" s="95">
        <f t="shared" si="105"/>
        <v>0</v>
      </c>
      <c r="BB93" s="80"/>
      <c r="BC93" s="80"/>
      <c r="BD93" s="80"/>
    </row>
    <row r="94" spans="1:56" x14ac:dyDescent="0.2">
      <c r="A94" s="228"/>
      <c r="B94" s="671"/>
      <c r="F94" s="109" t="s">
        <v>414</v>
      </c>
      <c r="G94" s="163"/>
      <c r="H94" s="164">
        <v>12</v>
      </c>
      <c r="I94" s="60"/>
      <c r="J94" s="192">
        <v>6743.5174999999999</v>
      </c>
      <c r="K94" s="98"/>
      <c r="L94" s="104">
        <f t="shared" si="88"/>
        <v>3928.0989437500002</v>
      </c>
      <c r="M94" s="190"/>
      <c r="N94" s="104">
        <f t="shared" si="89"/>
        <v>1331.8447062499999</v>
      </c>
      <c r="O94" s="190"/>
      <c r="P94" s="104">
        <f t="shared" si="90"/>
        <v>344.59374424999999</v>
      </c>
      <c r="Q94" s="190"/>
      <c r="R94" s="104">
        <f t="shared" si="91"/>
        <v>0</v>
      </c>
      <c r="S94" s="190"/>
      <c r="T94" s="104">
        <f t="shared" si="92"/>
        <v>0</v>
      </c>
      <c r="U94" s="190"/>
      <c r="V94" s="104">
        <f t="shared" si="93"/>
        <v>278.50727275000003</v>
      </c>
      <c r="W94" s="190"/>
      <c r="X94" s="104">
        <f t="shared" si="94"/>
        <v>860.47283299999992</v>
      </c>
      <c r="Y94" s="105"/>
      <c r="Z94" s="95">
        <f t="shared" si="95"/>
        <v>0</v>
      </c>
      <c r="AC94" s="109" t="s">
        <v>414</v>
      </c>
      <c r="AE94" s="140">
        <f t="shared" si="106"/>
        <v>12</v>
      </c>
      <c r="AF94" s="310"/>
      <c r="AG94" s="191">
        <f t="shared" si="107"/>
        <v>6743.5174999999999</v>
      </c>
      <c r="AH94" s="98"/>
      <c r="AI94" s="104">
        <f t="shared" si="96"/>
        <v>1269.8043452499999</v>
      </c>
      <c r="AJ94" s="190"/>
      <c r="AK94" s="104">
        <f t="shared" si="97"/>
        <v>1242.1559235</v>
      </c>
      <c r="AL94" s="190"/>
      <c r="AM94" s="104">
        <f t="shared" si="98"/>
        <v>1870.6517544999999</v>
      </c>
      <c r="AN94" s="190"/>
      <c r="AO94" s="104">
        <f t="shared" si="99"/>
        <v>0</v>
      </c>
      <c r="AP94" s="190"/>
      <c r="AQ94" s="104">
        <f t="shared" si="100"/>
        <v>0</v>
      </c>
      <c r="AR94" s="190"/>
      <c r="AS94" s="104">
        <f t="shared" si="101"/>
        <v>1221.925371</v>
      </c>
      <c r="AT94" s="190"/>
      <c r="AU94" s="104">
        <f t="shared" si="102"/>
        <v>0</v>
      </c>
      <c r="AV94" s="190"/>
      <c r="AW94" s="104">
        <f t="shared" si="103"/>
        <v>278.50727275000003</v>
      </c>
      <c r="AX94" s="190"/>
      <c r="AY94" s="104">
        <f t="shared" si="104"/>
        <v>860.47283299999992</v>
      </c>
      <c r="AZ94" s="310"/>
      <c r="BA94" s="95">
        <f t="shared" si="105"/>
        <v>0</v>
      </c>
      <c r="BB94" s="80"/>
      <c r="BC94" s="80"/>
      <c r="BD94" s="80"/>
    </row>
    <row r="95" spans="1:56" s="160" customFormat="1" x14ac:dyDescent="0.2">
      <c r="A95" s="167"/>
      <c r="B95" s="229"/>
      <c r="C95" s="664"/>
      <c r="D95" s="300"/>
      <c r="E95" s="105"/>
      <c r="F95" s="109" t="s">
        <v>480</v>
      </c>
      <c r="G95" s="163"/>
      <c r="H95" s="164">
        <v>12</v>
      </c>
      <c r="I95" s="98"/>
      <c r="J95" s="232">
        <v>0</v>
      </c>
      <c r="K95" s="98"/>
      <c r="L95" s="231">
        <f t="shared" si="88"/>
        <v>0</v>
      </c>
      <c r="M95" s="98"/>
      <c r="N95" s="231">
        <f t="shared" si="89"/>
        <v>0</v>
      </c>
      <c r="O95" s="98"/>
      <c r="P95" s="231">
        <f t="shared" si="90"/>
        <v>0</v>
      </c>
      <c r="Q95" s="98"/>
      <c r="R95" s="231">
        <f t="shared" si="91"/>
        <v>0</v>
      </c>
      <c r="S95" s="98"/>
      <c r="T95" s="231">
        <f t="shared" si="92"/>
        <v>0</v>
      </c>
      <c r="U95" s="98"/>
      <c r="V95" s="231">
        <f t="shared" si="93"/>
        <v>0</v>
      </c>
      <c r="W95" s="98"/>
      <c r="X95" s="231">
        <f t="shared" si="94"/>
        <v>0</v>
      </c>
      <c r="Y95" s="105"/>
      <c r="Z95" s="95">
        <f t="shared" ref="Z95:Z124" si="108">SUM(L95:X95)-J95</f>
        <v>0</v>
      </c>
      <c r="AC95" s="109" t="s">
        <v>480</v>
      </c>
      <c r="AE95" s="140">
        <f t="shared" si="74"/>
        <v>12</v>
      </c>
      <c r="AF95"/>
      <c r="AG95" s="232">
        <f t="shared" si="75"/>
        <v>0</v>
      </c>
      <c r="AH95" s="98"/>
      <c r="AI95" s="231">
        <f t="shared" si="96"/>
        <v>0</v>
      </c>
      <c r="AJ95" s="98"/>
      <c r="AK95" s="231">
        <f t="shared" si="97"/>
        <v>0</v>
      </c>
      <c r="AL95" s="98"/>
      <c r="AM95" s="231">
        <f t="shared" si="98"/>
        <v>0</v>
      </c>
      <c r="AN95" s="98"/>
      <c r="AO95" s="231">
        <f t="shared" si="99"/>
        <v>0</v>
      </c>
      <c r="AP95" s="98"/>
      <c r="AQ95" s="231">
        <f t="shared" si="100"/>
        <v>0</v>
      </c>
      <c r="AR95" s="98"/>
      <c r="AS95" s="231">
        <f t="shared" si="101"/>
        <v>0</v>
      </c>
      <c r="AT95" s="98"/>
      <c r="AU95" s="231">
        <f t="shared" si="102"/>
        <v>0</v>
      </c>
      <c r="AV95" s="98"/>
      <c r="AW95" s="231">
        <f t="shared" si="103"/>
        <v>0</v>
      </c>
      <c r="AX95" s="98"/>
      <c r="AY95" s="231">
        <f t="shared" si="104"/>
        <v>0</v>
      </c>
      <c r="AZ95"/>
      <c r="BA95" s="95">
        <f t="shared" si="105"/>
        <v>0</v>
      </c>
      <c r="BB95" s="80"/>
      <c r="BC95" s="80"/>
      <c r="BD95" s="80"/>
    </row>
    <row r="96" spans="1:56" s="160" customFormat="1" x14ac:dyDescent="0.2">
      <c r="A96" s="167"/>
      <c r="B96" s="230"/>
      <c r="C96" s="674"/>
      <c r="D96" s="300"/>
      <c r="E96" s="105"/>
      <c r="F96" s="109"/>
      <c r="G96" s="163"/>
      <c r="H96" s="164"/>
      <c r="I96" s="98"/>
      <c r="J96" s="224"/>
      <c r="K96" s="98"/>
      <c r="L96" s="81"/>
      <c r="M96" s="98"/>
      <c r="N96" s="81"/>
      <c r="O96" s="98"/>
      <c r="P96" s="81"/>
      <c r="Q96" s="98"/>
      <c r="R96" s="81"/>
      <c r="S96" s="98"/>
      <c r="T96" s="81"/>
      <c r="U96" s="98"/>
      <c r="V96" s="81"/>
      <c r="W96" s="98"/>
      <c r="X96" s="81"/>
      <c r="Z96" s="95">
        <f t="shared" si="108"/>
        <v>0</v>
      </c>
      <c r="AC96" s="109"/>
      <c r="AE96" s="193"/>
      <c r="AG96" s="224"/>
      <c r="AH96" s="98"/>
      <c r="AI96" s="81"/>
      <c r="AJ96" s="98"/>
      <c r="AK96" s="81"/>
      <c r="AL96" s="98"/>
      <c r="AM96" s="81"/>
      <c r="AN96" s="98"/>
      <c r="AO96" s="81"/>
      <c r="AP96" s="98"/>
      <c r="AQ96" s="81"/>
      <c r="AR96" s="98"/>
      <c r="AS96" s="81"/>
      <c r="AT96" s="98"/>
      <c r="AU96" s="81"/>
      <c r="AV96" s="98"/>
      <c r="AW96" s="81"/>
      <c r="AX96" s="98"/>
      <c r="AY96" s="81"/>
      <c r="BA96" s="95">
        <f t="shared" si="105"/>
        <v>0</v>
      </c>
      <c r="BB96" s="80"/>
      <c r="BC96" s="80"/>
      <c r="BD96" s="80"/>
    </row>
    <row r="97" spans="1:56" s="160" customFormat="1" x14ac:dyDescent="0.2">
      <c r="A97" s="229"/>
      <c r="B97" s="230"/>
      <c r="C97" s="674"/>
      <c r="D97" s="300"/>
      <c r="E97" s="105"/>
      <c r="F97" s="109" t="s">
        <v>21</v>
      </c>
      <c r="G97" s="163"/>
      <c r="H97" s="164"/>
      <c r="I97" s="98"/>
      <c r="J97" s="224">
        <f>SUM(J71:J96)</f>
        <v>447860.79134128249</v>
      </c>
      <c r="K97" s="81"/>
      <c r="L97" s="81">
        <f>SUM(L71:L96)</f>
        <v>273881.64326133317</v>
      </c>
      <c r="M97" s="98"/>
      <c r="N97" s="652">
        <f>SUM(N71:N96)</f>
        <v>93343.019468299462</v>
      </c>
      <c r="O97" s="98"/>
      <c r="P97" s="81">
        <f>SUM(P71:P96)</f>
        <v>23528.419899485772</v>
      </c>
      <c r="Q97" s="98"/>
      <c r="R97" s="81">
        <f>SUM(R71:R96)</f>
        <v>0</v>
      </c>
      <c r="S97" s="98"/>
      <c r="T97" s="81">
        <f>SUM(T71:T96)</f>
        <v>0</v>
      </c>
      <c r="U97" s="98"/>
      <c r="V97" s="81">
        <f>SUM(V71:V96)</f>
        <v>10200.857567531024</v>
      </c>
      <c r="W97" s="98"/>
      <c r="X97" s="81">
        <f>SUM(X71:X96)</f>
        <v>46906.851144633023</v>
      </c>
      <c r="Z97" s="95">
        <f t="shared" si="108"/>
        <v>0</v>
      </c>
      <c r="AC97" s="109" t="s">
        <v>21</v>
      </c>
      <c r="AD97" s="163"/>
      <c r="AE97" s="164"/>
      <c r="AF97" s="98"/>
      <c r="AG97" s="224">
        <f>SUM(AG71:AG96)</f>
        <v>447860.79134128249</v>
      </c>
      <c r="AH97" s="98"/>
      <c r="AI97" s="81">
        <f>SUM(AI71:AI96)</f>
        <v>106298.37342874019</v>
      </c>
      <c r="AJ97" s="98"/>
      <c r="AK97" s="81">
        <f>SUM(AK71:AK96)</f>
        <v>88055.348552846015</v>
      </c>
      <c r="AL97" s="98"/>
      <c r="AM97" s="81">
        <f>SUM(AM71:AM96)</f>
        <v>65794.164846568689</v>
      </c>
      <c r="AN97" s="98"/>
      <c r="AO97" s="81">
        <f>SUM(AO71:AO96)</f>
        <v>68745.802350755548</v>
      </c>
      <c r="AP97" s="98"/>
      <c r="AQ97" s="81">
        <f>SUM(AQ71:AQ96)</f>
        <v>33768.850225133334</v>
      </c>
      <c r="AR97" s="98"/>
      <c r="AS97" s="81">
        <f>SUM(AS71:AS96)</f>
        <v>28251.87621743944</v>
      </c>
      <c r="AT97" s="98"/>
      <c r="AU97" s="81">
        <f>SUM(AU71:AU96)</f>
        <v>0</v>
      </c>
      <c r="AV97" s="98"/>
      <c r="AW97" s="81">
        <f>SUM(AW71:AW96)</f>
        <v>10171.072400283214</v>
      </c>
      <c r="AX97" s="98"/>
      <c r="AY97" s="81">
        <f>SUM(AY71:AY96)</f>
        <v>46775.303319515995</v>
      </c>
      <c r="BA97" s="95">
        <f t="shared" si="105"/>
        <v>0</v>
      </c>
      <c r="BB97" s="80"/>
      <c r="BC97" s="80"/>
      <c r="BD97" s="80"/>
    </row>
    <row r="98" spans="1:56" s="57" customFormat="1" ht="7.9" customHeight="1" x14ac:dyDescent="0.2">
      <c r="A98" s="228"/>
      <c r="B98" s="671"/>
      <c r="C98" s="674"/>
      <c r="D98" s="300"/>
      <c r="E98" s="105"/>
      <c r="F98" s="109"/>
      <c r="G98" s="163"/>
      <c r="H98" s="164"/>
      <c r="I98" s="60"/>
      <c r="J98" s="307"/>
      <c r="K98" s="98"/>
      <c r="L98" s="81"/>
      <c r="M98" s="99"/>
      <c r="N98" s="81"/>
      <c r="O98" s="99"/>
      <c r="P98" s="81"/>
      <c r="Q98" s="99"/>
      <c r="R98" s="81"/>
      <c r="S98" s="99"/>
      <c r="T98" s="81"/>
      <c r="U98" s="99"/>
      <c r="V98" s="81"/>
      <c r="W98" s="99"/>
      <c r="X98" s="81"/>
      <c r="Z98" s="95">
        <f t="shared" si="108"/>
        <v>0</v>
      </c>
      <c r="AC98" s="109"/>
      <c r="AG98" s="81"/>
      <c r="AH98" s="98"/>
      <c r="AI98" s="81"/>
      <c r="AJ98" s="99"/>
      <c r="AK98" s="81"/>
      <c r="AL98" s="99"/>
      <c r="AM98" s="81"/>
      <c r="AN98" s="99"/>
      <c r="AO98" s="81"/>
      <c r="AP98" s="99"/>
      <c r="AQ98" s="81"/>
      <c r="AR98" s="99"/>
      <c r="AS98" s="81"/>
      <c r="AT98" s="99"/>
      <c r="AU98" s="81"/>
      <c r="AV98" s="99"/>
      <c r="AW98" s="81"/>
      <c r="AX98" s="99"/>
      <c r="AY98" s="81"/>
      <c r="BA98" s="95">
        <f t="shared" si="105"/>
        <v>0</v>
      </c>
      <c r="BB98" s="80"/>
      <c r="BC98" s="80"/>
      <c r="BD98" s="80"/>
    </row>
    <row r="99" spans="1:56" s="371" customFormat="1" x14ac:dyDescent="0.2">
      <c r="A99" s="616"/>
      <c r="B99" s="675"/>
      <c r="C99" s="664"/>
      <c r="D99" s="300"/>
      <c r="E99" s="105"/>
      <c r="F99" s="109"/>
      <c r="G99" s="59"/>
      <c r="H99" s="164"/>
      <c r="I99" s="109"/>
      <c r="J99" s="191"/>
      <c r="K99" s="109"/>
      <c r="L99" s="191"/>
      <c r="M99" s="109"/>
      <c r="N99" s="191"/>
      <c r="O99" s="109"/>
      <c r="P99" s="191"/>
      <c r="Q99" s="109"/>
      <c r="R99" s="191"/>
      <c r="S99" s="109"/>
      <c r="T99" s="191"/>
      <c r="U99" s="109"/>
      <c r="V99" s="191"/>
      <c r="W99" s="109"/>
      <c r="X99" s="191"/>
      <c r="Z99" s="95"/>
      <c r="AC99" s="109"/>
      <c r="AE99" s="140"/>
      <c r="AG99" s="191"/>
      <c r="AH99" s="109"/>
      <c r="AI99" s="191"/>
      <c r="AJ99" s="109"/>
      <c r="AK99" s="191"/>
      <c r="AL99" s="109"/>
      <c r="AM99" s="191"/>
      <c r="AN99" s="109"/>
      <c r="AO99" s="191"/>
      <c r="AP99" s="109"/>
      <c r="AQ99" s="191"/>
      <c r="AR99" s="109"/>
      <c r="AS99" s="191"/>
      <c r="AT99" s="109"/>
      <c r="AU99" s="191"/>
      <c r="AV99" s="109"/>
      <c r="AW99" s="191"/>
      <c r="AX99" s="109"/>
      <c r="AY99" s="191"/>
      <c r="BA99" s="95"/>
      <c r="BB99" s="80"/>
      <c r="BC99" s="80"/>
      <c r="BD99" s="80"/>
    </row>
    <row r="100" spans="1:56" s="371" customFormat="1" x14ac:dyDescent="0.2">
      <c r="A100" s="616"/>
      <c r="B100" s="675"/>
      <c r="C100" s="664"/>
      <c r="D100" s="300"/>
      <c r="E100" s="105"/>
      <c r="F100" s="109" t="s">
        <v>482</v>
      </c>
      <c r="G100" s="59"/>
      <c r="H100" s="164">
        <v>17</v>
      </c>
      <c r="I100" s="109"/>
      <c r="J100" s="191">
        <v>-177740.7</v>
      </c>
      <c r="K100" s="109"/>
      <c r="L100" s="162">
        <f ca="1">(VLOOKUP($H100,Factors,L$195))*$J100</f>
        <v>-103818.34286999999</v>
      </c>
      <c r="M100" s="105"/>
      <c r="N100" s="162">
        <f ca="1">(VLOOKUP($H100,Factors,N$195))*$J100</f>
        <v>-41413.583100000003</v>
      </c>
      <c r="O100" s="105"/>
      <c r="P100" s="162">
        <f ca="1">(VLOOKUP($H100,Factors,P$195))*$J100</f>
        <v>-12406.300860000001</v>
      </c>
      <c r="Q100" s="105"/>
      <c r="R100" s="162">
        <f ca="1">(VLOOKUP($H100,Factors,R$195))*$J100</f>
        <v>0</v>
      </c>
      <c r="S100" s="105"/>
      <c r="T100" s="162">
        <f ca="1">(VLOOKUP($H100,Factors,T$195))*$J100</f>
        <v>0</v>
      </c>
      <c r="U100" s="105"/>
      <c r="V100" s="162">
        <f ca="1">(VLOOKUP($H100,Factors,V$195))*$J100</f>
        <v>-4248.0027300000002</v>
      </c>
      <c r="W100" s="105"/>
      <c r="X100" s="162">
        <f ca="1">(VLOOKUP($H100,Factors,X$195))*$J100</f>
        <v>-15854.470440000001</v>
      </c>
      <c r="Y100" s="105"/>
      <c r="Z100" s="95">
        <f t="shared" ref="Z100" ca="1" si="109">SUM(L100:X100)-J100</f>
        <v>0</v>
      </c>
      <c r="AC100" s="109" t="s">
        <v>482</v>
      </c>
      <c r="AE100" s="140">
        <f>+H100</f>
        <v>17</v>
      </c>
      <c r="AG100" s="191">
        <f>+J100</f>
        <v>-177740.7</v>
      </c>
      <c r="AH100" s="223"/>
      <c r="AI100" s="162">
        <f ca="1">(VLOOKUP($AE100,func,AI$195))*$AG100</f>
        <v>-67790.302980000008</v>
      </c>
      <c r="AJ100" s="105"/>
      <c r="AK100" s="162">
        <f ca="1">(VLOOKUP($AE100,func,AK$195))*$AG100</f>
        <v>-37183.354440000003</v>
      </c>
      <c r="AL100" s="105"/>
      <c r="AM100" s="162">
        <f ca="1">(VLOOKUP($AE100,func,AM$195))*$AG100</f>
        <v>-28171.900950000003</v>
      </c>
      <c r="AN100" s="105"/>
      <c r="AO100" s="162">
        <f ca="1">(VLOOKUP($AE100,func,AO$195))*$AG100</f>
        <v>-7020.7576500000005</v>
      </c>
      <c r="AP100" s="105"/>
      <c r="AQ100" s="162">
        <f ca="1">(VLOOKUP($AE100,func,AQ$195))*$AG100</f>
        <v>-3625.9102800000005</v>
      </c>
      <c r="AR100" s="105"/>
      <c r="AS100" s="162">
        <f ca="1">(VLOOKUP($AE100,func,AS$195))*$AG100</f>
        <v>-13881.548670000002</v>
      </c>
      <c r="AT100" s="105"/>
      <c r="AU100" s="162">
        <f ca="1">(VLOOKUP($AE100,func,AU$195))*$AG100</f>
        <v>0</v>
      </c>
      <c r="AV100" s="105"/>
      <c r="AW100" s="162">
        <f ca="1">(VLOOKUP($AE100,func,AW$195))*$AG100</f>
        <v>-4230.2286600000007</v>
      </c>
      <c r="AX100" s="105"/>
      <c r="AY100" s="162">
        <f ca="1">(VLOOKUP($AE100,func,AY$195))*$AG100</f>
        <v>-15836.696370000001</v>
      </c>
      <c r="BA100" s="95">
        <f t="shared" ref="BA100:BA116" ca="1" si="110">SUM(AI100:AY100)-AG100</f>
        <v>0</v>
      </c>
      <c r="BB100" s="80"/>
      <c r="BC100" s="80"/>
      <c r="BD100" s="80"/>
    </row>
    <row r="101" spans="1:56" s="371" customFormat="1" x14ac:dyDescent="0.2">
      <c r="A101" s="616"/>
      <c r="B101" s="675"/>
      <c r="C101" s="664"/>
      <c r="D101" s="300"/>
      <c r="E101" s="105"/>
      <c r="F101" s="109"/>
      <c r="G101" s="59"/>
      <c r="H101" s="164"/>
      <c r="I101" s="109"/>
      <c r="J101" s="191"/>
      <c r="K101" s="223"/>
      <c r="L101" s="224"/>
      <c r="M101" s="225"/>
      <c r="N101" s="224"/>
      <c r="O101" s="225"/>
      <c r="P101" s="224"/>
      <c r="Q101" s="225"/>
      <c r="R101" s="224"/>
      <c r="S101" s="225"/>
      <c r="T101" s="224"/>
      <c r="U101" s="225"/>
      <c r="V101" s="224"/>
      <c r="W101" s="225"/>
      <c r="X101" s="224"/>
      <c r="Z101" s="95">
        <f t="shared" si="108"/>
        <v>0</v>
      </c>
      <c r="AC101" s="109"/>
      <c r="AE101" s="140"/>
      <c r="AG101" s="191"/>
      <c r="AH101" s="223"/>
      <c r="AI101" s="224"/>
      <c r="AJ101" s="225"/>
      <c r="AK101" s="224"/>
      <c r="AL101" s="225"/>
      <c r="AM101" s="224"/>
      <c r="AN101" s="225"/>
      <c r="AO101" s="224"/>
      <c r="AP101" s="225"/>
      <c r="AQ101" s="224"/>
      <c r="AR101" s="225"/>
      <c r="AS101" s="224"/>
      <c r="AT101" s="225"/>
      <c r="AU101" s="224"/>
      <c r="AV101" s="225"/>
      <c r="AW101" s="224"/>
      <c r="AX101" s="225"/>
      <c r="AY101" s="224"/>
      <c r="BA101" s="95">
        <f t="shared" si="110"/>
        <v>0</v>
      </c>
      <c r="BB101" s="80"/>
      <c r="BC101" s="80"/>
      <c r="BD101" s="80"/>
    </row>
    <row r="102" spans="1:56" s="371" customFormat="1" x14ac:dyDescent="0.2">
      <c r="A102" s="616"/>
      <c r="B102" s="675"/>
      <c r="C102" s="664"/>
      <c r="D102" s="300"/>
      <c r="E102" s="105"/>
      <c r="F102" s="233" t="s">
        <v>344</v>
      </c>
      <c r="G102" s="59"/>
      <c r="H102" s="164"/>
      <c r="I102" s="109"/>
      <c r="J102" s="191"/>
      <c r="K102" s="223"/>
      <c r="L102" s="224"/>
      <c r="M102" s="225"/>
      <c r="N102" s="224"/>
      <c r="O102" s="225"/>
      <c r="P102" s="224"/>
      <c r="Q102" s="225"/>
      <c r="R102" s="224"/>
      <c r="S102" s="225"/>
      <c r="T102" s="224"/>
      <c r="U102" s="225"/>
      <c r="V102" s="224"/>
      <c r="W102" s="225"/>
      <c r="X102" s="224"/>
      <c r="Z102" s="95">
        <f t="shared" si="108"/>
        <v>0</v>
      </c>
      <c r="AC102" s="233" t="s">
        <v>344</v>
      </c>
      <c r="AE102" s="140"/>
      <c r="AG102" s="191"/>
      <c r="AH102" s="223"/>
      <c r="AI102" s="224"/>
      <c r="AJ102" s="225"/>
      <c r="AK102" s="224"/>
      <c r="AL102" s="225"/>
      <c r="AM102" s="224"/>
      <c r="AN102" s="225"/>
      <c r="AO102" s="224"/>
      <c r="AP102" s="225"/>
      <c r="AQ102" s="224"/>
      <c r="AR102" s="225"/>
      <c r="AS102" s="224"/>
      <c r="AT102" s="225"/>
      <c r="AU102" s="224"/>
      <c r="AV102" s="225"/>
      <c r="AW102" s="224"/>
      <c r="AX102" s="225"/>
      <c r="AY102" s="224"/>
      <c r="BA102" s="95">
        <f t="shared" si="110"/>
        <v>0</v>
      </c>
      <c r="BB102" s="80"/>
      <c r="BC102" s="80"/>
      <c r="BD102" s="80"/>
    </row>
    <row r="103" spans="1:56" s="371" customFormat="1" ht="14.25" customHeight="1" x14ac:dyDescent="0.2">
      <c r="A103" s="82"/>
      <c r="B103" s="676"/>
      <c r="C103" s="664"/>
      <c r="D103" s="300"/>
      <c r="E103" s="105"/>
      <c r="F103" s="109" t="s">
        <v>22</v>
      </c>
      <c r="G103" s="59"/>
      <c r="H103" s="164">
        <v>14</v>
      </c>
      <c r="I103" s="109"/>
      <c r="J103" s="191">
        <v>77400.622892005922</v>
      </c>
      <c r="K103" s="223"/>
      <c r="L103" s="162">
        <f>(VLOOKUP($H103,Factors,L$195))*$J103</f>
        <v>44381.5171662762</v>
      </c>
      <c r="M103" s="105"/>
      <c r="N103" s="162">
        <f>(VLOOKUP($H103,Factors,N$195))*$J103</f>
        <v>18227.846691067392</v>
      </c>
      <c r="O103" s="105"/>
      <c r="P103" s="162">
        <f>(VLOOKUP($H103,Factors,P$195))*$J103</f>
        <v>5534.1445367784227</v>
      </c>
      <c r="Q103" s="105"/>
      <c r="R103" s="162">
        <f>(VLOOKUP($H103,Factors,R$195))*$J103</f>
        <v>0</v>
      </c>
      <c r="S103" s="105"/>
      <c r="T103" s="162">
        <f>(VLOOKUP($H103,Factors,T$195))*$J103</f>
        <v>0</v>
      </c>
      <c r="U103" s="105"/>
      <c r="V103" s="162">
        <f>(VLOOKUP($H103,Factors,V$195))*$J103</f>
        <v>2213.6578147113696</v>
      </c>
      <c r="W103" s="105"/>
      <c r="X103" s="162">
        <f>(VLOOKUP($H103,Factors,X$195))*$J103</f>
        <v>7043.4566831725388</v>
      </c>
      <c r="Y103" s="105"/>
      <c r="Z103" s="95">
        <f t="shared" si="108"/>
        <v>0</v>
      </c>
      <c r="AC103" s="109" t="s">
        <v>22</v>
      </c>
      <c r="AE103" s="140">
        <f>+H103</f>
        <v>14</v>
      </c>
      <c r="AG103" s="191">
        <f>+J103</f>
        <v>77400.622892005922</v>
      </c>
      <c r="AH103" s="223"/>
      <c r="AI103" s="162">
        <f>(VLOOKUP($AE103,func,AI$195))*$AG103</f>
        <v>27825.523929676128</v>
      </c>
      <c r="AJ103" s="105"/>
      <c r="AK103" s="162">
        <f>(VLOOKUP($AE103,func,AK$195))*$AG103</f>
        <v>19489.476844207093</v>
      </c>
      <c r="AL103" s="105"/>
      <c r="AM103" s="162">
        <f>(VLOOKUP($AE103,func,AM$195))*$AG103</f>
        <v>15139.561837676358</v>
      </c>
      <c r="AN103" s="105"/>
      <c r="AO103" s="162">
        <f>(VLOOKUP($AE103,func,AO$195))*$AG103</f>
        <v>0</v>
      </c>
      <c r="AP103" s="105"/>
      <c r="AQ103" s="162">
        <f>(VLOOKUP($AE103,func,AQ$195))*$AG103</f>
        <v>0</v>
      </c>
      <c r="AR103" s="105"/>
      <c r="AS103" s="162">
        <f>(VLOOKUP($AE103,func,AS$195))*$AG103</f>
        <v>5688.9457825624349</v>
      </c>
      <c r="AT103" s="105"/>
      <c r="AU103" s="162">
        <f>(VLOOKUP($AE103,func,AU$195))*$AG103</f>
        <v>0</v>
      </c>
      <c r="AV103" s="105"/>
      <c r="AW103" s="162">
        <f>(VLOOKUP($AE103,func,AW$195))*$AG103</f>
        <v>2213.6578147113696</v>
      </c>
      <c r="AX103" s="105"/>
      <c r="AY103" s="162">
        <f>(VLOOKUP($AE103,func,AY$195))*$AG103</f>
        <v>7043.4566831725388</v>
      </c>
      <c r="BA103" s="95">
        <f t="shared" si="110"/>
        <v>0</v>
      </c>
      <c r="BB103" s="80"/>
      <c r="BC103" s="80"/>
      <c r="BD103" s="80"/>
    </row>
    <row r="104" spans="1:56" s="371" customFormat="1" ht="15" customHeight="1" x14ac:dyDescent="0.2">
      <c r="A104" s="82"/>
      <c r="B104" s="676"/>
      <c r="C104" s="664"/>
      <c r="D104" s="300"/>
      <c r="E104" s="105"/>
      <c r="F104" s="109" t="s">
        <v>23</v>
      </c>
      <c r="G104" s="59"/>
      <c r="H104" s="164">
        <v>16</v>
      </c>
      <c r="I104" s="109"/>
      <c r="J104" s="191">
        <v>101098.73999999999</v>
      </c>
      <c r="K104" s="223"/>
      <c r="L104" s="162">
        <f ca="1">(VLOOKUP($H104,Factors,L$195))*$J104</f>
        <v>58091.336003999997</v>
      </c>
      <c r="M104" s="105"/>
      <c r="N104" s="162">
        <f ca="1">(VLOOKUP($H104,Factors,N$195))*$J104</f>
        <v>23070.732467999995</v>
      </c>
      <c r="O104" s="105"/>
      <c r="P104" s="162">
        <f ca="1">(VLOOKUP($H104,Factors,P$195))*$J104</f>
        <v>6712.9563359999993</v>
      </c>
      <c r="Q104" s="105"/>
      <c r="R104" s="162">
        <f ca="1">(VLOOKUP($H104,Factors,R$195))*$J104</f>
        <v>0</v>
      </c>
      <c r="S104" s="105"/>
      <c r="T104" s="162">
        <f ca="1">(VLOOKUP($H104,Factors,T$195))*$J104</f>
        <v>0</v>
      </c>
      <c r="U104" s="105"/>
      <c r="V104" s="162">
        <f ca="1">(VLOOKUP($H104,Factors,V$195))*$J104</f>
        <v>2112.9636659999996</v>
      </c>
      <c r="W104" s="105"/>
      <c r="X104" s="162">
        <f ca="1">(VLOOKUP($H104,Factors,X$195))*$J104</f>
        <v>11110.751525999998</v>
      </c>
      <c r="Y104" s="105"/>
      <c r="Z104" s="95">
        <f t="shared" ca="1" si="108"/>
        <v>0</v>
      </c>
      <c r="AC104" s="109" t="s">
        <v>23</v>
      </c>
      <c r="AE104" s="140">
        <f t="shared" ref="AE104:AE107" si="111">+H104</f>
        <v>16</v>
      </c>
      <c r="AG104" s="191">
        <f t="shared" ref="AG104:AG107" si="112">+J104</f>
        <v>101098.73999999999</v>
      </c>
      <c r="AH104" s="223"/>
      <c r="AI104" s="162">
        <f ca="1">(VLOOKUP($AE104,func,AI$195))*$AG104</f>
        <v>33989.396387999994</v>
      </c>
      <c r="AJ104" s="105"/>
      <c r="AK104" s="162">
        <f ca="1">(VLOOKUP($AE104,func,AK$195))*$AG104</f>
        <v>25183.696133999998</v>
      </c>
      <c r="AL104" s="105"/>
      <c r="AM104" s="162">
        <f ca="1">(VLOOKUP($AE104,func,AM$195))*$AG104</f>
        <v>14103.274230000001</v>
      </c>
      <c r="AN104" s="105"/>
      <c r="AO104" s="162">
        <f ca="1">(VLOOKUP($AE104,func,AO$195))*$AG104</f>
        <v>8461.9645379999984</v>
      </c>
      <c r="AP104" s="105"/>
      <c r="AQ104" s="162">
        <f ca="1">(VLOOKUP($AE104,func,AQ$195))*$AG104</f>
        <v>4620.2124179999992</v>
      </c>
      <c r="AR104" s="105"/>
      <c r="AS104" s="162">
        <f ca="1">(VLOOKUP($AE104,func,AS$195))*$AG104</f>
        <v>1577.1403439999997</v>
      </c>
      <c r="AT104" s="105"/>
      <c r="AU104" s="162">
        <f ca="1">(VLOOKUP($AE104,func,AU$195))*$AG104</f>
        <v>0</v>
      </c>
      <c r="AV104" s="105"/>
      <c r="AW104" s="162">
        <f ca="1">(VLOOKUP($AE104,func,AW$195))*$AG104</f>
        <v>2102.8537919999999</v>
      </c>
      <c r="AX104" s="105"/>
      <c r="AY104" s="162">
        <f ca="1">(VLOOKUP($AE104,func,AY$195))*$AG104</f>
        <v>11060.202155999999</v>
      </c>
      <c r="BA104" s="95">
        <f t="shared" ca="1" si="110"/>
        <v>0</v>
      </c>
      <c r="BB104" s="80"/>
      <c r="BC104" s="80"/>
      <c r="BD104" s="80"/>
    </row>
    <row r="105" spans="1:56" s="371" customFormat="1" ht="15" customHeight="1" x14ac:dyDescent="0.2">
      <c r="A105" s="82"/>
      <c r="B105" s="676"/>
      <c r="C105" s="664"/>
      <c r="D105" s="300"/>
      <c r="E105" s="105"/>
      <c r="F105" s="109" t="s">
        <v>370</v>
      </c>
      <c r="G105" s="59"/>
      <c r="H105" s="164">
        <v>16</v>
      </c>
      <c r="I105" s="109"/>
      <c r="J105" s="191">
        <v>100.34</v>
      </c>
      <c r="K105" s="223"/>
      <c r="L105" s="162">
        <f ca="1">(VLOOKUP($H105,Factors,L$195))*$J105</f>
        <v>57.655363999999999</v>
      </c>
      <c r="M105" s="105"/>
      <c r="N105" s="162">
        <f ca="1">(VLOOKUP($H105,Factors,N$195))*$J105</f>
        <v>22.897587999999999</v>
      </c>
      <c r="O105" s="105"/>
      <c r="P105" s="162">
        <f ca="1">(VLOOKUP($H105,Factors,P$195))*$J105</f>
        <v>6.6625760000000005</v>
      </c>
      <c r="Q105" s="105"/>
      <c r="R105" s="162">
        <f ca="1">(VLOOKUP($H105,Factors,R$195))*$J105</f>
        <v>0</v>
      </c>
      <c r="S105" s="105"/>
      <c r="T105" s="162">
        <f ca="1">(VLOOKUP($H105,Factors,T$195))*$J105</f>
        <v>0</v>
      </c>
      <c r="U105" s="105"/>
      <c r="V105" s="162">
        <f ca="1">(VLOOKUP($H105,Factors,V$195))*$J105</f>
        <v>2.0971060000000001</v>
      </c>
      <c r="W105" s="105"/>
      <c r="X105" s="162">
        <f ca="1">(VLOOKUP($H105,Factors,X$195))*$J105</f>
        <v>11.027366000000001</v>
      </c>
      <c r="Y105" s="105"/>
      <c r="Z105" s="95">
        <f t="shared" ref="Z105" ca="1" si="113">SUM(L105:X105)-J105</f>
        <v>0</v>
      </c>
      <c r="AC105" s="109" t="s">
        <v>370</v>
      </c>
      <c r="AE105" s="140">
        <f t="shared" ref="AE105" si="114">+H105</f>
        <v>16</v>
      </c>
      <c r="AG105" s="191">
        <f t="shared" ref="AG105" si="115">+J105</f>
        <v>100.34</v>
      </c>
      <c r="AH105" s="223"/>
      <c r="AI105" s="162">
        <f ca="1">(VLOOKUP($AE105,func,AI$195))*$AG105</f>
        <v>33.734307999999999</v>
      </c>
      <c r="AJ105" s="105"/>
      <c r="AK105" s="162">
        <f ca="1">(VLOOKUP($AE105,func,AK$195))*$AG105</f>
        <v>24.994693999999999</v>
      </c>
      <c r="AL105" s="105"/>
      <c r="AM105" s="162">
        <f ca="1">(VLOOKUP($AE105,func,AM$195))*$AG105</f>
        <v>13.997430000000001</v>
      </c>
      <c r="AN105" s="105"/>
      <c r="AO105" s="162">
        <f ca="1">(VLOOKUP($AE105,func,AO$195))*$AG105</f>
        <v>8.3984579999999998</v>
      </c>
      <c r="AP105" s="105"/>
      <c r="AQ105" s="162">
        <f ca="1">(VLOOKUP($AE105,func,AQ$195))*$AG105</f>
        <v>4.5855379999999997</v>
      </c>
      <c r="AR105" s="105"/>
      <c r="AS105" s="162">
        <f ca="1">(VLOOKUP($AE105,func,AS$195))*$AG105</f>
        <v>1.565304</v>
      </c>
      <c r="AT105" s="105"/>
      <c r="AU105" s="162">
        <f ca="1">(VLOOKUP($AE105,func,AU$195))*$AG105</f>
        <v>0</v>
      </c>
      <c r="AV105" s="105"/>
      <c r="AW105" s="162">
        <f ca="1">(VLOOKUP($AE105,func,AW$195))*$AG105</f>
        <v>2.087072</v>
      </c>
      <c r="AX105" s="105"/>
      <c r="AY105" s="162">
        <f ca="1">(VLOOKUP($AE105,func,AY$195))*$AG105</f>
        <v>10.977195999999999</v>
      </c>
      <c r="BA105" s="95">
        <f t="shared" ca="1" si="110"/>
        <v>0</v>
      </c>
      <c r="BB105" s="80"/>
      <c r="BC105" s="80"/>
      <c r="BD105" s="80"/>
    </row>
    <row r="106" spans="1:56" s="371" customFormat="1" ht="14.25" customHeight="1" x14ac:dyDescent="0.2">
      <c r="A106" s="82"/>
      <c r="B106" s="677"/>
      <c r="C106" s="664"/>
      <c r="D106" s="300"/>
      <c r="E106" s="105"/>
      <c r="F106" s="109" t="s">
        <v>483</v>
      </c>
      <c r="G106" s="59"/>
      <c r="H106" s="164">
        <v>17</v>
      </c>
      <c r="I106" s="109"/>
      <c r="J106" s="618">
        <v>6716.9506189021513</v>
      </c>
      <c r="K106" s="223"/>
      <c r="L106" s="162">
        <f ca="1">(VLOOKUP($H106,Factors,L$195))*$J106</f>
        <v>3923.3708565007464</v>
      </c>
      <c r="M106" s="105"/>
      <c r="N106" s="162">
        <f ca="1">(VLOOKUP($H106,Factors,N$195))*$J106</f>
        <v>1565.0494942042014</v>
      </c>
      <c r="O106" s="105"/>
      <c r="P106" s="162">
        <f ca="1">(VLOOKUP($H106,Factors,P$195))*$J106</f>
        <v>468.84315319937019</v>
      </c>
      <c r="Q106" s="105"/>
      <c r="R106" s="162">
        <f ca="1">(VLOOKUP($H106,Factors,R$195))*$J106</f>
        <v>0</v>
      </c>
      <c r="S106" s="105"/>
      <c r="T106" s="162">
        <f ca="1">(VLOOKUP($H106,Factors,T$195))*$J106</f>
        <v>0</v>
      </c>
      <c r="U106" s="105"/>
      <c r="V106" s="162">
        <f ca="1">(VLOOKUP($H106,Factors,V$195))*$J106</f>
        <v>160.53511979176142</v>
      </c>
      <c r="W106" s="105"/>
      <c r="X106" s="162">
        <f ca="1">(VLOOKUP($H106,Factors,X$195))*$J106</f>
        <v>599.15199520607189</v>
      </c>
      <c r="Y106" s="105"/>
      <c r="Z106" s="95">
        <f t="shared" ca="1" si="108"/>
        <v>0</v>
      </c>
      <c r="AC106" s="109" t="s">
        <v>348</v>
      </c>
      <c r="AE106" s="140">
        <f t="shared" si="111"/>
        <v>17</v>
      </c>
      <c r="AG106" s="191">
        <f t="shared" si="112"/>
        <v>6716.9506189021513</v>
      </c>
      <c r="AH106" s="223"/>
      <c r="AI106" s="162">
        <f ca="1">(VLOOKUP($AE106,func,AI$195))*$AG106</f>
        <v>2561.8449660492806</v>
      </c>
      <c r="AJ106" s="105"/>
      <c r="AK106" s="162">
        <f ca="1">(VLOOKUP($AE106,func,AK$195))*$AG106</f>
        <v>1405.18606947433</v>
      </c>
      <c r="AL106" s="105"/>
      <c r="AM106" s="162">
        <f ca="1">(VLOOKUP($AE106,func,AM$195))*$AG106</f>
        <v>1064.636673095991</v>
      </c>
      <c r="AN106" s="105"/>
      <c r="AO106" s="162">
        <f ca="1">(VLOOKUP($AE106,func,AO$195))*$AG106</f>
        <v>265.31954944663499</v>
      </c>
      <c r="AP106" s="105"/>
      <c r="AQ106" s="162">
        <f ca="1">(VLOOKUP($AE106,func,AQ$195))*$AG106</f>
        <v>137.02579262560388</v>
      </c>
      <c r="AR106" s="105"/>
      <c r="AS106" s="162">
        <f ca="1">(VLOOKUP($AE106,func,AS$195))*$AG106</f>
        <v>524.59384333625803</v>
      </c>
      <c r="AT106" s="105"/>
      <c r="AU106" s="162">
        <f ca="1">(VLOOKUP($AE106,func,AU$195))*$AG106</f>
        <v>0</v>
      </c>
      <c r="AV106" s="105"/>
      <c r="AW106" s="162">
        <f ca="1">(VLOOKUP($AE106,func,AW$195))*$AG106</f>
        <v>159.86342472987121</v>
      </c>
      <c r="AX106" s="105"/>
      <c r="AY106" s="162">
        <f ca="1">(VLOOKUP($AE106,func,AY$195))*$AG106</f>
        <v>598.48030014418168</v>
      </c>
      <c r="BA106" s="95">
        <f t="shared" ca="1" si="110"/>
        <v>0</v>
      </c>
      <c r="BB106" s="80"/>
      <c r="BC106" s="80"/>
      <c r="BD106" s="80"/>
    </row>
    <row r="107" spans="1:56" s="371" customFormat="1" ht="14.25" customHeight="1" x14ac:dyDescent="0.2">
      <c r="A107" s="82"/>
      <c r="B107" s="668"/>
      <c r="C107" s="664"/>
      <c r="D107" s="300"/>
      <c r="E107" s="105"/>
      <c r="F107" s="109" t="s">
        <v>360</v>
      </c>
      <c r="G107" s="59"/>
      <c r="H107" s="164">
        <v>16</v>
      </c>
      <c r="I107" s="109"/>
      <c r="J107" s="191">
        <f>+C107</f>
        <v>0</v>
      </c>
      <c r="K107" s="223"/>
      <c r="L107" s="162">
        <f ca="1">(VLOOKUP($H107,Factors,L$195))*$J107</f>
        <v>0</v>
      </c>
      <c r="M107" s="105"/>
      <c r="N107" s="162">
        <f ca="1">(VLOOKUP($H107,Factors,N$195))*$J107</f>
        <v>0</v>
      </c>
      <c r="O107" s="105"/>
      <c r="P107" s="162">
        <f ca="1">(VLOOKUP($H107,Factors,P$195))*$J107</f>
        <v>0</v>
      </c>
      <c r="Q107" s="105"/>
      <c r="R107" s="162">
        <f ca="1">(VLOOKUP($H107,Factors,R$195))*$J107</f>
        <v>0</v>
      </c>
      <c r="S107" s="105"/>
      <c r="T107" s="162">
        <f ca="1">(VLOOKUP($H107,Factors,T$195))*$J107</f>
        <v>0</v>
      </c>
      <c r="U107" s="105"/>
      <c r="V107" s="162">
        <f ca="1">(VLOOKUP($H107,Factors,V$195))*$J107</f>
        <v>0</v>
      </c>
      <c r="W107" s="105"/>
      <c r="X107" s="162">
        <f ca="1">(VLOOKUP($H107,Factors,X$195))*$J107</f>
        <v>0</v>
      </c>
      <c r="Y107" s="105"/>
      <c r="Z107" s="95">
        <f t="shared" ref="Z107" ca="1" si="116">SUM(L107:X107)-J107</f>
        <v>0</v>
      </c>
      <c r="AC107" s="109" t="s">
        <v>360</v>
      </c>
      <c r="AE107" s="140">
        <f t="shared" si="111"/>
        <v>16</v>
      </c>
      <c r="AG107" s="191">
        <f t="shared" si="112"/>
        <v>0</v>
      </c>
      <c r="AH107" s="223"/>
      <c r="AI107" s="162">
        <f ca="1">(VLOOKUP($AE107,func,AI$195))*$AG107</f>
        <v>0</v>
      </c>
      <c r="AJ107" s="105"/>
      <c r="AK107" s="162">
        <f ca="1">(VLOOKUP($AE107,func,AK$195))*$AG107</f>
        <v>0</v>
      </c>
      <c r="AL107" s="105"/>
      <c r="AM107" s="162">
        <f ca="1">(VLOOKUP($AE107,func,AM$195))*$AG107</f>
        <v>0</v>
      </c>
      <c r="AN107" s="105"/>
      <c r="AO107" s="162">
        <f ca="1">(VLOOKUP($AE107,func,AO$195))*$AG107</f>
        <v>0</v>
      </c>
      <c r="AP107" s="105"/>
      <c r="AQ107" s="162">
        <f ca="1">(VLOOKUP($AE107,func,AQ$195))*$AG107</f>
        <v>0</v>
      </c>
      <c r="AR107" s="105"/>
      <c r="AS107" s="162">
        <f ca="1">(VLOOKUP($AE107,func,AS$195))*$AG107</f>
        <v>0</v>
      </c>
      <c r="AT107" s="105"/>
      <c r="AU107" s="162">
        <f ca="1">(VLOOKUP($AE107,func,AU$195))*$AG107</f>
        <v>0</v>
      </c>
      <c r="AV107" s="105"/>
      <c r="AW107" s="162">
        <f ca="1">(VLOOKUP($AE107,func,AW$195))*$AG107</f>
        <v>0</v>
      </c>
      <c r="AX107" s="105"/>
      <c r="AY107" s="162">
        <f ca="1">(VLOOKUP($AE107,func,AY$195))*$AG107</f>
        <v>0</v>
      </c>
      <c r="BA107" s="95">
        <f t="shared" ca="1" si="110"/>
        <v>0</v>
      </c>
      <c r="BB107" s="80"/>
      <c r="BC107" s="80"/>
      <c r="BD107" s="80"/>
    </row>
    <row r="108" spans="1:56" s="371" customFormat="1" ht="3" customHeight="1" x14ac:dyDescent="0.2">
      <c r="A108" s="616"/>
      <c r="B108" s="675"/>
      <c r="C108" s="664"/>
      <c r="D108" s="300"/>
      <c r="E108" s="105"/>
      <c r="F108" s="109"/>
      <c r="G108" s="59"/>
      <c r="H108" s="164"/>
      <c r="I108" s="109"/>
      <c r="J108" s="232"/>
      <c r="K108" s="223"/>
      <c r="L108" s="617"/>
      <c r="M108" s="223"/>
      <c r="N108" s="617"/>
      <c r="O108" s="223"/>
      <c r="P108" s="617"/>
      <c r="Q108" s="223"/>
      <c r="R108" s="617"/>
      <c r="S108" s="223"/>
      <c r="T108" s="617"/>
      <c r="U108" s="223"/>
      <c r="V108" s="617"/>
      <c r="W108" s="223"/>
      <c r="X108" s="617"/>
      <c r="Y108" s="105"/>
      <c r="Z108" s="95">
        <f t="shared" si="108"/>
        <v>0</v>
      </c>
      <c r="AC108" s="109"/>
      <c r="AE108" s="140"/>
      <c r="AG108" s="232"/>
      <c r="AH108" s="223"/>
      <c r="AI108" s="617"/>
      <c r="AJ108" s="223"/>
      <c r="AK108" s="617"/>
      <c r="AL108" s="223"/>
      <c r="AM108" s="617"/>
      <c r="AN108" s="223"/>
      <c r="AO108" s="617"/>
      <c r="AP108" s="223"/>
      <c r="AQ108" s="617"/>
      <c r="AR108" s="223"/>
      <c r="AS108" s="617"/>
      <c r="AT108" s="223"/>
      <c r="AU108" s="617"/>
      <c r="AV108" s="223"/>
      <c r="AW108" s="617"/>
      <c r="AX108" s="223"/>
      <c r="AY108" s="617"/>
      <c r="BA108" s="95">
        <f t="shared" si="110"/>
        <v>0</v>
      </c>
      <c r="BB108" s="80"/>
      <c r="BC108" s="80"/>
      <c r="BD108" s="80"/>
    </row>
    <row r="109" spans="1:56" s="371" customFormat="1" x14ac:dyDescent="0.2">
      <c r="A109" s="82"/>
      <c r="B109" s="678"/>
      <c r="C109" s="678"/>
      <c r="D109" s="300"/>
      <c r="E109" s="105"/>
      <c r="F109" s="109"/>
      <c r="G109" s="59"/>
      <c r="H109" s="164"/>
      <c r="I109" s="109"/>
      <c r="J109" s="191"/>
      <c r="K109" s="223"/>
      <c r="L109" s="224"/>
      <c r="M109" s="223"/>
      <c r="N109" s="224"/>
      <c r="O109" s="223"/>
      <c r="P109" s="224"/>
      <c r="Q109" s="223"/>
      <c r="R109" s="224"/>
      <c r="S109" s="223"/>
      <c r="T109" s="224"/>
      <c r="U109" s="223"/>
      <c r="V109" s="224"/>
      <c r="W109" s="223"/>
      <c r="X109" s="224"/>
      <c r="Z109" s="95">
        <f t="shared" si="108"/>
        <v>0</v>
      </c>
      <c r="AC109" s="109"/>
      <c r="AG109" s="191"/>
      <c r="AH109" s="223"/>
      <c r="AI109" s="224"/>
      <c r="AJ109" s="223"/>
      <c r="AK109" s="224"/>
      <c r="AL109" s="223"/>
      <c r="AM109" s="224"/>
      <c r="AN109" s="223"/>
      <c r="AO109" s="224"/>
      <c r="AP109" s="223"/>
      <c r="AQ109" s="224"/>
      <c r="AR109" s="223"/>
      <c r="AS109" s="224"/>
      <c r="AT109" s="223"/>
      <c r="AU109" s="224"/>
      <c r="AV109" s="223"/>
      <c r="AW109" s="224"/>
      <c r="AX109" s="223"/>
      <c r="AY109" s="224"/>
      <c r="BA109" s="95">
        <f t="shared" si="110"/>
        <v>0</v>
      </c>
      <c r="BB109" s="80"/>
      <c r="BC109" s="80"/>
      <c r="BD109" s="80"/>
    </row>
    <row r="110" spans="1:56" s="371" customFormat="1" x14ac:dyDescent="0.2">
      <c r="A110" s="82"/>
      <c r="B110" s="666"/>
      <c r="C110" s="664"/>
      <c r="D110" s="300"/>
      <c r="E110" s="105"/>
      <c r="F110" s="109" t="s">
        <v>255</v>
      </c>
      <c r="G110" s="59"/>
      <c r="H110" s="164"/>
      <c r="I110" s="109"/>
      <c r="J110" s="191">
        <f>SUM(J103:J109)</f>
        <v>185316.65351090807</v>
      </c>
      <c r="K110" s="109"/>
      <c r="L110" s="191">
        <f ca="1">SUM(L103:L109)</f>
        <v>106453.87939077694</v>
      </c>
      <c r="M110" s="109"/>
      <c r="N110" s="652">
        <f ca="1">SUM(N103:N109)</f>
        <v>42886.526241271589</v>
      </c>
      <c r="O110" s="109"/>
      <c r="P110" s="191">
        <f ca="1">SUM(P103:P109)</f>
        <v>12722.606601977792</v>
      </c>
      <c r="Q110" s="109"/>
      <c r="R110" s="191">
        <f ca="1">SUM(R103:R109)</f>
        <v>0</v>
      </c>
      <c r="S110" s="109"/>
      <c r="T110" s="191">
        <f ca="1">SUM(T103:T109)</f>
        <v>0</v>
      </c>
      <c r="U110" s="109"/>
      <c r="V110" s="191">
        <f ca="1">SUM(V103:V109)</f>
        <v>4489.2537065031311</v>
      </c>
      <c r="W110" s="109"/>
      <c r="X110" s="191">
        <f ca="1">SUM(X103:X109)</f>
        <v>18764.387570378611</v>
      </c>
      <c r="Z110" s="95">
        <f t="shared" ca="1" si="108"/>
        <v>0</v>
      </c>
      <c r="AC110" s="109" t="s">
        <v>255</v>
      </c>
      <c r="AE110" s="140"/>
      <c r="AG110" s="191">
        <f>SUM(AG103:AG109)</f>
        <v>185316.65351090807</v>
      </c>
      <c r="AH110" s="109"/>
      <c r="AI110" s="191">
        <f ca="1">SUM(AI103:AI109)</f>
        <v>64410.499591725398</v>
      </c>
      <c r="AJ110" s="109"/>
      <c r="AK110" s="191">
        <f ca="1">SUM(AK103:AK109)</f>
        <v>46103.353741681422</v>
      </c>
      <c r="AL110" s="109"/>
      <c r="AM110" s="191">
        <f ca="1">SUM(AM103:AM109)</f>
        <v>30321.470170772351</v>
      </c>
      <c r="AN110" s="109"/>
      <c r="AO110" s="191">
        <f ca="1">SUM(AO103:AO109)</f>
        <v>8735.6825454466325</v>
      </c>
      <c r="AP110" s="109"/>
      <c r="AQ110" s="191">
        <f ca="1">SUM(AQ103:AQ109)</f>
        <v>4761.823748625603</v>
      </c>
      <c r="AR110" s="109"/>
      <c r="AS110" s="191">
        <f ca="1">SUM(AS103:AS109)</f>
        <v>7792.2452738986922</v>
      </c>
      <c r="AT110" s="109"/>
      <c r="AU110" s="191">
        <f ca="1">SUM(AU103:AU109)</f>
        <v>0</v>
      </c>
      <c r="AW110" s="191">
        <f ca="1">SUM(AW103:AW109)</f>
        <v>4478.4621034412412</v>
      </c>
      <c r="AY110" s="191">
        <f ca="1">SUM(AY103:AY109)</f>
        <v>18713.116335316721</v>
      </c>
      <c r="BA110" s="95">
        <f t="shared" ca="1" si="110"/>
        <v>0</v>
      </c>
      <c r="BB110" s="80"/>
      <c r="BC110" s="80"/>
      <c r="BD110" s="80"/>
    </row>
    <row r="111" spans="1:56" ht="14.25" customHeight="1" x14ac:dyDescent="0.2">
      <c r="A111" s="160"/>
      <c r="B111" s="679"/>
      <c r="C111" s="683"/>
      <c r="F111" s="109"/>
      <c r="G111" s="163"/>
      <c r="H111" s="164"/>
      <c r="I111" s="109"/>
      <c r="J111" s="268"/>
      <c r="K111" s="98"/>
      <c r="L111" s="81"/>
      <c r="M111" s="99"/>
      <c r="N111" s="99"/>
      <c r="O111" s="99"/>
      <c r="P111" s="99"/>
      <c r="Q111" s="99"/>
      <c r="R111" s="99"/>
      <c r="S111" s="99"/>
      <c r="T111" s="99"/>
      <c r="U111" s="99"/>
      <c r="V111" s="99"/>
      <c r="W111" s="99"/>
      <c r="X111" s="99"/>
      <c r="Z111" s="95">
        <f t="shared" si="108"/>
        <v>0</v>
      </c>
      <c r="AC111" s="109"/>
      <c r="AG111" s="191"/>
      <c r="AH111" s="98"/>
      <c r="AI111" s="81"/>
      <c r="AJ111" s="99"/>
      <c r="AK111" s="99"/>
      <c r="AL111" s="99"/>
      <c r="AM111" s="99"/>
      <c r="AN111" s="99"/>
      <c r="AO111" s="99"/>
      <c r="AP111" s="99"/>
      <c r="AQ111" s="99"/>
      <c r="AR111" s="99"/>
      <c r="AS111" s="99"/>
      <c r="AT111" s="99"/>
      <c r="AU111" s="99"/>
      <c r="AV111" s="82"/>
      <c r="AW111" s="82"/>
      <c r="AX111" s="82"/>
      <c r="AY111" s="82"/>
      <c r="BA111" s="95">
        <f t="shared" si="110"/>
        <v>0</v>
      </c>
      <c r="BB111" s="80"/>
      <c r="BC111" s="80"/>
      <c r="BD111" s="80"/>
    </row>
    <row r="112" spans="1:56" ht="13.5" customHeight="1" x14ac:dyDescent="0.2">
      <c r="A112" s="160"/>
      <c r="B112" s="680"/>
      <c r="C112" s="684"/>
      <c r="D112" s="302"/>
      <c r="E112" s="162"/>
      <c r="F112" s="234" t="s">
        <v>345</v>
      </c>
      <c r="G112" s="163"/>
      <c r="H112" s="164">
        <v>16</v>
      </c>
      <c r="I112" s="109"/>
      <c r="J112" s="191">
        <v>126762.67042530753</v>
      </c>
      <c r="K112" s="82"/>
      <c r="L112" s="104">
        <f ca="1">(VLOOKUP($H112,Factors,L$195))*$J112</f>
        <v>72837.830426381712</v>
      </c>
      <c r="M112" s="190"/>
      <c r="N112" s="104">
        <f ca="1">(VLOOKUP($H112,Factors,N$195))*$J112</f>
        <v>28927.241391055177</v>
      </c>
      <c r="O112" s="190"/>
      <c r="P112" s="104">
        <f ca="1">(VLOOKUP($H112,Factors,P$195))*$J112</f>
        <v>8417.0413162404202</v>
      </c>
      <c r="Q112" s="190"/>
      <c r="R112" s="104">
        <f ca="1">(VLOOKUP($H112,Factors,R$195))*$J112</f>
        <v>0</v>
      </c>
      <c r="S112" s="190"/>
      <c r="T112" s="104">
        <f ca="1">(VLOOKUP($H112,Factors,T$195))*$J112</f>
        <v>0</v>
      </c>
      <c r="U112" s="190"/>
      <c r="V112" s="104">
        <f ca="1">(VLOOKUP($H112,Factors,V$195))*$J112</f>
        <v>2649.3398118889272</v>
      </c>
      <c r="W112" s="190"/>
      <c r="X112" s="104">
        <f ca="1">(VLOOKUP($H112,Factors,X$195))*$J112</f>
        <v>13931.217479741297</v>
      </c>
      <c r="Y112" s="105"/>
      <c r="Z112" s="95">
        <f t="shared" ca="1" si="108"/>
        <v>0</v>
      </c>
      <c r="AC112" s="234" t="s">
        <v>345</v>
      </c>
      <c r="AE112" s="140">
        <f>+H112</f>
        <v>16</v>
      </c>
      <c r="AG112" s="191">
        <f>+J112</f>
        <v>126762.67042530753</v>
      </c>
      <c r="AH112" s="82"/>
      <c r="AI112" s="104">
        <f ca="1">(VLOOKUP($AE112,func,AI$195))*$AG112</f>
        <v>42617.609796988392</v>
      </c>
      <c r="AJ112" s="190"/>
      <c r="AK112" s="104">
        <f ca="1">(VLOOKUP($AE112,func,AK$195))*$AG112</f>
        <v>31576.581202944104</v>
      </c>
      <c r="AL112" s="190"/>
      <c r="AM112" s="104">
        <f ca="1">(VLOOKUP($AE112,func,AM$195))*$AG112</f>
        <v>17683.3925243304</v>
      </c>
      <c r="AN112" s="190"/>
      <c r="AO112" s="104">
        <f ca="1">(VLOOKUP($AE112,func,AO$195))*$AG112</f>
        <v>10610.035514598239</v>
      </c>
      <c r="AP112" s="190"/>
      <c r="AQ112" s="104">
        <f ca="1">(VLOOKUP($AE112,func,AQ$195))*$AG112</f>
        <v>5793.054038436554</v>
      </c>
      <c r="AR112" s="190"/>
      <c r="AS112" s="104">
        <f ca="1">(VLOOKUP($AE112,func,AS$195))*$AG112</f>
        <v>1977.4976586347973</v>
      </c>
      <c r="AT112" s="190"/>
      <c r="AU112" s="104">
        <f ca="1">(VLOOKUP($AE112,func,AU$195))*$AG112</f>
        <v>0</v>
      </c>
      <c r="AV112" s="67"/>
      <c r="AW112" s="67">
        <f ca="1">(VLOOKUP($AE112,func,AW$195))*$AG112</f>
        <v>2636.6635448463967</v>
      </c>
      <c r="AX112" s="67"/>
      <c r="AY112" s="67">
        <f ca="1">(VLOOKUP($AE112,func,AY$195))*$AG112</f>
        <v>13867.836144528643</v>
      </c>
      <c r="BA112" s="95">
        <f t="shared" ca="1" si="110"/>
        <v>0</v>
      </c>
      <c r="BB112" s="80"/>
      <c r="BC112" s="80"/>
      <c r="BD112" s="80"/>
    </row>
    <row r="113" spans="1:56" ht="11.85" customHeight="1" x14ac:dyDescent="0.2">
      <c r="A113" s="160"/>
      <c r="B113" s="665"/>
      <c r="C113" s="684"/>
      <c r="D113" s="302"/>
      <c r="E113" s="162"/>
      <c r="F113" s="109"/>
      <c r="G113" s="163"/>
      <c r="H113" s="164"/>
      <c r="I113" s="109"/>
      <c r="J113" s="191"/>
      <c r="K113" s="82"/>
      <c r="L113" s="224"/>
      <c r="M113" s="225"/>
      <c r="N113" s="224"/>
      <c r="O113" s="225"/>
      <c r="P113" s="224"/>
      <c r="Q113" s="225"/>
      <c r="R113" s="224"/>
      <c r="S113" s="225"/>
      <c r="T113" s="224"/>
      <c r="U113" s="225"/>
      <c r="V113" s="224"/>
      <c r="W113" s="225"/>
      <c r="X113" s="224"/>
      <c r="Z113" s="95">
        <f t="shared" si="108"/>
        <v>0</v>
      </c>
      <c r="AC113" s="109"/>
      <c r="AE113" s="140"/>
      <c r="AG113" s="191"/>
      <c r="AH113" s="82"/>
      <c r="AI113" s="224"/>
      <c r="AJ113" s="225"/>
      <c r="AK113" s="224"/>
      <c r="AL113" s="225"/>
      <c r="AM113" s="224"/>
      <c r="AN113" s="225"/>
      <c r="AO113" s="224"/>
      <c r="AP113" s="225"/>
      <c r="AQ113" s="224"/>
      <c r="AR113" s="225"/>
      <c r="AS113" s="224"/>
      <c r="AT113" s="225"/>
      <c r="AU113" s="224"/>
      <c r="AV113" s="224"/>
      <c r="AW113" s="224"/>
      <c r="AX113" s="224"/>
      <c r="AY113" s="224"/>
      <c r="BA113" s="95">
        <f t="shared" si="110"/>
        <v>0</v>
      </c>
      <c r="BB113" s="80"/>
      <c r="BC113" s="80"/>
      <c r="BD113" s="80"/>
    </row>
    <row r="114" spans="1:56" ht="12.2" customHeight="1" x14ac:dyDescent="0.2">
      <c r="A114" s="160"/>
      <c r="B114" s="665"/>
      <c r="C114" s="682"/>
      <c r="F114" s="234" t="s">
        <v>24</v>
      </c>
      <c r="G114" s="163"/>
      <c r="H114" s="164"/>
      <c r="I114" s="109"/>
      <c r="J114" s="191"/>
      <c r="K114" s="82"/>
      <c r="L114" s="81"/>
      <c r="M114" s="82"/>
      <c r="N114" s="99"/>
      <c r="O114" s="82"/>
      <c r="P114" s="99"/>
      <c r="Q114" s="82"/>
      <c r="R114" s="99"/>
      <c r="S114" s="82"/>
      <c r="T114" s="99"/>
      <c r="U114" s="82"/>
      <c r="V114" s="99"/>
      <c r="W114" s="82"/>
      <c r="X114" s="99"/>
      <c r="Z114" s="95">
        <f t="shared" si="108"/>
        <v>0</v>
      </c>
      <c r="AC114" s="234" t="s">
        <v>24</v>
      </c>
      <c r="AG114" s="191"/>
      <c r="AH114" s="82"/>
      <c r="AI114" s="81"/>
      <c r="AJ114" s="82"/>
      <c r="AK114" s="99"/>
      <c r="AL114" s="82"/>
      <c r="AM114" s="99"/>
      <c r="AN114" s="82"/>
      <c r="AO114" s="99"/>
      <c r="AP114" s="82"/>
      <c r="AQ114" s="99"/>
      <c r="AR114" s="82"/>
      <c r="AS114" s="99"/>
      <c r="AT114" s="82"/>
      <c r="AU114" s="99"/>
      <c r="AV114" s="82"/>
      <c r="AW114" s="99"/>
      <c r="AX114" s="82"/>
      <c r="AY114" s="99"/>
      <c r="BA114" s="95">
        <f t="shared" si="110"/>
        <v>0</v>
      </c>
      <c r="BB114" s="80"/>
      <c r="BC114" s="80"/>
      <c r="BD114" s="80"/>
    </row>
    <row r="115" spans="1:56" x14ac:dyDescent="0.2">
      <c r="A115" s="160"/>
      <c r="B115" s="681"/>
      <c r="C115" s="684"/>
      <c r="D115" s="303"/>
      <c r="E115" s="293"/>
      <c r="F115" s="234" t="s">
        <v>25</v>
      </c>
      <c r="G115" s="163"/>
      <c r="H115" s="164">
        <v>15</v>
      </c>
      <c r="I115" s="109"/>
      <c r="J115" s="232">
        <v>538298.54727748176</v>
      </c>
      <c r="K115" s="82"/>
      <c r="L115" s="231">
        <f>(VLOOKUP($H115,Factors,L$195))*$J115</f>
        <v>310275.28265074053</v>
      </c>
      <c r="M115" s="82"/>
      <c r="N115" s="231">
        <f>(VLOOKUP($H115,Factors,N$195))*$J115</f>
        <v>122086.11052253286</v>
      </c>
      <c r="O115" s="82"/>
      <c r="P115" s="231">
        <f>(VLOOKUP($H115,Factors,P$195))*$J115</f>
        <v>35258.554846675055</v>
      </c>
      <c r="Q115" s="82"/>
      <c r="R115" s="231">
        <f>(VLOOKUP($H115,Factors,R$195))*$J115</f>
        <v>0</v>
      </c>
      <c r="S115" s="82"/>
      <c r="T115" s="231">
        <f>(VLOOKUP($H115,Factors,T$195))*$J115</f>
        <v>0</v>
      </c>
      <c r="U115" s="82"/>
      <c r="V115" s="231">
        <f>(VLOOKUP($H115,Factors,V$195))*$J115</f>
        <v>11088.950073916125</v>
      </c>
      <c r="W115" s="82"/>
      <c r="X115" s="231">
        <f>(VLOOKUP($H115,Factors,X$195))*$J115</f>
        <v>59589.649183617235</v>
      </c>
      <c r="Y115" s="105"/>
      <c r="Z115" s="95">
        <f t="shared" si="108"/>
        <v>0</v>
      </c>
      <c r="AC115" s="234" t="s">
        <v>25</v>
      </c>
      <c r="AE115" s="140">
        <f>+H115</f>
        <v>15</v>
      </c>
      <c r="AG115" s="232">
        <f>+J115</f>
        <v>538298.54727748176</v>
      </c>
      <c r="AH115" s="82"/>
      <c r="AI115" s="231">
        <f>(VLOOKUP($AE115,func,AI$195))*$AG115</f>
        <v>176992.56234483598</v>
      </c>
      <c r="AJ115" s="82"/>
      <c r="AK115" s="231">
        <f>(VLOOKUP($AE115,func,AK$195))*$AG115</f>
        <v>134466.97710991494</v>
      </c>
      <c r="AL115" s="82"/>
      <c r="AM115" s="231">
        <f>(VLOOKUP($AE115,func,AM$195))*$AG115</f>
        <v>73746.900977015001</v>
      </c>
      <c r="AN115" s="82"/>
      <c r="AO115" s="231">
        <f>(VLOOKUP($AE115,func,AO$195))*$AG115</f>
        <v>46939.633322596412</v>
      </c>
      <c r="AP115" s="82"/>
      <c r="AQ115" s="231">
        <f>(VLOOKUP($AE115,func,AQ$195))*$AG115</f>
        <v>25623.010850408133</v>
      </c>
      <c r="AR115" s="82"/>
      <c r="AS115" s="231">
        <f>(VLOOKUP($AE115,func,AS$195))*$AG115</f>
        <v>10227.672398272152</v>
      </c>
      <c r="AT115" s="82"/>
      <c r="AU115" s="231">
        <f>(VLOOKUP($AE115,func,AU$195))*$AG115</f>
        <v>0</v>
      </c>
      <c r="AW115" s="68">
        <f>(VLOOKUP($AE115,func,AW$195))*$AG115</f>
        <v>11035.120219188377</v>
      </c>
      <c r="AY115" s="68">
        <f>(VLOOKUP($AE115,func,AY$195))*$AG115</f>
        <v>59266.670055250746</v>
      </c>
      <c r="BA115" s="95">
        <f t="shared" si="110"/>
        <v>0</v>
      </c>
      <c r="BB115" s="80"/>
      <c r="BC115" s="80"/>
      <c r="BD115" s="80"/>
    </row>
    <row r="116" spans="1:56" x14ac:dyDescent="0.2">
      <c r="A116" s="160"/>
      <c r="B116" s="665"/>
      <c r="C116" s="682"/>
      <c r="F116" s="234"/>
      <c r="G116" s="163"/>
      <c r="H116" s="164"/>
      <c r="I116" s="109"/>
      <c r="J116" s="268"/>
      <c r="K116" s="98"/>
      <c r="L116" s="100"/>
      <c r="M116" s="98"/>
      <c r="N116" s="100"/>
      <c r="O116" s="98"/>
      <c r="P116" s="100"/>
      <c r="Q116" s="98"/>
      <c r="R116" s="100"/>
      <c r="S116" s="98"/>
      <c r="T116" s="100"/>
      <c r="U116" s="98"/>
      <c r="V116" s="100"/>
      <c r="W116" s="98"/>
      <c r="X116" s="100"/>
      <c r="Z116" s="95">
        <f t="shared" si="108"/>
        <v>0</v>
      </c>
      <c r="AC116" s="234"/>
      <c r="AE116" s="103"/>
      <c r="AG116" s="191"/>
      <c r="AH116" s="98"/>
      <c r="AI116" s="100"/>
      <c r="AJ116" s="98"/>
      <c r="AK116" s="100"/>
      <c r="AL116" s="98"/>
      <c r="AM116" s="100"/>
      <c r="AN116" s="98"/>
      <c r="AO116" s="100"/>
      <c r="AP116" s="98"/>
      <c r="AQ116" s="100"/>
      <c r="AR116" s="98"/>
      <c r="AS116" s="100"/>
      <c r="AT116" s="98"/>
      <c r="AU116" s="100"/>
      <c r="AV116" s="82"/>
      <c r="AW116" s="81"/>
      <c r="AX116" s="82"/>
      <c r="AY116" s="81"/>
      <c r="BA116" s="95">
        <f t="shared" si="110"/>
        <v>0</v>
      </c>
      <c r="BB116" s="80"/>
      <c r="BC116" s="80"/>
      <c r="BD116" s="80"/>
    </row>
    <row r="117" spans="1:56" ht="12" customHeight="1" x14ac:dyDescent="0.2">
      <c r="A117" s="160"/>
      <c r="B117" s="665"/>
      <c r="C117" s="682"/>
      <c r="F117" s="234" t="s">
        <v>254</v>
      </c>
      <c r="G117" s="163"/>
      <c r="H117" s="164"/>
      <c r="I117" s="109"/>
      <c r="J117" s="191">
        <f>J67+J97+J110+J112+J115+J100</f>
        <v>3332126.2667117738</v>
      </c>
      <c r="K117" s="109"/>
      <c r="L117" s="191">
        <f t="shared" ref="L117" ca="1" si="117">L67+L97+L110+L112+L115+L100</f>
        <v>1946125.5089555003</v>
      </c>
      <c r="M117" s="109"/>
      <c r="N117" s="191">
        <f t="shared" ref="N117" ca="1" si="118">N67+N97+N110+N112+N115+N100</f>
        <v>776449.15029531915</v>
      </c>
      <c r="O117" s="109"/>
      <c r="P117" s="191">
        <f t="shared" ref="P117" ca="1" si="119">P67+P97+P110+P112+P115+P100</f>
        <v>232641.48007192794</v>
      </c>
      <c r="Q117" s="109"/>
      <c r="R117" s="191">
        <f t="shared" ref="R117" ca="1" si="120">R67+R97+R110+R112+R115+R100</f>
        <v>0</v>
      </c>
      <c r="S117" s="109"/>
      <c r="T117" s="191">
        <f t="shared" ref="T117" ca="1" si="121">T67+T97+T110+T112+T115+T100</f>
        <v>0</v>
      </c>
      <c r="U117" s="109"/>
      <c r="V117" s="191">
        <f t="shared" ref="V117" ca="1" si="122">V67+V97+V110+V112+V115+V100</f>
        <v>79528.344891221699</v>
      </c>
      <c r="W117" s="109"/>
      <c r="X117" s="191">
        <f t="shared" ref="X117" ca="1" si="123">X67+X97+X110+X112+X115+X100</f>
        <v>297381.78249780479</v>
      </c>
      <c r="Y117" s="80"/>
      <c r="Z117" s="95">
        <f t="shared" ca="1" si="108"/>
        <v>0</v>
      </c>
      <c r="AC117" s="234" t="s">
        <v>254</v>
      </c>
      <c r="AG117" s="191">
        <f>AG67+AG97+AG110+AG112+AG115+AG100</f>
        <v>3332126.2667117738</v>
      </c>
      <c r="AH117" s="371"/>
      <c r="AI117" s="191">
        <f t="shared" ref="AI117" ca="1" si="124">AI67+AI97+AI110+AI112+AI115+AI100</f>
        <v>1271110.9542332569</v>
      </c>
      <c r="AJ117" s="371"/>
      <c r="AK117" s="191">
        <f t="shared" ref="AK117" ca="1" si="125">AK67+AK97+AK110+AK112+AK115+AK100</f>
        <v>697055.3380906604</v>
      </c>
      <c r="AL117" s="371"/>
      <c r="AM117" s="191">
        <f t="shared" ref="AM117" ca="1" si="126">AM67+AM97+AM110+AM112+AM115+AM100</f>
        <v>528062.265646538</v>
      </c>
      <c r="AN117" s="371"/>
      <c r="AO117" s="191">
        <f t="shared" ref="AO117" ca="1" si="127">AO67+AO97+AO110+AO112+AO115+AO100</f>
        <v>131464.6710833968</v>
      </c>
      <c r="AP117" s="371"/>
      <c r="AQ117" s="191">
        <f t="shared" ref="AQ117" ca="1" si="128">AQ67+AQ97+AQ110+AQ112+AQ115+AQ100</f>
        <v>68104.808582603626</v>
      </c>
      <c r="AR117" s="371"/>
      <c r="AS117" s="191">
        <f t="shared" ref="AS117" ca="1" si="129">AS67+AS97+AS110+AS112+AS115+AS100</f>
        <v>260076.30596212973</v>
      </c>
      <c r="AT117" s="371"/>
      <c r="AU117" s="191">
        <f t="shared" ref="AU117" ca="1" si="130">AU67+AU97+AU110+AU112+AU115+AU100</f>
        <v>0</v>
      </c>
      <c r="AV117" s="371"/>
      <c r="AW117" s="191">
        <f t="shared" ref="AW117" ca="1" si="131">AW67+AW97+AW110+AW112+AW115+AW100</f>
        <v>79430.291069141706</v>
      </c>
      <c r="AX117" s="371"/>
      <c r="AY117" s="191">
        <f t="shared" ref="AY117" ca="1" si="132">AY67+AY97+AY110+AY112+AY115+AY100</f>
        <v>296821.63204404671</v>
      </c>
      <c r="BA117" s="95">
        <f t="shared" ref="BA117:BA122" ca="1" si="133">SUM(AI117:AY117)-AG117</f>
        <v>0</v>
      </c>
      <c r="BB117" s="80"/>
      <c r="BC117" s="80"/>
      <c r="BD117" s="80"/>
    </row>
    <row r="118" spans="1:56" s="371" customFormat="1" ht="12" customHeight="1" x14ac:dyDescent="0.2">
      <c r="A118" s="160"/>
      <c r="B118" s="665"/>
      <c r="C118" s="682"/>
      <c r="D118" s="300"/>
      <c r="E118" s="105"/>
      <c r="F118" s="234"/>
      <c r="G118" s="163"/>
      <c r="H118" s="164"/>
      <c r="I118" s="109"/>
      <c r="J118" s="191"/>
      <c r="K118" s="109"/>
      <c r="L118" s="191"/>
      <c r="M118" s="109"/>
      <c r="N118" s="191"/>
      <c r="O118" s="109"/>
      <c r="P118" s="191"/>
      <c r="Q118" s="109"/>
      <c r="R118" s="191"/>
      <c r="S118" s="109"/>
      <c r="T118" s="191"/>
      <c r="U118" s="109"/>
      <c r="V118" s="191"/>
      <c r="W118" s="109"/>
      <c r="X118" s="191"/>
      <c r="Y118" s="80"/>
      <c r="Z118" s="95">
        <f t="shared" si="108"/>
        <v>0</v>
      </c>
      <c r="AC118" s="234"/>
      <c r="AG118" s="191"/>
      <c r="AI118" s="191"/>
      <c r="AK118" s="191"/>
      <c r="AM118" s="191"/>
      <c r="AO118" s="191"/>
      <c r="AQ118" s="191"/>
      <c r="AS118" s="191"/>
      <c r="AU118" s="191"/>
      <c r="AW118" s="191"/>
      <c r="AY118" s="191"/>
      <c r="BA118" s="95">
        <f t="shared" si="133"/>
        <v>0</v>
      </c>
      <c r="BB118" s="80"/>
      <c r="BC118" s="80"/>
      <c r="BD118" s="80"/>
    </row>
    <row r="119" spans="1:56" s="371" customFormat="1" ht="12" customHeight="1" x14ac:dyDescent="0.2">
      <c r="A119" s="160"/>
      <c r="B119" s="665"/>
      <c r="C119" s="682"/>
      <c r="D119" s="300"/>
      <c r="E119" s="105"/>
      <c r="F119" s="234" t="s">
        <v>379</v>
      </c>
      <c r="G119" s="163"/>
      <c r="H119" s="164"/>
      <c r="I119" s="109"/>
      <c r="J119" s="191"/>
      <c r="K119" s="109"/>
      <c r="L119" s="191">
        <f ca="1">-X119</f>
        <v>259800.95668180479</v>
      </c>
      <c r="M119" s="109"/>
      <c r="N119" s="191"/>
      <c r="O119" s="109"/>
      <c r="P119" s="191"/>
      <c r="Q119" s="109"/>
      <c r="R119" s="191"/>
      <c r="S119" s="109"/>
      <c r="T119" s="191"/>
      <c r="U119" s="109"/>
      <c r="V119" s="191"/>
      <c r="W119" s="109"/>
      <c r="X119" s="191">
        <f ca="1">+-X117+'SCH-A'!L30-X123</f>
        <v>-259800.95668180479</v>
      </c>
      <c r="Y119" s="80"/>
      <c r="Z119" s="95">
        <f t="shared" ca="1" si="108"/>
        <v>0</v>
      </c>
      <c r="AC119" s="234" t="s">
        <v>379</v>
      </c>
      <c r="AG119" s="191"/>
      <c r="AI119" s="191"/>
      <c r="AK119" s="191"/>
      <c r="AM119" s="191"/>
      <c r="AO119" s="191">
        <f ca="1">+-AY119</f>
        <v>259800.95668180479</v>
      </c>
      <c r="AQ119" s="191"/>
      <c r="AS119" s="191"/>
      <c r="AU119" s="191"/>
      <c r="AW119" s="191"/>
      <c r="AY119" s="191">
        <f ca="1">+X119</f>
        <v>-259800.95668180479</v>
      </c>
      <c r="BA119" s="95">
        <f t="shared" ca="1" si="133"/>
        <v>0</v>
      </c>
      <c r="BB119" s="80"/>
      <c r="BC119" s="80"/>
      <c r="BD119" s="80"/>
    </row>
    <row r="120" spans="1:56" s="371" customFormat="1" ht="12" customHeight="1" x14ac:dyDescent="0.2">
      <c r="A120" s="160"/>
      <c r="B120" s="665"/>
      <c r="C120" s="682"/>
      <c r="D120" s="300"/>
      <c r="E120" s="105"/>
      <c r="F120" s="234"/>
      <c r="G120" s="163"/>
      <c r="H120" s="164"/>
      <c r="I120" s="109"/>
      <c r="J120" s="191"/>
      <c r="K120" s="109"/>
      <c r="L120" s="191"/>
      <c r="M120" s="109"/>
      <c r="N120" s="191"/>
      <c r="O120" s="109"/>
      <c r="P120" s="191"/>
      <c r="Q120" s="109"/>
      <c r="R120" s="191"/>
      <c r="S120" s="109"/>
      <c r="T120" s="191"/>
      <c r="U120" s="109"/>
      <c r="V120" s="191"/>
      <c r="W120" s="109"/>
      <c r="X120" s="191"/>
      <c r="Y120" s="80"/>
      <c r="Z120" s="95">
        <f t="shared" si="108"/>
        <v>0</v>
      </c>
      <c r="AC120" s="234"/>
      <c r="AG120" s="191"/>
      <c r="AI120" s="191"/>
      <c r="AK120" s="191"/>
      <c r="AM120" s="191"/>
      <c r="AO120" s="191"/>
      <c r="AQ120" s="191"/>
      <c r="AS120" s="191"/>
      <c r="AU120" s="191"/>
      <c r="AW120" s="191"/>
      <c r="AY120" s="191"/>
      <c r="BA120" s="95">
        <f t="shared" si="133"/>
        <v>0</v>
      </c>
      <c r="BB120" s="80"/>
      <c r="BC120" s="80"/>
      <c r="BD120" s="80"/>
    </row>
    <row r="121" spans="1:56" s="371" customFormat="1" ht="12" customHeight="1" x14ac:dyDescent="0.2">
      <c r="A121" s="160"/>
      <c r="B121" s="665"/>
      <c r="C121" s="682"/>
      <c r="D121" s="300"/>
      <c r="E121" s="105"/>
      <c r="F121" s="234" t="s">
        <v>534</v>
      </c>
      <c r="G121" s="163"/>
      <c r="H121" s="164"/>
      <c r="I121" s="109"/>
      <c r="J121" s="534">
        <f>+J117+J119</f>
        <v>3332126.2667117738</v>
      </c>
      <c r="K121" s="109"/>
      <c r="L121" s="534">
        <f t="shared" ref="L121" ca="1" si="134">+L117+L119</f>
        <v>2205926.4656373053</v>
      </c>
      <c r="M121" s="109"/>
      <c r="N121" s="652">
        <f t="shared" ref="N121" ca="1" si="135">+N117+N119</f>
        <v>776449.15029531915</v>
      </c>
      <c r="O121" s="109"/>
      <c r="P121" s="191">
        <f t="shared" ref="P121" ca="1" si="136">+P117+P119</f>
        <v>232641.48007192794</v>
      </c>
      <c r="Q121" s="109"/>
      <c r="R121" s="191">
        <f t="shared" ref="R121" ca="1" si="137">+R117+R119</f>
        <v>0</v>
      </c>
      <c r="S121" s="109"/>
      <c r="T121" s="191">
        <f t="shared" ref="T121" ca="1" si="138">+T117+T119</f>
        <v>0</v>
      </c>
      <c r="U121" s="109"/>
      <c r="V121" s="534">
        <f t="shared" ref="V121" ca="1" si="139">+V117+V119</f>
        <v>79528.344891221699</v>
      </c>
      <c r="W121" s="109"/>
      <c r="X121" s="534">
        <f t="shared" ref="X121" ca="1" si="140">+X117+X119</f>
        <v>37580.825815999997</v>
      </c>
      <c r="Y121" s="80"/>
      <c r="Z121" s="95">
        <f t="shared" ca="1" si="108"/>
        <v>0</v>
      </c>
      <c r="AC121" s="234" t="s">
        <v>534</v>
      </c>
      <c r="AG121" s="191">
        <f>+AG117+AG119</f>
        <v>3332126.2667117738</v>
      </c>
      <c r="AI121" s="191">
        <f t="shared" ref="AI121" ca="1" si="141">+AI117+AI119</f>
        <v>1271110.9542332569</v>
      </c>
      <c r="AK121" s="191">
        <f t="shared" ref="AK121" ca="1" si="142">+AK117+AK119</f>
        <v>697055.3380906604</v>
      </c>
      <c r="AM121" s="191">
        <f t="shared" ref="AM121" ca="1" si="143">+AM117+AM119</f>
        <v>528062.265646538</v>
      </c>
      <c r="AO121" s="191">
        <f t="shared" ref="AO121" ca="1" si="144">+AO117+AO119</f>
        <v>391265.62776520161</v>
      </c>
      <c r="AQ121" s="191">
        <f t="shared" ref="AQ121" ca="1" si="145">+AQ117+AQ119</f>
        <v>68104.808582603626</v>
      </c>
      <c r="AS121" s="191">
        <f t="shared" ref="AS121" ca="1" si="146">+AS117+AS119</f>
        <v>260076.30596212973</v>
      </c>
      <c r="AU121" s="191">
        <f t="shared" ref="AU121" ca="1" si="147">+AU117+AU119</f>
        <v>0</v>
      </c>
      <c r="AW121" s="191">
        <f t="shared" ref="AW121" ca="1" si="148">+AW117+AW119</f>
        <v>79430.291069141706</v>
      </c>
      <c r="AY121" s="191">
        <f t="shared" ref="AY121" ca="1" si="149">+AY117+AY119</f>
        <v>37020.67536224192</v>
      </c>
      <c r="BA121" s="95">
        <f t="shared" ca="1" si="133"/>
        <v>0</v>
      </c>
      <c r="BB121" s="80"/>
      <c r="BC121" s="80"/>
      <c r="BD121" s="80"/>
    </row>
    <row r="122" spans="1:56" ht="12" customHeight="1" x14ac:dyDescent="0.2">
      <c r="A122" s="160"/>
      <c r="B122" s="665"/>
      <c r="C122" s="674"/>
      <c r="F122" s="109"/>
      <c r="G122" s="163"/>
      <c r="H122" s="164"/>
      <c r="I122" s="109"/>
      <c r="J122" s="268"/>
      <c r="K122" s="82"/>
      <c r="L122" s="81"/>
      <c r="M122" s="82"/>
      <c r="N122" s="99"/>
      <c r="O122" s="82"/>
      <c r="P122" s="99"/>
      <c r="Q122" s="82"/>
      <c r="R122" s="99"/>
      <c r="S122" s="82"/>
      <c r="T122" s="99"/>
      <c r="U122" s="82"/>
      <c r="V122" s="99"/>
      <c r="W122" s="82"/>
      <c r="X122" s="99"/>
      <c r="Y122" s="80"/>
      <c r="Z122" s="95">
        <f t="shared" si="108"/>
        <v>0</v>
      </c>
      <c r="AC122" s="109"/>
      <c r="AG122" s="191"/>
      <c r="AH122" s="82"/>
      <c r="AI122" s="81"/>
      <c r="AJ122" s="82"/>
      <c r="AK122" s="99"/>
      <c r="AL122" s="82"/>
      <c r="AM122" s="99"/>
      <c r="AN122" s="82"/>
      <c r="AO122" s="99"/>
      <c r="AP122" s="82"/>
      <c r="AQ122" s="99"/>
      <c r="AR122" s="82"/>
      <c r="AS122" s="99"/>
      <c r="AT122" s="82"/>
      <c r="AU122" s="99"/>
      <c r="AV122" s="82"/>
      <c r="AW122" s="82"/>
      <c r="AX122" s="82"/>
      <c r="AY122" s="82"/>
      <c r="BA122" s="95">
        <f t="shared" si="133"/>
        <v>0</v>
      </c>
      <c r="BB122" s="80"/>
      <c r="BC122" s="80"/>
      <c r="BD122" s="80"/>
    </row>
    <row r="123" spans="1:56" s="371" customFormat="1" x14ac:dyDescent="0.2">
      <c r="A123" s="82"/>
      <c r="B123" s="668"/>
      <c r="C123" s="664"/>
      <c r="D123" s="300"/>
      <c r="E123" s="105"/>
      <c r="F123" s="109" t="s">
        <v>533</v>
      </c>
      <c r="G123" s="59"/>
      <c r="H123" s="164">
        <v>17</v>
      </c>
      <c r="I123" s="109"/>
      <c r="J123" s="191">
        <v>-62802.98</v>
      </c>
      <c r="K123" s="82"/>
      <c r="L123" s="162">
        <f ca="1">(VLOOKUP($H123,Factors,L$195))*$J123</f>
        <v>-36683.220617999999</v>
      </c>
      <c r="M123" s="105"/>
      <c r="N123" s="162">
        <f ca="1">(VLOOKUP($H123,Factors,N$195))*$J123</f>
        <v>-14633.094340000001</v>
      </c>
      <c r="O123" s="105"/>
      <c r="P123" s="162">
        <f ca="1">(VLOOKUP($H123,Factors,P$195))*$J123</f>
        <v>-4383.6480040000006</v>
      </c>
      <c r="Q123" s="105"/>
      <c r="R123" s="162">
        <f ca="1">(VLOOKUP($H123,Factors,R$195))*$J123</f>
        <v>0</v>
      </c>
      <c r="S123" s="105"/>
      <c r="T123" s="162">
        <f ca="1">(VLOOKUP($H123,Factors,T$195))*$J123</f>
        <v>0</v>
      </c>
      <c r="U123" s="105"/>
      <c r="V123" s="162">
        <f ca="1">(VLOOKUP($H123,Factors,V$195))*$J123</f>
        <v>-1500.9912220000001</v>
      </c>
      <c r="W123" s="105"/>
      <c r="X123" s="162">
        <f ca="1">(VLOOKUP($H123,Factors,X$195))*$J123</f>
        <v>-5602.0258160000003</v>
      </c>
      <c r="Y123" s="105"/>
      <c r="Z123" s="95">
        <f t="shared" ca="1" si="108"/>
        <v>0</v>
      </c>
      <c r="AC123" s="109" t="s">
        <v>371</v>
      </c>
      <c r="AE123" s="140">
        <f t="shared" ref="AE123" si="150">+H123</f>
        <v>17</v>
      </c>
      <c r="AG123" s="191">
        <f t="shared" ref="AG123" si="151">+J123</f>
        <v>-62802.98</v>
      </c>
      <c r="AH123" s="82"/>
      <c r="AI123" s="162">
        <f ca="1">(VLOOKUP($AE123,func,AI$195))*$AG123</f>
        <v>-23953.056572000001</v>
      </c>
      <c r="AJ123" s="105"/>
      <c r="AK123" s="162">
        <f ca="1">(VLOOKUP($AE123,func,AK$195))*$AG123</f>
        <v>-13138.383416000001</v>
      </c>
      <c r="AL123" s="105"/>
      <c r="AM123" s="162">
        <f ca="1">(VLOOKUP($AE123,func,AM$195))*$AG123</f>
        <v>-9954.2723299999998</v>
      </c>
      <c r="AN123" s="105"/>
      <c r="AO123" s="162">
        <f ca="1">(VLOOKUP($AE123,func,AO$195))*$AG123</f>
        <v>-2480.7177100000004</v>
      </c>
      <c r="AP123" s="105"/>
      <c r="AQ123" s="162">
        <f ca="1">(VLOOKUP($AE123,func,AQ$195))*$AG123</f>
        <v>-1281.1807920000001</v>
      </c>
      <c r="AR123" s="105"/>
      <c r="AS123" s="162">
        <f ca="1">(VLOOKUP($AE123,func,AS$195))*$AG123</f>
        <v>-4904.912738</v>
      </c>
      <c r="AT123" s="105"/>
      <c r="AU123" s="162">
        <f ca="1">(VLOOKUP($AE123,func,AU$195))*$AG123</f>
        <v>0</v>
      </c>
      <c r="AV123" s="165"/>
      <c r="AW123" s="165">
        <f ca="1">(VLOOKUP($AE123,func,AW$195))*$AG123</f>
        <v>-1494.7109240000002</v>
      </c>
      <c r="AX123" s="165"/>
      <c r="AY123" s="165">
        <f ca="1">(VLOOKUP($AE123,func,AY$195))*$AG123</f>
        <v>-5595.7455180000006</v>
      </c>
      <c r="BA123" s="95">
        <f t="shared" ref="BA123:BA167" ca="1" si="152">SUM(AI123:AY123)-AG123</f>
        <v>0</v>
      </c>
      <c r="BB123" s="80"/>
      <c r="BC123" s="80"/>
      <c r="BD123" s="80"/>
    </row>
    <row r="124" spans="1:56" s="371" customFormat="1" x14ac:dyDescent="0.2">
      <c r="A124" s="82"/>
      <c r="B124" s="668"/>
      <c r="C124" s="664"/>
      <c r="D124" s="300"/>
      <c r="E124" s="105"/>
      <c r="F124" s="109"/>
      <c r="G124" s="59"/>
      <c r="H124" s="164"/>
      <c r="I124" s="109"/>
      <c r="J124" s="191"/>
      <c r="K124" s="624"/>
      <c r="L124" s="624"/>
      <c r="M124" s="624"/>
      <c r="N124" s="624"/>
      <c r="O124" s="624"/>
      <c r="P124" s="624"/>
      <c r="Q124" s="624"/>
      <c r="R124" s="624"/>
      <c r="S124" s="624"/>
      <c r="T124" s="624"/>
      <c r="U124" s="624"/>
      <c r="V124" s="624"/>
      <c r="W124" s="624"/>
      <c r="X124" s="624"/>
      <c r="Z124" s="95">
        <f t="shared" si="108"/>
        <v>0</v>
      </c>
      <c r="AC124" s="109"/>
      <c r="AE124" s="103"/>
      <c r="AG124" s="191"/>
      <c r="AH124" s="624"/>
      <c r="AI124" s="624"/>
      <c r="AJ124" s="624"/>
      <c r="AK124" s="624"/>
      <c r="AL124" s="624"/>
      <c r="AM124" s="624"/>
      <c r="AN124" s="624"/>
      <c r="AO124" s="624"/>
      <c r="AP124" s="624"/>
      <c r="AQ124" s="624"/>
      <c r="AR124" s="624"/>
      <c r="AS124" s="624"/>
      <c r="AT124" s="624"/>
      <c r="AU124" s="624"/>
      <c r="AV124" s="82"/>
      <c r="AW124" s="82"/>
      <c r="AX124" s="82"/>
      <c r="AY124" s="82"/>
      <c r="BA124" s="95">
        <f t="shared" si="152"/>
        <v>0</v>
      </c>
      <c r="BB124" s="80"/>
      <c r="BC124" s="80"/>
      <c r="BD124" s="80"/>
    </row>
    <row r="125" spans="1:56" s="371" customFormat="1" x14ac:dyDescent="0.2">
      <c r="A125" s="82"/>
      <c r="B125" s="668"/>
      <c r="C125" s="670"/>
      <c r="D125" s="300"/>
      <c r="E125" s="105"/>
      <c r="F125" s="234" t="s">
        <v>253</v>
      </c>
      <c r="G125" s="59"/>
      <c r="H125" s="164"/>
      <c r="I125" s="109"/>
      <c r="J125" s="191"/>
      <c r="K125" s="109"/>
      <c r="L125" s="191"/>
      <c r="M125" s="109"/>
      <c r="N125" s="191"/>
      <c r="O125" s="109"/>
      <c r="P125" s="191"/>
      <c r="Q125" s="109"/>
      <c r="R125" s="191"/>
      <c r="S125" s="109"/>
      <c r="T125" s="191"/>
      <c r="U125" s="109"/>
      <c r="V125" s="191"/>
      <c r="W125" s="109"/>
      <c r="X125" s="191"/>
      <c r="Z125" s="95">
        <f t="shared" ref="Z125:Z159" si="153">SUM(L125:X125)-J125</f>
        <v>0</v>
      </c>
      <c r="AC125" s="234" t="s">
        <v>253</v>
      </c>
      <c r="AE125" s="103"/>
      <c r="AG125" s="191"/>
      <c r="AH125" s="109"/>
      <c r="AI125" s="191"/>
      <c r="AJ125" s="109"/>
      <c r="AK125" s="191"/>
      <c r="AL125" s="109"/>
      <c r="AM125" s="191"/>
      <c r="AN125" s="109"/>
      <c r="AO125" s="191"/>
      <c r="AP125" s="109"/>
      <c r="AQ125" s="191"/>
      <c r="AR125" s="109"/>
      <c r="AS125" s="191"/>
      <c r="AT125" s="109"/>
      <c r="AU125" s="191"/>
      <c r="AV125" s="82"/>
      <c r="AW125" s="82"/>
      <c r="AX125" s="82"/>
      <c r="AY125" s="82"/>
      <c r="BA125" s="95">
        <f t="shared" si="152"/>
        <v>0</v>
      </c>
      <c r="BB125" s="80"/>
      <c r="BC125" s="80"/>
      <c r="BD125" s="80"/>
    </row>
    <row r="126" spans="1:56" s="371" customFormat="1" ht="13.5" thickBot="1" x14ac:dyDescent="0.25">
      <c r="A126" s="82"/>
      <c r="B126" s="666"/>
      <c r="C126" s="664"/>
      <c r="D126" s="300"/>
      <c r="E126" s="105"/>
      <c r="F126" s="234" t="s">
        <v>252</v>
      </c>
      <c r="G126" s="59"/>
      <c r="H126" s="164"/>
      <c r="I126" s="109"/>
      <c r="J126" s="235">
        <f>+J117+J123+J119</f>
        <v>3269323.2867117738</v>
      </c>
      <c r="K126" s="109"/>
      <c r="L126" s="235">
        <f t="shared" ref="L126:N126" ca="1" si="154">+L117+L123+L119</f>
        <v>2169243.245019305</v>
      </c>
      <c r="M126" s="109"/>
      <c r="N126" s="235">
        <f t="shared" ca="1" si="154"/>
        <v>761816.0559553192</v>
      </c>
      <c r="O126" s="109"/>
      <c r="P126" s="235">
        <f t="shared" ref="P126" ca="1" si="155">+P117+P123+P119</f>
        <v>228257.83206792796</v>
      </c>
      <c r="Q126" s="109"/>
      <c r="R126" s="235">
        <f t="shared" ref="R126" ca="1" si="156">+R117+R123+R119</f>
        <v>0</v>
      </c>
      <c r="S126" s="109"/>
      <c r="T126" s="235">
        <f t="shared" ref="T126" ca="1" si="157">+T117+T123+T119</f>
        <v>0</v>
      </c>
      <c r="U126" s="109"/>
      <c r="V126" s="235">
        <f t="shared" ref="V126" ca="1" si="158">+V117+V123+V119</f>
        <v>78027.353669221702</v>
      </c>
      <c r="W126" s="109"/>
      <c r="X126" s="235">
        <f t="shared" ref="X126" ca="1" si="159">+X117+X123+X119</f>
        <v>31978.799999999988</v>
      </c>
      <c r="Z126" s="95">
        <f t="shared" ca="1" si="153"/>
        <v>0</v>
      </c>
      <c r="AC126" s="234" t="s">
        <v>252</v>
      </c>
      <c r="AE126" s="103"/>
      <c r="AG126" s="235">
        <f>+AG121+AG123</f>
        <v>3269323.2867117738</v>
      </c>
      <c r="AI126" s="235">
        <f t="shared" ref="AI126" ca="1" si="160">+AI121+AI123</f>
        <v>1247157.8976612568</v>
      </c>
      <c r="AK126" s="235">
        <f t="shared" ref="AK126" ca="1" si="161">+AK121+AK123</f>
        <v>683916.95467466034</v>
      </c>
      <c r="AM126" s="235">
        <f t="shared" ref="AM126" ca="1" si="162">+AM121+AM123</f>
        <v>518107.99331653799</v>
      </c>
      <c r="AO126" s="235">
        <f t="shared" ref="AO126" ca="1" si="163">+AO121+AO123</f>
        <v>388784.91005520162</v>
      </c>
      <c r="AQ126" s="235">
        <f t="shared" ref="AQ126" ca="1" si="164">+AQ121+AQ123</f>
        <v>66823.627790603627</v>
      </c>
      <c r="AS126" s="235">
        <f t="shared" ref="AS126" ca="1" si="165">+AS121+AS123</f>
        <v>255171.39322412972</v>
      </c>
      <c r="AU126" s="235">
        <f t="shared" ref="AU126" ca="1" si="166">+AU121+AU123</f>
        <v>0</v>
      </c>
      <c r="AW126" s="235">
        <f t="shared" ref="AW126" ca="1" si="167">+AW121+AW123</f>
        <v>77935.580145141706</v>
      </c>
      <c r="AY126" s="235">
        <f t="shared" ref="AY126" ca="1" si="168">+AY121+AY123</f>
        <v>31424.92984424192</v>
      </c>
      <c r="BA126" s="95">
        <f t="shared" ca="1" si="152"/>
        <v>0</v>
      </c>
      <c r="BB126" s="80"/>
      <c r="BC126" s="80"/>
      <c r="BD126" s="80"/>
    </row>
    <row r="127" spans="1:56" s="371" customFormat="1" ht="13.5" thickTop="1" x14ac:dyDescent="0.2">
      <c r="A127" s="82"/>
      <c r="B127" s="666"/>
      <c r="C127" s="664"/>
      <c r="D127" s="300"/>
      <c r="E127" s="105"/>
      <c r="F127" s="109"/>
      <c r="G127" s="59"/>
      <c r="H127" s="164"/>
      <c r="I127" s="109"/>
      <c r="J127" s="624"/>
      <c r="K127" s="624"/>
      <c r="L127" s="624"/>
      <c r="M127" s="624"/>
      <c r="N127" s="624"/>
      <c r="O127" s="624"/>
      <c r="P127" s="624"/>
      <c r="Q127" s="624"/>
      <c r="R127" s="624"/>
      <c r="S127" s="624"/>
      <c r="T127" s="624"/>
      <c r="U127" s="624"/>
      <c r="V127" s="624"/>
      <c r="W127" s="624"/>
      <c r="X127" s="624"/>
      <c r="Z127" s="95">
        <f t="shared" si="153"/>
        <v>0</v>
      </c>
      <c r="AC127" s="109"/>
      <c r="AE127" s="103"/>
      <c r="AG127" s="82"/>
      <c r="AH127" s="82"/>
      <c r="AI127" s="225"/>
      <c r="AJ127" s="82"/>
      <c r="AK127" s="82"/>
      <c r="AL127" s="82"/>
      <c r="AM127" s="82"/>
      <c r="AN127" s="82"/>
      <c r="AO127" s="82"/>
      <c r="AP127" s="82"/>
      <c r="AQ127" s="82"/>
      <c r="AR127" s="82"/>
      <c r="AS127" s="625"/>
      <c r="AT127" s="82"/>
      <c r="AU127" s="625"/>
      <c r="AV127" s="82"/>
      <c r="AW127" s="82"/>
      <c r="AX127" s="82"/>
      <c r="AY127" s="82"/>
      <c r="BA127" s="95">
        <f t="shared" si="152"/>
        <v>0</v>
      </c>
    </row>
    <row r="128" spans="1:56" x14ac:dyDescent="0.2">
      <c r="A128" s="160"/>
      <c r="B128" s="665"/>
      <c r="C128" s="674"/>
      <c r="F128" s="236" t="s">
        <v>40</v>
      </c>
      <c r="G128" s="166"/>
      <c r="H128" s="73"/>
      <c r="I128"/>
      <c r="J128" s="531"/>
      <c r="K128" s="100"/>
      <c r="L128" s="100"/>
      <c r="M128" s="100"/>
      <c r="N128" s="100"/>
      <c r="O128" s="100"/>
      <c r="P128" s="100"/>
      <c r="Q128" s="100"/>
      <c r="R128" s="100"/>
      <c r="S128" s="100"/>
      <c r="T128" s="100"/>
      <c r="U128" s="100"/>
      <c r="V128" s="100"/>
      <c r="W128" s="100"/>
      <c r="X128" s="100"/>
      <c r="Z128" s="95">
        <f t="shared" si="153"/>
        <v>0</v>
      </c>
      <c r="AC128" s="236" t="s">
        <v>40</v>
      </c>
      <c r="AE128" s="103"/>
      <c r="AG128" s="82"/>
      <c r="AH128" s="82"/>
      <c r="AI128" s="82"/>
      <c r="AJ128" s="82"/>
      <c r="AK128" s="82"/>
      <c r="AL128" s="82"/>
      <c r="AM128" s="82"/>
      <c r="AN128" s="82"/>
      <c r="AO128" s="82"/>
      <c r="AP128" s="82"/>
      <c r="AQ128" s="82"/>
      <c r="AR128" s="82"/>
      <c r="AS128" s="239"/>
      <c r="AT128" s="82"/>
      <c r="AU128" s="239"/>
      <c r="AV128" s="82"/>
      <c r="AW128" s="82"/>
      <c r="AX128" s="82"/>
      <c r="AY128" s="82"/>
      <c r="BA128" s="95">
        <f t="shared" si="152"/>
        <v>0</v>
      </c>
      <c r="BB128" s="80"/>
      <c r="BC128" s="80"/>
      <c r="BD128" s="80"/>
    </row>
    <row r="129" spans="1:56" x14ac:dyDescent="0.2">
      <c r="A129" s="160"/>
      <c r="B129" s="665"/>
      <c r="F129" s="109" t="s">
        <v>363</v>
      </c>
      <c r="G129" s="166"/>
      <c r="H129" s="73">
        <v>15</v>
      </c>
      <c r="I129"/>
      <c r="J129" s="191">
        <v>136460.476</v>
      </c>
      <c r="K129" s="160"/>
      <c r="L129" s="104">
        <f t="shared" ref="L129:L140" si="169">(VLOOKUP($H129,Factors,L$195))*$J129</f>
        <v>78655.818366399995</v>
      </c>
      <c r="M129" s="190"/>
      <c r="N129" s="104">
        <f t="shared" ref="N129:N140" si="170">(VLOOKUP($H129,Factors,N$195))*$J129</f>
        <v>30949.235956799999</v>
      </c>
      <c r="O129" s="190"/>
      <c r="P129" s="104">
        <f t="shared" ref="P129:P140" si="171">(VLOOKUP($H129,Factors,P$195))*$J129</f>
        <v>8938.1611780000003</v>
      </c>
      <c r="Q129" s="190"/>
      <c r="R129" s="104">
        <f t="shared" ref="R129:R140" si="172">(VLOOKUP($H129,Factors,R$195))*$J129</f>
        <v>0</v>
      </c>
      <c r="S129" s="190"/>
      <c r="T129" s="104">
        <f t="shared" ref="T129:T140" si="173">(VLOOKUP($H129,Factors,T$195))*$J129</f>
        <v>0</v>
      </c>
      <c r="U129" s="190"/>
      <c r="V129" s="104">
        <f t="shared" ref="V129:V140" si="174">(VLOOKUP($H129,Factors,V$195))*$J129</f>
        <v>2811.0858055999997</v>
      </c>
      <c r="W129" s="190"/>
      <c r="X129" s="104">
        <f t="shared" ref="X129:X140" si="175">(VLOOKUP($H129,Factors,X$195))*$J129</f>
        <v>15106.174693200001</v>
      </c>
      <c r="Y129" s="105"/>
      <c r="Z129" s="95">
        <f t="shared" si="153"/>
        <v>0</v>
      </c>
      <c r="AC129" s="109" t="s">
        <v>363</v>
      </c>
      <c r="AE129" s="140">
        <f>+H129</f>
        <v>15</v>
      </c>
      <c r="AG129" s="80">
        <f>+J129</f>
        <v>136460.476</v>
      </c>
      <c r="AI129" s="67">
        <f t="shared" ref="AI129:AI140" si="176">(VLOOKUP($AE129,func,AI$195))*$AG129</f>
        <v>44868.204508799994</v>
      </c>
      <c r="AJ129" s="67"/>
      <c r="AK129" s="67">
        <f t="shared" ref="AK129:AK140" si="177">(VLOOKUP($AE129,func,AK$195))*$AG129</f>
        <v>34087.8269048</v>
      </c>
      <c r="AL129" s="67"/>
      <c r="AM129" s="67">
        <f t="shared" ref="AM129:AM140" si="178">(VLOOKUP($AE129,func,AM$195))*$AG129</f>
        <v>18695.085212000002</v>
      </c>
      <c r="AN129" s="67"/>
      <c r="AO129" s="67">
        <f t="shared" ref="AO129:AO140" si="179">(VLOOKUP($AE129,func,AO$195))*$AG129</f>
        <v>11899.3535072</v>
      </c>
      <c r="AP129" s="67"/>
      <c r="AQ129" s="67">
        <f t="shared" ref="AQ129:AQ140" si="180">(VLOOKUP($AE129,func,AQ$195))*$AG129</f>
        <v>6495.5186576000006</v>
      </c>
      <c r="AR129" s="67"/>
      <c r="AS129" s="67">
        <f t="shared" ref="AS129:AS140" si="181">(VLOOKUP($AE129,func,AS$195))*$AG129</f>
        <v>2592.7490439999997</v>
      </c>
      <c r="AT129" s="67"/>
      <c r="AU129" s="67">
        <f t="shared" ref="AU129:AU140" si="182">(VLOOKUP($AE129,func,AU$195))*$AG129</f>
        <v>0</v>
      </c>
      <c r="AV129" s="67"/>
      <c r="AW129" s="67">
        <f t="shared" ref="AW129:AW140" si="183">(VLOOKUP($AE129,func,AW$195))*$AG129</f>
        <v>2797.439758</v>
      </c>
      <c r="AX129" s="67"/>
      <c r="AY129" s="67">
        <f t="shared" ref="AY129:AY140" si="184">(VLOOKUP($AE129,func,AY$195))*$AG129</f>
        <v>15024.298407599999</v>
      </c>
      <c r="BA129" s="95">
        <f t="shared" si="152"/>
        <v>0</v>
      </c>
      <c r="BB129" s="80"/>
      <c r="BC129" s="80"/>
      <c r="BD129" s="80"/>
    </row>
    <row r="130" spans="1:56" x14ac:dyDescent="0.2">
      <c r="A130" s="110"/>
      <c r="B130" s="185"/>
      <c r="F130" s="109" t="s">
        <v>364</v>
      </c>
      <c r="G130" s="166"/>
      <c r="H130" s="73">
        <v>2</v>
      </c>
      <c r="I130"/>
      <c r="J130" s="191">
        <v>22330.84</v>
      </c>
      <c r="K130" s="160"/>
      <c r="L130" s="104">
        <f t="shared" si="169"/>
        <v>13731.233516</v>
      </c>
      <c r="M130" s="190"/>
      <c r="N130" s="104">
        <f t="shared" si="170"/>
        <v>6417.8834159999997</v>
      </c>
      <c r="O130" s="190"/>
      <c r="P130" s="104">
        <f t="shared" si="171"/>
        <v>2119.1967159999999</v>
      </c>
      <c r="Q130" s="190"/>
      <c r="R130" s="104">
        <f t="shared" si="172"/>
        <v>0</v>
      </c>
      <c r="S130" s="190"/>
      <c r="T130" s="104">
        <f t="shared" si="173"/>
        <v>0</v>
      </c>
      <c r="U130" s="190"/>
      <c r="V130" s="104">
        <f t="shared" si="174"/>
        <v>11.165420000000001</v>
      </c>
      <c r="W130" s="190"/>
      <c r="X130" s="104">
        <f t="shared" si="175"/>
        <v>51.360931999999998</v>
      </c>
      <c r="Y130" s="105"/>
      <c r="Z130" s="95">
        <f t="shared" ref="Z130:Z153" si="185">SUM(L130:X130)-J130</f>
        <v>0</v>
      </c>
      <c r="AC130" s="109" t="s">
        <v>364</v>
      </c>
      <c r="AE130" s="140">
        <f t="shared" ref="AE130:AE153" si="186">+H130</f>
        <v>2</v>
      </c>
      <c r="AF130" s="310"/>
      <c r="AG130" s="80">
        <f t="shared" ref="AG130:AG153" si="187">+J130</f>
        <v>22330.84</v>
      </c>
      <c r="AH130" s="310"/>
      <c r="AI130" s="67">
        <f t="shared" si="176"/>
        <v>11690.194740000003</v>
      </c>
      <c r="AJ130" s="67"/>
      <c r="AK130" s="67">
        <f t="shared" si="177"/>
        <v>10578.118908</v>
      </c>
      <c r="AL130" s="67"/>
      <c r="AM130" s="67">
        <f t="shared" si="178"/>
        <v>0</v>
      </c>
      <c r="AN130" s="67"/>
      <c r="AO130" s="67">
        <f t="shared" si="179"/>
        <v>0</v>
      </c>
      <c r="AP130" s="67"/>
      <c r="AQ130" s="67">
        <f t="shared" si="180"/>
        <v>0</v>
      </c>
      <c r="AR130" s="67"/>
      <c r="AS130" s="67">
        <f t="shared" si="181"/>
        <v>0</v>
      </c>
      <c r="AT130" s="67"/>
      <c r="AU130" s="67">
        <f t="shared" si="182"/>
        <v>0</v>
      </c>
      <c r="AV130" s="67"/>
      <c r="AW130" s="67">
        <f t="shared" si="183"/>
        <v>11.165420000000001</v>
      </c>
      <c r="AX130" s="67"/>
      <c r="AY130" s="67">
        <f t="shared" si="184"/>
        <v>51.360931999999998</v>
      </c>
      <c r="AZ130" s="310"/>
      <c r="BA130" s="95">
        <f t="shared" si="152"/>
        <v>0</v>
      </c>
      <c r="BB130" s="80"/>
      <c r="BC130" s="80"/>
      <c r="BD130" s="80"/>
    </row>
    <row r="131" spans="1:56" x14ac:dyDescent="0.2">
      <c r="A131" s="110"/>
      <c r="B131" s="185"/>
      <c r="F131" s="109" t="s">
        <v>329</v>
      </c>
      <c r="G131" s="166"/>
      <c r="H131" s="73">
        <v>2</v>
      </c>
      <c r="I131"/>
      <c r="J131" s="191">
        <v>81743.762499999983</v>
      </c>
      <c r="K131" s="160"/>
      <c r="L131" s="104">
        <f t="shared" si="169"/>
        <v>50264.239561249989</v>
      </c>
      <c r="M131" s="190"/>
      <c r="N131" s="104">
        <f t="shared" si="170"/>
        <v>23493.157342499995</v>
      </c>
      <c r="O131" s="190"/>
      <c r="P131" s="104">
        <f t="shared" si="171"/>
        <v>7757.4830612499982</v>
      </c>
      <c r="Q131" s="190"/>
      <c r="R131" s="104">
        <f t="shared" si="172"/>
        <v>0</v>
      </c>
      <c r="S131" s="190"/>
      <c r="T131" s="104">
        <f t="shared" si="173"/>
        <v>0</v>
      </c>
      <c r="U131" s="190"/>
      <c r="V131" s="104">
        <f t="shared" si="174"/>
        <v>40.871881249999994</v>
      </c>
      <c r="W131" s="190"/>
      <c r="X131" s="104">
        <f t="shared" si="175"/>
        <v>188.01065374999996</v>
      </c>
      <c r="Y131" s="105"/>
      <c r="Z131" s="95">
        <f t="shared" si="185"/>
        <v>0</v>
      </c>
      <c r="AC131" s="109" t="s">
        <v>329</v>
      </c>
      <c r="AE131" s="140">
        <f t="shared" si="186"/>
        <v>2</v>
      </c>
      <c r="AF131" s="310"/>
      <c r="AG131" s="80">
        <f t="shared" si="187"/>
        <v>81743.762499999983</v>
      </c>
      <c r="AH131" s="310"/>
      <c r="AI131" s="67">
        <f t="shared" si="176"/>
        <v>42792.859668749996</v>
      </c>
      <c r="AJ131" s="67"/>
      <c r="AK131" s="67">
        <f t="shared" si="177"/>
        <v>38722.02029624999</v>
      </c>
      <c r="AL131" s="67"/>
      <c r="AM131" s="67">
        <f t="shared" si="178"/>
        <v>0</v>
      </c>
      <c r="AN131" s="67"/>
      <c r="AO131" s="67">
        <f t="shared" si="179"/>
        <v>0</v>
      </c>
      <c r="AP131" s="67"/>
      <c r="AQ131" s="67">
        <f t="shared" si="180"/>
        <v>0</v>
      </c>
      <c r="AR131" s="67"/>
      <c r="AS131" s="67">
        <f t="shared" si="181"/>
        <v>0</v>
      </c>
      <c r="AT131" s="67"/>
      <c r="AU131" s="67">
        <f t="shared" si="182"/>
        <v>0</v>
      </c>
      <c r="AV131" s="67"/>
      <c r="AW131" s="67">
        <f t="shared" si="183"/>
        <v>40.871881249999994</v>
      </c>
      <c r="AX131" s="67"/>
      <c r="AY131" s="67">
        <f t="shared" si="184"/>
        <v>188.01065374999996</v>
      </c>
      <c r="AZ131" s="310"/>
      <c r="BA131" s="95">
        <f t="shared" si="152"/>
        <v>0</v>
      </c>
      <c r="BB131" s="80"/>
      <c r="BC131" s="80"/>
      <c r="BD131" s="80"/>
    </row>
    <row r="132" spans="1:56" s="371" customFormat="1" x14ac:dyDescent="0.2">
      <c r="A132" s="110"/>
      <c r="B132" s="185"/>
      <c r="C132" s="664"/>
      <c r="D132" s="300"/>
      <c r="E132" s="105"/>
      <c r="F132" s="109" t="s">
        <v>475</v>
      </c>
      <c r="G132" s="166"/>
      <c r="H132" s="73">
        <v>2</v>
      </c>
      <c r="J132" s="191">
        <v>281010.9305555555</v>
      </c>
      <c r="K132" s="160"/>
      <c r="L132" s="104">
        <f t="shared" si="169"/>
        <v>172793.62119861107</v>
      </c>
      <c r="M132" s="190"/>
      <c r="N132" s="104">
        <f t="shared" si="170"/>
        <v>80762.541441666646</v>
      </c>
      <c r="O132" s="190"/>
      <c r="P132" s="104">
        <f t="shared" si="171"/>
        <v>26667.937309722216</v>
      </c>
      <c r="Q132" s="190"/>
      <c r="R132" s="104">
        <f t="shared" si="172"/>
        <v>0</v>
      </c>
      <c r="S132" s="190"/>
      <c r="T132" s="104">
        <f t="shared" si="173"/>
        <v>0</v>
      </c>
      <c r="U132" s="190"/>
      <c r="V132" s="104">
        <f t="shared" si="174"/>
        <v>140.50546527777774</v>
      </c>
      <c r="W132" s="190"/>
      <c r="X132" s="104">
        <f t="shared" si="175"/>
        <v>646.32514027777768</v>
      </c>
      <c r="Y132" s="105"/>
      <c r="Z132" s="95">
        <f t="shared" ref="Z132:Z137" si="188">SUM(L132:X132)-J132</f>
        <v>0</v>
      </c>
      <c r="AC132" s="109" t="s">
        <v>475</v>
      </c>
      <c r="AE132" s="140">
        <f t="shared" ref="AE132:AE135" si="189">+H132</f>
        <v>2</v>
      </c>
      <c r="AG132" s="80">
        <f t="shared" ref="AG132:AG135" si="190">+J132</f>
        <v>281010.9305555555</v>
      </c>
      <c r="AI132" s="67">
        <f t="shared" si="176"/>
        <v>147109.22214583334</v>
      </c>
      <c r="AJ132" s="67"/>
      <c r="AK132" s="67">
        <f t="shared" si="177"/>
        <v>133114.87780416664</v>
      </c>
      <c r="AL132" s="67"/>
      <c r="AM132" s="67">
        <f t="shared" si="178"/>
        <v>0</v>
      </c>
      <c r="AN132" s="67"/>
      <c r="AO132" s="67">
        <f t="shared" si="179"/>
        <v>0</v>
      </c>
      <c r="AP132" s="67"/>
      <c r="AQ132" s="67">
        <f t="shared" si="180"/>
        <v>0</v>
      </c>
      <c r="AR132" s="67"/>
      <c r="AS132" s="67">
        <f t="shared" si="181"/>
        <v>0</v>
      </c>
      <c r="AT132" s="67"/>
      <c r="AU132" s="67">
        <f t="shared" si="182"/>
        <v>0</v>
      </c>
      <c r="AV132" s="67"/>
      <c r="AW132" s="67">
        <f t="shared" si="183"/>
        <v>140.50546527777774</v>
      </c>
      <c r="AX132" s="67"/>
      <c r="AY132" s="67">
        <f t="shared" si="184"/>
        <v>646.32514027777768</v>
      </c>
      <c r="BA132" s="95">
        <f t="shared" si="152"/>
        <v>0</v>
      </c>
      <c r="BB132" s="80"/>
      <c r="BC132" s="80"/>
      <c r="BD132" s="80"/>
    </row>
    <row r="133" spans="1:56" s="371" customFormat="1" x14ac:dyDescent="0.2">
      <c r="A133" s="110"/>
      <c r="B133" s="185"/>
      <c r="C133" s="664"/>
      <c r="D133" s="300"/>
      <c r="E133" s="105"/>
      <c r="F133" s="109" t="s">
        <v>477</v>
      </c>
      <c r="G133" s="166"/>
      <c r="H133" s="73">
        <v>6</v>
      </c>
      <c r="J133" s="191">
        <v>2002.7283333333332</v>
      </c>
      <c r="K133" s="160"/>
      <c r="L133" s="104">
        <f t="shared" si="169"/>
        <v>951.49623116666669</v>
      </c>
      <c r="M133" s="190"/>
      <c r="N133" s="104">
        <f t="shared" si="170"/>
        <v>394.53748166666668</v>
      </c>
      <c r="O133" s="190"/>
      <c r="P133" s="104">
        <f t="shared" si="171"/>
        <v>115.75769766666666</v>
      </c>
      <c r="Q133" s="190"/>
      <c r="R133" s="104">
        <f t="shared" si="172"/>
        <v>0</v>
      </c>
      <c r="S133" s="190"/>
      <c r="T133" s="104">
        <f t="shared" si="173"/>
        <v>0</v>
      </c>
      <c r="U133" s="190"/>
      <c r="V133" s="104">
        <f t="shared" si="174"/>
        <v>126.37215783333333</v>
      </c>
      <c r="W133" s="190"/>
      <c r="X133" s="104">
        <f t="shared" si="175"/>
        <v>414.56476499999997</v>
      </c>
      <c r="Y133" s="105"/>
      <c r="Z133" s="95">
        <f t="shared" si="188"/>
        <v>0</v>
      </c>
      <c r="AC133" s="109" t="s">
        <v>477</v>
      </c>
      <c r="AE133" s="140">
        <f t="shared" si="189"/>
        <v>6</v>
      </c>
      <c r="AG133" s="80">
        <f t="shared" si="190"/>
        <v>2002.7283333333332</v>
      </c>
      <c r="AI133" s="67">
        <f t="shared" si="176"/>
        <v>506.89054116666665</v>
      </c>
      <c r="AJ133" s="67"/>
      <c r="AK133" s="67">
        <f t="shared" si="177"/>
        <v>52.671755166666664</v>
      </c>
      <c r="AL133" s="67"/>
      <c r="AM133" s="67">
        <f t="shared" si="178"/>
        <v>902.22911416666659</v>
      </c>
      <c r="AN133" s="67"/>
      <c r="AO133" s="67">
        <f t="shared" si="179"/>
        <v>0</v>
      </c>
      <c r="AP133" s="67"/>
      <c r="AQ133" s="67">
        <f t="shared" si="180"/>
        <v>0</v>
      </c>
      <c r="AR133" s="67"/>
      <c r="AS133" s="67">
        <f t="shared" si="181"/>
        <v>0</v>
      </c>
      <c r="AT133" s="67"/>
      <c r="AU133" s="67">
        <f t="shared" si="182"/>
        <v>0</v>
      </c>
      <c r="AV133" s="67"/>
      <c r="AW133" s="67">
        <f t="shared" si="183"/>
        <v>126.37215783333333</v>
      </c>
      <c r="AX133" s="67"/>
      <c r="AY133" s="67">
        <f t="shared" si="184"/>
        <v>414.56476499999997</v>
      </c>
      <c r="BA133" s="95">
        <f t="shared" si="152"/>
        <v>0</v>
      </c>
      <c r="BB133" s="80"/>
      <c r="BC133" s="80"/>
      <c r="BD133" s="80"/>
    </row>
    <row r="134" spans="1:56" s="371" customFormat="1" x14ac:dyDescent="0.2">
      <c r="A134" s="110"/>
      <c r="B134" s="185"/>
      <c r="C134" s="664"/>
      <c r="D134" s="300"/>
      <c r="E134" s="105"/>
      <c r="F134" s="109" t="s">
        <v>478</v>
      </c>
      <c r="G134" s="166"/>
      <c r="H134" s="73">
        <v>12</v>
      </c>
      <c r="J134" s="191">
        <v>98278.083599999998</v>
      </c>
      <c r="K134" s="160"/>
      <c r="L134" s="104">
        <f t="shared" si="169"/>
        <v>57246.983697000003</v>
      </c>
      <c r="M134" s="190"/>
      <c r="N134" s="104">
        <f t="shared" si="170"/>
        <v>19409.921511</v>
      </c>
      <c r="O134" s="190"/>
      <c r="P134" s="104">
        <f t="shared" si="171"/>
        <v>5022.0100719599996</v>
      </c>
      <c r="Q134" s="190"/>
      <c r="R134" s="104">
        <f t="shared" si="172"/>
        <v>0</v>
      </c>
      <c r="S134" s="190"/>
      <c r="T134" s="104">
        <f t="shared" si="173"/>
        <v>0</v>
      </c>
      <c r="U134" s="190"/>
      <c r="V134" s="104">
        <f t="shared" si="174"/>
        <v>4058.8848526800002</v>
      </c>
      <c r="W134" s="190"/>
      <c r="X134" s="104">
        <f t="shared" si="175"/>
        <v>12540.283467359999</v>
      </c>
      <c r="Y134" s="105"/>
      <c r="Z134" s="95">
        <f t="shared" si="188"/>
        <v>0</v>
      </c>
      <c r="AC134" s="109" t="s">
        <v>478</v>
      </c>
      <c r="AE134" s="140">
        <f t="shared" si="189"/>
        <v>12</v>
      </c>
      <c r="AG134" s="80">
        <f t="shared" si="190"/>
        <v>98278.083599999998</v>
      </c>
      <c r="AI134" s="67">
        <f t="shared" si="176"/>
        <v>18505.763141879997</v>
      </c>
      <c r="AJ134" s="67"/>
      <c r="AK134" s="67">
        <f t="shared" si="177"/>
        <v>18102.822999119999</v>
      </c>
      <c r="AL134" s="67"/>
      <c r="AM134" s="67">
        <f t="shared" si="178"/>
        <v>27262.340390639998</v>
      </c>
      <c r="AN134" s="67"/>
      <c r="AO134" s="67">
        <f t="shared" si="179"/>
        <v>0</v>
      </c>
      <c r="AP134" s="67"/>
      <c r="AQ134" s="67">
        <f t="shared" si="180"/>
        <v>0</v>
      </c>
      <c r="AR134" s="67"/>
      <c r="AS134" s="67">
        <f t="shared" si="181"/>
        <v>17807.98874832</v>
      </c>
      <c r="AT134" s="67"/>
      <c r="AU134" s="67">
        <f t="shared" si="182"/>
        <v>0</v>
      </c>
      <c r="AV134" s="67"/>
      <c r="AW134" s="67">
        <f t="shared" si="183"/>
        <v>4058.8848526800002</v>
      </c>
      <c r="AX134" s="67"/>
      <c r="AY134" s="67">
        <f t="shared" si="184"/>
        <v>12540.283467359999</v>
      </c>
      <c r="BA134" s="95">
        <f t="shared" si="152"/>
        <v>0</v>
      </c>
      <c r="BB134" s="80"/>
      <c r="BC134" s="80"/>
      <c r="BD134" s="80"/>
    </row>
    <row r="135" spans="1:56" s="371" customFormat="1" x14ac:dyDescent="0.2">
      <c r="A135" s="110"/>
      <c r="B135" s="185"/>
      <c r="C135" s="664"/>
      <c r="D135" s="300"/>
      <c r="E135" s="105"/>
      <c r="F135" s="109" t="s">
        <v>529</v>
      </c>
      <c r="G135" s="166"/>
      <c r="H135" s="73">
        <v>12</v>
      </c>
      <c r="J135" s="191">
        <v>79364.090800000005</v>
      </c>
      <c r="K135" s="160"/>
      <c r="L135" s="104">
        <f t="shared" si="169"/>
        <v>46229.582891000005</v>
      </c>
      <c r="M135" s="190"/>
      <c r="N135" s="104">
        <f t="shared" si="170"/>
        <v>15674.407933000002</v>
      </c>
      <c r="O135" s="190"/>
      <c r="P135" s="104">
        <f t="shared" si="171"/>
        <v>4055.5050398800004</v>
      </c>
      <c r="Q135" s="190"/>
      <c r="R135" s="104">
        <f t="shared" si="172"/>
        <v>0</v>
      </c>
      <c r="S135" s="190"/>
      <c r="T135" s="104">
        <f t="shared" si="173"/>
        <v>0</v>
      </c>
      <c r="U135" s="190"/>
      <c r="V135" s="104">
        <f t="shared" si="174"/>
        <v>3277.7369500400005</v>
      </c>
      <c r="W135" s="190"/>
      <c r="X135" s="104">
        <f t="shared" si="175"/>
        <v>10126.85798608</v>
      </c>
      <c r="Y135" s="105"/>
      <c r="Z135" s="95">
        <f t="shared" si="188"/>
        <v>0</v>
      </c>
      <c r="AC135" s="109" t="s">
        <v>529</v>
      </c>
      <c r="AE135" s="140">
        <f t="shared" si="189"/>
        <v>12</v>
      </c>
      <c r="AG135" s="80">
        <f t="shared" si="190"/>
        <v>79364.090800000005</v>
      </c>
      <c r="AI135" s="67">
        <f t="shared" si="176"/>
        <v>14944.258297640001</v>
      </c>
      <c r="AJ135" s="67"/>
      <c r="AK135" s="67">
        <f t="shared" si="177"/>
        <v>14618.865525360001</v>
      </c>
      <c r="AL135" s="67"/>
      <c r="AM135" s="67">
        <f t="shared" si="178"/>
        <v>22015.59878792</v>
      </c>
      <c r="AN135" s="67"/>
      <c r="AO135" s="67">
        <f t="shared" si="179"/>
        <v>0</v>
      </c>
      <c r="AP135" s="67"/>
      <c r="AQ135" s="67">
        <f t="shared" si="180"/>
        <v>0</v>
      </c>
      <c r="AR135" s="67"/>
      <c r="AS135" s="67">
        <f t="shared" si="181"/>
        <v>14380.773252960002</v>
      </c>
      <c r="AT135" s="67"/>
      <c r="AU135" s="67">
        <f t="shared" si="182"/>
        <v>0</v>
      </c>
      <c r="AV135" s="67"/>
      <c r="AW135" s="67">
        <f t="shared" si="183"/>
        <v>3277.7369500400005</v>
      </c>
      <c r="AX135" s="67"/>
      <c r="AY135" s="67">
        <f t="shared" si="184"/>
        <v>10126.85798608</v>
      </c>
      <c r="BA135" s="95">
        <f t="shared" si="152"/>
        <v>0</v>
      </c>
      <c r="BB135" s="80"/>
      <c r="BC135" s="80"/>
      <c r="BD135" s="80"/>
    </row>
    <row r="136" spans="1:56" x14ac:dyDescent="0.2">
      <c r="A136" s="110"/>
      <c r="B136" s="185"/>
      <c r="F136" s="109" t="s">
        <v>413</v>
      </c>
      <c r="G136" s="166"/>
      <c r="H136" s="73">
        <v>2</v>
      </c>
      <c r="I136"/>
      <c r="J136" s="191">
        <v>331908.2745</v>
      </c>
      <c r="K136" s="160"/>
      <c r="L136" s="104">
        <f t="shared" si="169"/>
        <v>204090.39799005</v>
      </c>
      <c r="M136" s="190"/>
      <c r="N136" s="104">
        <f t="shared" si="170"/>
        <v>95390.438091299991</v>
      </c>
      <c r="O136" s="190"/>
      <c r="P136" s="104">
        <f t="shared" si="171"/>
        <v>31498.095250049999</v>
      </c>
      <c r="Q136" s="190"/>
      <c r="R136" s="104">
        <f t="shared" si="172"/>
        <v>0</v>
      </c>
      <c r="S136" s="190"/>
      <c r="T136" s="104">
        <f t="shared" si="173"/>
        <v>0</v>
      </c>
      <c r="U136" s="190"/>
      <c r="V136" s="104">
        <f t="shared" si="174"/>
        <v>165.95413725</v>
      </c>
      <c r="W136" s="190"/>
      <c r="X136" s="104">
        <f t="shared" si="175"/>
        <v>763.38903134999998</v>
      </c>
      <c r="Y136" s="105"/>
      <c r="Z136" s="95">
        <f t="shared" si="188"/>
        <v>0</v>
      </c>
      <c r="AC136" s="109" t="s">
        <v>413</v>
      </c>
      <c r="AE136" s="140">
        <f t="shared" si="186"/>
        <v>2</v>
      </c>
      <c r="AF136" s="310"/>
      <c r="AG136" s="80">
        <f t="shared" si="187"/>
        <v>331908.2745</v>
      </c>
      <c r="AH136" s="310"/>
      <c r="AI136" s="67">
        <f t="shared" si="176"/>
        <v>173753.98170075004</v>
      </c>
      <c r="AJ136" s="67"/>
      <c r="AK136" s="67">
        <f t="shared" si="177"/>
        <v>157224.94963064999</v>
      </c>
      <c r="AL136" s="67"/>
      <c r="AM136" s="67">
        <f t="shared" si="178"/>
        <v>0</v>
      </c>
      <c r="AN136" s="67"/>
      <c r="AO136" s="67">
        <f t="shared" si="179"/>
        <v>0</v>
      </c>
      <c r="AP136" s="67"/>
      <c r="AQ136" s="67">
        <f t="shared" si="180"/>
        <v>0</v>
      </c>
      <c r="AR136" s="67"/>
      <c r="AS136" s="67">
        <f t="shared" si="181"/>
        <v>0</v>
      </c>
      <c r="AT136" s="67"/>
      <c r="AU136" s="67">
        <f t="shared" si="182"/>
        <v>0</v>
      </c>
      <c r="AV136" s="67"/>
      <c r="AW136" s="67">
        <f t="shared" si="183"/>
        <v>165.95413725</v>
      </c>
      <c r="AX136" s="67"/>
      <c r="AY136" s="67">
        <f t="shared" si="184"/>
        <v>763.38903134999998</v>
      </c>
      <c r="AZ136" s="310"/>
      <c r="BA136" s="95">
        <f t="shared" si="152"/>
        <v>0</v>
      </c>
      <c r="BB136" s="80"/>
      <c r="BC136" s="80"/>
      <c r="BD136" s="80"/>
    </row>
    <row r="137" spans="1:56" x14ac:dyDescent="0.2">
      <c r="A137" s="110"/>
      <c r="B137" s="185"/>
      <c r="F137" s="109" t="s">
        <v>331</v>
      </c>
      <c r="G137" s="166"/>
      <c r="H137" s="73">
        <v>2</v>
      </c>
      <c r="I137"/>
      <c r="J137" s="191">
        <v>8321.2997333333333</v>
      </c>
      <c r="K137" s="160"/>
      <c r="L137" s="104">
        <f t="shared" si="169"/>
        <v>5116.7672060266668</v>
      </c>
      <c r="M137" s="190"/>
      <c r="N137" s="104">
        <f t="shared" si="170"/>
        <v>2391.5415433600001</v>
      </c>
      <c r="O137" s="190"/>
      <c r="P137" s="104">
        <f t="shared" si="171"/>
        <v>789.69134469333335</v>
      </c>
      <c r="Q137" s="190"/>
      <c r="R137" s="104">
        <f t="shared" si="172"/>
        <v>0</v>
      </c>
      <c r="S137" s="190"/>
      <c r="T137" s="104">
        <f t="shared" si="173"/>
        <v>0</v>
      </c>
      <c r="U137" s="190"/>
      <c r="V137" s="104">
        <f t="shared" si="174"/>
        <v>4.1606498666666667</v>
      </c>
      <c r="W137" s="190"/>
      <c r="X137" s="104">
        <f t="shared" si="175"/>
        <v>19.138989386666665</v>
      </c>
      <c r="Y137" s="105"/>
      <c r="Z137" s="95">
        <f t="shared" si="188"/>
        <v>0</v>
      </c>
      <c r="AC137" s="109" t="s">
        <v>331</v>
      </c>
      <c r="AE137" s="140">
        <f t="shared" si="186"/>
        <v>2</v>
      </c>
      <c r="AF137" s="310"/>
      <c r="AG137" s="80">
        <f t="shared" si="187"/>
        <v>8321.2997333333333</v>
      </c>
      <c r="AH137" s="310"/>
      <c r="AI137" s="67">
        <f t="shared" si="176"/>
        <v>4356.2004104000007</v>
      </c>
      <c r="AJ137" s="67"/>
      <c r="AK137" s="67">
        <f t="shared" si="177"/>
        <v>3941.7996836800003</v>
      </c>
      <c r="AL137" s="67"/>
      <c r="AM137" s="67">
        <f t="shared" si="178"/>
        <v>0</v>
      </c>
      <c r="AN137" s="67"/>
      <c r="AO137" s="67">
        <f t="shared" si="179"/>
        <v>0</v>
      </c>
      <c r="AP137" s="67"/>
      <c r="AQ137" s="67">
        <f t="shared" si="180"/>
        <v>0</v>
      </c>
      <c r="AR137" s="67"/>
      <c r="AS137" s="67">
        <f t="shared" si="181"/>
        <v>0</v>
      </c>
      <c r="AT137" s="67"/>
      <c r="AU137" s="67">
        <f t="shared" si="182"/>
        <v>0</v>
      </c>
      <c r="AV137" s="67"/>
      <c r="AW137" s="67">
        <f t="shared" si="183"/>
        <v>4.1606498666666667</v>
      </c>
      <c r="AX137" s="67"/>
      <c r="AY137" s="67">
        <f t="shared" si="184"/>
        <v>19.138989386666665</v>
      </c>
      <c r="AZ137" s="310"/>
      <c r="BA137" s="95">
        <f t="shared" si="152"/>
        <v>0</v>
      </c>
      <c r="BB137" s="80"/>
      <c r="BC137" s="80"/>
      <c r="BD137" s="80"/>
    </row>
    <row r="138" spans="1:56" s="309" customFormat="1" x14ac:dyDescent="0.2">
      <c r="A138" s="110"/>
      <c r="B138" s="185"/>
      <c r="C138" s="664"/>
      <c r="D138" s="300"/>
      <c r="E138" s="105"/>
      <c r="F138" s="109" t="s">
        <v>416</v>
      </c>
      <c r="G138" s="166"/>
      <c r="H138" s="73">
        <v>3</v>
      </c>
      <c r="J138" s="191">
        <v>675268.35656249989</v>
      </c>
      <c r="K138" s="160"/>
      <c r="L138" s="104">
        <f t="shared" si="169"/>
        <v>394829.40808209369</v>
      </c>
      <c r="M138" s="190"/>
      <c r="N138" s="104">
        <f t="shared" si="170"/>
        <v>184483.31501287495</v>
      </c>
      <c r="O138" s="190"/>
      <c r="P138" s="104">
        <f t="shared" si="171"/>
        <v>60841.678926281238</v>
      </c>
      <c r="Q138" s="190"/>
      <c r="R138" s="104">
        <f t="shared" si="172"/>
        <v>0</v>
      </c>
      <c r="S138" s="190"/>
      <c r="T138" s="104">
        <f t="shared" si="173"/>
        <v>0</v>
      </c>
      <c r="U138" s="190"/>
      <c r="V138" s="104">
        <f t="shared" si="174"/>
        <v>8103.2202787499991</v>
      </c>
      <c r="W138" s="190"/>
      <c r="X138" s="104">
        <f t="shared" si="175"/>
        <v>27010.734262499995</v>
      </c>
      <c r="Y138" s="105"/>
      <c r="Z138" s="95">
        <f t="shared" si="185"/>
        <v>0</v>
      </c>
      <c r="AC138" s="109" t="s">
        <v>416</v>
      </c>
      <c r="AE138" s="140">
        <f t="shared" si="186"/>
        <v>3</v>
      </c>
      <c r="AF138" s="310"/>
      <c r="AG138" s="80">
        <f t="shared" si="187"/>
        <v>675268.35656249989</v>
      </c>
      <c r="AH138" s="310"/>
      <c r="AI138" s="67">
        <f t="shared" si="176"/>
        <v>337836.75878821866</v>
      </c>
      <c r="AJ138" s="67"/>
      <c r="AK138" s="67">
        <f t="shared" si="177"/>
        <v>304140.86779574997</v>
      </c>
      <c r="AL138" s="67"/>
      <c r="AM138" s="67">
        <f t="shared" si="178"/>
        <v>0</v>
      </c>
      <c r="AN138" s="67"/>
      <c r="AO138" s="67">
        <f t="shared" si="179"/>
        <v>0</v>
      </c>
      <c r="AP138" s="67"/>
      <c r="AQ138" s="67">
        <f t="shared" si="180"/>
        <v>0</v>
      </c>
      <c r="AR138" s="67"/>
      <c r="AS138" s="67">
        <f t="shared" si="181"/>
        <v>0</v>
      </c>
      <c r="AT138" s="67"/>
      <c r="AU138" s="67">
        <f t="shared" si="182"/>
        <v>0</v>
      </c>
      <c r="AV138" s="67"/>
      <c r="AW138" s="67">
        <f t="shared" si="183"/>
        <v>7765.5861004687486</v>
      </c>
      <c r="AX138" s="67"/>
      <c r="AY138" s="67">
        <f t="shared" si="184"/>
        <v>25525.143878062496</v>
      </c>
      <c r="AZ138" s="310"/>
      <c r="BA138" s="95">
        <f t="shared" si="152"/>
        <v>0</v>
      </c>
      <c r="BB138" s="80"/>
      <c r="BC138" s="80"/>
      <c r="BD138" s="80"/>
    </row>
    <row r="139" spans="1:56" x14ac:dyDescent="0.2">
      <c r="A139" s="110"/>
      <c r="B139" s="185"/>
      <c r="F139" s="109" t="s">
        <v>365</v>
      </c>
      <c r="G139" s="166"/>
      <c r="H139" s="73">
        <v>2</v>
      </c>
      <c r="I139"/>
      <c r="J139" s="191">
        <v>668939.67361904751</v>
      </c>
      <c r="K139" s="160"/>
      <c r="L139" s="104">
        <f t="shared" si="169"/>
        <v>411331.00530835229</v>
      </c>
      <c r="M139" s="190"/>
      <c r="N139" s="104">
        <f t="shared" si="170"/>
        <v>192253.26219811424</v>
      </c>
      <c r="O139" s="190"/>
      <c r="P139" s="104">
        <f t="shared" si="171"/>
        <v>63482.375026447604</v>
      </c>
      <c r="Q139" s="190"/>
      <c r="R139" s="104">
        <f t="shared" si="172"/>
        <v>0</v>
      </c>
      <c r="S139" s="190"/>
      <c r="T139" s="104">
        <f t="shared" si="173"/>
        <v>0</v>
      </c>
      <c r="U139" s="190"/>
      <c r="V139" s="104">
        <f t="shared" si="174"/>
        <v>334.46983680952377</v>
      </c>
      <c r="W139" s="190"/>
      <c r="X139" s="104">
        <f t="shared" si="175"/>
        <v>1538.5612493238093</v>
      </c>
      <c r="Y139" s="105"/>
      <c r="Z139" s="95">
        <f t="shared" si="185"/>
        <v>0</v>
      </c>
      <c r="AC139" s="109" t="s">
        <v>365</v>
      </c>
      <c r="AE139" s="140">
        <f t="shared" si="186"/>
        <v>2</v>
      </c>
      <c r="AF139" s="310"/>
      <c r="AG139" s="80">
        <f t="shared" si="187"/>
        <v>668939.67361904751</v>
      </c>
      <c r="AH139" s="310"/>
      <c r="AI139" s="67">
        <f t="shared" si="176"/>
        <v>350189.91913957143</v>
      </c>
      <c r="AJ139" s="67"/>
      <c r="AK139" s="67">
        <f t="shared" si="177"/>
        <v>316876.72339334281</v>
      </c>
      <c r="AL139" s="67"/>
      <c r="AM139" s="67">
        <f t="shared" si="178"/>
        <v>0</v>
      </c>
      <c r="AN139" s="67"/>
      <c r="AO139" s="67">
        <f t="shared" si="179"/>
        <v>0</v>
      </c>
      <c r="AP139" s="67"/>
      <c r="AQ139" s="67">
        <f t="shared" si="180"/>
        <v>0</v>
      </c>
      <c r="AR139" s="67"/>
      <c r="AS139" s="67">
        <f t="shared" si="181"/>
        <v>0</v>
      </c>
      <c r="AT139" s="67"/>
      <c r="AU139" s="67">
        <f t="shared" si="182"/>
        <v>0</v>
      </c>
      <c r="AV139" s="67"/>
      <c r="AW139" s="67">
        <f t="shared" si="183"/>
        <v>334.46983680952377</v>
      </c>
      <c r="AX139" s="67"/>
      <c r="AY139" s="67">
        <f t="shared" si="184"/>
        <v>1538.5612493238093</v>
      </c>
      <c r="AZ139" s="310"/>
      <c r="BA139" s="95">
        <f t="shared" si="152"/>
        <v>0</v>
      </c>
      <c r="BB139" s="80"/>
      <c r="BC139" s="80"/>
      <c r="BD139" s="80"/>
    </row>
    <row r="140" spans="1:56" x14ac:dyDescent="0.2">
      <c r="A140" s="110"/>
      <c r="B140" s="185"/>
      <c r="F140" s="109" t="s">
        <v>332</v>
      </c>
      <c r="G140" s="166"/>
      <c r="H140" s="73">
        <v>5</v>
      </c>
      <c r="I140"/>
      <c r="J140" s="191">
        <v>234755.4991666667</v>
      </c>
      <c r="K140" s="160"/>
      <c r="L140" s="104">
        <f t="shared" si="169"/>
        <v>146792.61362891668</v>
      </c>
      <c r="M140" s="190"/>
      <c r="N140" s="104">
        <f t="shared" si="170"/>
        <v>60144.358886500006</v>
      </c>
      <c r="O140" s="190"/>
      <c r="P140" s="104">
        <f t="shared" si="171"/>
        <v>17677.089087250006</v>
      </c>
      <c r="Q140" s="190"/>
      <c r="R140" s="104">
        <f t="shared" si="172"/>
        <v>0</v>
      </c>
      <c r="S140" s="190"/>
      <c r="T140" s="104">
        <f t="shared" si="173"/>
        <v>0</v>
      </c>
      <c r="U140" s="190"/>
      <c r="V140" s="104">
        <f t="shared" si="174"/>
        <v>2300.6038918333338</v>
      </c>
      <c r="W140" s="190"/>
      <c r="X140" s="104">
        <f t="shared" si="175"/>
        <v>7840.8336721666674</v>
      </c>
      <c r="Y140" s="105"/>
      <c r="Z140" s="95">
        <f t="shared" si="185"/>
        <v>0</v>
      </c>
      <c r="AC140" s="109" t="s">
        <v>332</v>
      </c>
      <c r="AE140" s="140">
        <f t="shared" si="186"/>
        <v>5</v>
      </c>
      <c r="AF140" s="310"/>
      <c r="AG140" s="80">
        <f t="shared" si="187"/>
        <v>234755.4991666667</v>
      </c>
      <c r="AH140" s="310"/>
      <c r="AI140" s="67">
        <f t="shared" si="176"/>
        <v>74652.248735000016</v>
      </c>
      <c r="AJ140" s="67"/>
      <c r="AK140" s="67">
        <f t="shared" si="177"/>
        <v>0</v>
      </c>
      <c r="AL140" s="67"/>
      <c r="AM140" s="67">
        <f t="shared" si="178"/>
        <v>149961.81286766671</v>
      </c>
      <c r="AN140" s="67"/>
      <c r="AO140" s="67">
        <f t="shared" si="179"/>
        <v>0</v>
      </c>
      <c r="AP140" s="67"/>
      <c r="AQ140" s="67">
        <f t="shared" si="180"/>
        <v>0</v>
      </c>
      <c r="AR140" s="67"/>
      <c r="AS140" s="67">
        <f t="shared" si="181"/>
        <v>0</v>
      </c>
      <c r="AT140" s="67"/>
      <c r="AU140" s="67">
        <f t="shared" si="182"/>
        <v>0</v>
      </c>
      <c r="AV140" s="67"/>
      <c r="AW140" s="67">
        <f t="shared" si="183"/>
        <v>2300.6038918333338</v>
      </c>
      <c r="AX140" s="67"/>
      <c r="AY140" s="67">
        <f t="shared" si="184"/>
        <v>7840.8336721666674</v>
      </c>
      <c r="AZ140" s="310"/>
      <c r="BA140" s="95">
        <f t="shared" si="152"/>
        <v>0</v>
      </c>
      <c r="BB140" s="80"/>
      <c r="BC140" s="80"/>
      <c r="BD140" s="80"/>
    </row>
    <row r="141" spans="1:56" x14ac:dyDescent="0.2">
      <c r="A141" s="110"/>
      <c r="B141" s="185"/>
      <c r="F141" s="109" t="s">
        <v>333</v>
      </c>
      <c r="G141" s="166"/>
      <c r="H141" s="73"/>
      <c r="I141"/>
      <c r="J141" s="191"/>
      <c r="K141" s="160"/>
      <c r="L141" s="104"/>
      <c r="M141" s="190"/>
      <c r="N141" s="104"/>
      <c r="O141" s="190"/>
      <c r="P141" s="104"/>
      <c r="Q141" s="190"/>
      <c r="R141" s="104"/>
      <c r="S141" s="190"/>
      <c r="T141" s="104"/>
      <c r="U141" s="190"/>
      <c r="V141" s="104"/>
      <c r="W141" s="190"/>
      <c r="X141" s="104"/>
      <c r="Y141" s="105"/>
      <c r="Z141" s="95">
        <f t="shared" si="185"/>
        <v>0</v>
      </c>
      <c r="AC141" s="109" t="s">
        <v>333</v>
      </c>
      <c r="AE141" s="140"/>
      <c r="AF141" s="310"/>
      <c r="AG141" s="80"/>
      <c r="AH141" s="310"/>
      <c r="AI141" s="67"/>
      <c r="AJ141" s="67"/>
      <c r="AK141" s="67"/>
      <c r="AL141" s="67"/>
      <c r="AM141" s="67"/>
      <c r="AN141" s="67"/>
      <c r="AO141" s="67"/>
      <c r="AP141" s="67"/>
      <c r="AQ141" s="67"/>
      <c r="AR141" s="67"/>
      <c r="AS141" s="67"/>
      <c r="AT141" s="67"/>
      <c r="AU141" s="67"/>
      <c r="AV141" s="67"/>
      <c r="AW141" s="67"/>
      <c r="AX141" s="67"/>
      <c r="AY141" s="67"/>
      <c r="AZ141" s="310"/>
      <c r="BA141" s="95">
        <f t="shared" si="152"/>
        <v>0</v>
      </c>
      <c r="BB141" s="80"/>
      <c r="BC141" s="80"/>
      <c r="BD141" s="80"/>
    </row>
    <row r="142" spans="1:56" s="57" customFormat="1" x14ac:dyDescent="0.2">
      <c r="A142" s="245"/>
      <c r="B142" s="185"/>
      <c r="C142" s="664"/>
      <c r="D142" s="300"/>
      <c r="E142" s="105"/>
      <c r="F142" s="57" t="s">
        <v>541</v>
      </c>
      <c r="G142" s="72"/>
      <c r="H142" s="72">
        <v>4</v>
      </c>
      <c r="J142" s="192">
        <v>1124551.8338380102</v>
      </c>
      <c r="K142" s="160"/>
      <c r="L142" s="104">
        <f t="shared" ref="L142:L154" si="191">(VLOOKUP($H142,Factors,L$195))*$J142</f>
        <v>526627.62378634012</v>
      </c>
      <c r="M142" s="190"/>
      <c r="N142" s="104">
        <f t="shared" ref="N142:N154" si="192">(VLOOKUP($H142,Factors,N$195))*$J142</f>
        <v>216138.86246366554</v>
      </c>
      <c r="O142" s="190"/>
      <c r="P142" s="104">
        <f t="shared" ref="P142:P154" si="193">(VLOOKUP($H142,Factors,P$195))*$J142</f>
        <v>62749.992328160974</v>
      </c>
      <c r="Q142" s="190"/>
      <c r="R142" s="104">
        <f t="shared" ref="R142:R154" si="194">(VLOOKUP($H142,Factors,R$195))*$J142</f>
        <v>0</v>
      </c>
      <c r="S142" s="190"/>
      <c r="T142" s="104">
        <f t="shared" ref="T142:T154" si="195">(VLOOKUP($H142,Factors,T$195))*$J142</f>
        <v>0</v>
      </c>
      <c r="U142" s="190"/>
      <c r="V142" s="104">
        <f t="shared" ref="V142:V154" si="196">(VLOOKUP($H142,Factors,V$195))*$J142</f>
        <v>74557.786583460096</v>
      </c>
      <c r="W142" s="190"/>
      <c r="X142" s="104">
        <f t="shared" ref="X142:X154" si="197">(VLOOKUP($H142,Factors,X$195))*$J142</f>
        <v>244477.56867638341</v>
      </c>
      <c r="Y142" s="105"/>
      <c r="Z142" s="95">
        <f t="shared" si="185"/>
        <v>0</v>
      </c>
      <c r="AC142" s="57" t="s">
        <v>541</v>
      </c>
      <c r="AE142" s="140">
        <f t="shared" si="186"/>
        <v>4</v>
      </c>
      <c r="AF142" s="310"/>
      <c r="AG142" s="80">
        <f t="shared" si="187"/>
        <v>1124551.8338380102</v>
      </c>
      <c r="AH142" s="310"/>
      <c r="AI142" s="67">
        <f t="shared" ref="AI142:AI154" si="198">(VLOOKUP($AE142,func,AI$195))*$AG142</f>
        <v>267530.88127006264</v>
      </c>
      <c r="AJ142" s="67"/>
      <c r="AK142" s="67">
        <f t="shared" ref="AK142:AK154" si="199">(VLOOKUP($AE142,func,AK$195))*$AG142</f>
        <v>0</v>
      </c>
      <c r="AL142" s="67"/>
      <c r="AM142" s="67">
        <f t="shared" ref="AM142:AM154" si="200">(VLOOKUP($AE142,func,AM$195))*$AG142</f>
        <v>537985.59730810404</v>
      </c>
      <c r="AN142" s="67"/>
      <c r="AO142" s="67">
        <f t="shared" ref="AO142:AO154" si="201">(VLOOKUP($AE142,func,AO$195))*$AG142</f>
        <v>0</v>
      </c>
      <c r="AP142" s="67"/>
      <c r="AQ142" s="67">
        <f t="shared" ref="AQ142:AQ154" si="202">(VLOOKUP($AE142,func,AQ$195))*$AG142</f>
        <v>0</v>
      </c>
      <c r="AR142" s="67"/>
      <c r="AS142" s="67">
        <f t="shared" ref="AS142:AS154" si="203">(VLOOKUP($AE142,func,AS$195))*$AG142</f>
        <v>0</v>
      </c>
      <c r="AT142" s="67"/>
      <c r="AU142" s="67">
        <f t="shared" ref="AU142:AU154" si="204">(VLOOKUP($AE142,func,AU$195))*$AG142</f>
        <v>0</v>
      </c>
      <c r="AV142" s="67"/>
      <c r="AW142" s="67">
        <f t="shared" ref="AW142:AW154" si="205">(VLOOKUP($AE142,func,AW$195))*$AG142</f>
        <v>74557.786583460096</v>
      </c>
      <c r="AX142" s="67"/>
      <c r="AY142" s="67">
        <f t="shared" ref="AY142:AY154" si="206">(VLOOKUP($AE142,func,AY$195))*$AG142</f>
        <v>244477.56867638341</v>
      </c>
      <c r="AZ142" s="310"/>
      <c r="BA142" s="95">
        <f t="shared" si="152"/>
        <v>0</v>
      </c>
      <c r="BB142" s="80"/>
      <c r="BC142" s="80"/>
      <c r="BD142" s="80"/>
    </row>
    <row r="143" spans="1:56" s="57" customFormat="1" x14ac:dyDescent="0.2">
      <c r="A143" s="110"/>
      <c r="B143" s="185"/>
      <c r="C143" s="664"/>
      <c r="D143" s="300"/>
      <c r="E143" s="105"/>
      <c r="F143" s="60" t="s">
        <v>542</v>
      </c>
      <c r="G143" s="72"/>
      <c r="H143" s="72">
        <v>3</v>
      </c>
      <c r="J143" s="192">
        <v>1063717.9342842125</v>
      </c>
      <c r="K143" s="160"/>
      <c r="L143" s="104">
        <f t="shared" si="191"/>
        <v>621955.87617597904</v>
      </c>
      <c r="M143" s="190"/>
      <c r="N143" s="104">
        <f t="shared" si="192"/>
        <v>290607.73964644689</v>
      </c>
      <c r="O143" s="190"/>
      <c r="P143" s="104">
        <f t="shared" si="193"/>
        <v>95840.985879007552</v>
      </c>
      <c r="Q143" s="190"/>
      <c r="R143" s="104">
        <f t="shared" si="194"/>
        <v>0</v>
      </c>
      <c r="S143" s="190"/>
      <c r="T143" s="104">
        <f t="shared" si="195"/>
        <v>0</v>
      </c>
      <c r="U143" s="190"/>
      <c r="V143" s="104">
        <f t="shared" si="196"/>
        <v>12764.61521141055</v>
      </c>
      <c r="W143" s="190"/>
      <c r="X143" s="104">
        <f t="shared" si="197"/>
        <v>42548.717371368504</v>
      </c>
      <c r="Y143" s="105"/>
      <c r="Z143" s="95">
        <f t="shared" si="185"/>
        <v>0</v>
      </c>
      <c r="AC143" s="60" t="s">
        <v>542</v>
      </c>
      <c r="AE143" s="140">
        <f t="shared" si="186"/>
        <v>3</v>
      </c>
      <c r="AF143" s="310"/>
      <c r="AG143" s="80">
        <f t="shared" si="187"/>
        <v>1063717.9342842125</v>
      </c>
      <c r="AH143" s="310"/>
      <c r="AI143" s="67">
        <f t="shared" si="198"/>
        <v>532178.08252239146</v>
      </c>
      <c r="AJ143" s="67"/>
      <c r="AK143" s="67">
        <f t="shared" si="199"/>
        <v>479098.55760160933</v>
      </c>
      <c r="AL143" s="67"/>
      <c r="AM143" s="67">
        <f t="shared" si="200"/>
        <v>0</v>
      </c>
      <c r="AN143" s="67"/>
      <c r="AO143" s="67">
        <f t="shared" si="201"/>
        <v>0</v>
      </c>
      <c r="AP143" s="67"/>
      <c r="AQ143" s="67">
        <f t="shared" si="202"/>
        <v>0</v>
      </c>
      <c r="AR143" s="67"/>
      <c r="AS143" s="67">
        <f t="shared" si="203"/>
        <v>0</v>
      </c>
      <c r="AT143" s="67"/>
      <c r="AU143" s="67">
        <f t="shared" si="204"/>
        <v>0</v>
      </c>
      <c r="AV143" s="67"/>
      <c r="AW143" s="67">
        <f t="shared" si="205"/>
        <v>12232.756244268445</v>
      </c>
      <c r="AX143" s="67"/>
      <c r="AY143" s="67">
        <f t="shared" si="206"/>
        <v>40208.537915943234</v>
      </c>
      <c r="AZ143" s="310"/>
      <c r="BA143" s="95">
        <f t="shared" si="152"/>
        <v>0</v>
      </c>
      <c r="BB143" s="80"/>
      <c r="BC143" s="80"/>
      <c r="BD143" s="80"/>
    </row>
    <row r="144" spans="1:56" x14ac:dyDescent="0.2">
      <c r="A144" s="184"/>
      <c r="B144" s="185"/>
      <c r="F144" s="109" t="s">
        <v>334</v>
      </c>
      <c r="G144" s="166"/>
      <c r="H144" s="73">
        <v>9</v>
      </c>
      <c r="I144"/>
      <c r="J144" s="192">
        <v>309818.77800000005</v>
      </c>
      <c r="K144" s="160"/>
      <c r="L144" s="104">
        <f t="shared" si="191"/>
        <v>256963.69447320004</v>
      </c>
      <c r="M144" s="190"/>
      <c r="N144" s="104">
        <f t="shared" si="192"/>
        <v>45760.23351060001</v>
      </c>
      <c r="O144" s="190"/>
      <c r="P144" s="104">
        <f t="shared" si="193"/>
        <v>1549.0938900000003</v>
      </c>
      <c r="Q144" s="190"/>
      <c r="R144" s="104">
        <f t="shared" si="194"/>
        <v>0</v>
      </c>
      <c r="S144" s="190"/>
      <c r="T144" s="104">
        <f t="shared" si="195"/>
        <v>0</v>
      </c>
      <c r="U144" s="190"/>
      <c r="V144" s="104">
        <f t="shared" si="196"/>
        <v>5545.7561262000008</v>
      </c>
      <c r="W144" s="190"/>
      <c r="X144" s="104">
        <f t="shared" si="197"/>
        <v>0</v>
      </c>
      <c r="Y144" s="105"/>
      <c r="Z144" s="95">
        <f t="shared" si="185"/>
        <v>0</v>
      </c>
      <c r="AC144" s="109" t="s">
        <v>334</v>
      </c>
      <c r="AE144" s="140">
        <f t="shared" si="186"/>
        <v>9</v>
      </c>
      <c r="AF144" s="310"/>
      <c r="AG144" s="80">
        <f t="shared" si="187"/>
        <v>309818.77800000005</v>
      </c>
      <c r="AH144" s="310"/>
      <c r="AI144" s="67">
        <f t="shared" si="198"/>
        <v>0</v>
      </c>
      <c r="AJ144" s="67"/>
      <c r="AK144" s="67">
        <f t="shared" si="199"/>
        <v>0</v>
      </c>
      <c r="AL144" s="67"/>
      <c r="AM144" s="67">
        <f t="shared" si="200"/>
        <v>0</v>
      </c>
      <c r="AN144" s="67"/>
      <c r="AO144" s="67">
        <f t="shared" si="201"/>
        <v>0</v>
      </c>
      <c r="AP144" s="67"/>
      <c r="AQ144" s="67">
        <f t="shared" si="202"/>
        <v>304273.02187380003</v>
      </c>
      <c r="AR144" s="67"/>
      <c r="AS144" s="67">
        <f t="shared" si="203"/>
        <v>0</v>
      </c>
      <c r="AT144" s="67"/>
      <c r="AU144" s="67">
        <f t="shared" si="204"/>
        <v>0</v>
      </c>
      <c r="AV144" s="67"/>
      <c r="AW144" s="67">
        <f t="shared" si="205"/>
        <v>5545.7561262000008</v>
      </c>
      <c r="AX144" s="67"/>
      <c r="AY144" s="67">
        <f t="shared" si="206"/>
        <v>0</v>
      </c>
      <c r="AZ144" s="310"/>
      <c r="BA144" s="95">
        <f t="shared" si="152"/>
        <v>0</v>
      </c>
      <c r="BB144" s="80"/>
      <c r="BC144" s="80"/>
      <c r="BD144" s="80"/>
    </row>
    <row r="145" spans="1:56" x14ac:dyDescent="0.2">
      <c r="A145" s="110"/>
      <c r="B145" s="185"/>
      <c r="F145" s="109" t="s">
        <v>335</v>
      </c>
      <c r="G145" s="166"/>
      <c r="H145" s="73">
        <v>8</v>
      </c>
      <c r="I145"/>
      <c r="J145" s="192">
        <v>556981.2232777779</v>
      </c>
      <c r="K145" s="160"/>
      <c r="L145" s="104">
        <f t="shared" si="191"/>
        <v>449261.05469585565</v>
      </c>
      <c r="M145" s="190"/>
      <c r="N145" s="104">
        <f t="shared" si="192"/>
        <v>100646.50704629447</v>
      </c>
      <c r="O145" s="190"/>
      <c r="P145" s="104">
        <f t="shared" si="193"/>
        <v>7073.6615356277789</v>
      </c>
      <c r="Q145" s="190"/>
      <c r="R145" s="104">
        <f t="shared" si="194"/>
        <v>0</v>
      </c>
      <c r="S145" s="190"/>
      <c r="T145" s="104">
        <f t="shared" si="195"/>
        <v>0</v>
      </c>
      <c r="U145" s="190"/>
      <c r="V145" s="104">
        <f t="shared" si="196"/>
        <v>0</v>
      </c>
      <c r="W145" s="190"/>
      <c r="X145" s="104">
        <f t="shared" si="197"/>
        <v>0</v>
      </c>
      <c r="Y145" s="105"/>
      <c r="Z145" s="95">
        <f t="shared" si="185"/>
        <v>0</v>
      </c>
      <c r="AC145" s="109" t="s">
        <v>335</v>
      </c>
      <c r="AE145" s="140">
        <f t="shared" si="186"/>
        <v>8</v>
      </c>
      <c r="AF145" s="310"/>
      <c r="AG145" s="80">
        <f t="shared" si="187"/>
        <v>556981.2232777779</v>
      </c>
      <c r="AH145" s="310"/>
      <c r="AI145" s="67">
        <f t="shared" si="198"/>
        <v>0</v>
      </c>
      <c r="AJ145" s="67"/>
      <c r="AK145" s="67">
        <f t="shared" si="199"/>
        <v>0</v>
      </c>
      <c r="AL145" s="67"/>
      <c r="AM145" s="67">
        <f t="shared" si="200"/>
        <v>0</v>
      </c>
      <c r="AN145" s="67"/>
      <c r="AO145" s="67">
        <f t="shared" si="201"/>
        <v>556981.2232777779</v>
      </c>
      <c r="AP145" s="67"/>
      <c r="AQ145" s="67">
        <f t="shared" si="202"/>
        <v>0</v>
      </c>
      <c r="AR145" s="67"/>
      <c r="AS145" s="67">
        <f t="shared" si="203"/>
        <v>0</v>
      </c>
      <c r="AT145" s="67"/>
      <c r="AU145" s="67">
        <f t="shared" si="204"/>
        <v>0</v>
      </c>
      <c r="AV145" s="67"/>
      <c r="AW145" s="67">
        <f t="shared" si="205"/>
        <v>0</v>
      </c>
      <c r="AX145" s="67"/>
      <c r="AY145" s="67">
        <f t="shared" si="206"/>
        <v>0</v>
      </c>
      <c r="AZ145" s="310"/>
      <c r="BA145" s="95">
        <f t="shared" si="152"/>
        <v>0</v>
      </c>
      <c r="BB145" s="80"/>
      <c r="BC145" s="80"/>
      <c r="BD145" s="80"/>
    </row>
    <row r="146" spans="1:56" x14ac:dyDescent="0.2">
      <c r="A146" s="110"/>
      <c r="B146" s="185"/>
      <c r="F146" s="109" t="s">
        <v>366</v>
      </c>
      <c r="G146" s="166"/>
      <c r="H146" s="73">
        <v>7</v>
      </c>
      <c r="I146"/>
      <c r="J146" s="192">
        <v>295422.95534883725</v>
      </c>
      <c r="K146" s="160"/>
      <c r="L146" s="104">
        <f t="shared" si="191"/>
        <v>0</v>
      </c>
      <c r="M146" s="190"/>
      <c r="N146" s="104">
        <f t="shared" si="192"/>
        <v>0</v>
      </c>
      <c r="O146" s="190"/>
      <c r="P146" s="104">
        <f t="shared" si="193"/>
        <v>0</v>
      </c>
      <c r="Q146" s="190"/>
      <c r="R146" s="104">
        <f t="shared" si="194"/>
        <v>0</v>
      </c>
      <c r="S146" s="190"/>
      <c r="T146" s="104">
        <f t="shared" si="195"/>
        <v>0</v>
      </c>
      <c r="U146" s="190"/>
      <c r="V146" s="104">
        <f t="shared" si="196"/>
        <v>0</v>
      </c>
      <c r="W146" s="190"/>
      <c r="X146" s="104">
        <f t="shared" si="197"/>
        <v>295422.95534883725</v>
      </c>
      <c r="Y146" s="105"/>
      <c r="Z146" s="95">
        <f t="shared" si="185"/>
        <v>0</v>
      </c>
      <c r="AC146" s="109" t="s">
        <v>366</v>
      </c>
      <c r="AE146" s="140">
        <f t="shared" si="186"/>
        <v>7</v>
      </c>
      <c r="AF146" s="310"/>
      <c r="AG146" s="80">
        <f t="shared" si="187"/>
        <v>295422.95534883725</v>
      </c>
      <c r="AH146" s="310"/>
      <c r="AI146" s="67">
        <f t="shared" si="198"/>
        <v>0</v>
      </c>
      <c r="AJ146" s="67"/>
      <c r="AK146" s="67">
        <f t="shared" si="199"/>
        <v>0</v>
      </c>
      <c r="AL146" s="67"/>
      <c r="AM146" s="67">
        <f t="shared" si="200"/>
        <v>0</v>
      </c>
      <c r="AN146" s="67"/>
      <c r="AO146" s="67">
        <f t="shared" si="201"/>
        <v>0</v>
      </c>
      <c r="AP146" s="67"/>
      <c r="AQ146" s="67">
        <f t="shared" si="202"/>
        <v>0</v>
      </c>
      <c r="AR146" s="67"/>
      <c r="AS146" s="67">
        <f t="shared" si="203"/>
        <v>0</v>
      </c>
      <c r="AT146" s="67"/>
      <c r="AU146" s="67">
        <f t="shared" si="204"/>
        <v>0</v>
      </c>
      <c r="AV146" s="67"/>
      <c r="AW146" s="67">
        <f t="shared" si="205"/>
        <v>0</v>
      </c>
      <c r="AX146" s="67"/>
      <c r="AY146" s="67">
        <f t="shared" si="206"/>
        <v>295422.95534883725</v>
      </c>
      <c r="AZ146" s="310"/>
      <c r="BA146" s="95">
        <f t="shared" si="152"/>
        <v>0</v>
      </c>
      <c r="BB146" s="80"/>
      <c r="BC146" s="80"/>
      <c r="BD146" s="80"/>
    </row>
    <row r="147" spans="1:56" x14ac:dyDescent="0.2">
      <c r="A147" s="110"/>
      <c r="B147" s="185"/>
      <c r="F147" s="109" t="s">
        <v>337</v>
      </c>
      <c r="G147" s="166"/>
      <c r="H147" s="73">
        <v>12</v>
      </c>
      <c r="I147"/>
      <c r="J147" s="192">
        <v>8822.1967000000004</v>
      </c>
      <c r="K147" s="160"/>
      <c r="L147" s="104">
        <f t="shared" si="191"/>
        <v>5138.9295777500001</v>
      </c>
      <c r="M147" s="190"/>
      <c r="N147" s="104">
        <f t="shared" si="192"/>
        <v>1742.3838482500003</v>
      </c>
      <c r="O147" s="190"/>
      <c r="P147" s="104">
        <f t="shared" si="193"/>
        <v>450.81425137000002</v>
      </c>
      <c r="Q147" s="190"/>
      <c r="R147" s="104">
        <f t="shared" si="194"/>
        <v>0</v>
      </c>
      <c r="S147" s="190"/>
      <c r="T147" s="104">
        <f t="shared" si="195"/>
        <v>0</v>
      </c>
      <c r="U147" s="190"/>
      <c r="V147" s="104">
        <f t="shared" si="196"/>
        <v>364.35672371000004</v>
      </c>
      <c r="W147" s="190"/>
      <c r="X147" s="104">
        <f t="shared" si="197"/>
        <v>1125.71229892</v>
      </c>
      <c r="Y147" s="105"/>
      <c r="Z147" s="95">
        <f t="shared" si="185"/>
        <v>0</v>
      </c>
      <c r="AC147" s="109" t="s">
        <v>337</v>
      </c>
      <c r="AE147" s="140">
        <f t="shared" si="186"/>
        <v>12</v>
      </c>
      <c r="AF147" s="310"/>
      <c r="AG147" s="80">
        <f t="shared" si="187"/>
        <v>8822.1967000000004</v>
      </c>
      <c r="AH147" s="310"/>
      <c r="AI147" s="67">
        <f t="shared" si="198"/>
        <v>1661.2196386099999</v>
      </c>
      <c r="AJ147" s="67"/>
      <c r="AK147" s="67">
        <f t="shared" si="199"/>
        <v>1625.0486321400001</v>
      </c>
      <c r="AL147" s="67"/>
      <c r="AM147" s="67">
        <f t="shared" si="200"/>
        <v>2447.2773645799998</v>
      </c>
      <c r="AN147" s="67"/>
      <c r="AO147" s="67">
        <f t="shared" si="201"/>
        <v>0</v>
      </c>
      <c r="AP147" s="67"/>
      <c r="AQ147" s="67">
        <f t="shared" si="202"/>
        <v>0</v>
      </c>
      <c r="AR147" s="67"/>
      <c r="AS147" s="67">
        <f t="shared" si="203"/>
        <v>1598.58204204</v>
      </c>
      <c r="AT147" s="67"/>
      <c r="AU147" s="67">
        <f t="shared" si="204"/>
        <v>0</v>
      </c>
      <c r="AV147" s="67"/>
      <c r="AW147" s="67">
        <f t="shared" si="205"/>
        <v>364.35672371000004</v>
      </c>
      <c r="AX147" s="67"/>
      <c r="AY147" s="67">
        <f t="shared" si="206"/>
        <v>1125.71229892</v>
      </c>
      <c r="AZ147" s="310"/>
      <c r="BA147" s="95">
        <f t="shared" si="152"/>
        <v>0</v>
      </c>
      <c r="BB147" s="80"/>
      <c r="BC147" s="80"/>
      <c r="BD147" s="80"/>
    </row>
    <row r="148" spans="1:56" x14ac:dyDescent="0.2">
      <c r="A148" s="110"/>
      <c r="B148" s="185"/>
      <c r="F148" s="109" t="s">
        <v>367</v>
      </c>
      <c r="G148" s="166"/>
      <c r="H148" s="73">
        <v>12</v>
      </c>
      <c r="I148"/>
      <c r="J148" s="192">
        <v>107163.73416614078</v>
      </c>
      <c r="K148" s="160"/>
      <c r="L148" s="104">
        <f t="shared" si="191"/>
        <v>62422.875151777007</v>
      </c>
      <c r="M148" s="190"/>
      <c r="N148" s="104">
        <f t="shared" si="192"/>
        <v>21164.837497812805</v>
      </c>
      <c r="O148" s="190"/>
      <c r="P148" s="104">
        <f t="shared" si="193"/>
        <v>5476.0668158897943</v>
      </c>
      <c r="Q148" s="190"/>
      <c r="R148" s="104">
        <f t="shared" si="194"/>
        <v>0</v>
      </c>
      <c r="S148" s="190"/>
      <c r="T148" s="104">
        <f t="shared" si="195"/>
        <v>0</v>
      </c>
      <c r="U148" s="190"/>
      <c r="V148" s="104">
        <f t="shared" si="196"/>
        <v>4425.8622210616149</v>
      </c>
      <c r="W148" s="190"/>
      <c r="X148" s="104">
        <f t="shared" si="197"/>
        <v>13674.092479599563</v>
      </c>
      <c r="Y148" s="105"/>
      <c r="Z148" s="95">
        <f t="shared" si="185"/>
        <v>0</v>
      </c>
      <c r="AC148" s="109" t="s">
        <v>367</v>
      </c>
      <c r="AE148" s="140">
        <f t="shared" si="186"/>
        <v>12</v>
      </c>
      <c r="AF148" s="310"/>
      <c r="AG148" s="80">
        <f t="shared" si="187"/>
        <v>107163.73416614078</v>
      </c>
      <c r="AH148" s="310"/>
      <c r="AI148" s="67">
        <f t="shared" si="198"/>
        <v>20178.931143484308</v>
      </c>
      <c r="AJ148" s="67"/>
      <c r="AK148" s="67">
        <f t="shared" si="199"/>
        <v>19739.559833403131</v>
      </c>
      <c r="AL148" s="67"/>
      <c r="AM148" s="67">
        <f t="shared" si="200"/>
        <v>29727.219857687451</v>
      </c>
      <c r="AN148" s="67"/>
      <c r="AO148" s="67">
        <f t="shared" si="201"/>
        <v>0</v>
      </c>
      <c r="AP148" s="67"/>
      <c r="AQ148" s="67">
        <f t="shared" si="202"/>
        <v>0</v>
      </c>
      <c r="AR148" s="67"/>
      <c r="AS148" s="67">
        <f t="shared" si="203"/>
        <v>19418.068630904709</v>
      </c>
      <c r="AT148" s="67"/>
      <c r="AU148" s="67">
        <f t="shared" si="204"/>
        <v>0</v>
      </c>
      <c r="AV148" s="67"/>
      <c r="AW148" s="67">
        <f t="shared" si="205"/>
        <v>4425.8622210616149</v>
      </c>
      <c r="AX148" s="67"/>
      <c r="AY148" s="67">
        <f t="shared" si="206"/>
        <v>13674.092479599563</v>
      </c>
      <c r="AZ148" s="310"/>
      <c r="BA148" s="95">
        <f t="shared" si="152"/>
        <v>0</v>
      </c>
      <c r="BB148" s="80"/>
      <c r="BC148" s="80"/>
      <c r="BD148" s="80"/>
    </row>
    <row r="149" spans="1:56" x14ac:dyDescent="0.2">
      <c r="A149" s="110"/>
      <c r="B149" s="185"/>
      <c r="F149" s="109" t="s">
        <v>481</v>
      </c>
      <c r="G149" s="166"/>
      <c r="H149" s="73">
        <v>12</v>
      </c>
      <c r="I149"/>
      <c r="J149" s="192">
        <v>154642.66185366496</v>
      </c>
      <c r="K149" s="160"/>
      <c r="L149" s="104">
        <f t="shared" si="191"/>
        <v>90079.350529759846</v>
      </c>
      <c r="M149" s="190"/>
      <c r="N149" s="104">
        <f t="shared" si="192"/>
        <v>30541.925716098831</v>
      </c>
      <c r="O149" s="190"/>
      <c r="P149" s="104">
        <f t="shared" si="193"/>
        <v>7902.24002072228</v>
      </c>
      <c r="Q149" s="190"/>
      <c r="R149" s="104">
        <f t="shared" si="194"/>
        <v>0</v>
      </c>
      <c r="S149" s="190"/>
      <c r="T149" s="104">
        <f t="shared" si="195"/>
        <v>0</v>
      </c>
      <c r="U149" s="190"/>
      <c r="V149" s="104">
        <f t="shared" si="196"/>
        <v>6386.741934556363</v>
      </c>
      <c r="W149" s="190"/>
      <c r="X149" s="104">
        <f t="shared" si="197"/>
        <v>19732.403652527646</v>
      </c>
      <c r="Y149" s="105"/>
      <c r="Z149" s="95">
        <f t="shared" si="185"/>
        <v>0</v>
      </c>
      <c r="AC149" s="109" t="s">
        <v>481</v>
      </c>
      <c r="AE149" s="140">
        <f t="shared" si="186"/>
        <v>12</v>
      </c>
      <c r="AF149" s="310"/>
      <c r="AG149" s="80">
        <f t="shared" si="187"/>
        <v>154642.66185366496</v>
      </c>
      <c r="AH149" s="310"/>
      <c r="AI149" s="67">
        <f t="shared" si="198"/>
        <v>29119.213227045111</v>
      </c>
      <c r="AJ149" s="67"/>
      <c r="AK149" s="67">
        <f t="shared" si="199"/>
        <v>28485.178313445085</v>
      </c>
      <c r="AL149" s="67"/>
      <c r="AM149" s="67">
        <f t="shared" si="200"/>
        <v>42897.874398206659</v>
      </c>
      <c r="AN149" s="67"/>
      <c r="AO149" s="67">
        <f t="shared" si="201"/>
        <v>0</v>
      </c>
      <c r="AP149" s="67"/>
      <c r="AQ149" s="67">
        <f t="shared" si="202"/>
        <v>0</v>
      </c>
      <c r="AR149" s="67"/>
      <c r="AS149" s="67">
        <f t="shared" si="203"/>
        <v>28021.250327884092</v>
      </c>
      <c r="AT149" s="67"/>
      <c r="AU149" s="67">
        <f t="shared" si="204"/>
        <v>0</v>
      </c>
      <c r="AV149" s="67"/>
      <c r="AW149" s="67">
        <f t="shared" si="205"/>
        <v>6386.741934556363</v>
      </c>
      <c r="AX149" s="67"/>
      <c r="AY149" s="67">
        <f t="shared" si="206"/>
        <v>19732.403652527646</v>
      </c>
      <c r="AZ149" s="310"/>
      <c r="BA149" s="95">
        <f t="shared" si="152"/>
        <v>0</v>
      </c>
      <c r="BB149" s="80"/>
      <c r="BC149" s="80"/>
      <c r="BD149" s="80"/>
    </row>
    <row r="150" spans="1:56" x14ac:dyDescent="0.2">
      <c r="A150" s="184"/>
      <c r="B150" s="185"/>
      <c r="F150" s="109" t="s">
        <v>339</v>
      </c>
      <c r="G150" s="166"/>
      <c r="H150" s="73">
        <v>12</v>
      </c>
      <c r="I150"/>
      <c r="J150" s="192">
        <v>150106.22599999997</v>
      </c>
      <c r="K150" s="160"/>
      <c r="L150" s="104">
        <f t="shared" si="191"/>
        <v>87436.876644999982</v>
      </c>
      <c r="M150" s="190"/>
      <c r="N150" s="104">
        <f t="shared" si="192"/>
        <v>29645.979634999996</v>
      </c>
      <c r="O150" s="190"/>
      <c r="P150" s="104">
        <f t="shared" si="193"/>
        <v>7670.4281485999982</v>
      </c>
      <c r="Q150" s="190"/>
      <c r="R150" s="104">
        <f t="shared" si="194"/>
        <v>0</v>
      </c>
      <c r="S150" s="190"/>
      <c r="T150" s="104">
        <f t="shared" si="195"/>
        <v>0</v>
      </c>
      <c r="U150" s="190"/>
      <c r="V150" s="104">
        <f t="shared" si="196"/>
        <v>6199.387133799999</v>
      </c>
      <c r="W150" s="190"/>
      <c r="X150" s="104">
        <f t="shared" si="197"/>
        <v>19153.554437599993</v>
      </c>
      <c r="Y150" s="105"/>
      <c r="Z150" s="95">
        <f t="shared" si="185"/>
        <v>0</v>
      </c>
      <c r="AC150" s="109" t="s">
        <v>339</v>
      </c>
      <c r="AE150" s="140">
        <f t="shared" si="186"/>
        <v>12</v>
      </c>
      <c r="AF150" s="310"/>
      <c r="AG150" s="80">
        <f t="shared" si="187"/>
        <v>150106.22599999997</v>
      </c>
      <c r="AH150" s="310"/>
      <c r="AI150" s="67">
        <f t="shared" si="198"/>
        <v>28265.002355799992</v>
      </c>
      <c r="AJ150" s="67"/>
      <c r="AK150" s="67">
        <f t="shared" si="199"/>
        <v>27649.566829199994</v>
      </c>
      <c r="AL150" s="67"/>
      <c r="AM150" s="67">
        <f t="shared" si="200"/>
        <v>41639.467092399987</v>
      </c>
      <c r="AN150" s="67"/>
      <c r="AO150" s="67">
        <f t="shared" si="201"/>
        <v>0</v>
      </c>
      <c r="AP150" s="67"/>
      <c r="AQ150" s="67">
        <f t="shared" si="202"/>
        <v>0</v>
      </c>
      <c r="AR150" s="67"/>
      <c r="AS150" s="67">
        <f t="shared" si="203"/>
        <v>27199.248151199994</v>
      </c>
      <c r="AT150" s="67"/>
      <c r="AU150" s="67">
        <f t="shared" si="204"/>
        <v>0</v>
      </c>
      <c r="AV150" s="67"/>
      <c r="AW150" s="67">
        <f t="shared" si="205"/>
        <v>6199.387133799999</v>
      </c>
      <c r="AX150" s="67"/>
      <c r="AY150" s="67">
        <f t="shared" si="206"/>
        <v>19153.554437599993</v>
      </c>
      <c r="AZ150" s="310"/>
      <c r="BA150" s="95">
        <f t="shared" si="152"/>
        <v>0</v>
      </c>
      <c r="BB150" s="80"/>
      <c r="BC150" s="80"/>
      <c r="BD150" s="80"/>
    </row>
    <row r="151" spans="1:56" x14ac:dyDescent="0.2">
      <c r="A151" s="184"/>
      <c r="B151" s="185"/>
      <c r="F151" s="109" t="s">
        <v>340</v>
      </c>
      <c r="G151" s="166"/>
      <c r="H151" s="73">
        <v>2</v>
      </c>
      <c r="I151"/>
      <c r="J151" s="192">
        <v>58595.346999999994</v>
      </c>
      <c r="K151" s="160"/>
      <c r="L151" s="104">
        <f t="shared" si="191"/>
        <v>36030.278870299997</v>
      </c>
      <c r="M151" s="190"/>
      <c r="N151" s="104">
        <f t="shared" si="192"/>
        <v>16840.302727799997</v>
      </c>
      <c r="O151" s="190"/>
      <c r="P151" s="104">
        <f t="shared" si="193"/>
        <v>5560.698430299999</v>
      </c>
      <c r="Q151" s="190"/>
      <c r="R151" s="104">
        <f t="shared" si="194"/>
        <v>0</v>
      </c>
      <c r="S151" s="190"/>
      <c r="T151" s="104">
        <f t="shared" si="195"/>
        <v>0</v>
      </c>
      <c r="U151" s="190"/>
      <c r="V151" s="104">
        <f t="shared" si="196"/>
        <v>29.297673499999998</v>
      </c>
      <c r="W151" s="190"/>
      <c r="X151" s="104">
        <f t="shared" si="197"/>
        <v>134.76929809999999</v>
      </c>
      <c r="Y151" s="105"/>
      <c r="Z151" s="95">
        <f t="shared" si="185"/>
        <v>0</v>
      </c>
      <c r="AC151" s="109" t="s">
        <v>340</v>
      </c>
      <c r="AE151" s="140">
        <f t="shared" si="186"/>
        <v>2</v>
      </c>
      <c r="AF151" s="310"/>
      <c r="AG151" s="80">
        <f t="shared" si="187"/>
        <v>58595.346999999994</v>
      </c>
      <c r="AH151" s="310"/>
      <c r="AI151" s="67">
        <f t="shared" si="198"/>
        <v>30674.664154500002</v>
      </c>
      <c r="AJ151" s="67"/>
      <c r="AK151" s="67">
        <f t="shared" si="199"/>
        <v>27756.615873899998</v>
      </c>
      <c r="AL151" s="67"/>
      <c r="AM151" s="67">
        <f t="shared" si="200"/>
        <v>0</v>
      </c>
      <c r="AN151" s="67"/>
      <c r="AO151" s="67">
        <f t="shared" si="201"/>
        <v>0</v>
      </c>
      <c r="AP151" s="67"/>
      <c r="AQ151" s="67">
        <f t="shared" si="202"/>
        <v>0</v>
      </c>
      <c r="AR151" s="67"/>
      <c r="AS151" s="67">
        <f t="shared" si="203"/>
        <v>0</v>
      </c>
      <c r="AT151" s="67"/>
      <c r="AU151" s="67">
        <f t="shared" si="204"/>
        <v>0</v>
      </c>
      <c r="AV151" s="67"/>
      <c r="AW151" s="67">
        <f t="shared" si="205"/>
        <v>29.297673499999998</v>
      </c>
      <c r="AX151" s="67"/>
      <c r="AY151" s="67">
        <f t="shared" si="206"/>
        <v>134.76929809999999</v>
      </c>
      <c r="AZ151" s="310"/>
      <c r="BA151" s="95">
        <f t="shared" si="152"/>
        <v>0</v>
      </c>
      <c r="BB151" s="80"/>
      <c r="BC151" s="80"/>
      <c r="BD151" s="80"/>
    </row>
    <row r="152" spans="1:56" ht="15" customHeight="1" x14ac:dyDescent="0.2">
      <c r="A152" s="110"/>
      <c r="B152" s="185"/>
      <c r="F152" s="109" t="s">
        <v>341</v>
      </c>
      <c r="G152" s="166"/>
      <c r="H152" s="73">
        <v>12</v>
      </c>
      <c r="I152"/>
      <c r="J152" s="192">
        <v>23933.906999999999</v>
      </c>
      <c r="K152" s="160"/>
      <c r="L152" s="104">
        <f t="shared" si="191"/>
        <v>13941.5008275</v>
      </c>
      <c r="M152" s="190"/>
      <c r="N152" s="104">
        <f t="shared" si="192"/>
        <v>4726.9466325000003</v>
      </c>
      <c r="O152" s="190"/>
      <c r="P152" s="104">
        <f t="shared" si="193"/>
        <v>1223.0226476999999</v>
      </c>
      <c r="Q152" s="190"/>
      <c r="R152" s="104">
        <f t="shared" si="194"/>
        <v>0</v>
      </c>
      <c r="S152" s="190"/>
      <c r="T152" s="104">
        <f t="shared" si="195"/>
        <v>0</v>
      </c>
      <c r="U152" s="190"/>
      <c r="V152" s="104">
        <f t="shared" si="196"/>
        <v>988.4703591</v>
      </c>
      <c r="W152" s="190"/>
      <c r="X152" s="104">
        <f t="shared" si="197"/>
        <v>3053.9665331999995</v>
      </c>
      <c r="Y152" s="105"/>
      <c r="Z152" s="95">
        <f t="shared" si="185"/>
        <v>0</v>
      </c>
      <c r="AC152" s="109" t="s">
        <v>341</v>
      </c>
      <c r="AE152" s="140">
        <f t="shared" si="186"/>
        <v>12</v>
      </c>
      <c r="AF152" s="310"/>
      <c r="AG152" s="80">
        <f t="shared" si="187"/>
        <v>23933.906999999999</v>
      </c>
      <c r="AH152" s="310"/>
      <c r="AI152" s="67">
        <f t="shared" si="198"/>
        <v>4506.7546880999998</v>
      </c>
      <c r="AJ152" s="67"/>
      <c r="AK152" s="67">
        <f t="shared" si="199"/>
        <v>4408.6256694000003</v>
      </c>
      <c r="AL152" s="67"/>
      <c r="AM152" s="67">
        <f t="shared" si="200"/>
        <v>6639.2658017999993</v>
      </c>
      <c r="AN152" s="67"/>
      <c r="AO152" s="67">
        <f t="shared" si="201"/>
        <v>0</v>
      </c>
      <c r="AP152" s="67"/>
      <c r="AQ152" s="67">
        <f t="shared" si="202"/>
        <v>0</v>
      </c>
      <c r="AR152" s="67"/>
      <c r="AS152" s="67">
        <f t="shared" si="203"/>
        <v>4336.8239483999996</v>
      </c>
      <c r="AT152" s="67"/>
      <c r="AU152" s="67">
        <f t="shared" si="204"/>
        <v>0</v>
      </c>
      <c r="AV152" s="67"/>
      <c r="AW152" s="67">
        <f t="shared" si="205"/>
        <v>988.4703591</v>
      </c>
      <c r="AX152" s="67"/>
      <c r="AY152" s="67">
        <f t="shared" si="206"/>
        <v>3053.9665331999995</v>
      </c>
      <c r="AZ152" s="310"/>
      <c r="BA152" s="95">
        <f t="shared" si="152"/>
        <v>0</v>
      </c>
      <c r="BB152" s="80"/>
      <c r="BC152" s="80"/>
      <c r="BD152" s="80"/>
    </row>
    <row r="153" spans="1:56" x14ac:dyDescent="0.2">
      <c r="A153" s="110"/>
      <c r="B153" s="185"/>
      <c r="F153" s="109" t="s">
        <v>342</v>
      </c>
      <c r="G153" s="166"/>
      <c r="H153" s="73">
        <v>12</v>
      </c>
      <c r="I153"/>
      <c r="J153" s="192">
        <v>-3046.5874999999996</v>
      </c>
      <c r="K153" s="160"/>
      <c r="L153" s="104">
        <f t="shared" si="191"/>
        <v>-1774.6372187499999</v>
      </c>
      <c r="M153" s="190"/>
      <c r="N153" s="104">
        <f t="shared" si="192"/>
        <v>-601.70103124999991</v>
      </c>
      <c r="O153" s="190"/>
      <c r="P153" s="104">
        <f t="shared" si="193"/>
        <v>-155.68062124999997</v>
      </c>
      <c r="Q153" s="190"/>
      <c r="R153" s="104">
        <f t="shared" si="194"/>
        <v>0</v>
      </c>
      <c r="S153" s="190"/>
      <c r="T153" s="104">
        <f t="shared" si="195"/>
        <v>0</v>
      </c>
      <c r="U153" s="190"/>
      <c r="V153" s="104">
        <f t="shared" si="196"/>
        <v>-125.82406374999999</v>
      </c>
      <c r="W153" s="190"/>
      <c r="X153" s="104">
        <f t="shared" si="197"/>
        <v>-388.74456499999991</v>
      </c>
      <c r="Y153" s="105"/>
      <c r="Z153" s="95">
        <f t="shared" si="185"/>
        <v>0</v>
      </c>
      <c r="AC153" s="109" t="s">
        <v>342</v>
      </c>
      <c r="AE153" s="140">
        <f t="shared" si="186"/>
        <v>12</v>
      </c>
      <c r="AF153" s="310"/>
      <c r="AG153" s="80">
        <f t="shared" si="187"/>
        <v>-3046.5874999999996</v>
      </c>
      <c r="AH153" s="310"/>
      <c r="AI153" s="67">
        <f t="shared" si="198"/>
        <v>-573.67242624999994</v>
      </c>
      <c r="AJ153" s="67"/>
      <c r="AK153" s="67">
        <f t="shared" si="199"/>
        <v>-561.18141749999995</v>
      </c>
      <c r="AL153" s="67"/>
      <c r="AM153" s="67">
        <f t="shared" si="200"/>
        <v>-845.12337249999985</v>
      </c>
      <c r="AN153" s="67"/>
      <c r="AO153" s="67">
        <f t="shared" si="201"/>
        <v>0</v>
      </c>
      <c r="AP153" s="67"/>
      <c r="AQ153" s="67">
        <f t="shared" si="202"/>
        <v>0</v>
      </c>
      <c r="AR153" s="67"/>
      <c r="AS153" s="67">
        <f t="shared" si="203"/>
        <v>-552.04165499999988</v>
      </c>
      <c r="AT153" s="67"/>
      <c r="AU153" s="67">
        <f t="shared" si="204"/>
        <v>0</v>
      </c>
      <c r="AV153" s="67"/>
      <c r="AW153" s="67">
        <f t="shared" si="205"/>
        <v>-125.82406374999999</v>
      </c>
      <c r="AX153" s="67"/>
      <c r="AY153" s="67">
        <f t="shared" si="206"/>
        <v>-388.74456499999991</v>
      </c>
      <c r="AZ153" s="310"/>
      <c r="BA153" s="95">
        <f t="shared" si="152"/>
        <v>0</v>
      </c>
      <c r="BB153" s="80"/>
      <c r="BC153" s="80"/>
      <c r="BD153" s="80"/>
    </row>
    <row r="154" spans="1:56" x14ac:dyDescent="0.2">
      <c r="A154" s="110"/>
      <c r="B154" s="185"/>
      <c r="F154" s="109" t="s">
        <v>343</v>
      </c>
      <c r="G154" s="166"/>
      <c r="H154" s="73">
        <v>12</v>
      </c>
      <c r="I154"/>
      <c r="J154" s="232">
        <v>51084.6</v>
      </c>
      <c r="K154" s="160"/>
      <c r="L154" s="231">
        <f t="shared" si="191"/>
        <v>29756.779500000001</v>
      </c>
      <c r="M154" s="160"/>
      <c r="N154" s="231">
        <f t="shared" si="192"/>
        <v>10089.208500000001</v>
      </c>
      <c r="O154" s="160"/>
      <c r="P154" s="231">
        <f t="shared" si="193"/>
        <v>2610.4230600000001</v>
      </c>
      <c r="Q154" s="160"/>
      <c r="R154" s="231">
        <f t="shared" si="194"/>
        <v>0</v>
      </c>
      <c r="S154" s="160"/>
      <c r="T154" s="231">
        <f t="shared" si="195"/>
        <v>0</v>
      </c>
      <c r="U154" s="160"/>
      <c r="V154" s="231">
        <f t="shared" si="196"/>
        <v>2109.7939799999999</v>
      </c>
      <c r="W154" s="160"/>
      <c r="X154" s="231">
        <f t="shared" si="197"/>
        <v>6518.3949599999996</v>
      </c>
      <c r="Y154" s="105"/>
      <c r="Z154" s="95">
        <f t="shared" si="153"/>
        <v>0</v>
      </c>
      <c r="AC154" s="109" t="s">
        <v>343</v>
      </c>
      <c r="AE154" s="140">
        <f t="shared" ref="AE154" si="207">+H154</f>
        <v>12</v>
      </c>
      <c r="AG154" s="168">
        <f t="shared" ref="AG154" si="208">+J154</f>
        <v>51084.6</v>
      </c>
      <c r="AI154" s="68">
        <f t="shared" si="198"/>
        <v>9619.2301799999987</v>
      </c>
      <c r="AK154" s="68">
        <f t="shared" si="199"/>
        <v>9409.7833200000005</v>
      </c>
      <c r="AM154" s="68">
        <f t="shared" si="200"/>
        <v>14170.868039999999</v>
      </c>
      <c r="AO154" s="68">
        <f t="shared" si="201"/>
        <v>0</v>
      </c>
      <c r="AQ154" s="68">
        <f t="shared" si="202"/>
        <v>0</v>
      </c>
      <c r="AS154" s="68">
        <f t="shared" si="203"/>
        <v>9256.52952</v>
      </c>
      <c r="AU154" s="68">
        <f t="shared" si="204"/>
        <v>0</v>
      </c>
      <c r="AW154" s="68">
        <f t="shared" si="205"/>
        <v>2109.7939799999999</v>
      </c>
      <c r="AY154" s="68">
        <f t="shared" si="206"/>
        <v>6518.3949599999996</v>
      </c>
      <c r="BA154" s="95">
        <f t="shared" si="152"/>
        <v>0</v>
      </c>
      <c r="BB154" s="80"/>
      <c r="BC154" s="80"/>
      <c r="BD154" s="80"/>
    </row>
    <row r="155" spans="1:56" x14ac:dyDescent="0.2">
      <c r="A155" s="110"/>
      <c r="B155" s="185"/>
      <c r="C155" s="674"/>
      <c r="F155" s="109"/>
      <c r="G155" s="166"/>
      <c r="H155" s="73"/>
      <c r="I155"/>
      <c r="J155" s="192"/>
      <c r="K155" s="160"/>
      <c r="L155" s="81"/>
      <c r="M155" s="160"/>
      <c r="N155" s="81"/>
      <c r="O155" s="160"/>
      <c r="P155" s="81"/>
      <c r="Q155" s="160"/>
      <c r="R155" s="81"/>
      <c r="S155" s="160"/>
      <c r="T155" s="81"/>
      <c r="U155" s="160"/>
      <c r="V155" s="81"/>
      <c r="W155" s="160"/>
      <c r="X155" s="81"/>
      <c r="Z155" s="95">
        <f t="shared" si="153"/>
        <v>0</v>
      </c>
      <c r="AC155" s="109"/>
      <c r="AE155" s="140"/>
      <c r="AG155" s="225"/>
      <c r="AH155" s="82"/>
      <c r="AI155" s="81"/>
      <c r="AJ155" s="82"/>
      <c r="AK155" s="81"/>
      <c r="AL155" s="82"/>
      <c r="AM155" s="81"/>
      <c r="AN155" s="82"/>
      <c r="AO155" s="81"/>
      <c r="AP155" s="82"/>
      <c r="AQ155" s="81"/>
      <c r="AR155" s="82"/>
      <c r="AS155" s="81"/>
      <c r="AT155" s="82"/>
      <c r="AU155" s="81"/>
      <c r="AV155" s="82"/>
      <c r="AW155" s="81"/>
      <c r="AX155" s="82"/>
      <c r="AY155" s="81"/>
      <c r="BA155" s="95">
        <f t="shared" si="152"/>
        <v>0</v>
      </c>
      <c r="BB155" s="80"/>
      <c r="BC155" s="80"/>
      <c r="BD155" s="80"/>
    </row>
    <row r="156" spans="1:56" x14ac:dyDescent="0.2">
      <c r="A156" s="110"/>
      <c r="B156" s="185"/>
      <c r="C156" s="674"/>
      <c r="F156" t="s">
        <v>291</v>
      </c>
      <c r="G156" s="166"/>
      <c r="H156" s="73"/>
      <c r="I156"/>
      <c r="J156" s="191"/>
      <c r="K156"/>
      <c r="L156" s="191"/>
      <c r="M156"/>
      <c r="N156" s="191"/>
      <c r="O156"/>
      <c r="P156" s="191"/>
      <c r="Q156"/>
      <c r="R156" s="191"/>
      <c r="S156"/>
      <c r="T156" s="191"/>
      <c r="U156"/>
      <c r="V156" s="191"/>
      <c r="W156"/>
      <c r="X156" s="191"/>
      <c r="Z156" s="95">
        <f t="shared" si="153"/>
        <v>0</v>
      </c>
      <c r="AC156" t="s">
        <v>26</v>
      </c>
      <c r="AD156" s="166"/>
      <c r="AE156" s="73"/>
      <c r="AG156" s="191"/>
      <c r="AH156" s="82"/>
      <c r="AI156" s="81"/>
      <c r="AJ156" s="82"/>
      <c r="AK156" s="81"/>
      <c r="AL156" s="82"/>
      <c r="AM156" s="81"/>
      <c r="AN156" s="82"/>
      <c r="AO156" s="81"/>
      <c r="AP156" s="82"/>
      <c r="AQ156" s="81"/>
      <c r="AR156" s="82"/>
      <c r="AS156" s="81"/>
      <c r="AT156" s="82"/>
      <c r="AU156" s="81"/>
      <c r="AV156" s="82"/>
      <c r="AW156" s="81"/>
      <c r="AX156" s="82"/>
      <c r="AY156" s="81"/>
      <c r="BA156" s="95">
        <f t="shared" si="152"/>
        <v>0</v>
      </c>
      <c r="BB156" s="80"/>
      <c r="BC156" s="80"/>
      <c r="BD156" s="80"/>
    </row>
    <row r="157" spans="1:56" x14ac:dyDescent="0.2">
      <c r="A157" s="110"/>
      <c r="B157" s="185"/>
      <c r="C157" s="674"/>
      <c r="F157" t="s">
        <v>292</v>
      </c>
      <c r="G157" s="166"/>
      <c r="H157" s="73"/>
      <c r="I157"/>
      <c r="J157" s="191">
        <f>SUM(J129:J156)</f>
        <v>6522178.825339078</v>
      </c>
      <c r="K157" s="371"/>
      <c r="L157" s="191">
        <f>SUM(L129:L156)</f>
        <v>3759873.3706915798</v>
      </c>
      <c r="M157" s="371"/>
      <c r="N157" s="652">
        <f>SUM(N129:N156)</f>
        <v>1479067.8270080008</v>
      </c>
      <c r="O157" s="371"/>
      <c r="P157" s="191">
        <f>SUM(P129:P156)</f>
        <v>426916.72709532938</v>
      </c>
      <c r="Q157" s="371"/>
      <c r="R157" s="191">
        <f>SUM(R129:R156)</f>
        <v>0</v>
      </c>
      <c r="S157" s="371"/>
      <c r="T157" s="191">
        <f>SUM(T129:T156)</f>
        <v>0</v>
      </c>
      <c r="U157" s="371"/>
      <c r="V157" s="191">
        <f>SUM(V129:V156)</f>
        <v>134621.27521023923</v>
      </c>
      <c r="W157" s="371"/>
      <c r="X157" s="191">
        <f>SUM(X129:X156)</f>
        <v>721699.62533393118</v>
      </c>
      <c r="Z157" s="95">
        <f t="shared" si="153"/>
        <v>0</v>
      </c>
      <c r="AC157" t="s">
        <v>27</v>
      </c>
      <c r="AD157" s="166"/>
      <c r="AE157" s="73"/>
      <c r="AG157" s="191">
        <f>SUM(AG129:AG156)</f>
        <v>6522178.825339078</v>
      </c>
      <c r="AI157" s="191">
        <f>SUM(AI129:AI156)</f>
        <v>2144366.8085717531</v>
      </c>
      <c r="AK157" s="191">
        <f>SUM(AK129:AK156)</f>
        <v>1629073.2993518836</v>
      </c>
      <c r="AM157" s="191">
        <f>SUM(AM129:AM156)</f>
        <v>893499.51286267152</v>
      </c>
      <c r="AO157" s="191">
        <f>SUM(AO129:AO156)</f>
        <v>568880.57678497792</v>
      </c>
      <c r="AQ157" s="191">
        <f>SUM(AQ129:AQ156)</f>
        <v>310768.54053140001</v>
      </c>
      <c r="AS157" s="191">
        <f>SUM(AS129:AS156)</f>
        <v>124059.97201070879</v>
      </c>
      <c r="AU157" s="191">
        <f>SUM(AU129:AU156)</f>
        <v>0</v>
      </c>
      <c r="AW157" s="191">
        <f>SUM(AW129:AW156)</f>
        <v>133738.1360172159</v>
      </c>
      <c r="AY157" s="191">
        <f>SUM(AY129:AY156)</f>
        <v>717791.97920846846</v>
      </c>
      <c r="BA157" s="95">
        <f t="shared" si="152"/>
        <v>0</v>
      </c>
      <c r="BB157" s="80"/>
      <c r="BC157" s="80"/>
      <c r="BD157" s="80"/>
    </row>
    <row r="158" spans="1:56" x14ac:dyDescent="0.2">
      <c r="A158" s="110"/>
      <c r="B158" s="185"/>
      <c r="C158" s="674"/>
      <c r="F158"/>
      <c r="G158" s="166"/>
      <c r="H158" s="73"/>
      <c r="I158"/>
      <c r="J158" s="531"/>
      <c r="K158" s="160"/>
      <c r="L158" s="81"/>
      <c r="M158" s="99"/>
      <c r="N158" s="81"/>
      <c r="O158" s="99"/>
      <c r="P158" s="81"/>
      <c r="Q158" s="99"/>
      <c r="R158" s="81"/>
      <c r="S158" s="99"/>
      <c r="T158" s="81"/>
      <c r="U158" s="99"/>
      <c r="V158" s="81"/>
      <c r="W158" s="99"/>
      <c r="X158" s="81"/>
      <c r="Z158" s="95">
        <f t="shared" si="153"/>
        <v>0</v>
      </c>
      <c r="AC158"/>
      <c r="AE158" s="140"/>
      <c r="AG158" s="225"/>
      <c r="AH158" s="82"/>
      <c r="AI158" s="81"/>
      <c r="AJ158" s="81"/>
      <c r="AK158" s="81"/>
      <c r="AL158" s="81"/>
      <c r="AM158" s="81"/>
      <c r="AN158" s="81"/>
      <c r="AO158" s="81"/>
      <c r="AP158" s="81"/>
      <c r="AQ158" s="81"/>
      <c r="AR158" s="81"/>
      <c r="AS158" s="81"/>
      <c r="AT158" s="81"/>
      <c r="AU158" s="81"/>
      <c r="AV158" s="81"/>
      <c r="AW158" s="81"/>
      <c r="AX158" s="81"/>
      <c r="AY158" s="81"/>
      <c r="BA158" s="95">
        <f t="shared" si="152"/>
        <v>0</v>
      </c>
      <c r="BB158" s="80"/>
      <c r="BC158" s="80"/>
      <c r="BD158" s="80"/>
    </row>
    <row r="159" spans="1:56" x14ac:dyDescent="0.2">
      <c r="A159" s="110"/>
      <c r="B159" s="185"/>
      <c r="C159" s="674"/>
      <c r="F159" s="236" t="s">
        <v>28</v>
      </c>
      <c r="G159" s="166"/>
      <c r="H159" s="73"/>
      <c r="I159"/>
      <c r="J159" s="157"/>
      <c r="K159" s="160"/>
      <c r="L159" s="81"/>
      <c r="M159" s="99"/>
      <c r="N159" s="81"/>
      <c r="O159" s="99"/>
      <c r="P159" s="81"/>
      <c r="Q159" s="99"/>
      <c r="R159" s="81"/>
      <c r="S159" s="99"/>
      <c r="T159" s="81"/>
      <c r="U159" s="99"/>
      <c r="V159" s="81"/>
      <c r="W159" s="99"/>
      <c r="X159" s="81"/>
      <c r="Z159" s="95">
        <f t="shared" si="153"/>
        <v>0</v>
      </c>
      <c r="AC159" s="236" t="s">
        <v>28</v>
      </c>
      <c r="AE159" s="140"/>
      <c r="AG159" s="225"/>
      <c r="AH159" s="82"/>
      <c r="AI159" s="81"/>
      <c r="AJ159" s="81"/>
      <c r="AK159" s="81"/>
      <c r="AL159" s="81"/>
      <c r="AM159" s="81"/>
      <c r="AN159" s="81"/>
      <c r="AO159" s="81"/>
      <c r="AP159" s="81"/>
      <c r="AQ159" s="81"/>
      <c r="AR159" s="81"/>
      <c r="AS159" s="81"/>
      <c r="AT159" s="81"/>
      <c r="AU159" s="81"/>
      <c r="AV159" s="81"/>
      <c r="AW159" s="81"/>
      <c r="AX159" s="81"/>
      <c r="AY159" s="81"/>
      <c r="BA159" s="95">
        <f t="shared" si="152"/>
        <v>0</v>
      </c>
      <c r="BB159" s="80"/>
      <c r="BC159" s="80"/>
      <c r="BD159" s="80"/>
    </row>
    <row r="160" spans="1:56" x14ac:dyDescent="0.2">
      <c r="A160" s="184"/>
      <c r="B160" s="185"/>
      <c r="C160" s="674"/>
      <c r="F160" s="237" t="s">
        <v>530</v>
      </c>
      <c r="G160" s="166"/>
      <c r="H160" s="73">
        <v>13</v>
      </c>
      <c r="I160"/>
      <c r="J160" s="191">
        <v>299405</v>
      </c>
      <c r="K160" s="160"/>
      <c r="L160" s="104">
        <f ca="1">(VLOOKUP($H160,Factors,L$195))*$J160</f>
        <v>174163.8885</v>
      </c>
      <c r="M160" s="190"/>
      <c r="N160" s="104">
        <f ca="1">(VLOOKUP($H160,Factors,N$195))*$J160</f>
        <v>71827.2595</v>
      </c>
      <c r="O160" s="190"/>
      <c r="P160" s="104">
        <f ca="1">(VLOOKUP($H160,Factors,P$195))*$J160</f>
        <v>22365.553500000002</v>
      </c>
      <c r="Q160" s="190"/>
      <c r="R160" s="104">
        <f ca="1">(VLOOKUP($H160,Factors,R$195))*$J160</f>
        <v>0</v>
      </c>
      <c r="S160" s="190"/>
      <c r="T160" s="104">
        <f ca="1">(VLOOKUP($H160,Factors,T$195))*$J160</f>
        <v>0</v>
      </c>
      <c r="U160" s="190"/>
      <c r="V160" s="104">
        <f ca="1">(VLOOKUP($H160,Factors,V$195))*$J160</f>
        <v>7485.125</v>
      </c>
      <c r="W160" s="190"/>
      <c r="X160" s="104">
        <f ca="1">(VLOOKUP($H160,Factors,X$195))*$J160</f>
        <v>23563.173500000001</v>
      </c>
      <c r="Y160" s="105"/>
      <c r="Z160" s="95">
        <f t="shared" ref="Z160" ca="1" si="209">SUM(L160:X160)-J160</f>
        <v>0</v>
      </c>
      <c r="AC160" s="237" t="s">
        <v>530</v>
      </c>
      <c r="AE160" s="140">
        <f t="shared" ref="AE160:AE162" si="210">+H160</f>
        <v>13</v>
      </c>
      <c r="AG160" s="80">
        <f t="shared" ref="AG160:AG162" si="211">+J160</f>
        <v>299405</v>
      </c>
      <c r="AI160" s="67">
        <f ca="1">(VLOOKUP($AE160,func,AI$195))*$AG160</f>
        <v>128354.9235</v>
      </c>
      <c r="AJ160" s="67"/>
      <c r="AK160" s="67">
        <f ca="1">(VLOOKUP($AE160,func,AK$195))*$AG160</f>
        <v>58773.201500000003</v>
      </c>
      <c r="AL160" s="67"/>
      <c r="AM160" s="67">
        <f ca="1">(VLOOKUP($AE160,func,AM$195))*$AG160</f>
        <v>49910.813499999997</v>
      </c>
      <c r="AN160" s="67"/>
      <c r="AO160" s="67">
        <f ca="1">(VLOOKUP($AE160,func,AO$195))*$AG160</f>
        <v>479.048</v>
      </c>
      <c r="AP160" s="67"/>
      <c r="AQ160" s="67">
        <f ca="1">(VLOOKUP($AE160,func,AQ$195))*$AG160</f>
        <v>239.524</v>
      </c>
      <c r="AR160" s="67"/>
      <c r="AS160" s="67">
        <f ca="1">(VLOOKUP($AE160,func,AS$195))*$AG160</f>
        <v>30569.250499999998</v>
      </c>
      <c r="AT160" s="67"/>
      <c r="AU160" s="67">
        <f ca="1">(VLOOKUP($AE160,func,AU$195))*$AG160</f>
        <v>29.9405</v>
      </c>
      <c r="AV160" s="67"/>
      <c r="AW160" s="67">
        <f ca="1">(VLOOKUP($AE160,func,AW$195))*$AG160</f>
        <v>7485.125</v>
      </c>
      <c r="AX160" s="67"/>
      <c r="AY160" s="67">
        <f ca="1">(VLOOKUP($AE160,func,AY$195))*$AG160</f>
        <v>23563.173500000001</v>
      </c>
      <c r="AZ160" s="310"/>
      <c r="BA160" s="95">
        <f t="shared" ca="1" si="152"/>
        <v>0</v>
      </c>
      <c r="BB160" s="80"/>
      <c r="BC160" s="80"/>
      <c r="BD160" s="80"/>
    </row>
    <row r="161" spans="1:56" x14ac:dyDescent="0.2">
      <c r="A161" s="110"/>
      <c r="B161" s="185"/>
      <c r="C161" s="674"/>
      <c r="F161" s="237" t="s">
        <v>29</v>
      </c>
      <c r="G161" s="166"/>
      <c r="H161" s="73">
        <v>15</v>
      </c>
      <c r="I161"/>
      <c r="J161" s="191">
        <v>-669763.21</v>
      </c>
      <c r="K161" s="160"/>
      <c r="L161" s="104">
        <f>(VLOOKUP($H161,Factors,L$195))*$J161</f>
        <v>-386051.51424400002</v>
      </c>
      <c r="M161" s="190"/>
      <c r="N161" s="104">
        <f>(VLOOKUP($H161,Factors,N$195))*$J161</f>
        <v>-151902.29602799998</v>
      </c>
      <c r="O161" s="190"/>
      <c r="P161" s="104">
        <f>(VLOOKUP($H161,Factors,P$195))*$J161</f>
        <v>-43869.490254999997</v>
      </c>
      <c r="Q161" s="190"/>
      <c r="R161" s="104">
        <f>(VLOOKUP($H161,Factors,R$195))*$J161</f>
        <v>0</v>
      </c>
      <c r="S161" s="190"/>
      <c r="T161" s="104">
        <f>(VLOOKUP($H161,Factors,T$195))*$J161</f>
        <v>0</v>
      </c>
      <c r="U161" s="190"/>
      <c r="V161" s="104">
        <f>(VLOOKUP($H161,Factors,V$195))*$J161</f>
        <v>-13797.122126</v>
      </c>
      <c r="W161" s="190"/>
      <c r="X161" s="104">
        <f>(VLOOKUP($H161,Factors,X$195))*$J161</f>
        <v>-74142.787347000005</v>
      </c>
      <c r="Y161" s="105"/>
      <c r="Z161" s="95">
        <f t="shared" ref="Z161:Z166" si="212">SUM(L161:X161)-J161</f>
        <v>0</v>
      </c>
      <c r="AC161" s="237" t="s">
        <v>29</v>
      </c>
      <c r="AE161" s="140">
        <f t="shared" si="210"/>
        <v>15</v>
      </c>
      <c r="AG161" s="80">
        <f t="shared" si="211"/>
        <v>-669763.21</v>
      </c>
      <c r="AI161" s="67">
        <f>(VLOOKUP($AE161,func,AI$195))*$AG161</f>
        <v>-220218.14344799999</v>
      </c>
      <c r="AJ161" s="67"/>
      <c r="AK161" s="67">
        <f>(VLOOKUP($AE161,func,AK$195))*$AG161</f>
        <v>-167306.849858</v>
      </c>
      <c r="AL161" s="67"/>
      <c r="AM161" s="67">
        <f>(VLOOKUP($AE161,func,AM$195))*$AG161</f>
        <v>-91757.559770000007</v>
      </c>
      <c r="AN161" s="67"/>
      <c r="AO161" s="67">
        <f>(VLOOKUP($AE161,func,AO$195))*$AG161</f>
        <v>-58403.351911999998</v>
      </c>
      <c r="AP161" s="67"/>
      <c r="AQ161" s="67">
        <f>(VLOOKUP($AE161,func,AQ$195))*$AG161</f>
        <v>-31880.728795999999</v>
      </c>
      <c r="AR161" s="67"/>
      <c r="AS161" s="67">
        <f>(VLOOKUP($AE161,func,AS$195))*$AG161</f>
        <v>-12725.500989999999</v>
      </c>
      <c r="AT161" s="67"/>
      <c r="AU161" s="67">
        <f>(VLOOKUP($AE161,func,AU$195))*$AG161</f>
        <v>0</v>
      </c>
      <c r="AV161" s="67"/>
      <c r="AW161" s="67">
        <f>(VLOOKUP($AE161,func,AW$195))*$AG161</f>
        <v>-13730.145805</v>
      </c>
      <c r="AX161" s="67"/>
      <c r="AY161" s="67">
        <f>(VLOOKUP($AE161,func,AY$195))*$AG161</f>
        <v>-73740.929420999993</v>
      </c>
      <c r="BA161" s="95">
        <f t="shared" si="152"/>
        <v>0</v>
      </c>
      <c r="BB161" s="80"/>
      <c r="BC161" s="80"/>
      <c r="BD161" s="80"/>
    </row>
    <row r="162" spans="1:56" x14ac:dyDescent="0.2">
      <c r="A162" s="184"/>
      <c r="B162" s="185"/>
      <c r="C162" s="674"/>
      <c r="F162" s="237" t="s">
        <v>531</v>
      </c>
      <c r="G162" s="166"/>
      <c r="H162" s="73">
        <v>10</v>
      </c>
      <c r="I162"/>
      <c r="J162" s="191">
        <v>-47416.03</v>
      </c>
      <c r="K162" s="160"/>
      <c r="L162" s="231">
        <f>(VLOOKUP($H162,Factors,L$195))*$J162</f>
        <v>-40853.651448000004</v>
      </c>
      <c r="M162" s="190"/>
      <c r="N162" s="231">
        <f>(VLOOKUP($H162,Factors,N$195))*$J162</f>
        <v>-5832.1716900000001</v>
      </c>
      <c r="O162" s="190"/>
      <c r="P162" s="231">
        <f>(VLOOKUP($H162,Factors,P$195))*$J162</f>
        <v>-99.573662999999996</v>
      </c>
      <c r="Q162" s="190"/>
      <c r="R162" s="231">
        <f>(VLOOKUP($H162,Factors,R$195))*$J162</f>
        <v>0</v>
      </c>
      <c r="S162" s="190"/>
      <c r="T162" s="231">
        <f>(VLOOKUP($H162,Factors,T$195))*$J162</f>
        <v>0</v>
      </c>
      <c r="U162" s="190"/>
      <c r="V162" s="231">
        <f>(VLOOKUP($H162,Factors,V$195))*$J162</f>
        <v>-616.40838999999994</v>
      </c>
      <c r="W162" s="190"/>
      <c r="X162" s="231">
        <f>(VLOOKUP($H162,Factors,X$195))*$J162</f>
        <v>-14.224808999999999</v>
      </c>
      <c r="Y162" s="105"/>
      <c r="Z162" s="95">
        <f t="shared" si="212"/>
        <v>0</v>
      </c>
      <c r="AC162" s="237" t="s">
        <v>531</v>
      </c>
      <c r="AE162" s="140">
        <f t="shared" si="210"/>
        <v>10</v>
      </c>
      <c r="AG162" s="168">
        <f t="shared" si="211"/>
        <v>-47416.03</v>
      </c>
      <c r="AI162" s="68">
        <f>(VLOOKUP($AE162,func,AI$195))*$AG162</f>
        <v>0</v>
      </c>
      <c r="AJ162" s="310"/>
      <c r="AK162" s="68">
        <f>(VLOOKUP($AE162,func,AK$195))*$AG162</f>
        <v>0</v>
      </c>
      <c r="AL162" s="310"/>
      <c r="AM162" s="68">
        <f>(VLOOKUP($AE162,func,AM$195))*$AG162</f>
        <v>0</v>
      </c>
      <c r="AN162" s="310"/>
      <c r="AO162" s="68">
        <f>(VLOOKUP($AE162,func,AO$195))*$AG162</f>
        <v>0</v>
      </c>
      <c r="AP162" s="310"/>
      <c r="AQ162" s="68">
        <f>(VLOOKUP($AE162,func,AQ$195))*$AG162</f>
        <v>0</v>
      </c>
      <c r="AR162" s="310"/>
      <c r="AS162" s="68">
        <f>(VLOOKUP($AE162,func,AS$195))*$AG162</f>
        <v>-46785.396801000003</v>
      </c>
      <c r="AT162" s="310"/>
      <c r="AU162" s="68">
        <f>(VLOOKUP($AE162,func,AU$195))*$AG162</f>
        <v>0</v>
      </c>
      <c r="AV162" s="310"/>
      <c r="AW162" s="68">
        <f>(VLOOKUP($AE162,func,AW$195))*$AG162</f>
        <v>-616.40838999999994</v>
      </c>
      <c r="AX162" s="310"/>
      <c r="AY162" s="68">
        <f>(VLOOKUP($AE162,func,AY$195))*$AG162</f>
        <v>-14.224808999999999</v>
      </c>
      <c r="BA162" s="95">
        <f t="shared" si="152"/>
        <v>0</v>
      </c>
      <c r="BB162" s="80"/>
      <c r="BC162" s="80"/>
      <c r="BD162" s="80"/>
    </row>
    <row r="163" spans="1:56" x14ac:dyDescent="0.2">
      <c r="A163" s="110"/>
      <c r="B163" s="185"/>
      <c r="C163" s="674"/>
      <c r="F163"/>
      <c r="G163" s="166"/>
      <c r="H163" s="73"/>
      <c r="I163"/>
      <c r="J163" s="623"/>
      <c r="K163"/>
      <c r="L163" s="157"/>
      <c r="M163"/>
      <c r="N163" s="157"/>
      <c r="O163"/>
      <c r="P163" s="157"/>
      <c r="Q163"/>
      <c r="R163" s="157"/>
      <c r="S163"/>
      <c r="T163" s="157"/>
      <c r="U163"/>
      <c r="V163" s="157"/>
      <c r="W163"/>
      <c r="X163" s="157"/>
      <c r="Z163" s="95">
        <f t="shared" si="212"/>
        <v>0</v>
      </c>
      <c r="AC163"/>
      <c r="AE163" s="140"/>
      <c r="AG163" s="225"/>
      <c r="AI163" s="225"/>
      <c r="AK163" s="225"/>
      <c r="AM163" s="225"/>
      <c r="AO163" s="225"/>
      <c r="AQ163" s="225"/>
      <c r="AS163" s="225"/>
      <c r="AU163" s="225"/>
      <c r="AW163" s="225"/>
      <c r="AY163" s="225"/>
      <c r="BA163" s="95">
        <f t="shared" si="152"/>
        <v>0</v>
      </c>
      <c r="BB163" s="80"/>
      <c r="BC163" s="80"/>
      <c r="BD163" s="80"/>
    </row>
    <row r="164" spans="1:56" x14ac:dyDescent="0.2">
      <c r="A164" s="110"/>
      <c r="B164" s="185"/>
      <c r="C164" s="674"/>
      <c r="F164" t="s">
        <v>141</v>
      </c>
      <c r="G164" s="166"/>
      <c r="H164" s="73"/>
      <c r="I164"/>
      <c r="J164" s="157">
        <f>SUM(J160:J163)</f>
        <v>-417774.24</v>
      </c>
      <c r="K164"/>
      <c r="L164" s="157">
        <f ca="1">SUM(L160:L163)</f>
        <v>-252741.27719200001</v>
      </c>
      <c r="M164"/>
      <c r="N164" s="652">
        <f ca="1">SUM(N160:N163)</f>
        <v>-85907.208217999985</v>
      </c>
      <c r="O164"/>
      <c r="P164" s="157">
        <f ca="1">SUM(P160:P163)</f>
        <v>-21603.510417999994</v>
      </c>
      <c r="Q164"/>
      <c r="R164" s="157">
        <f ca="1">SUM(R160:R163)</f>
        <v>0</v>
      </c>
      <c r="S164"/>
      <c r="T164" s="157">
        <f ca="1">SUM(T160:T163)</f>
        <v>0</v>
      </c>
      <c r="U164"/>
      <c r="V164" s="157">
        <f ca="1">SUM(V160:V163)</f>
        <v>-6928.4055159999998</v>
      </c>
      <c r="W164"/>
      <c r="X164" s="157">
        <f ca="1">SUM(X160:X163)</f>
        <v>-50593.838656</v>
      </c>
      <c r="Z164" s="95">
        <f t="shared" ca="1" si="212"/>
        <v>0</v>
      </c>
      <c r="AC164" t="s">
        <v>141</v>
      </c>
      <c r="AD164" s="166"/>
      <c r="AE164" s="73"/>
      <c r="AG164" s="157">
        <f>SUM(AG160:AG163)</f>
        <v>-417774.24</v>
      </c>
      <c r="AI164" s="157">
        <f ca="1">SUM(AI160:AI163)</f>
        <v>-91863.219947999984</v>
      </c>
      <c r="AK164" s="157">
        <f ca="1">SUM(AK160:AK163)</f>
        <v>-108533.64835800001</v>
      </c>
      <c r="AM164" s="157">
        <f ca="1">SUM(AM160:AM163)</f>
        <v>-41846.746270000011</v>
      </c>
      <c r="AO164" s="157">
        <f ca="1">SUM(AO160:AO163)</f>
        <v>-57924.303911999996</v>
      </c>
      <c r="AQ164" s="157">
        <f ca="1">SUM(AQ160:AQ163)</f>
        <v>-31641.204795999998</v>
      </c>
      <c r="AS164" s="157">
        <f ca="1">SUM(AS160:AS163)</f>
        <v>-28941.647291000001</v>
      </c>
      <c r="AU164" s="157">
        <f ca="1">SUM(AU160:AU163)</f>
        <v>29.9405</v>
      </c>
      <c r="AW164" s="157">
        <f ca="1">SUM(AW160:AW163)</f>
        <v>-6861.4291949999997</v>
      </c>
      <c r="AY164" s="157">
        <f ca="1">SUM(AY160:AY163)</f>
        <v>-50191.980729999988</v>
      </c>
      <c r="BA164" s="95">
        <f t="shared" ca="1" si="152"/>
        <v>0</v>
      </c>
      <c r="BB164" s="80"/>
      <c r="BC164" s="80"/>
      <c r="BD164" s="80"/>
    </row>
    <row r="165" spans="1:56" x14ac:dyDescent="0.2">
      <c r="A165" s="110"/>
      <c r="B165" s="185"/>
      <c r="C165" s="674"/>
      <c r="F165"/>
      <c r="G165" s="166"/>
      <c r="H165" s="73"/>
      <c r="I165"/>
      <c r="J165" s="531"/>
      <c r="K165"/>
      <c r="L165" s="157"/>
      <c r="M165"/>
      <c r="N165" s="157"/>
      <c r="O165"/>
      <c r="P165" s="157"/>
      <c r="Q165"/>
      <c r="R165" s="157"/>
      <c r="S165"/>
      <c r="T165" s="157"/>
      <c r="U165"/>
      <c r="V165" s="157"/>
      <c r="W165"/>
      <c r="X165" s="157"/>
      <c r="Z165" s="95">
        <f t="shared" si="212"/>
        <v>0</v>
      </c>
      <c r="AC165"/>
      <c r="AD165" s="166"/>
      <c r="AE165" s="73"/>
      <c r="AG165" s="157"/>
      <c r="AI165" s="157"/>
      <c r="AK165" s="157"/>
      <c r="AM165" s="157"/>
      <c r="AO165" s="157"/>
      <c r="AQ165" s="157"/>
      <c r="AS165" s="157"/>
      <c r="AU165" s="157"/>
      <c r="AW165" s="157"/>
      <c r="AY165" s="157"/>
      <c r="BA165" s="95">
        <f t="shared" si="152"/>
        <v>0</v>
      </c>
      <c r="BB165" s="80"/>
      <c r="BC165" s="80"/>
      <c r="BD165" s="80"/>
    </row>
    <row r="166" spans="1:56" ht="13.5" thickBot="1" x14ac:dyDescent="0.25">
      <c r="A166" s="110"/>
      <c r="B166" s="185"/>
      <c r="C166" s="674"/>
      <c r="F166" t="s">
        <v>142</v>
      </c>
      <c r="G166" s="166"/>
      <c r="H166" s="73"/>
      <c r="I166"/>
      <c r="J166" s="238">
        <f>J157+J164</f>
        <v>6104404.5853390777</v>
      </c>
      <c r="K166"/>
      <c r="L166" s="238">
        <f ca="1">L157+L164</f>
        <v>3507132.0934995799</v>
      </c>
      <c r="M166"/>
      <c r="N166" s="238">
        <f ca="1">N157+N164</f>
        <v>1393160.6187900009</v>
      </c>
      <c r="O166"/>
      <c r="P166" s="238">
        <f ca="1">P157+P164</f>
        <v>405313.21667732939</v>
      </c>
      <c r="Q166"/>
      <c r="R166" s="238">
        <f ca="1">R157+R164</f>
        <v>0</v>
      </c>
      <c r="S166"/>
      <c r="T166" s="238">
        <f ca="1">T157+T164</f>
        <v>0</v>
      </c>
      <c r="U166"/>
      <c r="V166" s="238">
        <f ca="1">V157+V164</f>
        <v>127692.86969423923</v>
      </c>
      <c r="W166"/>
      <c r="X166" s="238">
        <f ca="1">X157+X164</f>
        <v>671105.7866779312</v>
      </c>
      <c r="Z166" s="95">
        <f t="shared" ca="1" si="212"/>
        <v>0</v>
      </c>
      <c r="AC166" t="s">
        <v>142</v>
      </c>
      <c r="AD166" s="166"/>
      <c r="AE166" s="73"/>
      <c r="AG166" s="238">
        <f>AG157+AG164</f>
        <v>6104404.5853390777</v>
      </c>
      <c r="AI166" s="238">
        <f ca="1">AI157+AI164</f>
        <v>2052503.5886237531</v>
      </c>
      <c r="AK166" s="238">
        <f ca="1">AK157+AK164</f>
        <v>1520539.6509938836</v>
      </c>
      <c r="AM166" s="238">
        <f ca="1">AM157+AM164</f>
        <v>851652.76659267151</v>
      </c>
      <c r="AO166" s="238">
        <f ca="1">AO157+AO164</f>
        <v>510956.27287297795</v>
      </c>
      <c r="AQ166" s="238">
        <f ca="1">AQ157+AQ164</f>
        <v>279127.33573540003</v>
      </c>
      <c r="AS166" s="238">
        <f ca="1">AS157+AS164</f>
        <v>95118.324719708791</v>
      </c>
      <c r="AU166" s="238">
        <f ca="1">AU157+AU164</f>
        <v>29.9405</v>
      </c>
      <c r="AW166" s="238">
        <f ca="1">AW157+AW164</f>
        <v>126876.7068222159</v>
      </c>
      <c r="AY166" s="238">
        <f ca="1">AY157+AY164</f>
        <v>667599.99847846851</v>
      </c>
      <c r="BA166" s="95">
        <f t="shared" ca="1" si="152"/>
        <v>0</v>
      </c>
      <c r="BB166" s="80"/>
      <c r="BC166" s="80"/>
      <c r="BD166" s="80"/>
    </row>
    <row r="167" spans="1:56" ht="13.5" thickTop="1" x14ac:dyDescent="0.2">
      <c r="A167" s="110"/>
      <c r="B167" s="185"/>
      <c r="C167" s="682"/>
      <c r="D167" s="301"/>
      <c r="E167" s="292"/>
      <c r="F167" s="98"/>
      <c r="G167" s="158"/>
      <c r="H167" s="159"/>
      <c r="J167" s="307"/>
      <c r="K167" s="160"/>
      <c r="L167" s="81"/>
      <c r="M167" s="99"/>
      <c r="N167" s="81"/>
      <c r="O167" s="99"/>
      <c r="P167" s="81"/>
      <c r="Q167" s="99"/>
      <c r="R167" s="81"/>
      <c r="S167" s="99"/>
      <c r="T167" s="81"/>
      <c r="U167" s="99"/>
      <c r="V167" s="81"/>
      <c r="W167" s="99"/>
      <c r="X167" s="81"/>
      <c r="Z167" s="95"/>
      <c r="AC167" s="98"/>
      <c r="AE167" s="140"/>
      <c r="AG167" s="225"/>
      <c r="AH167" s="82"/>
      <c r="AI167" s="81"/>
      <c r="AJ167" s="81"/>
      <c r="AK167" s="81"/>
      <c r="AL167" s="81"/>
      <c r="AM167" s="81"/>
      <c r="AN167" s="81"/>
      <c r="AO167" s="81"/>
      <c r="AP167" s="81"/>
      <c r="AQ167" s="81"/>
      <c r="AR167" s="81"/>
      <c r="AS167" s="81"/>
      <c r="AT167" s="81"/>
      <c r="AU167" s="81"/>
      <c r="AV167" s="81"/>
      <c r="AW167" s="81"/>
      <c r="AX167" s="81"/>
      <c r="AY167" s="81"/>
      <c r="BA167" s="95">
        <f t="shared" si="152"/>
        <v>0</v>
      </c>
    </row>
    <row r="168" spans="1:56" x14ac:dyDescent="0.2">
      <c r="A168" s="110"/>
      <c r="B168" s="185"/>
      <c r="C168" s="682"/>
      <c r="D168" s="301"/>
      <c r="E168" s="292"/>
      <c r="F168" s="98"/>
      <c r="G168" s="158"/>
      <c r="H168" s="159"/>
      <c r="J168" s="81"/>
      <c r="K168" s="160"/>
      <c r="L168" s="81"/>
      <c r="M168" s="99"/>
      <c r="N168" s="81"/>
      <c r="O168" s="99"/>
      <c r="P168" s="81"/>
      <c r="Q168" s="99"/>
      <c r="R168" s="81"/>
      <c r="S168" s="99"/>
      <c r="T168" s="81"/>
      <c r="U168" s="99"/>
      <c r="V168" s="81"/>
      <c r="W168" s="99"/>
      <c r="X168" s="81"/>
      <c r="Z168" s="95"/>
      <c r="AC168" s="98"/>
      <c r="AE168" s="140"/>
      <c r="AG168" s="225"/>
      <c r="AH168" s="82"/>
      <c r="AI168" s="81"/>
      <c r="AJ168" s="81"/>
      <c r="AK168" s="81"/>
      <c r="AL168" s="81"/>
      <c r="AM168" s="81"/>
      <c r="AN168" s="81"/>
      <c r="AO168" s="81"/>
      <c r="AP168" s="81"/>
      <c r="AQ168" s="81"/>
      <c r="AR168" s="81"/>
      <c r="AS168" s="81"/>
      <c r="AT168" s="81"/>
      <c r="AU168" s="81"/>
      <c r="AV168" s="81"/>
      <c r="AW168" s="81"/>
      <c r="AX168" s="81"/>
      <c r="AY168" s="81"/>
      <c r="BA168" s="95"/>
    </row>
    <row r="169" spans="1:56" x14ac:dyDescent="0.2">
      <c r="A169" s="160"/>
      <c r="B169" s="665"/>
      <c r="C169" s="682"/>
      <c r="D169" s="301"/>
      <c r="E169" s="292"/>
      <c r="F169" s="158"/>
      <c r="G169" s="158"/>
      <c r="H169" s="159"/>
      <c r="J169" s="226"/>
      <c r="K169" s="226"/>
      <c r="L169" s="226"/>
      <c r="M169" s="226"/>
      <c r="N169" s="226"/>
      <c r="O169" s="226"/>
      <c r="P169" s="226"/>
      <c r="Q169" s="226"/>
      <c r="R169" s="226"/>
      <c r="S169" s="226"/>
      <c r="T169" s="226"/>
      <c r="U169" s="226"/>
      <c r="V169" s="226"/>
      <c r="W169" s="226"/>
      <c r="X169" s="226"/>
      <c r="Z169" s="95"/>
      <c r="AC169" s="158"/>
      <c r="AG169" s="226"/>
      <c r="AH169" s="226"/>
      <c r="AI169" s="226"/>
      <c r="AJ169" s="226"/>
      <c r="AK169" s="226"/>
      <c r="AL169" s="226"/>
      <c r="AM169" s="226"/>
      <c r="AN169" s="226"/>
      <c r="AO169" s="226"/>
      <c r="AP169" s="226"/>
      <c r="AQ169" s="226"/>
      <c r="AR169" s="226"/>
      <c r="AS169" s="226"/>
      <c r="AT169" s="226"/>
      <c r="AU169" s="226"/>
      <c r="AV169" s="226"/>
      <c r="AW169" s="226"/>
      <c r="AX169" s="226"/>
      <c r="AY169" s="226"/>
      <c r="BA169" s="95"/>
    </row>
    <row r="170" spans="1:56" x14ac:dyDescent="0.2">
      <c r="C170" s="674"/>
      <c r="AA170" s="95"/>
      <c r="AC170" s="61"/>
      <c r="AG170" s="82"/>
      <c r="AH170" s="82"/>
      <c r="AI170" s="82"/>
      <c r="AJ170" s="82"/>
      <c r="AK170" s="82"/>
      <c r="AL170" s="82"/>
      <c r="AM170" s="82"/>
      <c r="AN170" s="82"/>
      <c r="AO170" s="82"/>
      <c r="AP170" s="82"/>
      <c r="AQ170" s="82"/>
      <c r="AR170" s="82"/>
      <c r="AS170" s="82"/>
      <c r="AT170" s="82"/>
      <c r="AU170" s="82"/>
      <c r="AV170" s="82"/>
      <c r="AW170" s="82"/>
      <c r="AX170" s="82"/>
      <c r="AY170" s="82"/>
    </row>
    <row r="171" spans="1:56" x14ac:dyDescent="0.2">
      <c r="C171" s="674"/>
      <c r="AA171" s="95"/>
      <c r="AQ171" s="261"/>
      <c r="AS171" s="261"/>
    </row>
    <row r="172" spans="1:56" x14ac:dyDescent="0.2">
      <c r="C172" s="674"/>
      <c r="AA172" s="95"/>
    </row>
    <row r="173" spans="1:56" x14ac:dyDescent="0.2">
      <c r="C173" s="674"/>
      <c r="AA173" s="95"/>
    </row>
    <row r="174" spans="1:56" x14ac:dyDescent="0.2">
      <c r="C174" s="674"/>
      <c r="F174" s="111"/>
      <c r="M174" s="57"/>
      <c r="O174" s="57"/>
      <c r="Q174" s="57"/>
      <c r="S174" s="57"/>
      <c r="U174" s="57"/>
      <c r="W174" s="57"/>
      <c r="Z174" s="95"/>
      <c r="AA174" s="95"/>
      <c r="AC174" s="111"/>
      <c r="AD174" s="61"/>
      <c r="AE174" s="72"/>
      <c r="AF174" s="57"/>
      <c r="AG174" s="75"/>
      <c r="AH174" s="57"/>
      <c r="AI174" s="75"/>
      <c r="AJ174" s="57"/>
      <c r="AK174" s="75"/>
      <c r="AL174" s="57"/>
      <c r="AM174" s="75"/>
      <c r="AN174" s="57"/>
      <c r="AO174" s="75"/>
      <c r="AP174" s="57"/>
      <c r="AQ174" s="75"/>
      <c r="AR174" s="57"/>
      <c r="AS174" s="75"/>
      <c r="AT174" s="57"/>
      <c r="AU174" s="75"/>
      <c r="AV174" s="57"/>
      <c r="AW174" s="75"/>
      <c r="AX174" s="57"/>
      <c r="AY174" s="75"/>
      <c r="BA174" s="95"/>
    </row>
    <row r="175" spans="1:56" x14ac:dyDescent="0.2">
      <c r="C175" s="674"/>
      <c r="F175" s="111"/>
      <c r="L175" s="125"/>
      <c r="M175" s="125"/>
      <c r="N175" s="125"/>
      <c r="O175" s="125"/>
      <c r="P175" s="125"/>
      <c r="Q175" s="125"/>
      <c r="R175" s="125"/>
      <c r="S175" s="125"/>
      <c r="T175" s="125"/>
      <c r="U175" s="125"/>
      <c r="V175" s="125"/>
      <c r="W175" s="125"/>
      <c r="X175" s="125"/>
      <c r="Y175" s="126"/>
      <c r="Z175" s="125"/>
      <c r="AA175" s="95"/>
      <c r="AC175" s="111"/>
      <c r="AD175" s="61"/>
      <c r="AE175" s="72"/>
      <c r="AF175" s="57"/>
      <c r="AG175" s="75"/>
      <c r="AH175" s="57"/>
      <c r="AI175" s="125"/>
      <c r="AJ175" s="125"/>
      <c r="AK175" s="125"/>
      <c r="AL175" s="125"/>
      <c r="AM175" s="125"/>
      <c r="AN175" s="125"/>
      <c r="AO175" s="125"/>
      <c r="AP175" s="125"/>
      <c r="AQ175" s="125"/>
      <c r="AR175" s="125"/>
      <c r="AS175" s="125"/>
      <c r="AT175" s="125"/>
      <c r="AU175" s="125"/>
      <c r="AV175" s="125"/>
      <c r="AW175" s="125"/>
      <c r="AX175" s="125"/>
      <c r="AY175" s="125"/>
      <c r="AZ175" s="126"/>
      <c r="BA175" s="125"/>
    </row>
    <row r="176" spans="1:56" x14ac:dyDescent="0.2">
      <c r="C176" s="674"/>
      <c r="F176" s="111"/>
      <c r="M176" s="57"/>
      <c r="O176" s="57"/>
      <c r="Q176" s="57"/>
      <c r="S176" s="57"/>
      <c r="U176" s="57"/>
      <c r="W176" s="57"/>
      <c r="Z176" s="95"/>
      <c r="AA176" s="95"/>
      <c r="AC176" s="111"/>
      <c r="AD176" s="61"/>
      <c r="AE176" s="72"/>
      <c r="AF176" s="57"/>
      <c r="AG176" s="75"/>
      <c r="AH176" s="57"/>
      <c r="AI176" s="75"/>
      <c r="AJ176" s="57"/>
      <c r="AK176" s="75"/>
      <c r="AL176" s="57"/>
      <c r="AM176" s="75"/>
      <c r="AN176" s="57"/>
      <c r="AO176" s="75"/>
      <c r="AP176" s="57"/>
      <c r="AQ176" s="75"/>
      <c r="AR176" s="57"/>
      <c r="AS176" s="75"/>
      <c r="AT176" s="57"/>
      <c r="AU176" s="75"/>
      <c r="AV176" s="57"/>
      <c r="AW176" s="75"/>
      <c r="AX176" s="57"/>
      <c r="AY176" s="75"/>
      <c r="BA176" s="95"/>
    </row>
    <row r="177" spans="2:54" x14ac:dyDescent="0.2">
      <c r="C177" s="674"/>
      <c r="F177" s="111"/>
      <c r="J177" s="112"/>
      <c r="K177" s="112"/>
      <c r="L177" s="125"/>
      <c r="M177" s="125"/>
      <c r="N177" s="125"/>
      <c r="O177" s="125"/>
      <c r="P177" s="125"/>
      <c r="Q177" s="125"/>
      <c r="R177" s="125"/>
      <c r="S177" s="125"/>
      <c r="T177" s="125"/>
      <c r="U177" s="125"/>
      <c r="V177" s="125"/>
      <c r="W177" s="125"/>
      <c r="X177" s="125"/>
      <c r="Y177" s="126"/>
      <c r="Z177" s="125"/>
      <c r="AA177" s="95"/>
      <c r="AC177" s="111"/>
      <c r="AD177" s="61"/>
      <c r="AE177" s="72"/>
      <c r="AF177" s="57"/>
      <c r="AG177" s="112"/>
      <c r="AH177" s="112"/>
      <c r="AI177" s="125"/>
      <c r="AJ177" s="125"/>
      <c r="AK177" s="125"/>
      <c r="AL177" s="125"/>
      <c r="AM177" s="125"/>
      <c r="AN177" s="125"/>
      <c r="AO177" s="125"/>
      <c r="AP177" s="125"/>
      <c r="AQ177" s="125"/>
      <c r="AR177" s="125"/>
      <c r="AS177" s="125"/>
      <c r="AT177" s="125"/>
      <c r="AU177" s="125"/>
      <c r="AV177" s="125"/>
      <c r="AW177" s="125"/>
      <c r="AX177" s="125"/>
      <c r="AY177" s="125"/>
      <c r="AZ177" s="126"/>
      <c r="BA177" s="125"/>
    </row>
    <row r="178" spans="2:54" x14ac:dyDescent="0.2">
      <c r="C178" s="674"/>
      <c r="F178" s="111" t="s">
        <v>452</v>
      </c>
      <c r="J178" s="75">
        <f>+J18-J15+J32-J25-J26+J43+J51</f>
        <v>799938.74602945312</v>
      </c>
      <c r="L178" s="75">
        <f>+L18-L15+L32-L25-L26+L43+L51</f>
        <v>466005.96443717909</v>
      </c>
      <c r="M178" s="57"/>
      <c r="N178" s="75">
        <f>+N18-N15+N32-N25-N26+N43+N51</f>
        <v>157974.57154811529</v>
      </c>
      <c r="O178" s="57"/>
      <c r="P178" s="75">
        <f>+P18-P15+P32-P25-P26+P43+P51</f>
        <v>40841.965228664558</v>
      </c>
      <c r="Q178" s="57"/>
      <c r="R178" s="75">
        <f>+R18-R15+R32-R25-R26+R43+R51</f>
        <v>0</v>
      </c>
      <c r="S178" s="57"/>
      <c r="T178" s="75">
        <f>+T18-T15+T32-T25-T26+T43+T51</f>
        <v>0</v>
      </c>
      <c r="U178" s="57"/>
      <c r="V178" s="75">
        <f>+V18-V15+V32-V25-V26+V43+V51</f>
        <v>33016.919899796267</v>
      </c>
      <c r="W178" s="57"/>
      <c r="X178" s="75">
        <f>+X18-X15+X32-X25-X26+X43+X51</f>
        <v>102099.32491569789</v>
      </c>
      <c r="Z178" s="95">
        <f>SUM(L178:X178)-J178</f>
        <v>0</v>
      </c>
      <c r="AA178" s="95"/>
      <c r="AC178" s="111" t="s">
        <v>435</v>
      </c>
      <c r="AD178" s="61"/>
      <c r="AE178" s="72"/>
      <c r="AF178" s="57"/>
      <c r="AG178" s="75">
        <f>+AG18-AG15+AG32-AG25-AG26+AG43+AG51</f>
        <v>799938.74602945312</v>
      </c>
      <c r="AH178" s="57"/>
      <c r="AI178" s="75">
        <f>+AI18-AI15+AI32-AI25-AI26+AI43+AI51</f>
        <v>150630.66199707461</v>
      </c>
      <c r="AJ178" s="57"/>
      <c r="AK178" s="75">
        <f>+AK18-AK15+AK32-AK25-AK26+AK43+AK51</f>
        <v>147355.86605186731</v>
      </c>
      <c r="AL178" s="57"/>
      <c r="AM178" s="75">
        <f>+AM18-AM15+AM32-AM25-AM26+AM43+AM51</f>
        <v>221865.29415004887</v>
      </c>
      <c r="AN178" s="57"/>
      <c r="AO178" s="75">
        <f>+AO18-AO15+AO32-AO25-AO26+AO43+AO51</f>
        <v>0</v>
      </c>
      <c r="AP178" s="57"/>
      <c r="AQ178" s="75">
        <f>+AQ18-AQ15+AQ32-AQ25-AQ26+AQ43+AQ51</f>
        <v>0</v>
      </c>
      <c r="AR178" s="57"/>
      <c r="AS178" s="75">
        <f>+AS18-AS15+AS32-AS25-AS26+AS43+AS51</f>
        <v>144970.67901496813</v>
      </c>
      <c r="AT178" s="57"/>
      <c r="AU178" s="75">
        <f>+AU18-AU15+AU32-AU25-AU26+AU43+AU51</f>
        <v>0</v>
      </c>
      <c r="AV178" s="57"/>
      <c r="AW178" s="75">
        <f>+AW18-AW15+AW32-AW25-AW26+AW43+AW51</f>
        <v>33016.919899796267</v>
      </c>
      <c r="AX178" s="57"/>
      <c r="AY178" s="75">
        <f>+AY18-AY15+AY32-AY25-AY26+AY43+AY51</f>
        <v>102099.32491569789</v>
      </c>
      <c r="AZ178" s="57"/>
      <c r="BA178" s="95">
        <f>SUM(AI178:AY178)-AG178</f>
        <v>0</v>
      </c>
      <c r="BB178" s="80"/>
    </row>
    <row r="179" spans="2:54" x14ac:dyDescent="0.2">
      <c r="C179" s="674"/>
      <c r="F179" s="111" t="s">
        <v>451</v>
      </c>
      <c r="L179" s="125">
        <f>ROUND(L178/$J178,4)-0.0001</f>
        <v>0.58250000000000002</v>
      </c>
      <c r="M179" s="125"/>
      <c r="N179" s="125">
        <f>ROUND(N178/$J178,4)</f>
        <v>0.19750000000000001</v>
      </c>
      <c r="O179" s="125"/>
      <c r="P179" s="125">
        <f>ROUND(P178/$J178,4)</f>
        <v>5.11E-2</v>
      </c>
      <c r="Q179" s="125"/>
      <c r="R179" s="125">
        <f>ROUND(R178/$J178,4)</f>
        <v>0</v>
      </c>
      <c r="S179" s="125"/>
      <c r="T179" s="125">
        <f>ROUND(T178/$J178,4)</f>
        <v>0</v>
      </c>
      <c r="U179" s="125"/>
      <c r="V179" s="125">
        <f>ROUND(V178/$J178,4)</f>
        <v>4.1300000000000003E-2</v>
      </c>
      <c r="W179" s="125"/>
      <c r="X179" s="125">
        <f>ROUND(X178/$J178,4)</f>
        <v>0.12759999999999999</v>
      </c>
      <c r="Y179" s="126"/>
      <c r="Z179" s="125">
        <f>SUM(L179:X179)</f>
        <v>1</v>
      </c>
      <c r="AA179" s="95"/>
      <c r="AC179" s="111" t="s">
        <v>436</v>
      </c>
      <c r="AD179" s="61"/>
      <c r="AE179" s="72"/>
      <c r="AF179" s="57"/>
      <c r="AG179" s="75"/>
      <c r="AH179" s="57"/>
      <c r="AI179" s="125">
        <f>ROUND(AI178/$J178,4)</f>
        <v>0.1883</v>
      </c>
      <c r="AJ179" s="125"/>
      <c r="AK179" s="125">
        <f>ROUND(AK178/$J178,4)</f>
        <v>0.1842</v>
      </c>
      <c r="AL179" s="125"/>
      <c r="AM179" s="125">
        <f>ROUND(AM178/$J178,4)</f>
        <v>0.27739999999999998</v>
      </c>
      <c r="AN179" s="125"/>
      <c r="AO179" s="125">
        <f>ROUND(AO178/$J178,4)</f>
        <v>0</v>
      </c>
      <c r="AP179" s="125"/>
      <c r="AQ179" s="125">
        <f>ROUND(AQ178/$J178,4)</f>
        <v>0</v>
      </c>
      <c r="AR179" s="125"/>
      <c r="AS179" s="125">
        <f>ROUND(AS178/$J178,4)</f>
        <v>0.1812</v>
      </c>
      <c r="AT179" s="125"/>
      <c r="AU179" s="125">
        <f>ROUND(AU178/$J178,4)</f>
        <v>0</v>
      </c>
      <c r="AV179" s="125"/>
      <c r="AW179" s="125">
        <f>ROUND(AW178/$J178,4)</f>
        <v>4.1300000000000003E-2</v>
      </c>
      <c r="AX179" s="125"/>
      <c r="AY179" s="125">
        <f>ROUND(AY178/$J178,4)</f>
        <v>0.12759999999999999</v>
      </c>
      <c r="AZ179" s="126"/>
      <c r="BA179" s="125">
        <f>SUM(AI179:AY179)</f>
        <v>1</v>
      </c>
    </row>
    <row r="180" spans="2:54" x14ac:dyDescent="0.2">
      <c r="C180" s="674"/>
      <c r="F180" s="111" t="s">
        <v>453</v>
      </c>
      <c r="J180" s="75">
        <f>+J67</f>
        <v>2211628.3041567942</v>
      </c>
      <c r="L180" s="75">
        <f ca="1">+L67</f>
        <v>1286495.216096268</v>
      </c>
      <c r="M180" s="57"/>
      <c r="N180" s="75">
        <f ca="1">+N67</f>
        <v>530619.83577216009</v>
      </c>
      <c r="O180" s="57"/>
      <c r="P180" s="75">
        <f ca="1">+P67</f>
        <v>165121.15826754892</v>
      </c>
      <c r="Q180" s="57"/>
      <c r="R180" s="75">
        <f ca="1">+R67</f>
        <v>0</v>
      </c>
      <c r="S180" s="57"/>
      <c r="T180" s="75">
        <f ca="1">+T67</f>
        <v>0</v>
      </c>
      <c r="U180" s="57"/>
      <c r="V180" s="75">
        <f ca="1">+V67</f>
        <v>55347.946461382489</v>
      </c>
      <c r="W180" s="57"/>
      <c r="X180" s="75">
        <f ca="1">+X67</f>
        <v>174044.14755943461</v>
      </c>
      <c r="Y180" s="126"/>
      <c r="Z180" s="95">
        <f ca="1">SUM(L180:X180)-J180</f>
        <v>0</v>
      </c>
      <c r="AA180" s="95"/>
      <c r="AC180" s="111" t="s">
        <v>437</v>
      </c>
      <c r="AD180" s="61"/>
      <c r="AE180" s="72"/>
      <c r="AF180" s="57"/>
      <c r="AG180" s="75">
        <f>+AG67</f>
        <v>2211628.3041567942</v>
      </c>
      <c r="AH180" s="57"/>
      <c r="AI180" s="75">
        <f ca="1">+AI67</f>
        <v>948582.21205096692</v>
      </c>
      <c r="AJ180" s="57"/>
      <c r="AK180" s="75">
        <f ca="1">+AK67</f>
        <v>434036.43192327383</v>
      </c>
      <c r="AL180" s="57"/>
      <c r="AM180" s="75">
        <f ca="1">+AM67</f>
        <v>368688.23807785165</v>
      </c>
      <c r="AN180" s="57"/>
      <c r="AO180" s="75">
        <f ca="1">+AO67</f>
        <v>3454.2750000000001</v>
      </c>
      <c r="AP180" s="57"/>
      <c r="AQ180" s="75">
        <f ca="1">+AQ67</f>
        <v>1783.98</v>
      </c>
      <c r="AR180" s="57"/>
      <c r="AS180" s="75">
        <f ca="1">+AS67</f>
        <v>225708.5630838846</v>
      </c>
      <c r="AT180" s="57"/>
      <c r="AU180" s="75">
        <f ca="1">+AU67</f>
        <v>0</v>
      </c>
      <c r="AV180" s="57"/>
      <c r="AW180" s="75">
        <f ca="1">+AW67</f>
        <v>55339.201461382487</v>
      </c>
      <c r="AX180" s="57"/>
      <c r="AY180" s="75">
        <f ca="1">+AY67</f>
        <v>174035.40255943462</v>
      </c>
      <c r="AZ180" s="57"/>
      <c r="BA180" s="95">
        <f ca="1">SUM(AI180:AY180)-AG180</f>
        <v>0</v>
      </c>
    </row>
    <row r="181" spans="2:54" x14ac:dyDescent="0.2">
      <c r="C181" s="674"/>
      <c r="F181" s="111" t="s">
        <v>436</v>
      </c>
      <c r="L181" s="125">
        <f ca="1">+ROUND(L180/$J$180,4)</f>
        <v>0.58169999999999999</v>
      </c>
      <c r="M181" s="57"/>
      <c r="N181" s="125">
        <f ca="1">+ROUND(N180/$J$180,4)</f>
        <v>0.2399</v>
      </c>
      <c r="O181" s="57"/>
      <c r="P181" s="125">
        <f ca="1">+ROUND(P180/$J$180,4)</f>
        <v>7.4700000000000003E-2</v>
      </c>
      <c r="Q181" s="57"/>
      <c r="R181" s="125">
        <f ca="1">+ROUND(R180/$J$180,4)</f>
        <v>0</v>
      </c>
      <c r="S181" s="57"/>
      <c r="T181" s="125">
        <f ca="1">+ROUND(T180/$J$180,4)</f>
        <v>0</v>
      </c>
      <c r="U181" s="57"/>
      <c r="V181" s="125">
        <f ca="1">+ROUND(V180/$J$180,4)</f>
        <v>2.5000000000000001E-2</v>
      </c>
      <c r="W181" s="57"/>
      <c r="X181" s="125">
        <f ca="1">+ROUND(X180/$J$180,4)</f>
        <v>7.8700000000000006E-2</v>
      </c>
      <c r="Y181" s="126"/>
      <c r="Z181" s="125">
        <f ca="1">SUM(L181:X181)</f>
        <v>1</v>
      </c>
      <c r="AA181" s="95"/>
      <c r="AC181" s="111" t="s">
        <v>438</v>
      </c>
      <c r="AD181" s="61"/>
      <c r="AE181" s="72"/>
      <c r="AF181" s="57"/>
      <c r="AG181" s="75"/>
      <c r="AH181" s="57"/>
      <c r="AI181" s="125">
        <f ca="1">+ROUND(AI180/$AG$180,4)-0.0002</f>
        <v>0.42870000000000003</v>
      </c>
      <c r="AJ181" s="57"/>
      <c r="AK181" s="125">
        <f ca="1">+ROUND(AK180/$AG$180,4)</f>
        <v>0.1963</v>
      </c>
      <c r="AL181" s="57"/>
      <c r="AM181" s="125">
        <f ca="1">+ROUND(AM180/$AG$180,4)</f>
        <v>0.16669999999999999</v>
      </c>
      <c r="AN181" s="57"/>
      <c r="AO181" s="125">
        <f ca="1">+ROUND(AO180/$AG$180,4)</f>
        <v>1.6000000000000001E-3</v>
      </c>
      <c r="AP181" s="57"/>
      <c r="AQ181" s="125">
        <f ca="1">+ROUND(AQ180/$AG$180,4)</f>
        <v>8.0000000000000004E-4</v>
      </c>
      <c r="AR181" s="57"/>
      <c r="AS181" s="125">
        <f ca="1">+ROUND(AS180/$AG$180,4)</f>
        <v>0.1021</v>
      </c>
      <c r="AT181" s="57"/>
      <c r="AU181" s="125">
        <f ca="1">+ROUND(AU180/$AG$180,4)+0.0001</f>
        <v>1E-4</v>
      </c>
      <c r="AV181" s="57"/>
      <c r="AW181" s="125">
        <f ca="1">+ROUND(AW180/$AG$180,4)</f>
        <v>2.5000000000000001E-2</v>
      </c>
      <c r="AX181" s="57"/>
      <c r="AY181" s="125">
        <f ca="1">+ROUND(AY180/$AG$180,4)</f>
        <v>7.8700000000000006E-2</v>
      </c>
      <c r="AZ181" s="126"/>
      <c r="BA181" s="125">
        <f ca="1">SUM(AI181:AY181)</f>
        <v>1</v>
      </c>
    </row>
    <row r="182" spans="2:54" s="304" customFormat="1" x14ac:dyDescent="0.2">
      <c r="B182" s="243"/>
      <c r="C182" s="664"/>
      <c r="D182" s="300"/>
      <c r="E182" s="105"/>
      <c r="F182" s="111" t="s">
        <v>439</v>
      </c>
      <c r="G182" s="61"/>
      <c r="H182" s="73"/>
      <c r="J182" s="105">
        <f>+J24+J37+J56+J46+J14</f>
        <v>896669.89288511593</v>
      </c>
      <c r="K182" s="371"/>
      <c r="L182" s="105">
        <f>+L24+L37+L56+L46+L14</f>
        <v>514201.42120666633</v>
      </c>
      <c r="M182" s="371"/>
      <c r="N182" s="105">
        <f>+N24+N37+N56+N46+N14</f>
        <v>211132.54357291356</v>
      </c>
      <c r="O182" s="371"/>
      <c r="P182" s="105">
        <f>+P24+P37+P56+P46+P14</f>
        <v>64075.733004475733</v>
      </c>
      <c r="Q182" s="371"/>
      <c r="R182" s="105">
        <f>+R24+R37+R56+R46+R14</f>
        <v>0</v>
      </c>
      <c r="S182" s="371"/>
      <c r="T182" s="105">
        <f>+T24+T37+T56+T46+T14</f>
        <v>0</v>
      </c>
      <c r="U182" s="371"/>
      <c r="V182" s="105">
        <f>+V24+V37+V56+V46+V14</f>
        <v>25656.326849269637</v>
      </c>
      <c r="W182" s="371"/>
      <c r="X182" s="105">
        <f>+X24+X37+X56+X46+X14</f>
        <v>81603.868251790875</v>
      </c>
      <c r="Y182" s="371"/>
      <c r="Z182" s="95">
        <f>SUM(L182:X182)-J182</f>
        <v>0</v>
      </c>
      <c r="AA182" s="95"/>
      <c r="AC182" s="111" t="s">
        <v>439</v>
      </c>
      <c r="AD182" s="61"/>
      <c r="AE182" s="73"/>
      <c r="AG182" s="105">
        <f>+AG24+AG37+AG56+AG46+AG14</f>
        <v>896669.89288511593</v>
      </c>
      <c r="AH182" s="371"/>
      <c r="AI182" s="105">
        <f>+AI24+AI37+AI56+AI46+AI14</f>
        <v>322265.55600132118</v>
      </c>
      <c r="AJ182" s="371"/>
      <c r="AK182" s="105">
        <f>+AK24+AK37+AK56+AK46+AK14</f>
        <v>225783.76728886738</v>
      </c>
      <c r="AL182" s="371"/>
      <c r="AM182" s="105">
        <f>+AM24+AM37+AM56+AM46+AM14</f>
        <v>175426.53274397136</v>
      </c>
      <c r="AN182" s="371"/>
      <c r="AO182" s="105">
        <f>+AO24+AO37+AO56+AO46+AO14</f>
        <v>0</v>
      </c>
      <c r="AP182" s="371"/>
      <c r="AQ182" s="105">
        <f>+AQ24+AQ37+AQ56+AQ46+AQ14</f>
        <v>0</v>
      </c>
      <c r="AR182" s="371"/>
      <c r="AS182" s="105">
        <f>+AS24+AS37+AS56+AS46+AS14</f>
        <v>65933.841749895728</v>
      </c>
      <c r="AT182" s="371"/>
      <c r="AU182" s="105">
        <f>+AU24+AU37+AU56+AU46+AU14</f>
        <v>0</v>
      </c>
      <c r="AV182" s="371"/>
      <c r="AW182" s="105">
        <f>+AW24+AW37+AW56+AW46+AW14</f>
        <v>25656.326849269637</v>
      </c>
      <c r="AX182" s="371"/>
      <c r="AY182" s="105">
        <f>+AY24+AY37+AY56+AY46+AY14</f>
        <v>81603.868251790875</v>
      </c>
      <c r="BA182" s="95">
        <f>SUM(AI182:AY182)-AG182</f>
        <v>0</v>
      </c>
    </row>
    <row r="183" spans="2:54" s="304" customFormat="1" x14ac:dyDescent="0.2">
      <c r="B183" s="243"/>
      <c r="C183" s="664"/>
      <c r="D183" s="300"/>
      <c r="E183" s="105"/>
      <c r="F183" s="111" t="s">
        <v>441</v>
      </c>
      <c r="G183" s="61"/>
      <c r="H183" s="73"/>
      <c r="J183" s="80"/>
      <c r="L183" s="261">
        <f>ROUND(L182/$J182,4)-0.0001</f>
        <v>0.57340000000000002</v>
      </c>
      <c r="M183" s="261"/>
      <c r="N183" s="261">
        <f>ROUND(N182/$J182,4)</f>
        <v>0.23549999999999999</v>
      </c>
      <c r="O183" s="261"/>
      <c r="P183" s="261">
        <f>ROUND(P182/$J182,4)</f>
        <v>7.1499999999999994E-2</v>
      </c>
      <c r="Q183" s="261"/>
      <c r="R183" s="261">
        <f>ROUND(R182/$J182,4)</f>
        <v>0</v>
      </c>
      <c r="S183" s="261"/>
      <c r="T183" s="261">
        <f>ROUND(T182/$J182,4)</f>
        <v>0</v>
      </c>
      <c r="U183" s="261"/>
      <c r="V183" s="261">
        <f>ROUND(V182/$J182,4)</f>
        <v>2.86E-2</v>
      </c>
      <c r="W183" s="261"/>
      <c r="X183" s="261">
        <f>ROUND(X182/$J182,4)</f>
        <v>9.0999999999999998E-2</v>
      </c>
      <c r="Z183" s="261">
        <f>SUM(L183:X183)</f>
        <v>0.99999999999999989</v>
      </c>
      <c r="AA183" s="95"/>
      <c r="AC183" s="111" t="s">
        <v>441</v>
      </c>
      <c r="AD183" s="61"/>
      <c r="AE183" s="73"/>
      <c r="AG183" s="80"/>
      <c r="AI183" s="261">
        <f>ROUND(AI182/$J182,4)+0.0001</f>
        <v>0.35949999999999999</v>
      </c>
      <c r="AJ183" s="261"/>
      <c r="AK183" s="261">
        <f>ROUND(AK182/$J182,4)</f>
        <v>0.25180000000000002</v>
      </c>
      <c r="AL183" s="261"/>
      <c r="AM183" s="261">
        <f>ROUND(AM182/$J182,4)</f>
        <v>0.1956</v>
      </c>
      <c r="AN183" s="261"/>
      <c r="AO183" s="261">
        <f>ROUND(AO182/$J182,4)</f>
        <v>0</v>
      </c>
      <c r="AP183" s="261"/>
      <c r="AQ183" s="261">
        <f>ROUND(AQ182/$J182,4)</f>
        <v>0</v>
      </c>
      <c r="AR183" s="261"/>
      <c r="AS183" s="261">
        <f>ROUND(AS182/$J182,4)</f>
        <v>7.3499999999999996E-2</v>
      </c>
      <c r="AT183" s="261"/>
      <c r="AU183" s="261">
        <f>ROUND(AU182/$J182,4)</f>
        <v>0</v>
      </c>
      <c r="AV183" s="261"/>
      <c r="AW183" s="261">
        <f>ROUND(AW182/$J182,4)</f>
        <v>2.86E-2</v>
      </c>
      <c r="AX183" s="261"/>
      <c r="AY183" s="261">
        <f>ROUND(AY182/$J182,4)</f>
        <v>9.0999999999999998E-2</v>
      </c>
      <c r="BA183" s="261">
        <f>SUM(AI183:AY183)</f>
        <v>0.99999999999999989</v>
      </c>
    </row>
    <row r="184" spans="2:54" x14ac:dyDescent="0.2">
      <c r="C184" s="674"/>
      <c r="F184" s="111" t="s">
        <v>440</v>
      </c>
      <c r="J184" s="75">
        <f>+SUM(J130:J154)</f>
        <v>6385718.3493390782</v>
      </c>
      <c r="L184" s="75">
        <f>+SUM(L130:L154)</f>
        <v>3681217.5523251798</v>
      </c>
      <c r="M184" s="57"/>
      <c r="N184" s="75">
        <f>+SUM(N130:N154)</f>
        <v>1448118.5910512009</v>
      </c>
      <c r="O184" s="57"/>
      <c r="P184" s="75">
        <f>+SUM(P130:P154)</f>
        <v>417978.5659173294</v>
      </c>
      <c r="Q184" s="57"/>
      <c r="R184" s="75">
        <f>+SUM(R130:R154)</f>
        <v>0</v>
      </c>
      <c r="S184" s="57"/>
      <c r="T184" s="75">
        <f>+SUM(T130:T154)</f>
        <v>0</v>
      </c>
      <c r="U184" s="57"/>
      <c r="V184" s="75">
        <f>+SUM(V130:V154)</f>
        <v>131810.18940463927</v>
      </c>
      <c r="W184" s="57"/>
      <c r="X184" s="75">
        <f>+SUM(X130:X154)</f>
        <v>706593.45064073126</v>
      </c>
      <c r="Y184" s="57"/>
      <c r="Z184" s="95">
        <f>SUM(L184:X184)-J184</f>
        <v>0</v>
      </c>
      <c r="AA184" s="95"/>
      <c r="AC184" s="111" t="s">
        <v>440</v>
      </c>
      <c r="AD184" s="61"/>
      <c r="AE184" s="72"/>
      <c r="AF184" s="57"/>
      <c r="AG184" s="75">
        <f>+SUM(AG130:AG154)</f>
        <v>6385718.3493390782</v>
      </c>
      <c r="AH184" s="57"/>
      <c r="AI184" s="75">
        <f>+SUM(AI130:AI154)</f>
        <v>2099498.6040629535</v>
      </c>
      <c r="AJ184" s="57"/>
      <c r="AK184" s="75">
        <f>+SUM(AK130:AK154)</f>
        <v>1594985.4724470836</v>
      </c>
      <c r="AL184" s="57"/>
      <c r="AM184" s="75">
        <f>+SUM(AM130:AM154)</f>
        <v>874804.42765067145</v>
      </c>
      <c r="AN184" s="57"/>
      <c r="AO184" s="75">
        <f>+SUM(AO130:AO154)</f>
        <v>556981.2232777779</v>
      </c>
      <c r="AP184" s="57"/>
      <c r="AQ184" s="75">
        <f>+SUM(AQ130:AQ154)</f>
        <v>304273.02187380003</v>
      </c>
      <c r="AR184" s="57"/>
      <c r="AS184" s="75">
        <f>+SUM(AS130:AS154)</f>
        <v>121467.2229667088</v>
      </c>
      <c r="AT184" s="57"/>
      <c r="AU184" s="75">
        <f>+SUM(AU130:AU154)</f>
        <v>0</v>
      </c>
      <c r="AV184" s="57"/>
      <c r="AW184" s="75">
        <f>+SUM(AW130:AW154)</f>
        <v>130940.69625921591</v>
      </c>
      <c r="AX184" s="57"/>
      <c r="AY184" s="75">
        <f>+SUM(AY130:AY154)</f>
        <v>702767.68080086843</v>
      </c>
      <c r="BA184" s="95">
        <f>SUM(AI184:AY184)-AG184</f>
        <v>0</v>
      </c>
    </row>
    <row r="185" spans="2:54" x14ac:dyDescent="0.2">
      <c r="C185" s="674"/>
      <c r="F185" s="111" t="s">
        <v>43</v>
      </c>
      <c r="L185" s="125">
        <f>ROUND(L184/$J184,4)-0.0001</f>
        <v>0.57640000000000002</v>
      </c>
      <c r="M185" s="125"/>
      <c r="N185" s="125">
        <f>ROUND(N184/$J184,4)</f>
        <v>0.2268</v>
      </c>
      <c r="O185" s="125"/>
      <c r="P185" s="125">
        <f>ROUND(P184/$J184,4)</f>
        <v>6.5500000000000003E-2</v>
      </c>
      <c r="Q185" s="125"/>
      <c r="R185" s="125">
        <f>ROUND(R184/$J184,4)</f>
        <v>0</v>
      </c>
      <c r="S185" s="125"/>
      <c r="T185" s="125">
        <f>ROUND(T184/$J184,4)</f>
        <v>0</v>
      </c>
      <c r="U185" s="125"/>
      <c r="V185" s="125">
        <f>ROUND(V184/$J184,4)</f>
        <v>2.06E-2</v>
      </c>
      <c r="W185" s="125"/>
      <c r="X185" s="125">
        <f>ROUND(X184/$J184,4)</f>
        <v>0.11070000000000001</v>
      </c>
      <c r="Z185" s="125">
        <f>SUM(L185:X185)</f>
        <v>1</v>
      </c>
      <c r="AA185" s="95"/>
      <c r="AC185" s="111" t="s">
        <v>43</v>
      </c>
      <c r="AD185" s="61"/>
      <c r="AE185" s="72"/>
      <c r="AF185" s="57"/>
      <c r="AG185" s="75"/>
      <c r="AH185" s="57"/>
      <c r="AI185" s="125">
        <f>ROUND(AI184/$J184,4)</f>
        <v>0.32879999999999998</v>
      </c>
      <c r="AJ185" s="125"/>
      <c r="AK185" s="125">
        <f>ROUND(AK184/$J184,4)</f>
        <v>0.24979999999999999</v>
      </c>
      <c r="AL185" s="125"/>
      <c r="AM185" s="125">
        <f>ROUND(AM184/$J184,4)</f>
        <v>0.13700000000000001</v>
      </c>
      <c r="AN185" s="125"/>
      <c r="AO185" s="125">
        <f>ROUND(AO184/$J184,4)</f>
        <v>8.72E-2</v>
      </c>
      <c r="AP185" s="125"/>
      <c r="AQ185" s="125">
        <f>ROUND(AQ184/$J184,4)</f>
        <v>4.7600000000000003E-2</v>
      </c>
      <c r="AR185" s="125"/>
      <c r="AS185" s="125">
        <f>ROUND(AS184/$J184,4)</f>
        <v>1.9E-2</v>
      </c>
      <c r="AT185" s="125"/>
      <c r="AU185" s="125">
        <f>ROUND(AU184/$J184,4)</f>
        <v>0</v>
      </c>
      <c r="AV185" s="125"/>
      <c r="AW185" s="125">
        <f>ROUND(AW184/$J184,4)</f>
        <v>2.0500000000000001E-2</v>
      </c>
      <c r="AX185" s="125"/>
      <c r="AY185" s="125">
        <f>ROUND(AY184/$J184,4)</f>
        <v>0.1101</v>
      </c>
      <c r="BA185" s="125">
        <f>SUM(AI185:AY185)</f>
        <v>0.99999999999999989</v>
      </c>
    </row>
    <row r="186" spans="2:54" x14ac:dyDescent="0.2">
      <c r="C186" s="674"/>
      <c r="F186" s="111" t="s">
        <v>442</v>
      </c>
      <c r="J186" s="75">
        <f>+J166</f>
        <v>6104404.5853390777</v>
      </c>
      <c r="L186" s="75">
        <f t="shared" ref="L186" ca="1" si="213">+L166</f>
        <v>3507132.0934995799</v>
      </c>
      <c r="M186" s="57"/>
      <c r="N186" s="75">
        <f t="shared" ref="N186" ca="1" si="214">+N166</f>
        <v>1393160.6187900009</v>
      </c>
      <c r="O186" s="57"/>
      <c r="P186" s="75">
        <f t="shared" ref="P186" ca="1" si="215">+P166</f>
        <v>405313.21667732939</v>
      </c>
      <c r="Q186" s="57"/>
      <c r="R186" s="75">
        <f t="shared" ref="R186" ca="1" si="216">+R166</f>
        <v>0</v>
      </c>
      <c r="S186" s="57"/>
      <c r="T186" s="75">
        <f t="shared" ref="T186" ca="1" si="217">+T166</f>
        <v>0</v>
      </c>
      <c r="U186" s="57"/>
      <c r="V186" s="75">
        <f t="shared" ref="V186" ca="1" si="218">+V166</f>
        <v>127692.86969423923</v>
      </c>
      <c r="W186" s="57"/>
      <c r="X186" s="75">
        <f t="shared" ref="X186" ca="1" si="219">+X166</f>
        <v>671105.7866779312</v>
      </c>
      <c r="Z186" s="95">
        <f ca="1">SUM(L186:X186)-J186</f>
        <v>0</v>
      </c>
      <c r="AA186" s="95"/>
      <c r="AC186" s="111" t="s">
        <v>442</v>
      </c>
      <c r="AD186" s="61"/>
      <c r="AE186" s="72"/>
      <c r="AF186" s="57"/>
      <c r="AG186" s="75">
        <f>+AG166</f>
        <v>6104404.5853390777</v>
      </c>
      <c r="AH186" s="57"/>
      <c r="AI186" s="75">
        <f t="shared" ref="AI186" ca="1" si="220">+AI166</f>
        <v>2052503.5886237531</v>
      </c>
      <c r="AJ186" s="57"/>
      <c r="AK186" s="75">
        <f t="shared" ref="AK186" ca="1" si="221">+AK166</f>
        <v>1520539.6509938836</v>
      </c>
      <c r="AL186" s="57"/>
      <c r="AM186" s="75">
        <f t="shared" ref="AM186" ca="1" si="222">+AM166</f>
        <v>851652.76659267151</v>
      </c>
      <c r="AN186" s="57"/>
      <c r="AO186" s="75">
        <f t="shared" ref="AO186" ca="1" si="223">+AO166</f>
        <v>510956.27287297795</v>
      </c>
      <c r="AP186" s="57"/>
      <c r="AQ186" s="75">
        <f t="shared" ref="AQ186" ca="1" si="224">+AQ166</f>
        <v>279127.33573540003</v>
      </c>
      <c r="AR186" s="57"/>
      <c r="AS186" s="75">
        <f t="shared" ref="AS186" ca="1" si="225">+AS166</f>
        <v>95118.324719708791</v>
      </c>
      <c r="AT186" s="57"/>
      <c r="AU186" s="75">
        <f t="shared" ref="AU186" ca="1" si="226">+AU166</f>
        <v>29.9405</v>
      </c>
      <c r="AV186" s="57"/>
      <c r="AW186" s="75">
        <f t="shared" ref="AW186" ca="1" si="227">+AW166</f>
        <v>126876.7068222159</v>
      </c>
      <c r="AX186" s="57"/>
      <c r="AY186" s="75">
        <f t="shared" ref="AY186" ca="1" si="228">+AY166</f>
        <v>667599.99847846851</v>
      </c>
      <c r="BA186" s="95">
        <f ca="1">SUM(AI186:AY186)-AG186</f>
        <v>0</v>
      </c>
    </row>
    <row r="187" spans="2:54" x14ac:dyDescent="0.2">
      <c r="C187" s="674"/>
      <c r="F187" s="111" t="s">
        <v>44</v>
      </c>
      <c r="L187" s="125">
        <f ca="1">ROUND(L186/$J186,4)+0.0001</f>
        <v>0.5746</v>
      </c>
      <c r="M187" s="125"/>
      <c r="N187" s="125">
        <f ca="1">ROUND(N186/$J186,4)</f>
        <v>0.22819999999999999</v>
      </c>
      <c r="O187" s="125"/>
      <c r="P187" s="125">
        <f ca="1">ROUND(P186/$J186,4)</f>
        <v>6.6400000000000001E-2</v>
      </c>
      <c r="Q187" s="125"/>
      <c r="R187" s="125">
        <f ca="1">ROUND(R186/$J186,4)</f>
        <v>0</v>
      </c>
      <c r="S187" s="125"/>
      <c r="T187" s="125">
        <f ca="1">ROUND(T186/$J186,4)</f>
        <v>0</v>
      </c>
      <c r="U187" s="125"/>
      <c r="V187" s="125">
        <f ca="1">ROUND(V186/$J186,4)</f>
        <v>2.0899999999999998E-2</v>
      </c>
      <c r="W187" s="125"/>
      <c r="X187" s="125">
        <f ca="1">ROUND(X186/$J186,4)</f>
        <v>0.1099</v>
      </c>
      <c r="Z187" s="125">
        <f ca="1">SUM(L187:X187)</f>
        <v>1</v>
      </c>
      <c r="AA187" s="95"/>
      <c r="AC187" s="111" t="s">
        <v>44</v>
      </c>
      <c r="AD187" s="61"/>
      <c r="AE187" s="72"/>
      <c r="AF187" s="57"/>
      <c r="AG187" s="75"/>
      <c r="AH187" s="57"/>
      <c r="AI187" s="125">
        <f ca="1">ROUND(AI186/$J186,4)</f>
        <v>0.3362</v>
      </c>
      <c r="AJ187" s="125"/>
      <c r="AK187" s="125">
        <f ca="1">ROUND(AK186/$J186,4)</f>
        <v>0.24909999999999999</v>
      </c>
      <c r="AL187" s="125"/>
      <c r="AM187" s="125">
        <f ca="1">ROUND(AM186/$J186,4)</f>
        <v>0.13950000000000001</v>
      </c>
      <c r="AN187" s="125"/>
      <c r="AO187" s="125">
        <f ca="1">ROUND(AO186/$J186,4)</f>
        <v>8.3699999999999997E-2</v>
      </c>
      <c r="AP187" s="125"/>
      <c r="AQ187" s="125">
        <f ca="1">ROUND(AQ186/$J186,4)</f>
        <v>4.5699999999999998E-2</v>
      </c>
      <c r="AR187" s="125"/>
      <c r="AS187" s="125">
        <f ca="1">ROUND(AS186/$J186,4)</f>
        <v>1.5599999999999999E-2</v>
      </c>
      <c r="AT187" s="125"/>
      <c r="AU187" s="125">
        <f ca="1">ROUND(AU186/$J186,4)</f>
        <v>0</v>
      </c>
      <c r="AV187" s="125"/>
      <c r="AW187" s="125">
        <f ca="1">ROUND(AW186/$J186,4)</f>
        <v>2.0799999999999999E-2</v>
      </c>
      <c r="AX187" s="125"/>
      <c r="AY187" s="125">
        <f ca="1">ROUND(AY186/$J186,4)</f>
        <v>0.1094</v>
      </c>
      <c r="BA187" s="125">
        <f ca="1">SUM(AI187:AY187)</f>
        <v>0.99999999999999978</v>
      </c>
    </row>
    <row r="188" spans="2:54" x14ac:dyDescent="0.2">
      <c r="C188" s="674"/>
      <c r="F188" s="111" t="s">
        <v>443</v>
      </c>
      <c r="J188" s="75">
        <f>+J19+J32+J43+J51+SUM(J56:J59)+J61+J97+J112+J115+J103+J104+J105+J107</f>
        <v>3415700.0160928713</v>
      </c>
      <c r="L188" s="75">
        <f ca="1">+L19+L32+L43+L51+SUM(L56:L59)+L61+L97+L112+L115+L103+L104+L105+L107</f>
        <v>1994940.9359689998</v>
      </c>
      <c r="M188" s="57"/>
      <c r="N188" s="75">
        <f ca="1">+N19+N32+N43+N51+SUM(N56:N59)+N61+N97+N112+N115+N103+N104+N105+N107</f>
        <v>795921.83390111499</v>
      </c>
      <c r="O188" s="57"/>
      <c r="P188" s="75">
        <f ca="1">+P19+P32+P43+P51+SUM(P56:P59)+P61+P97+P112+P115+P103+P104+P105+P107</f>
        <v>238474.9277787286</v>
      </c>
      <c r="Q188" s="57"/>
      <c r="R188" s="75">
        <f ca="1">+R19+R32+R43+R51+SUM(R56:R59)+R61+R97+R112+R115+R103+R104+R105+R107</f>
        <v>0</v>
      </c>
      <c r="S188" s="57"/>
      <c r="T188" s="75">
        <f ca="1">+T19+T32+T43+T51+SUM(T56:T59)+T61+T97+T112+T115+T103+T104+T105+T107</f>
        <v>0</v>
      </c>
      <c r="U188" s="57"/>
      <c r="V188" s="75">
        <f ca="1">+V19+V32+V43+V51+SUM(V56:V59)+V61+V97+V112+V115+V103+V104+V105+V107</f>
        <v>81525.757501429951</v>
      </c>
      <c r="W188" s="57"/>
      <c r="X188" s="75">
        <f ca="1">+X19+X32+X43+X51+SUM(X56:X59)+X61+X97+X112+X115+X103+X104+X105+X107</f>
        <v>304836.56094259868</v>
      </c>
      <c r="Y188" s="57"/>
      <c r="Z188" s="95">
        <f ca="1">SUM(L188:X188)-J188</f>
        <v>0</v>
      </c>
      <c r="AA188" s="95"/>
      <c r="AC188" s="111" t="s">
        <v>443</v>
      </c>
      <c r="AD188" s="61"/>
      <c r="AE188" s="72"/>
      <c r="AF188" s="57"/>
      <c r="AG188" s="75">
        <f>+AG19+AG32+AG43+AG51+SUM(AG56:AG59)+AG61+AG97+AG112+AG115+AG103+AG104+AG105+AG107</f>
        <v>3415700.0160928713</v>
      </c>
      <c r="AH188" s="57"/>
      <c r="AI188" s="75">
        <f ca="1">+AI19+AI32+AI43+AI51+SUM(AI56:AI59)+AI61+AI97+AI112+AI115+AI103+AI104+AI105+AI107</f>
        <v>1302985.9822472075</v>
      </c>
      <c r="AJ188" s="57"/>
      <c r="AK188" s="75">
        <f ca="1">+AK19+AK32+AK43+AK51+SUM(AK56:AK59)+AK61+AK97+AK112+AK115+AK103+AK104+AK105+AK107</f>
        <v>714538.96646118606</v>
      </c>
      <c r="AL188" s="57"/>
      <c r="AM188" s="75">
        <f ca="1">+AM19+AM32+AM43+AM51+SUM(AM56:AM59)+AM61+AM97+AM112+AM115+AM103+AM104+AM105+AM107</f>
        <v>541308.7049234421</v>
      </c>
      <c r="AN188" s="57"/>
      <c r="AO188" s="75">
        <f ca="1">+AO19+AO32+AO43+AO51+SUM(AO56:AO59)+AO61+AO97+AO112+AO115+AO103+AO104+AO105+AO107</f>
        <v>134765.83418395021</v>
      </c>
      <c r="AP188" s="57"/>
      <c r="AQ188" s="75">
        <f ca="1">+AQ19+AQ32+AQ43+AQ51+SUM(AQ56:AQ59)+AQ61+AQ97+AQ112+AQ115+AQ103+AQ104+AQ105+AQ107</f>
        <v>69809.71306997801</v>
      </c>
      <c r="AR188" s="57"/>
      <c r="AS188" s="75">
        <f ca="1">+AS19+AS32+AS43+AS51+SUM(AS56:AS59)+AS61+AS97+AS112+AS115+AS103+AS104+AS105+AS107</f>
        <v>266603.41578879341</v>
      </c>
      <c r="AT188" s="57"/>
      <c r="AU188" s="75">
        <f ca="1">+AU19+AU32+AU43+AU51+SUM(AU56:AU59)+AU61+AU97+AU112+AU115+AU103+AU104+AU105+AU107</f>
        <v>0</v>
      </c>
      <c r="AV188" s="57"/>
      <c r="AW188" s="75">
        <f ca="1">+AW19+AW32+AW43+AW51+SUM(AW56:AW59)+AW61+AW97+AW112+AW115+AW103+AW104+AW105+AW107</f>
        <v>81419.346304411854</v>
      </c>
      <c r="AX188" s="57"/>
      <c r="AY188" s="75">
        <f ca="1">+AY19+AY32+AY43+AY51+SUM(AY56:AY59)+AY61+AY97+AY112+AY115+AY103+AY104+AY105+AY107</f>
        <v>304268.05311390257</v>
      </c>
      <c r="BA188" s="95">
        <f ca="1">SUM(AI188:AY188)-AG188</f>
        <v>0</v>
      </c>
    </row>
    <row r="189" spans="2:54" x14ac:dyDescent="0.2">
      <c r="C189" s="674"/>
      <c r="F189" s="111" t="s">
        <v>45</v>
      </c>
      <c r="L189" s="125">
        <f ca="1">ROUND(L188/$J188,4)</f>
        <v>0.58409999999999995</v>
      </c>
      <c r="M189" s="125"/>
      <c r="N189" s="125">
        <f ca="1">ROUND(N188/$J188,4)</f>
        <v>0.23300000000000001</v>
      </c>
      <c r="O189" s="125"/>
      <c r="P189" s="125">
        <f ca="1">ROUND(P188/$J188,4)</f>
        <v>6.9800000000000001E-2</v>
      </c>
      <c r="Q189" s="125"/>
      <c r="R189" s="125">
        <f ca="1">ROUND(R188/$J188,4)</f>
        <v>0</v>
      </c>
      <c r="S189" s="125"/>
      <c r="T189" s="125">
        <f ca="1">ROUND(T188/$J188,4)</f>
        <v>0</v>
      </c>
      <c r="U189" s="125"/>
      <c r="V189" s="125">
        <f ca="1">ROUND(V188/$J188,4)</f>
        <v>2.3900000000000001E-2</v>
      </c>
      <c r="W189" s="125"/>
      <c r="X189" s="125">
        <f ca="1">ROUND(X188/$J188,4)</f>
        <v>8.9200000000000002E-2</v>
      </c>
      <c r="Z189" s="125">
        <f ca="1">SUM(L189:X189)</f>
        <v>1</v>
      </c>
      <c r="AA189" s="95"/>
      <c r="AC189" s="111" t="s">
        <v>45</v>
      </c>
      <c r="AD189" s="61"/>
      <c r="AE189" s="72"/>
      <c r="AF189" s="57"/>
      <c r="AG189" s="75"/>
      <c r="AH189" s="57"/>
      <c r="AI189" s="125">
        <f ca="1">ROUND(AI188/$J188,4)-0.0001</f>
        <v>0.38140000000000002</v>
      </c>
      <c r="AJ189" s="125"/>
      <c r="AK189" s="125">
        <f ca="1">ROUND(AK188/$J188,4)</f>
        <v>0.2092</v>
      </c>
      <c r="AL189" s="125"/>
      <c r="AM189" s="125">
        <f ca="1">ROUND(AM188/$J188,4)</f>
        <v>0.1585</v>
      </c>
      <c r="AN189" s="125"/>
      <c r="AO189" s="125">
        <f ca="1">ROUND(AO188/$J188,4)</f>
        <v>3.95E-2</v>
      </c>
      <c r="AP189" s="125"/>
      <c r="AQ189" s="125">
        <f ca="1">ROUND(AQ188/$J188,4)</f>
        <v>2.0400000000000001E-2</v>
      </c>
      <c r="AR189" s="125"/>
      <c r="AS189" s="125">
        <f ca="1">ROUND(AS188/$J188,4)</f>
        <v>7.8100000000000003E-2</v>
      </c>
      <c r="AT189" s="125"/>
      <c r="AU189" s="125">
        <f ca="1">ROUND(AU188/$J188,4)</f>
        <v>0</v>
      </c>
      <c r="AV189" s="125"/>
      <c r="AW189" s="125">
        <f ca="1">ROUND(AW188/$J188,4)</f>
        <v>2.3800000000000002E-2</v>
      </c>
      <c r="AX189" s="125"/>
      <c r="AY189" s="125">
        <f ca="1">ROUND(AY188/$J188,4)</f>
        <v>8.9099999999999999E-2</v>
      </c>
      <c r="BA189" s="125">
        <f ca="1">SUM(AI189:AY189)</f>
        <v>1</v>
      </c>
    </row>
    <row r="190" spans="2:54" x14ac:dyDescent="0.2">
      <c r="C190" s="674"/>
      <c r="F190" s="111"/>
      <c r="L190" s="125"/>
      <c r="M190" s="125"/>
      <c r="N190" s="125"/>
      <c r="O190" s="125"/>
      <c r="P190" s="125"/>
      <c r="Q190" s="125"/>
      <c r="R190" s="125"/>
      <c r="S190" s="125"/>
      <c r="T190" s="125"/>
      <c r="U190" s="125"/>
      <c r="V190" s="125"/>
      <c r="W190" s="125"/>
      <c r="X190" s="125"/>
      <c r="Z190" s="125"/>
      <c r="AA190" s="95"/>
    </row>
    <row r="191" spans="2:54" x14ac:dyDescent="0.2">
      <c r="C191" s="674"/>
      <c r="F191" s="111"/>
      <c r="L191" s="125"/>
      <c r="M191" s="125"/>
      <c r="N191" s="125"/>
      <c r="O191" s="125"/>
      <c r="P191" s="125"/>
      <c r="Q191" s="125"/>
      <c r="R191" s="125"/>
      <c r="S191" s="125"/>
      <c r="T191" s="125"/>
      <c r="U191" s="125"/>
      <c r="V191" s="125"/>
      <c r="W191" s="125"/>
      <c r="X191" s="125"/>
      <c r="Z191" s="125"/>
      <c r="AA191" s="95"/>
    </row>
    <row r="192" spans="2:54" x14ac:dyDescent="0.2">
      <c r="C192" s="674"/>
      <c r="F192" s="111"/>
      <c r="L192" s="125"/>
      <c r="M192" s="125"/>
      <c r="N192" s="125"/>
      <c r="O192" s="125"/>
      <c r="P192" s="125"/>
      <c r="Q192" s="125"/>
      <c r="R192" s="125"/>
      <c r="S192" s="125"/>
      <c r="T192" s="125"/>
      <c r="U192" s="125"/>
      <c r="V192" s="125"/>
      <c r="W192" s="125"/>
      <c r="X192" s="125"/>
      <c r="Z192" s="125"/>
      <c r="AA192" s="95"/>
    </row>
    <row r="193" spans="3:53" x14ac:dyDescent="0.2">
      <c r="C193" s="674"/>
      <c r="Z193" s="113"/>
      <c r="AB193" s="115"/>
      <c r="AC193" s="58"/>
      <c r="AD193" s="115"/>
      <c r="AE193" s="115"/>
      <c r="AF193" s="115"/>
      <c r="AG193" s="115"/>
      <c r="AH193" s="115"/>
      <c r="AI193" s="115"/>
      <c r="AJ193" s="115"/>
      <c r="AK193" s="115"/>
      <c r="AL193" s="115"/>
      <c r="AM193" s="115"/>
      <c r="AN193" s="115"/>
      <c r="AO193" s="115"/>
    </row>
    <row r="194" spans="3:53" x14ac:dyDescent="0.2">
      <c r="C194" s="674"/>
      <c r="L194" s="114" t="s">
        <v>56</v>
      </c>
      <c r="Z194" s="113"/>
      <c r="AB194" s="115"/>
      <c r="AC194" s="58"/>
      <c r="AD194" s="115"/>
      <c r="AE194" s="115"/>
      <c r="AF194" s="115"/>
      <c r="AG194" s="115"/>
      <c r="AH194" s="115"/>
      <c r="AI194" s="115"/>
      <c r="AJ194" s="115"/>
      <c r="AK194" s="115"/>
      <c r="AL194" s="115"/>
      <c r="AM194" s="115"/>
      <c r="AN194" s="115"/>
      <c r="AO194" s="115"/>
    </row>
    <row r="195" spans="3:53" x14ac:dyDescent="0.2">
      <c r="C195" s="674"/>
      <c r="K195" s="115"/>
      <c r="L195" s="116">
        <v>2</v>
      </c>
      <c r="M195" s="115"/>
      <c r="N195" s="115">
        <v>4</v>
      </c>
      <c r="O195" s="115"/>
      <c r="P195" s="115">
        <v>6</v>
      </c>
      <c r="Q195" s="115"/>
      <c r="R195" s="115">
        <v>8</v>
      </c>
      <c r="S195" s="115"/>
      <c r="T195" s="115">
        <v>10</v>
      </c>
      <c r="U195" s="115"/>
      <c r="V195" s="115">
        <v>12</v>
      </c>
      <c r="W195" s="115"/>
      <c r="X195" s="115">
        <v>14</v>
      </c>
      <c r="Y195" s="115"/>
      <c r="Z195" s="115">
        <v>20</v>
      </c>
      <c r="AI195" s="143">
        <v>2</v>
      </c>
      <c r="AJ195" s="143"/>
      <c r="AK195" s="143">
        <v>4</v>
      </c>
      <c r="AL195" s="143"/>
      <c r="AM195" s="143">
        <v>6</v>
      </c>
      <c r="AN195" s="143"/>
      <c r="AO195" s="143">
        <v>8</v>
      </c>
      <c r="AP195" s="143"/>
      <c r="AQ195" s="143">
        <v>10</v>
      </c>
      <c r="AR195" s="143"/>
      <c r="AS195" s="143">
        <v>12</v>
      </c>
      <c r="AT195" s="143"/>
      <c r="AU195" s="143">
        <v>14</v>
      </c>
      <c r="AV195" s="143"/>
      <c r="AW195" s="143">
        <v>16</v>
      </c>
      <c r="AX195" s="143"/>
      <c r="AY195" s="143">
        <v>18</v>
      </c>
    </row>
    <row r="196" spans="3:53" x14ac:dyDescent="0.2">
      <c r="C196" s="674"/>
      <c r="K196" s="113"/>
      <c r="L196" s="117" t="s">
        <v>73</v>
      </c>
      <c r="M196" s="115"/>
      <c r="N196" s="118" t="s">
        <v>74</v>
      </c>
      <c r="O196" s="115"/>
      <c r="P196" s="118" t="s">
        <v>75</v>
      </c>
      <c r="Q196" s="115"/>
      <c r="R196" s="118" t="s">
        <v>59</v>
      </c>
      <c r="S196" s="115"/>
      <c r="T196" s="118" t="s">
        <v>181</v>
      </c>
      <c r="U196" s="119"/>
      <c r="V196" s="118" t="s">
        <v>38</v>
      </c>
      <c r="W196" s="115"/>
      <c r="X196" s="118" t="s">
        <v>39</v>
      </c>
      <c r="Y196" s="115"/>
      <c r="Z196" s="118" t="s">
        <v>183</v>
      </c>
      <c r="AI196" s="144"/>
      <c r="AJ196" s="144"/>
      <c r="AK196" s="144"/>
      <c r="AL196" s="144"/>
      <c r="AM196" s="144"/>
      <c r="AN196" s="144"/>
      <c r="AO196" s="144"/>
      <c r="AP196" s="144"/>
      <c r="AQ196" s="144"/>
      <c r="AR196" s="144"/>
      <c r="AS196" s="144" t="s">
        <v>277</v>
      </c>
      <c r="AT196" s="144"/>
      <c r="AU196" s="144" t="s">
        <v>316</v>
      </c>
      <c r="AV196" s="144"/>
      <c r="AW196" s="144" t="s">
        <v>315</v>
      </c>
      <c r="AX196" s="144"/>
      <c r="AY196" s="144" t="s">
        <v>39</v>
      </c>
    </row>
    <row r="197" spans="3:53" x14ac:dyDescent="0.2">
      <c r="C197" s="674"/>
      <c r="K197" s="113"/>
      <c r="L197" s="116"/>
      <c r="M197" s="113"/>
      <c r="N197" s="113"/>
      <c r="O197" s="113"/>
      <c r="P197" s="113"/>
      <c r="Q197" s="113"/>
      <c r="R197" s="113"/>
      <c r="S197" s="113"/>
      <c r="T197" s="113"/>
      <c r="U197" s="113"/>
      <c r="V197" s="113"/>
      <c r="W197" s="113"/>
      <c r="X197" s="113"/>
      <c r="Y197" s="113"/>
      <c r="Z197" s="113"/>
      <c r="AI197" s="144" t="s">
        <v>274</v>
      </c>
      <c r="AJ197" s="144"/>
      <c r="AK197" s="144" t="s">
        <v>275</v>
      </c>
      <c r="AL197" s="144"/>
      <c r="AM197" s="144" t="s">
        <v>276</v>
      </c>
      <c r="AN197" s="144"/>
      <c r="AO197" s="144" t="s">
        <v>230</v>
      </c>
      <c r="AP197" s="144"/>
      <c r="AQ197" s="144" t="s">
        <v>188</v>
      </c>
      <c r="AR197" s="144"/>
      <c r="AS197" s="144" t="s">
        <v>278</v>
      </c>
      <c r="AT197" s="144"/>
      <c r="AU197" s="144" t="s">
        <v>317</v>
      </c>
      <c r="AV197" s="144"/>
      <c r="AW197" s="144" t="s">
        <v>184</v>
      </c>
      <c r="AX197" s="144"/>
      <c r="AY197" s="144" t="s">
        <v>184</v>
      </c>
    </row>
    <row r="198" spans="3:53" x14ac:dyDescent="0.2">
      <c r="C198" s="674"/>
      <c r="K198" s="113"/>
      <c r="L198" s="116"/>
      <c r="M198" s="113"/>
      <c r="N198" s="120"/>
      <c r="O198" s="113"/>
      <c r="P198" s="120"/>
      <c r="Q198" s="113"/>
      <c r="R198" s="120"/>
      <c r="S198" s="113"/>
      <c r="T198" s="120"/>
      <c r="U198" s="113"/>
      <c r="V198" s="120"/>
      <c r="W198" s="113"/>
      <c r="X198" s="120"/>
      <c r="Y198" s="113"/>
      <c r="Z198" s="120"/>
    </row>
    <row r="199" spans="3:53" x14ac:dyDescent="0.2">
      <c r="C199" s="674"/>
      <c r="K199" s="113">
        <v>1</v>
      </c>
      <c r="L199" s="123">
        <f>'F 1-2'!K15</f>
        <v>0.56030000000000002</v>
      </c>
      <c r="M199" s="123"/>
      <c r="N199" s="123">
        <f>'F 1-2'!K16</f>
        <v>0.31380000000000002</v>
      </c>
      <c r="O199" s="123"/>
      <c r="P199" s="123">
        <f>'F 1-2'!K17</f>
        <v>0.1206</v>
      </c>
      <c r="Q199" s="123"/>
      <c r="R199" s="123">
        <f>'F 1-2'!K18</f>
        <v>0</v>
      </c>
      <c r="S199" s="123"/>
      <c r="T199" s="123">
        <f>'F 1-2'!K19</f>
        <v>0</v>
      </c>
      <c r="U199" s="123"/>
      <c r="V199" s="123">
        <f>'F 1-2'!K20</f>
        <v>8.9999999999999998E-4</v>
      </c>
      <c r="W199" s="123"/>
      <c r="X199" s="123">
        <f>'F 1-2'!K21</f>
        <v>4.4000000000000003E-3</v>
      </c>
      <c r="Y199" s="121"/>
      <c r="Z199" s="121">
        <f t="shared" ref="Z199:Z208" si="229">SUM(L199:Y199)</f>
        <v>1.0000000000000002</v>
      </c>
      <c r="AA199" t="str">
        <f>IF(Z199=1,"ok","&lt;&lt;&lt;&lt;??")</f>
        <v>ok</v>
      </c>
      <c r="AH199" s="113">
        <v>1</v>
      </c>
      <c r="AI199" s="142">
        <f>1-AW199-AY199</f>
        <v>0.99470000000000003</v>
      </c>
      <c r="AJ199" s="142"/>
      <c r="AK199" s="142">
        <v>0</v>
      </c>
      <c r="AL199" s="142"/>
      <c r="AM199" s="142">
        <v>0</v>
      </c>
      <c r="AN199" s="142"/>
      <c r="AO199" s="142">
        <v>0</v>
      </c>
      <c r="AP199" s="142"/>
      <c r="AQ199" s="142">
        <v>0</v>
      </c>
      <c r="AR199" s="142"/>
      <c r="AS199" s="142">
        <v>0</v>
      </c>
      <c r="AT199" s="142"/>
      <c r="AU199" s="142"/>
      <c r="AV199" s="142"/>
      <c r="AW199" s="142">
        <f>+'F 1-2'!K20</f>
        <v>8.9999999999999998E-4</v>
      </c>
      <c r="AX199" s="142"/>
      <c r="AY199" s="142">
        <f>+'F 1-2'!K21</f>
        <v>4.4000000000000003E-3</v>
      </c>
      <c r="AZ199" s="142"/>
      <c r="BA199" s="142">
        <f>SUM(AI199:AY199)</f>
        <v>1</v>
      </c>
    </row>
    <row r="200" spans="3:53" x14ac:dyDescent="0.2">
      <c r="C200" s="674"/>
      <c r="K200" s="113">
        <v>2</v>
      </c>
      <c r="L200" s="123">
        <f>'F 1-2'!M38</f>
        <v>0.6149</v>
      </c>
      <c r="M200" s="123"/>
      <c r="N200" s="123">
        <f>'F 1-2'!M39</f>
        <v>0.28739999999999999</v>
      </c>
      <c r="O200" s="123"/>
      <c r="P200" s="123">
        <f>'F 1-2'!M40</f>
        <v>9.4899999999999998E-2</v>
      </c>
      <c r="Q200" s="123"/>
      <c r="R200" s="123">
        <f>'F 1-2'!M41</f>
        <v>0</v>
      </c>
      <c r="S200" s="123"/>
      <c r="T200" s="123">
        <f>'F 1-2'!M42</f>
        <v>0</v>
      </c>
      <c r="U200" s="123"/>
      <c r="V200" s="123">
        <f>'F 1-2'!M43</f>
        <v>5.0000000000000001E-4</v>
      </c>
      <c r="W200" s="123"/>
      <c r="X200" s="123">
        <f>'F 1-2'!M44</f>
        <v>2.3E-3</v>
      </c>
      <c r="Y200" s="121"/>
      <c r="Z200" s="121">
        <f t="shared" si="229"/>
        <v>0.99999999999999989</v>
      </c>
      <c r="AA200" t="str">
        <f t="shared" ref="AA200:AA218" si="230">IF(Z200=1,"ok","&lt;&lt;&lt;&lt;??")</f>
        <v>ok</v>
      </c>
      <c r="AH200" s="113">
        <v>2</v>
      </c>
      <c r="AI200" s="142">
        <f>+'F 2 B'!H29-'COS 1'!AW200-AY200</f>
        <v>0.52350000000000008</v>
      </c>
      <c r="AJ200" s="142"/>
      <c r="AK200" s="142">
        <f>+'F 2 B'!H31</f>
        <v>0.47370000000000001</v>
      </c>
      <c r="AL200" s="142"/>
      <c r="AM200" s="142">
        <v>0</v>
      </c>
      <c r="AN200" s="142"/>
      <c r="AO200" s="142">
        <v>0</v>
      </c>
      <c r="AP200" s="142"/>
      <c r="AQ200" s="142">
        <v>0</v>
      </c>
      <c r="AR200" s="142"/>
      <c r="AS200" s="142">
        <v>0</v>
      </c>
      <c r="AT200" s="142"/>
      <c r="AU200" s="142"/>
      <c r="AV200" s="142"/>
      <c r="AW200" s="142">
        <f>+'F 1-2'!G43</f>
        <v>5.0000000000000001E-4</v>
      </c>
      <c r="AX200" s="142"/>
      <c r="AY200" s="142">
        <f>+'F 1-2'!M44</f>
        <v>2.3E-3</v>
      </c>
      <c r="AZ200" s="142"/>
      <c r="BA200" s="142">
        <f>SUM(AI200:AY200)</f>
        <v>1</v>
      </c>
    </row>
    <row r="201" spans="3:53" x14ac:dyDescent="0.2">
      <c r="C201" s="674"/>
      <c r="K201" s="113">
        <v>3</v>
      </c>
      <c r="L201" s="123">
        <f>'F 3-4'!P17</f>
        <v>0.5847</v>
      </c>
      <c r="M201" s="123"/>
      <c r="N201" s="123">
        <f>'F 3-4'!P18</f>
        <v>0.2732</v>
      </c>
      <c r="O201" s="123"/>
      <c r="P201" s="123">
        <f>'F 3-4'!P19</f>
        <v>9.01E-2</v>
      </c>
      <c r="Q201" s="123"/>
      <c r="R201" s="123">
        <f>'F 3-4'!P20</f>
        <v>0</v>
      </c>
      <c r="S201" s="123"/>
      <c r="T201" s="123">
        <f>'F 3-4'!P21</f>
        <v>0</v>
      </c>
      <c r="U201" s="123"/>
      <c r="V201" s="123">
        <f>'F 3-4'!P22</f>
        <v>1.2E-2</v>
      </c>
      <c r="W201" s="123"/>
      <c r="X201" s="123">
        <f>'F 3-4'!P23</f>
        <v>0.04</v>
      </c>
      <c r="Y201" s="121"/>
      <c r="Z201" s="121">
        <f t="shared" si="229"/>
        <v>1</v>
      </c>
      <c r="AA201" t="str">
        <f t="shared" si="230"/>
        <v>ok</v>
      </c>
      <c r="AH201" s="113">
        <v>3</v>
      </c>
      <c r="AI201" s="142">
        <f>+'F 3-4'!F15</f>
        <v>0.50029999999999997</v>
      </c>
      <c r="AJ201" s="142"/>
      <c r="AK201" s="142">
        <f>+'F 3-4'!J15</f>
        <v>0.45040000000000002</v>
      </c>
      <c r="AL201" s="142"/>
      <c r="AM201" s="142">
        <v>0</v>
      </c>
      <c r="AN201" s="142"/>
      <c r="AO201" s="142">
        <v>0</v>
      </c>
      <c r="AP201" s="142"/>
      <c r="AQ201" s="142">
        <v>0</v>
      </c>
      <c r="AR201" s="142"/>
      <c r="AS201" s="142">
        <v>0</v>
      </c>
      <c r="AT201" s="142"/>
      <c r="AU201" s="142"/>
      <c r="AV201" s="142"/>
      <c r="AW201" s="142">
        <f>+'F 3-4'!N22</f>
        <v>1.15E-2</v>
      </c>
      <c r="AX201" s="142"/>
      <c r="AY201" s="142">
        <f>+'F 3-4'!N23</f>
        <v>3.78E-2</v>
      </c>
      <c r="AZ201" s="142"/>
      <c r="BA201" s="142">
        <f>SUM(AI201:AY201)</f>
        <v>1</v>
      </c>
    </row>
    <row r="202" spans="3:53" x14ac:dyDescent="0.2">
      <c r="C202" s="674"/>
      <c r="K202" s="113">
        <v>4</v>
      </c>
      <c r="L202" s="123">
        <f>'F 3-4'!R45</f>
        <v>0.46829999999999999</v>
      </c>
      <c r="M202" s="123"/>
      <c r="N202" s="123">
        <f>'F 3-4'!R46</f>
        <v>0.19219999999999998</v>
      </c>
      <c r="O202" s="123"/>
      <c r="P202" s="123">
        <f>'F 3-4'!R47</f>
        <v>5.5800000000000002E-2</v>
      </c>
      <c r="Q202" s="123"/>
      <c r="R202" s="123">
        <f>'F 3-4'!R48</f>
        <v>0</v>
      </c>
      <c r="S202" s="123"/>
      <c r="T202" s="123">
        <f>'F 3-4'!R49</f>
        <v>0</v>
      </c>
      <c r="U202" s="123"/>
      <c r="V202" s="123">
        <f>'F 3-4'!R50</f>
        <v>6.6300000000000012E-2</v>
      </c>
      <c r="W202" s="123"/>
      <c r="X202" s="123">
        <f>'F 3-4'!R51</f>
        <v>0.21739999999999998</v>
      </c>
      <c r="Y202" s="121"/>
      <c r="Z202" s="121">
        <f t="shared" si="229"/>
        <v>1</v>
      </c>
      <c r="AA202" t="str">
        <f t="shared" si="230"/>
        <v>ok</v>
      </c>
      <c r="AH202" s="113">
        <v>4</v>
      </c>
      <c r="AI202" s="142">
        <f>+'F 3-4'!H43-'F 3-4'!H50-'F 3-4'!H51</f>
        <v>0.2379</v>
      </c>
      <c r="AJ202" s="142"/>
      <c r="AK202" s="142">
        <v>0</v>
      </c>
      <c r="AL202" s="142"/>
      <c r="AM202" s="142">
        <f>+'F 3-4'!L43</f>
        <v>0.47839999999999999</v>
      </c>
      <c r="AN202" s="142"/>
      <c r="AO202" s="142">
        <v>0</v>
      </c>
      <c r="AP202" s="142"/>
      <c r="AQ202" s="142">
        <v>0</v>
      </c>
      <c r="AR202" s="142"/>
      <c r="AS202" s="142">
        <v>0</v>
      </c>
      <c r="AT202" s="142"/>
      <c r="AU202" s="142"/>
      <c r="AV202" s="142"/>
      <c r="AW202" s="142">
        <f>+'F 3-4'!R50</f>
        <v>6.6300000000000012E-2</v>
      </c>
      <c r="AX202" s="142"/>
      <c r="AY202" s="142">
        <f>+'F 3-4'!R51</f>
        <v>0.21739999999999998</v>
      </c>
      <c r="AZ202" s="142"/>
      <c r="BA202" s="142">
        <f>SUM(AI202:AY202)</f>
        <v>1</v>
      </c>
    </row>
    <row r="203" spans="3:53" x14ac:dyDescent="0.2">
      <c r="C203" s="674"/>
      <c r="K203" s="113">
        <v>5</v>
      </c>
      <c r="L203" s="123">
        <f>'F 5'!R16</f>
        <v>0.62529999999999997</v>
      </c>
      <c r="M203" s="123"/>
      <c r="N203" s="123">
        <f>'F 5'!R17</f>
        <v>0.25619999999999998</v>
      </c>
      <c r="O203" s="123"/>
      <c r="P203" s="123">
        <f>'F 5'!R18</f>
        <v>7.5300000000000006E-2</v>
      </c>
      <c r="Q203" s="123"/>
      <c r="R203" s="123">
        <f>'F 5'!R19</f>
        <v>0</v>
      </c>
      <c r="S203" s="123"/>
      <c r="T203" s="123">
        <f>'F 5'!R20</f>
        <v>0</v>
      </c>
      <c r="U203" s="123"/>
      <c r="V203" s="123">
        <f>'F 5'!R21</f>
        <v>9.7999999999999997E-3</v>
      </c>
      <c r="W203" s="123"/>
      <c r="X203" s="123">
        <f>'F 5'!R22</f>
        <v>3.3399999999999999E-2</v>
      </c>
      <c r="Y203" s="121"/>
      <c r="Z203" s="121">
        <f t="shared" si="229"/>
        <v>1</v>
      </c>
      <c r="AA203" t="str">
        <f t="shared" si="230"/>
        <v>ok</v>
      </c>
      <c r="AH203" s="113">
        <v>5</v>
      </c>
      <c r="AI203" s="142">
        <f>+'F 5'!H14-'F 5'!H21-'F 5'!H22</f>
        <v>0.318</v>
      </c>
      <c r="AJ203" s="142"/>
      <c r="AK203" s="142">
        <v>0</v>
      </c>
      <c r="AL203" s="142"/>
      <c r="AM203" s="142">
        <f>+'F 5'!L14</f>
        <v>0.63880000000000003</v>
      </c>
      <c r="AN203" s="142"/>
      <c r="AO203" s="142">
        <v>0</v>
      </c>
      <c r="AP203" s="142"/>
      <c r="AQ203" s="142">
        <v>0</v>
      </c>
      <c r="AR203" s="142"/>
      <c r="AS203" s="142">
        <v>0</v>
      </c>
      <c r="AT203" s="142"/>
      <c r="AU203" s="142"/>
      <c r="AV203" s="142"/>
      <c r="AW203" s="142">
        <f>+'F 5'!R21</f>
        <v>9.7999999999999997E-3</v>
      </c>
      <c r="AX203" s="142"/>
      <c r="AY203" s="142">
        <f>+'F 5'!R22</f>
        <v>3.3399999999999999E-2</v>
      </c>
      <c r="AZ203" s="142"/>
      <c r="BA203" s="142">
        <f>SUM(AI203:AY203)</f>
        <v>1.0000000000000002</v>
      </c>
    </row>
    <row r="204" spans="3:53" x14ac:dyDescent="0.2">
      <c r="C204" s="674"/>
      <c r="K204" s="113"/>
      <c r="L204" s="123"/>
      <c r="M204" s="123"/>
      <c r="N204" s="123"/>
      <c r="O204" s="123"/>
      <c r="P204" s="123"/>
      <c r="Q204" s="123"/>
      <c r="R204" s="123"/>
      <c r="S204" s="123"/>
      <c r="T204" s="123"/>
      <c r="U204" s="123"/>
      <c r="V204" s="123"/>
      <c r="W204" s="123"/>
      <c r="X204" s="123"/>
      <c r="Y204" s="121"/>
      <c r="Z204" s="121"/>
      <c r="AH204" s="113"/>
      <c r="AI204" s="142"/>
      <c r="AJ204" s="142"/>
      <c r="AK204" s="142"/>
      <c r="AL204" s="142"/>
      <c r="AM204" s="142"/>
      <c r="AN204" s="142"/>
      <c r="AO204" s="142"/>
      <c r="AP204" s="142"/>
      <c r="AQ204" s="142"/>
      <c r="AR204" s="142"/>
      <c r="AS204" s="142"/>
      <c r="AT204" s="142"/>
      <c r="AU204" s="142"/>
      <c r="AV204" s="142"/>
      <c r="AW204" s="142"/>
      <c r="AX204" s="142"/>
      <c r="AY204" s="142"/>
      <c r="AZ204" s="142"/>
      <c r="BA204" s="142"/>
    </row>
    <row r="205" spans="3:53" x14ac:dyDescent="0.2">
      <c r="C205" s="674"/>
      <c r="K205" s="113">
        <v>6</v>
      </c>
      <c r="L205" s="123">
        <f>'F6'!N16</f>
        <v>0.47510000000000002</v>
      </c>
      <c r="M205" s="123"/>
      <c r="N205" s="123">
        <f>'F6'!N17</f>
        <v>0.19700000000000001</v>
      </c>
      <c r="O205" s="123"/>
      <c r="P205" s="123">
        <f>'F6'!N18</f>
        <v>5.7799999999999997E-2</v>
      </c>
      <c r="Q205" s="123"/>
      <c r="R205" s="123">
        <f>'F6'!N19</f>
        <v>0</v>
      </c>
      <c r="S205" s="123"/>
      <c r="T205" s="123">
        <f>'F6'!N20</f>
        <v>0</v>
      </c>
      <c r="U205" s="123"/>
      <c r="V205" s="123">
        <f>'F6'!N21</f>
        <v>6.3100000000000003E-2</v>
      </c>
      <c r="W205" s="123"/>
      <c r="X205" s="123">
        <f>'F6'!N22</f>
        <v>0.20699999999999999</v>
      </c>
      <c r="Y205" s="121"/>
      <c r="Z205" s="121">
        <f t="shared" si="229"/>
        <v>1</v>
      </c>
      <c r="AA205" t="str">
        <f t="shared" si="230"/>
        <v>ok</v>
      </c>
      <c r="AH205" s="113">
        <v>6</v>
      </c>
      <c r="AI205" s="142">
        <f>+'F6'!Y15</f>
        <v>0.25309999999999999</v>
      </c>
      <c r="AJ205" s="142"/>
      <c r="AK205" s="142">
        <f>+'F6'!Y16</f>
        <v>2.63E-2</v>
      </c>
      <c r="AL205" s="142"/>
      <c r="AM205" s="142">
        <f>+'F6'!Y17</f>
        <v>0.45050000000000001</v>
      </c>
      <c r="AN205" s="142"/>
      <c r="AO205" s="142"/>
      <c r="AP205" s="142"/>
      <c r="AQ205" s="142"/>
      <c r="AR205" s="142"/>
      <c r="AS205" s="142"/>
      <c r="AT205" s="142"/>
      <c r="AU205" s="142"/>
      <c r="AV205" s="142"/>
      <c r="AW205" s="142">
        <f>+'F6'!Y18</f>
        <v>6.3100000000000003E-2</v>
      </c>
      <c r="AX205" s="142"/>
      <c r="AY205" s="142">
        <f>+'F6'!Y19</f>
        <v>0.20699999999999999</v>
      </c>
      <c r="AZ205" s="142"/>
      <c r="BA205" s="142">
        <f>SUM(AI205:AY205)</f>
        <v>1</v>
      </c>
    </row>
    <row r="206" spans="3:53" x14ac:dyDescent="0.2">
      <c r="C206" s="674"/>
      <c r="K206" s="113">
        <v>7</v>
      </c>
      <c r="L206" s="123">
        <v>0</v>
      </c>
      <c r="M206" s="123"/>
      <c r="N206" s="123">
        <v>0</v>
      </c>
      <c r="O206" s="123"/>
      <c r="P206" s="123">
        <v>0</v>
      </c>
      <c r="Q206" s="123"/>
      <c r="R206" s="123">
        <v>0</v>
      </c>
      <c r="S206" s="123"/>
      <c r="T206" s="123">
        <v>0</v>
      </c>
      <c r="U206" s="123"/>
      <c r="V206" s="123">
        <v>0</v>
      </c>
      <c r="W206" s="123"/>
      <c r="X206" s="123">
        <v>1</v>
      </c>
      <c r="Y206" s="121"/>
      <c r="Z206" s="121">
        <f t="shared" si="229"/>
        <v>1</v>
      </c>
      <c r="AA206" t="str">
        <f t="shared" si="230"/>
        <v>ok</v>
      </c>
      <c r="AH206" s="113">
        <v>7</v>
      </c>
      <c r="AI206" s="142">
        <v>0</v>
      </c>
      <c r="AJ206" s="142"/>
      <c r="AK206" s="142">
        <v>0</v>
      </c>
      <c r="AL206" s="142"/>
      <c r="AM206" s="142">
        <v>0</v>
      </c>
      <c r="AN206" s="142"/>
      <c r="AO206" s="142">
        <v>0</v>
      </c>
      <c r="AP206" s="142"/>
      <c r="AQ206" s="142">
        <v>0</v>
      </c>
      <c r="AR206" s="142"/>
      <c r="AS206" s="142">
        <v>0</v>
      </c>
      <c r="AT206" s="142"/>
      <c r="AU206" s="142"/>
      <c r="AV206" s="142"/>
      <c r="AW206" s="142">
        <v>0</v>
      </c>
      <c r="AX206" s="142"/>
      <c r="AY206" s="142">
        <v>1</v>
      </c>
      <c r="AZ206" s="142"/>
      <c r="BA206" s="142">
        <f>SUM(AI206:AY206)</f>
        <v>1</v>
      </c>
    </row>
    <row r="207" spans="3:53" x14ac:dyDescent="0.2">
      <c r="C207" s="674"/>
      <c r="K207" s="113">
        <v>8</v>
      </c>
      <c r="L207" s="123">
        <f>'F7-9'!F27</f>
        <v>0.80659999999999998</v>
      </c>
      <c r="M207" s="123"/>
      <c r="N207" s="123">
        <f>'F7-9'!F28</f>
        <v>0.1807</v>
      </c>
      <c r="O207" s="123"/>
      <c r="P207" s="123">
        <f>'F7-9'!F29</f>
        <v>1.2699999999999999E-2</v>
      </c>
      <c r="Q207" s="123"/>
      <c r="R207" s="123">
        <f>'F7-9'!F30</f>
        <v>0</v>
      </c>
      <c r="S207" s="123"/>
      <c r="T207" s="123">
        <f>'F7-9'!F31</f>
        <v>0</v>
      </c>
      <c r="U207" s="123"/>
      <c r="V207" s="123">
        <f>'F7-9'!F32</f>
        <v>0</v>
      </c>
      <c r="W207" s="123"/>
      <c r="X207" s="123">
        <v>0</v>
      </c>
      <c r="Y207" s="121"/>
      <c r="Z207" s="121">
        <f t="shared" si="229"/>
        <v>1</v>
      </c>
      <c r="AA207" t="str">
        <f t="shared" si="230"/>
        <v>ok</v>
      </c>
      <c r="AH207" s="113">
        <v>8</v>
      </c>
      <c r="AI207" s="142">
        <v>0</v>
      </c>
      <c r="AJ207" s="142"/>
      <c r="AK207" s="142">
        <v>0</v>
      </c>
      <c r="AL207" s="142"/>
      <c r="AM207" s="142">
        <v>0</v>
      </c>
      <c r="AN207" s="142"/>
      <c r="AO207" s="142">
        <f>1-AW207</f>
        <v>1</v>
      </c>
      <c r="AP207" s="142"/>
      <c r="AQ207" s="142">
        <v>0</v>
      </c>
      <c r="AR207" s="142"/>
      <c r="AS207" s="142"/>
      <c r="AT207" s="142"/>
      <c r="AU207" s="142"/>
      <c r="AV207" s="142"/>
      <c r="AW207" s="142">
        <f>+'F7-9'!F32</f>
        <v>0</v>
      </c>
      <c r="AX207" s="142"/>
      <c r="AY207" s="142">
        <v>0</v>
      </c>
      <c r="AZ207" s="142"/>
      <c r="BA207" s="142">
        <f>SUM(AI207:AY207)</f>
        <v>1</v>
      </c>
    </row>
    <row r="208" spans="3:53" x14ac:dyDescent="0.2">
      <c r="C208" s="674"/>
      <c r="K208" s="113">
        <v>9</v>
      </c>
      <c r="L208" s="123">
        <f>'F7-9'!F48</f>
        <v>0.82940000000000003</v>
      </c>
      <c r="M208" s="123"/>
      <c r="N208" s="123">
        <f>'F7-9'!F49</f>
        <v>0.1477</v>
      </c>
      <c r="O208" s="123"/>
      <c r="P208" s="123">
        <f>'F7-9'!F50</f>
        <v>5.0000000000000001E-3</v>
      </c>
      <c r="Q208" s="123"/>
      <c r="R208" s="123">
        <f>'F7-9'!F51</f>
        <v>0</v>
      </c>
      <c r="S208" s="123"/>
      <c r="T208" s="123">
        <f>'F7-9'!F52</f>
        <v>0</v>
      </c>
      <c r="U208" s="123"/>
      <c r="V208" s="123">
        <f>'F7-9'!F53</f>
        <v>1.7899999999999999E-2</v>
      </c>
      <c r="W208" s="123"/>
      <c r="X208" s="123">
        <v>0</v>
      </c>
      <c r="Y208" s="121"/>
      <c r="Z208" s="121">
        <f t="shared" si="229"/>
        <v>1</v>
      </c>
      <c r="AA208" t="str">
        <f t="shared" si="230"/>
        <v>ok</v>
      </c>
      <c r="AH208" s="113">
        <v>9</v>
      </c>
      <c r="AI208" s="142">
        <v>0</v>
      </c>
      <c r="AJ208" s="142"/>
      <c r="AK208" s="142">
        <v>0</v>
      </c>
      <c r="AL208" s="142"/>
      <c r="AM208" s="142">
        <v>0</v>
      </c>
      <c r="AN208" s="142"/>
      <c r="AO208" s="142">
        <v>0</v>
      </c>
      <c r="AP208" s="142"/>
      <c r="AQ208" s="142">
        <f>1-AW208</f>
        <v>0.98209999999999997</v>
      </c>
      <c r="AR208" s="142"/>
      <c r="AS208" s="142">
        <v>0</v>
      </c>
      <c r="AT208" s="142"/>
      <c r="AU208" s="142"/>
      <c r="AV208" s="142"/>
      <c r="AW208" s="142">
        <f>+'F7-9'!F53</f>
        <v>1.7899999999999999E-2</v>
      </c>
      <c r="AX208" s="142"/>
      <c r="AY208" s="142">
        <v>0</v>
      </c>
      <c r="AZ208" s="142"/>
      <c r="BA208" s="142">
        <f>SUM(AI208:AY208)</f>
        <v>1</v>
      </c>
    </row>
    <row r="209" spans="3:53" x14ac:dyDescent="0.2">
      <c r="C209" s="674"/>
      <c r="K209" s="113"/>
      <c r="L209" s="124"/>
      <c r="M209" s="124"/>
      <c r="N209" s="124"/>
      <c r="O209" s="124"/>
      <c r="P209" s="124"/>
      <c r="Q209" s="124"/>
      <c r="R209" s="124"/>
      <c r="S209" s="124"/>
      <c r="T209" s="124"/>
      <c r="U209" s="124"/>
      <c r="V209" s="124"/>
      <c r="W209" s="124"/>
      <c r="X209" s="124"/>
      <c r="Y209" s="122"/>
      <c r="Z209" s="121"/>
      <c r="AH209" s="113"/>
      <c r="AI209" s="142"/>
      <c r="AJ209" s="142"/>
      <c r="AK209" s="142"/>
      <c r="AL209" s="142"/>
      <c r="AM209" s="142"/>
      <c r="AN209" s="142"/>
      <c r="AO209" s="142"/>
      <c r="AP209" s="142"/>
      <c r="AQ209" s="142"/>
      <c r="AR209" s="142"/>
      <c r="AS209" s="142"/>
      <c r="AT209" s="142"/>
      <c r="AU209" s="142"/>
      <c r="AV209" s="142"/>
      <c r="AW209" s="142"/>
      <c r="AX209" s="142"/>
      <c r="AY209" s="142"/>
      <c r="AZ209" s="142"/>
      <c r="BA209" s="142"/>
    </row>
    <row r="210" spans="3:53" x14ac:dyDescent="0.2">
      <c r="C210" s="674"/>
      <c r="K210" s="113"/>
      <c r="L210" s="124"/>
      <c r="M210" s="124"/>
      <c r="N210" s="124"/>
      <c r="O210" s="124"/>
      <c r="P210" s="124"/>
      <c r="Q210" s="124"/>
      <c r="R210" s="124"/>
      <c r="S210" s="124"/>
      <c r="T210" s="124"/>
      <c r="U210" s="124"/>
      <c r="V210" s="124"/>
      <c r="W210" s="124"/>
      <c r="X210" s="124"/>
      <c r="Y210" s="122"/>
      <c r="Z210" s="121"/>
      <c r="AH210" s="113"/>
      <c r="AI210" s="142"/>
      <c r="AJ210" s="142"/>
      <c r="AK210" s="142"/>
      <c r="AL210" s="142"/>
      <c r="AM210" s="142"/>
      <c r="AN210" s="142"/>
      <c r="AO210" s="142"/>
      <c r="AP210" s="142"/>
      <c r="AQ210" s="142"/>
      <c r="AR210" s="142"/>
      <c r="AS210" s="142"/>
      <c r="AT210" s="142"/>
      <c r="AU210" s="142"/>
      <c r="AV210" s="142"/>
      <c r="AW210" s="142"/>
      <c r="AX210" s="142"/>
      <c r="AY210" s="142"/>
      <c r="AZ210" s="142"/>
      <c r="BA210" s="142"/>
    </row>
    <row r="211" spans="3:53" x14ac:dyDescent="0.2">
      <c r="C211" s="674"/>
      <c r="K211" s="113">
        <v>10</v>
      </c>
      <c r="L211" s="123">
        <f>+'F10-11'!F13</f>
        <v>0.86160000000000003</v>
      </c>
      <c r="M211" s="123"/>
      <c r="N211" s="123">
        <f>+'F10-11'!F14</f>
        <v>0.123</v>
      </c>
      <c r="O211" s="123"/>
      <c r="P211" s="123">
        <f>+'F10-11'!F15</f>
        <v>2.0999999999999999E-3</v>
      </c>
      <c r="Q211" s="123"/>
      <c r="R211" s="123">
        <f>+'F10-11'!F16</f>
        <v>0</v>
      </c>
      <c r="S211" s="123"/>
      <c r="T211" s="123">
        <f>+'F10-11'!F17</f>
        <v>0</v>
      </c>
      <c r="U211" s="123"/>
      <c r="V211" s="123">
        <f>+'F10-11'!F18</f>
        <v>1.2999999999999999E-2</v>
      </c>
      <c r="W211" s="123"/>
      <c r="X211" s="123">
        <f>+'F10-11'!F19</f>
        <v>2.9999999999999997E-4</v>
      </c>
      <c r="Y211" s="121"/>
      <c r="Z211" s="121">
        <f t="shared" ref="Z211:Z218" si="231">SUM(L211:Y211)</f>
        <v>1</v>
      </c>
      <c r="AA211" t="str">
        <f t="shared" si="230"/>
        <v>ok</v>
      </c>
      <c r="AH211" s="113">
        <v>10</v>
      </c>
      <c r="AI211" s="142">
        <v>0</v>
      </c>
      <c r="AJ211" s="142"/>
      <c r="AK211" s="142">
        <v>0</v>
      </c>
      <c r="AL211" s="142"/>
      <c r="AM211" s="142">
        <v>0</v>
      </c>
      <c r="AN211" s="142">
        <v>0</v>
      </c>
      <c r="AO211" s="142">
        <v>0</v>
      </c>
      <c r="AP211" s="142"/>
      <c r="AQ211" s="142">
        <v>0</v>
      </c>
      <c r="AR211" s="142"/>
      <c r="AS211" s="142">
        <f>1-AW211-AY211</f>
        <v>0.98670000000000002</v>
      </c>
      <c r="AT211" s="142"/>
      <c r="AU211" s="142"/>
      <c r="AV211" s="142"/>
      <c r="AW211" s="142">
        <f>+'F10-11'!F18</f>
        <v>1.2999999999999999E-2</v>
      </c>
      <c r="AX211" s="142"/>
      <c r="AY211" s="142">
        <f>+'F10-11'!F19</f>
        <v>2.9999999999999997E-4</v>
      </c>
      <c r="AZ211" s="142"/>
      <c r="BA211" s="142">
        <f t="shared" ref="BA211:BA219" si="232">SUM(AI211:AY211)</f>
        <v>1</v>
      </c>
    </row>
    <row r="212" spans="3:53" x14ac:dyDescent="0.2">
      <c r="C212" s="674"/>
      <c r="K212" s="113">
        <v>11</v>
      </c>
      <c r="L212" s="123">
        <f>+'F10-11'!F33</f>
        <v>0.87329999999999997</v>
      </c>
      <c r="M212" s="123"/>
      <c r="N212" s="123">
        <f>+'F10-11'!F34</f>
        <v>0.1246</v>
      </c>
      <c r="O212" s="123"/>
      <c r="P212" s="123">
        <f>+'F10-11'!F35</f>
        <v>2.0999999999999999E-3</v>
      </c>
      <c r="Q212" s="123"/>
      <c r="R212" s="123">
        <f>+'F10-11'!F36</f>
        <v>0</v>
      </c>
      <c r="S212" s="123"/>
      <c r="T212" s="123">
        <f>+'F10-11'!F37</f>
        <v>0</v>
      </c>
      <c r="U212" s="123"/>
      <c r="V212" s="123">
        <f>+'F10-11'!F38</f>
        <v>0</v>
      </c>
      <c r="W212" s="123"/>
      <c r="X212" s="123">
        <v>0</v>
      </c>
      <c r="Y212" s="122"/>
      <c r="Z212" s="121">
        <f t="shared" si="231"/>
        <v>1</v>
      </c>
      <c r="AA212" t="str">
        <f t="shared" si="230"/>
        <v>ok</v>
      </c>
      <c r="AH212" s="113">
        <v>11</v>
      </c>
      <c r="AI212" s="142">
        <v>0</v>
      </c>
      <c r="AJ212" s="142"/>
      <c r="AK212" s="142">
        <v>0</v>
      </c>
      <c r="AL212" s="142"/>
      <c r="AM212" s="142">
        <v>0</v>
      </c>
      <c r="AN212" s="142">
        <v>0</v>
      </c>
      <c r="AO212" s="142">
        <v>0</v>
      </c>
      <c r="AP212" s="142"/>
      <c r="AQ212" s="142">
        <v>0</v>
      </c>
      <c r="AR212" s="142"/>
      <c r="AS212" s="142">
        <v>1</v>
      </c>
      <c r="AT212" s="142"/>
      <c r="AU212" s="142"/>
      <c r="AV212" s="142"/>
      <c r="AW212" s="142">
        <v>0</v>
      </c>
      <c r="AX212" s="142"/>
      <c r="AY212" s="142">
        <v>0</v>
      </c>
      <c r="AZ212" s="142"/>
      <c r="BA212" s="142">
        <f t="shared" si="232"/>
        <v>1</v>
      </c>
    </row>
    <row r="213" spans="3:53" x14ac:dyDescent="0.2">
      <c r="C213" s="674"/>
      <c r="K213" s="113">
        <v>12</v>
      </c>
      <c r="L213" s="124">
        <f t="shared" ref="L213:X213" si="233">+L179</f>
        <v>0.58250000000000002</v>
      </c>
      <c r="M213" s="124">
        <f t="shared" si="233"/>
        <v>0</v>
      </c>
      <c r="N213" s="124">
        <f t="shared" si="233"/>
        <v>0.19750000000000001</v>
      </c>
      <c r="O213" s="124">
        <f t="shared" si="233"/>
        <v>0</v>
      </c>
      <c r="P213" s="124">
        <f t="shared" si="233"/>
        <v>5.11E-2</v>
      </c>
      <c r="Q213" s="124">
        <f t="shared" si="233"/>
        <v>0</v>
      </c>
      <c r="R213" s="124">
        <f t="shared" si="233"/>
        <v>0</v>
      </c>
      <c r="S213" s="124">
        <f t="shared" si="233"/>
        <v>0</v>
      </c>
      <c r="T213" s="124">
        <f t="shared" si="233"/>
        <v>0</v>
      </c>
      <c r="U213" s="124">
        <f t="shared" si="233"/>
        <v>0</v>
      </c>
      <c r="V213" s="124">
        <f t="shared" si="233"/>
        <v>4.1300000000000003E-2</v>
      </c>
      <c r="W213" s="124">
        <f t="shared" si="233"/>
        <v>0</v>
      </c>
      <c r="X213" s="124">
        <f t="shared" si="233"/>
        <v>0.12759999999999999</v>
      </c>
      <c r="Y213" s="122"/>
      <c r="Z213" s="121">
        <f t="shared" si="231"/>
        <v>1</v>
      </c>
      <c r="AA213" t="str">
        <f t="shared" si="230"/>
        <v>ok</v>
      </c>
      <c r="AH213" s="113">
        <v>12</v>
      </c>
      <c r="AI213" s="142">
        <f>+AI179</f>
        <v>0.1883</v>
      </c>
      <c r="AJ213" s="142">
        <f t="shared" ref="AJ213:AW213" si="234">+AJ179</f>
        <v>0</v>
      </c>
      <c r="AK213" s="142">
        <f t="shared" si="234"/>
        <v>0.1842</v>
      </c>
      <c r="AL213" s="142">
        <f t="shared" si="234"/>
        <v>0</v>
      </c>
      <c r="AM213" s="142">
        <f t="shared" si="234"/>
        <v>0.27739999999999998</v>
      </c>
      <c r="AN213" s="142">
        <f t="shared" si="234"/>
        <v>0</v>
      </c>
      <c r="AO213" s="142">
        <f t="shared" si="234"/>
        <v>0</v>
      </c>
      <c r="AP213" s="142">
        <f t="shared" si="234"/>
        <v>0</v>
      </c>
      <c r="AQ213" s="142">
        <f t="shared" si="234"/>
        <v>0</v>
      </c>
      <c r="AR213" s="142">
        <f t="shared" si="234"/>
        <v>0</v>
      </c>
      <c r="AS213" s="142">
        <f t="shared" si="234"/>
        <v>0.1812</v>
      </c>
      <c r="AT213" s="142">
        <f>+AT179</f>
        <v>0</v>
      </c>
      <c r="AU213" s="142">
        <f>+AU179</f>
        <v>0</v>
      </c>
      <c r="AV213" s="142">
        <f t="shared" si="234"/>
        <v>0</v>
      </c>
      <c r="AW213" s="142">
        <f t="shared" si="234"/>
        <v>4.1300000000000003E-2</v>
      </c>
      <c r="AX213" s="142">
        <f>+AX179</f>
        <v>0</v>
      </c>
      <c r="AY213" s="142">
        <f>+AY179</f>
        <v>0.12759999999999999</v>
      </c>
      <c r="AZ213" s="142"/>
      <c r="BA213" s="142">
        <f t="shared" si="232"/>
        <v>1</v>
      </c>
    </row>
    <row r="214" spans="3:53" x14ac:dyDescent="0.2">
      <c r="C214" s="674"/>
      <c r="K214" s="113">
        <v>13</v>
      </c>
      <c r="L214" s="124">
        <f ca="1">+L181</f>
        <v>0.58169999999999999</v>
      </c>
      <c r="M214" s="124"/>
      <c r="N214" s="124">
        <f ca="1">+N181</f>
        <v>0.2399</v>
      </c>
      <c r="O214" s="124"/>
      <c r="P214" s="124">
        <f ca="1">+P181</f>
        <v>7.4700000000000003E-2</v>
      </c>
      <c r="Q214" s="124"/>
      <c r="R214" s="124">
        <f ca="1">+R181</f>
        <v>0</v>
      </c>
      <c r="S214" s="124"/>
      <c r="T214" s="124">
        <f ca="1">+T181</f>
        <v>0</v>
      </c>
      <c r="U214" s="124"/>
      <c r="V214" s="124">
        <f ca="1">+V181</f>
        <v>2.5000000000000001E-2</v>
      </c>
      <c r="W214" s="124"/>
      <c r="X214" s="124">
        <f ca="1">+X181</f>
        <v>7.8700000000000006E-2</v>
      </c>
      <c r="Y214" s="122"/>
      <c r="Z214" s="121">
        <f ca="1">SUM(L214:Y214)</f>
        <v>1</v>
      </c>
      <c r="AA214" t="str">
        <f t="shared" ca="1" si="230"/>
        <v>ok</v>
      </c>
      <c r="AH214" s="113">
        <v>13</v>
      </c>
      <c r="AI214" s="142">
        <f ca="1">+AI181</f>
        <v>0.42870000000000003</v>
      </c>
      <c r="AJ214" s="142"/>
      <c r="AK214" s="142">
        <f ca="1">+AK181</f>
        <v>0.1963</v>
      </c>
      <c r="AL214" s="142"/>
      <c r="AM214" s="142">
        <f ca="1">+AM181</f>
        <v>0.16669999999999999</v>
      </c>
      <c r="AN214" s="142"/>
      <c r="AO214" s="142">
        <f ca="1">+AO181</f>
        <v>1.6000000000000001E-3</v>
      </c>
      <c r="AP214" s="142"/>
      <c r="AQ214" s="142">
        <f ca="1">+AQ181</f>
        <v>8.0000000000000004E-4</v>
      </c>
      <c r="AR214" s="142"/>
      <c r="AS214" s="142">
        <f ca="1">+AS181</f>
        <v>0.1021</v>
      </c>
      <c r="AT214" s="142"/>
      <c r="AU214" s="142">
        <f ca="1">+AU181</f>
        <v>1E-4</v>
      </c>
      <c r="AV214" s="142"/>
      <c r="AW214" s="142">
        <f ca="1">+AW181</f>
        <v>2.5000000000000001E-2</v>
      </c>
      <c r="AX214" s="142"/>
      <c r="AY214" s="142">
        <f ca="1">+AY181</f>
        <v>7.8700000000000006E-2</v>
      </c>
      <c r="AZ214" s="142"/>
      <c r="BA214" s="142">
        <f t="shared" ca="1" si="232"/>
        <v>1</v>
      </c>
    </row>
    <row r="215" spans="3:53" x14ac:dyDescent="0.2">
      <c r="C215" s="674"/>
      <c r="K215" s="113">
        <v>14</v>
      </c>
      <c r="L215" s="124">
        <f t="shared" ref="L215:X215" si="235">+L183</f>
        <v>0.57340000000000002</v>
      </c>
      <c r="M215" s="124">
        <f t="shared" si="235"/>
        <v>0</v>
      </c>
      <c r="N215" s="124">
        <f t="shared" si="235"/>
        <v>0.23549999999999999</v>
      </c>
      <c r="O215" s="124">
        <f t="shared" si="235"/>
        <v>0</v>
      </c>
      <c r="P215" s="124">
        <f t="shared" si="235"/>
        <v>7.1499999999999994E-2</v>
      </c>
      <c r="Q215" s="124">
        <f t="shared" si="235"/>
        <v>0</v>
      </c>
      <c r="R215" s="124">
        <f t="shared" si="235"/>
        <v>0</v>
      </c>
      <c r="S215" s="124">
        <f t="shared" si="235"/>
        <v>0</v>
      </c>
      <c r="T215" s="124">
        <f t="shared" si="235"/>
        <v>0</v>
      </c>
      <c r="U215" s="124">
        <f t="shared" si="235"/>
        <v>0</v>
      </c>
      <c r="V215" s="124">
        <f t="shared" si="235"/>
        <v>2.86E-2</v>
      </c>
      <c r="W215" s="124">
        <f t="shared" si="235"/>
        <v>0</v>
      </c>
      <c r="X215" s="124">
        <f t="shared" si="235"/>
        <v>9.0999999999999998E-2</v>
      </c>
      <c r="Y215" s="122"/>
      <c r="Z215" s="121">
        <f t="shared" si="231"/>
        <v>0.99999999999999989</v>
      </c>
      <c r="AA215" t="str">
        <f t="shared" si="230"/>
        <v>ok</v>
      </c>
      <c r="AH215" s="113">
        <v>14</v>
      </c>
      <c r="AI215" s="142">
        <f>+AI183</f>
        <v>0.35949999999999999</v>
      </c>
      <c r="AJ215" s="142">
        <f t="shared" ref="AJ215:AW215" si="236">+AJ183</f>
        <v>0</v>
      </c>
      <c r="AK215" s="142">
        <f t="shared" si="236"/>
        <v>0.25180000000000002</v>
      </c>
      <c r="AL215" s="142">
        <f t="shared" si="236"/>
        <v>0</v>
      </c>
      <c r="AM215" s="142">
        <f t="shared" si="236"/>
        <v>0.1956</v>
      </c>
      <c r="AN215" s="142">
        <f t="shared" si="236"/>
        <v>0</v>
      </c>
      <c r="AO215" s="142">
        <f t="shared" si="236"/>
        <v>0</v>
      </c>
      <c r="AP215" s="142">
        <f t="shared" si="236"/>
        <v>0</v>
      </c>
      <c r="AQ215" s="142">
        <f t="shared" si="236"/>
        <v>0</v>
      </c>
      <c r="AR215" s="142">
        <f t="shared" si="236"/>
        <v>0</v>
      </c>
      <c r="AS215" s="142">
        <f t="shared" si="236"/>
        <v>7.3499999999999996E-2</v>
      </c>
      <c r="AT215" s="142">
        <f>+AT183</f>
        <v>0</v>
      </c>
      <c r="AU215" s="142">
        <f>+AU183</f>
        <v>0</v>
      </c>
      <c r="AV215" s="142">
        <f t="shared" si="236"/>
        <v>0</v>
      </c>
      <c r="AW215" s="142">
        <f t="shared" si="236"/>
        <v>2.86E-2</v>
      </c>
      <c r="AX215" s="142">
        <f>+AX183</f>
        <v>0</v>
      </c>
      <c r="AY215" s="142">
        <f>+AY183</f>
        <v>9.0999999999999998E-2</v>
      </c>
      <c r="AZ215" s="142"/>
      <c r="BA215" s="142">
        <f t="shared" si="232"/>
        <v>0.99999999999999989</v>
      </c>
    </row>
    <row r="216" spans="3:53" x14ac:dyDescent="0.2">
      <c r="C216" s="674"/>
      <c r="K216" s="113">
        <v>15</v>
      </c>
      <c r="L216" s="124">
        <f t="shared" ref="L216:X216" si="237">+L185</f>
        <v>0.57640000000000002</v>
      </c>
      <c r="M216" s="124">
        <f t="shared" si="237"/>
        <v>0</v>
      </c>
      <c r="N216" s="124">
        <f t="shared" si="237"/>
        <v>0.2268</v>
      </c>
      <c r="O216" s="124">
        <f t="shared" si="237"/>
        <v>0</v>
      </c>
      <c r="P216" s="124">
        <f t="shared" si="237"/>
        <v>6.5500000000000003E-2</v>
      </c>
      <c r="Q216" s="124">
        <f t="shared" si="237"/>
        <v>0</v>
      </c>
      <c r="R216" s="124">
        <f t="shared" si="237"/>
        <v>0</v>
      </c>
      <c r="S216" s="124">
        <f t="shared" si="237"/>
        <v>0</v>
      </c>
      <c r="T216" s="124">
        <f t="shared" si="237"/>
        <v>0</v>
      </c>
      <c r="U216" s="124">
        <f t="shared" si="237"/>
        <v>0</v>
      </c>
      <c r="V216" s="124">
        <f t="shared" si="237"/>
        <v>2.06E-2</v>
      </c>
      <c r="W216" s="124">
        <f t="shared" si="237"/>
        <v>0</v>
      </c>
      <c r="X216" s="124">
        <f t="shared" si="237"/>
        <v>0.11070000000000001</v>
      </c>
      <c r="Y216" s="122"/>
      <c r="Z216" s="121">
        <f t="shared" si="231"/>
        <v>1</v>
      </c>
      <c r="AA216" t="str">
        <f t="shared" si="230"/>
        <v>ok</v>
      </c>
      <c r="AH216" s="113">
        <v>15</v>
      </c>
      <c r="AI216" s="142">
        <f>+AI185</f>
        <v>0.32879999999999998</v>
      </c>
      <c r="AJ216" s="142">
        <f t="shared" ref="AJ216:AW216" si="238">+AJ185</f>
        <v>0</v>
      </c>
      <c r="AK216" s="142">
        <f t="shared" si="238"/>
        <v>0.24979999999999999</v>
      </c>
      <c r="AL216" s="142">
        <f t="shared" si="238"/>
        <v>0</v>
      </c>
      <c r="AM216" s="142">
        <f t="shared" si="238"/>
        <v>0.13700000000000001</v>
      </c>
      <c r="AN216" s="142">
        <f t="shared" si="238"/>
        <v>0</v>
      </c>
      <c r="AO216" s="142">
        <f t="shared" si="238"/>
        <v>8.72E-2</v>
      </c>
      <c r="AP216" s="142">
        <f t="shared" si="238"/>
        <v>0</v>
      </c>
      <c r="AQ216" s="142">
        <f t="shared" si="238"/>
        <v>4.7600000000000003E-2</v>
      </c>
      <c r="AR216" s="142">
        <f t="shared" si="238"/>
        <v>0</v>
      </c>
      <c r="AS216" s="142">
        <f t="shared" si="238"/>
        <v>1.9E-2</v>
      </c>
      <c r="AT216" s="142">
        <f>+AT185</f>
        <v>0</v>
      </c>
      <c r="AU216" s="142">
        <f>+AU185</f>
        <v>0</v>
      </c>
      <c r="AV216" s="142">
        <f t="shared" si="238"/>
        <v>0</v>
      </c>
      <c r="AW216" s="142">
        <f t="shared" si="238"/>
        <v>2.0500000000000001E-2</v>
      </c>
      <c r="AX216" s="142">
        <f>+AX185</f>
        <v>0</v>
      </c>
      <c r="AY216" s="142">
        <f>+AY185</f>
        <v>0.1101</v>
      </c>
      <c r="AZ216" s="142"/>
      <c r="BA216" s="142">
        <f t="shared" si="232"/>
        <v>0.99999999999999989</v>
      </c>
    </row>
    <row r="217" spans="3:53" x14ac:dyDescent="0.2">
      <c r="C217" s="674"/>
      <c r="K217" s="113">
        <v>16</v>
      </c>
      <c r="L217" s="123">
        <f ca="1">+L187</f>
        <v>0.5746</v>
      </c>
      <c r="M217" s="123"/>
      <c r="N217" s="123">
        <f ca="1">+N187</f>
        <v>0.22819999999999999</v>
      </c>
      <c r="O217" s="123"/>
      <c r="P217" s="123">
        <f ca="1">+P187</f>
        <v>6.6400000000000001E-2</v>
      </c>
      <c r="Q217" s="123"/>
      <c r="R217" s="123">
        <f ca="1">+R187</f>
        <v>0</v>
      </c>
      <c r="S217" s="123"/>
      <c r="T217" s="123">
        <f ca="1">+T187</f>
        <v>0</v>
      </c>
      <c r="U217" s="123"/>
      <c r="V217" s="123">
        <f ca="1">+V187</f>
        <v>2.0899999999999998E-2</v>
      </c>
      <c r="W217" s="123"/>
      <c r="X217" s="123">
        <f ca="1">+X187</f>
        <v>0.1099</v>
      </c>
      <c r="Y217" s="122"/>
      <c r="Z217" s="121">
        <f t="shared" ca="1" si="231"/>
        <v>1</v>
      </c>
      <c r="AA217" t="str">
        <f t="shared" ca="1" si="230"/>
        <v>ok</v>
      </c>
      <c r="AH217" s="113">
        <v>16</v>
      </c>
      <c r="AI217" s="142">
        <f ca="1">+AI187</f>
        <v>0.3362</v>
      </c>
      <c r="AJ217" s="142">
        <f t="shared" ref="AJ217:AW217" si="239">+AJ187</f>
        <v>0</v>
      </c>
      <c r="AK217" s="142">
        <f t="shared" ca="1" si="239"/>
        <v>0.24909999999999999</v>
      </c>
      <c r="AL217" s="142">
        <f t="shared" si="239"/>
        <v>0</v>
      </c>
      <c r="AM217" s="142">
        <f t="shared" ca="1" si="239"/>
        <v>0.13950000000000001</v>
      </c>
      <c r="AN217" s="142">
        <f t="shared" si="239"/>
        <v>0</v>
      </c>
      <c r="AO217" s="142">
        <f t="shared" ca="1" si="239"/>
        <v>8.3699999999999997E-2</v>
      </c>
      <c r="AP217" s="142">
        <f t="shared" si="239"/>
        <v>0</v>
      </c>
      <c r="AQ217" s="142">
        <f t="shared" ca="1" si="239"/>
        <v>4.5699999999999998E-2</v>
      </c>
      <c r="AR217" s="142">
        <f t="shared" si="239"/>
        <v>0</v>
      </c>
      <c r="AS217" s="142">
        <f t="shared" ca="1" si="239"/>
        <v>1.5599999999999999E-2</v>
      </c>
      <c r="AT217" s="142">
        <f>+AT187</f>
        <v>0</v>
      </c>
      <c r="AU217" s="142">
        <f ca="1">+AU187</f>
        <v>0</v>
      </c>
      <c r="AV217" s="142">
        <f t="shared" si="239"/>
        <v>0</v>
      </c>
      <c r="AW217" s="142">
        <f t="shared" ca="1" si="239"/>
        <v>2.0799999999999999E-2</v>
      </c>
      <c r="AX217" s="142">
        <f>+AX187</f>
        <v>0</v>
      </c>
      <c r="AY217" s="142">
        <f ca="1">+AY187</f>
        <v>0.1094</v>
      </c>
      <c r="AZ217" s="142"/>
      <c r="BA217" s="142">
        <f t="shared" ca="1" si="232"/>
        <v>0.99999999999999978</v>
      </c>
    </row>
    <row r="218" spans="3:53" x14ac:dyDescent="0.2">
      <c r="C218" s="674"/>
      <c r="K218" s="113">
        <v>17</v>
      </c>
      <c r="L218" s="123">
        <f ca="1">+L189</f>
        <v>0.58409999999999995</v>
      </c>
      <c r="M218" s="123"/>
      <c r="N218" s="123">
        <f ca="1">+N189</f>
        <v>0.23300000000000001</v>
      </c>
      <c r="O218" s="123"/>
      <c r="P218" s="123">
        <f ca="1">+P189</f>
        <v>6.9800000000000001E-2</v>
      </c>
      <c r="Q218" s="123"/>
      <c r="R218" s="123">
        <f ca="1">+R189</f>
        <v>0</v>
      </c>
      <c r="S218" s="123"/>
      <c r="T218" s="123">
        <f ca="1">+T189</f>
        <v>0</v>
      </c>
      <c r="U218" s="123"/>
      <c r="V218" s="123">
        <f ca="1">+V189</f>
        <v>2.3900000000000001E-2</v>
      </c>
      <c r="W218" s="123"/>
      <c r="X218" s="123">
        <f ca="1">+X189</f>
        <v>8.9200000000000002E-2</v>
      </c>
      <c r="Y218" s="122"/>
      <c r="Z218" s="121">
        <f t="shared" ca="1" si="231"/>
        <v>1</v>
      </c>
      <c r="AA218" t="str">
        <f t="shared" ca="1" si="230"/>
        <v>ok</v>
      </c>
      <c r="AH218" s="113">
        <v>17</v>
      </c>
      <c r="AI218" s="142">
        <f ca="1">+AI189</f>
        <v>0.38140000000000002</v>
      </c>
      <c r="AJ218" s="142">
        <f t="shared" ref="AJ218:AW218" si="240">+AJ189</f>
        <v>0</v>
      </c>
      <c r="AK218" s="142">
        <f t="shared" ca="1" si="240"/>
        <v>0.2092</v>
      </c>
      <c r="AL218" s="142">
        <f t="shared" si="240"/>
        <v>0</v>
      </c>
      <c r="AM218" s="142">
        <f t="shared" ca="1" si="240"/>
        <v>0.1585</v>
      </c>
      <c r="AN218" s="142">
        <f t="shared" si="240"/>
        <v>0</v>
      </c>
      <c r="AO218" s="142">
        <f t="shared" ca="1" si="240"/>
        <v>3.95E-2</v>
      </c>
      <c r="AP218" s="142">
        <f t="shared" si="240"/>
        <v>0</v>
      </c>
      <c r="AQ218" s="142">
        <f t="shared" ca="1" si="240"/>
        <v>2.0400000000000001E-2</v>
      </c>
      <c r="AR218" s="142">
        <f t="shared" si="240"/>
        <v>0</v>
      </c>
      <c r="AS218" s="142">
        <f t="shared" ca="1" si="240"/>
        <v>7.8100000000000003E-2</v>
      </c>
      <c r="AT218" s="142">
        <f>+AT189</f>
        <v>0</v>
      </c>
      <c r="AU218" s="142">
        <f ca="1">+AU189</f>
        <v>0</v>
      </c>
      <c r="AV218" s="142">
        <f t="shared" si="240"/>
        <v>0</v>
      </c>
      <c r="AW218" s="142">
        <f t="shared" ca="1" si="240"/>
        <v>2.3800000000000002E-2</v>
      </c>
      <c r="AX218" s="142">
        <f>+AX189</f>
        <v>0</v>
      </c>
      <c r="AY218" s="142">
        <f ca="1">+AY189</f>
        <v>8.9099999999999999E-2</v>
      </c>
      <c r="AZ218" s="142"/>
      <c r="BA218" s="142">
        <f t="shared" ca="1" si="232"/>
        <v>1</v>
      </c>
    </row>
    <row r="219" spans="3:53" x14ac:dyDescent="0.2">
      <c r="C219" s="674"/>
      <c r="K219" s="113"/>
      <c r="L219" s="123"/>
      <c r="M219" s="123"/>
      <c r="N219" s="123"/>
      <c r="O219" s="123"/>
      <c r="P219" s="123"/>
      <c r="Q219" s="123"/>
      <c r="R219" s="123"/>
      <c r="S219" s="123"/>
      <c r="T219" s="123"/>
      <c r="U219" s="123"/>
      <c r="V219" s="123"/>
      <c r="W219" s="123"/>
      <c r="X219" s="123"/>
      <c r="Y219" s="121"/>
      <c r="Z219" s="121"/>
      <c r="AH219" s="113">
        <v>18</v>
      </c>
      <c r="AI219" s="142"/>
      <c r="AJ219" s="142"/>
      <c r="AK219" s="142"/>
      <c r="AL219" s="142"/>
      <c r="AM219" s="142"/>
      <c r="AN219" s="142"/>
      <c r="AO219" s="142"/>
      <c r="AP219" s="142"/>
      <c r="AQ219" s="142"/>
      <c r="AR219" s="142"/>
      <c r="AS219" s="142">
        <v>0</v>
      </c>
      <c r="AT219" s="142"/>
      <c r="AU219" s="142">
        <v>1</v>
      </c>
      <c r="AV219" s="142"/>
      <c r="AW219" s="142"/>
      <c r="AX219" s="142"/>
      <c r="AY219" s="142"/>
      <c r="AZ219" s="142"/>
      <c r="BA219" s="142">
        <f t="shared" si="232"/>
        <v>1</v>
      </c>
    </row>
    <row r="220" spans="3:53" x14ac:dyDescent="0.2">
      <c r="C220" s="674"/>
      <c r="K220"/>
      <c r="L220" s="88"/>
      <c r="M220" s="87"/>
      <c r="N220" s="87"/>
      <c r="O220" s="87"/>
      <c r="P220" s="87"/>
      <c r="Q220" s="87"/>
      <c r="R220" s="87"/>
      <c r="S220" s="87"/>
      <c r="T220" s="87"/>
      <c r="U220" s="87"/>
      <c r="V220" s="87"/>
      <c r="W220" s="87"/>
      <c r="X220" s="87"/>
      <c r="Y220" s="87"/>
      <c r="Z220" s="87"/>
      <c r="AH220" s="143"/>
      <c r="AI220" s="143"/>
      <c r="AJ220" s="143"/>
      <c r="AK220" s="143"/>
      <c r="AL220" s="143"/>
      <c r="AM220" s="143"/>
      <c r="AN220" s="143"/>
      <c r="AO220" s="143"/>
      <c r="AP220" s="143"/>
      <c r="AQ220" s="143"/>
      <c r="AR220" s="143"/>
      <c r="AS220" s="143"/>
      <c r="AT220" s="143"/>
      <c r="AU220" s="143"/>
      <c r="AV220" s="143"/>
      <c r="AW220" s="143"/>
      <c r="AX220" s="143"/>
      <c r="AY220" s="143"/>
      <c r="AZ220" s="143"/>
      <c r="BA220" s="143"/>
    </row>
    <row r="221" spans="3:53" x14ac:dyDescent="0.2">
      <c r="C221" s="674"/>
      <c r="K221"/>
      <c r="L221" s="88"/>
      <c r="M221" s="87"/>
      <c r="N221" s="87"/>
      <c r="O221" s="87"/>
      <c r="P221" s="87"/>
      <c r="Q221" s="87"/>
      <c r="R221" s="87"/>
      <c r="S221" s="87"/>
      <c r="T221" s="87"/>
      <c r="U221" s="87"/>
      <c r="V221" s="87"/>
      <c r="W221" s="87"/>
      <c r="X221" s="87"/>
      <c r="Y221" s="87"/>
      <c r="Z221" s="87"/>
    </row>
    <row r="222" spans="3:53" x14ac:dyDescent="0.2">
      <c r="C222" s="674"/>
      <c r="K222"/>
      <c r="L222" s="88"/>
      <c r="M222" s="87"/>
      <c r="N222" s="87"/>
      <c r="O222" s="87"/>
      <c r="P222" s="87"/>
      <c r="Q222" s="87"/>
      <c r="R222" s="87"/>
      <c r="S222" s="87"/>
      <c r="T222" s="87"/>
      <c r="U222" s="87"/>
      <c r="V222" s="87"/>
      <c r="W222" s="87"/>
      <c r="X222" s="87"/>
      <c r="Y222" s="87"/>
      <c r="Z222" s="87"/>
    </row>
    <row r="223" spans="3:53" x14ac:dyDescent="0.2">
      <c r="C223" s="674"/>
      <c r="K223" s="113"/>
      <c r="L223" s="161" t="s">
        <v>284</v>
      </c>
      <c r="M223" s="121"/>
      <c r="N223" s="121"/>
      <c r="O223" s="87"/>
      <c r="P223" s="87"/>
      <c r="Q223" s="87"/>
      <c r="R223" s="87"/>
      <c r="S223" s="87"/>
      <c r="T223" s="87"/>
      <c r="U223" s="87"/>
      <c r="V223" s="87"/>
      <c r="W223" s="87"/>
      <c r="X223" s="87"/>
      <c r="Y223" s="87"/>
      <c r="Z223" s="87"/>
    </row>
    <row r="224" spans="3:53" x14ac:dyDescent="0.2">
      <c r="C224" s="674"/>
      <c r="J224" s="113">
        <v>2</v>
      </c>
      <c r="K224" s="113"/>
      <c r="L224" s="161" t="str">
        <f>IF(AND('F 1-2'!E46=1,'F 1-2'!G46='F 1-2'!G36,'F 1-2'!I46=1,'F 1-2'!K46='F 1-2'!K36),"OK","&lt;&lt;&lt;&lt;??")</f>
        <v>OK</v>
      </c>
      <c r="M224" s="121"/>
      <c r="N224" s="121" t="str">
        <f>IF('F 2 B'!J20=1,"ok","&lt;&lt;&lt;&lt;??")</f>
        <v>ok</v>
      </c>
      <c r="O224" s="87"/>
      <c r="P224" s="87"/>
      <c r="Q224" s="87"/>
      <c r="R224" s="87"/>
      <c r="S224" s="87"/>
      <c r="T224" s="87"/>
      <c r="U224" s="87"/>
      <c r="V224" s="87"/>
      <c r="W224" s="87"/>
      <c r="X224" s="87"/>
      <c r="Y224" s="87"/>
      <c r="Z224" s="87"/>
    </row>
    <row r="225" spans="3:41" x14ac:dyDescent="0.2">
      <c r="C225" s="674"/>
      <c r="J225" s="113">
        <v>3</v>
      </c>
      <c r="K225" s="113"/>
      <c r="L225" s="161" t="str">
        <f>IF(AND('F 3-4'!D25=1,'F 3-4'!F25='F 3-4'!F15,'F 3-4'!H25=1,'F 3-4'!J25='F 3-4'!J15,'F 3-4'!L25=1,'F 3-4'!N25='F 3-4'!N15),"OK","&lt;&lt;&lt;&lt;??")</f>
        <v>OK</v>
      </c>
      <c r="M225" s="121"/>
      <c r="N225" s="121" t="str">
        <f>IF('F 3B 4B'!I21=1,"OK","&lt;&lt;&lt;&lt;??")</f>
        <v>OK</v>
      </c>
      <c r="O225" s="87"/>
      <c r="P225" s="87"/>
      <c r="Q225" s="87"/>
      <c r="R225" s="87"/>
      <c r="S225" s="87"/>
      <c r="T225" s="87"/>
      <c r="U225" s="87"/>
      <c r="V225" s="87"/>
      <c r="W225" s="87"/>
      <c r="X225" s="87"/>
      <c r="Y225" s="87"/>
      <c r="Z225" s="87"/>
    </row>
    <row r="226" spans="3:41" x14ac:dyDescent="0.2">
      <c r="C226" s="674"/>
      <c r="J226" s="113">
        <v>4</v>
      </c>
      <c r="K226" s="113"/>
      <c r="L226" s="161" t="str">
        <f>IF(AND('F 3-4'!F53=1,'F 3-4'!H53='F 3-4'!H43,'F 3-4'!J53=1,'F 3-4'!L53='F 3-4'!L43,'F 3-4'!N53=1,'F 3-4'!P53='F 3-4'!P43),"OK","&lt;&lt;&lt;&lt;??")</f>
        <v>OK</v>
      </c>
      <c r="M226" s="121"/>
      <c r="N226" s="121" t="str">
        <f>IF(AND('F 3B 4B'!K64=1,'F 3B 4B'!I48=1),"OK","&lt;&lt;&lt;&lt;??")</f>
        <v>OK</v>
      </c>
      <c r="O226" s="87"/>
      <c r="P226" s="87"/>
      <c r="Q226" s="87"/>
      <c r="R226" s="87"/>
      <c r="S226" s="87"/>
      <c r="T226" s="87"/>
      <c r="U226" s="87"/>
      <c r="V226" s="87"/>
      <c r="W226" s="87"/>
      <c r="X226" s="87"/>
      <c r="Y226" s="87"/>
      <c r="Z226" s="87"/>
    </row>
    <row r="227" spans="3:41" x14ac:dyDescent="0.2">
      <c r="C227" s="674"/>
      <c r="J227" s="113">
        <v>5</v>
      </c>
      <c r="K227" s="113"/>
      <c r="L227" s="161" t="str">
        <f>IF(AND('F 5'!F24=1,'F 5'!H24='F 5'!H14,'F 5'!J24=1,'F 5'!L24='F 5'!L14,'F 5'!N24=1,'F 5'!P24='F 5'!P14),"OK","&lt;&lt;&lt;&lt;??")</f>
        <v>OK</v>
      </c>
      <c r="M227" s="121"/>
      <c r="N227" s="121" t="str">
        <f>IF(AND('F 5B'!F27=100,'F 5B'!J42=1),"OK","&lt;&lt;&lt;&lt;?")</f>
        <v>OK</v>
      </c>
      <c r="O227" s="87"/>
      <c r="P227" s="87"/>
      <c r="Q227" s="87"/>
      <c r="R227" s="87"/>
      <c r="S227" s="87"/>
      <c r="T227" s="87"/>
      <c r="U227" s="87"/>
      <c r="V227" s="87"/>
      <c r="W227" s="87"/>
      <c r="X227" s="87"/>
      <c r="Y227" s="87"/>
      <c r="Z227" s="87"/>
    </row>
    <row r="228" spans="3:41" x14ac:dyDescent="0.2">
      <c r="C228" s="674"/>
      <c r="J228" s="113"/>
      <c r="K228" s="113"/>
      <c r="L228" s="161"/>
      <c r="M228" s="121"/>
      <c r="N228" s="121"/>
      <c r="O228" s="87"/>
      <c r="P228" s="87"/>
      <c r="Q228" s="87"/>
      <c r="R228" s="87"/>
      <c r="S228" s="87"/>
      <c r="T228" s="87"/>
      <c r="U228" s="87"/>
      <c r="V228" s="87"/>
      <c r="W228" s="87"/>
      <c r="X228" s="87"/>
      <c r="Y228" s="87"/>
      <c r="Z228" s="87"/>
    </row>
    <row r="229" spans="3:41" x14ac:dyDescent="0.2">
      <c r="C229" s="674"/>
      <c r="J229" s="113">
        <v>6</v>
      </c>
      <c r="K229" s="113"/>
      <c r="L229" s="161" t="str">
        <f>IF(AND('F6'!F24=1,'F6'!H24='F6'!H14,'F6'!J24=1,'F6'!L24='F6'!L14),"OK","&lt;&lt;&lt;&lt;??")</f>
        <v>OK</v>
      </c>
      <c r="M229" s="121"/>
      <c r="N229" s="121"/>
      <c r="O229" s="87"/>
      <c r="P229" s="87"/>
      <c r="Q229" s="87"/>
      <c r="R229" s="87"/>
      <c r="S229" s="87"/>
      <c r="T229" s="87"/>
      <c r="U229" s="87"/>
      <c r="V229" s="87"/>
      <c r="W229" s="87"/>
      <c r="X229" s="87"/>
      <c r="Y229" s="87"/>
      <c r="Z229" s="87"/>
    </row>
    <row r="230" spans="3:41" x14ac:dyDescent="0.2">
      <c r="C230" s="674"/>
      <c r="J230" s="169" t="s">
        <v>285</v>
      </c>
      <c r="K230" s="170"/>
      <c r="L230" s="169" t="str">
        <f ca="1">IF(AND('SCH-A'!F32=1,'SCH-A'!J32=1,'SCH-A'!N32=1),"ok","&lt;&lt;&lt;&lt;??")</f>
        <v>ok</v>
      </c>
      <c r="M230" s="170"/>
      <c r="N230" s="170"/>
      <c r="O230" s="85"/>
      <c r="P230" s="85"/>
      <c r="Q230" s="85"/>
      <c r="R230" s="85"/>
      <c r="S230" s="85"/>
      <c r="T230" s="85"/>
      <c r="U230" s="85"/>
      <c r="V230" s="85"/>
      <c r="W230" s="85"/>
      <c r="X230" s="85"/>
      <c r="Y230" s="85"/>
      <c r="Z230" s="85"/>
    </row>
    <row r="231" spans="3:41" x14ac:dyDescent="0.2">
      <c r="C231" s="674"/>
      <c r="AA231" s="88"/>
      <c r="AB231" s="85"/>
      <c r="AC231" s="194"/>
      <c r="AD231" s="85"/>
      <c r="AE231" s="85"/>
      <c r="AF231" s="85"/>
      <c r="AG231" s="85"/>
      <c r="AH231" s="85"/>
      <c r="AI231" s="85"/>
      <c r="AJ231" s="85"/>
      <c r="AK231" s="85"/>
      <c r="AL231" s="85"/>
      <c r="AM231" s="85"/>
      <c r="AN231" s="85"/>
      <c r="AO231" s="85"/>
    </row>
    <row r="232" spans="3:41" x14ac:dyDescent="0.2">
      <c r="C232" s="674"/>
      <c r="AA232" s="83"/>
    </row>
    <row r="233" spans="3:41" x14ac:dyDescent="0.2">
      <c r="C233" s="674"/>
      <c r="AA233" s="83"/>
    </row>
    <row r="234" spans="3:41" x14ac:dyDescent="0.2">
      <c r="C234" s="674"/>
      <c r="AA234" s="83"/>
    </row>
    <row r="235" spans="3:41" x14ac:dyDescent="0.2">
      <c r="C235" s="674"/>
      <c r="AA235" s="83"/>
    </row>
    <row r="236" spans="3:41" x14ac:dyDescent="0.2">
      <c r="C236" s="674"/>
      <c r="AA236" s="83"/>
    </row>
    <row r="237" spans="3:41" x14ac:dyDescent="0.2">
      <c r="C237" s="674"/>
      <c r="AA237" s="83"/>
    </row>
    <row r="238" spans="3:41" x14ac:dyDescent="0.2">
      <c r="C238" s="674"/>
      <c r="AA238" s="83"/>
    </row>
    <row r="239" spans="3:41" x14ac:dyDescent="0.2">
      <c r="C239" s="674"/>
      <c r="AA239" s="83"/>
    </row>
    <row r="240" spans="3:41" x14ac:dyDescent="0.2">
      <c r="C240" s="674"/>
      <c r="AA240" s="83"/>
    </row>
    <row r="241" spans="3:27" x14ac:dyDescent="0.2">
      <c r="C241" s="674"/>
      <c r="AA241" s="83"/>
    </row>
    <row r="242" spans="3:27" x14ac:dyDescent="0.2">
      <c r="C242" s="674"/>
      <c r="AA242" s="83"/>
    </row>
    <row r="243" spans="3:27" x14ac:dyDescent="0.2">
      <c r="C243" s="674"/>
      <c r="AA243" s="83"/>
    </row>
    <row r="244" spans="3:27" x14ac:dyDescent="0.2">
      <c r="C244" s="674"/>
      <c r="AA244" s="83"/>
    </row>
    <row r="245" spans="3:27" x14ac:dyDescent="0.2">
      <c r="C245" s="674"/>
      <c r="AA245" s="83"/>
    </row>
    <row r="246" spans="3:27" x14ac:dyDescent="0.2">
      <c r="C246" s="674"/>
      <c r="AA246" s="83"/>
    </row>
    <row r="247" spans="3:27" x14ac:dyDescent="0.2">
      <c r="C247" s="674"/>
      <c r="AA247" s="83"/>
    </row>
    <row r="248" spans="3:27" x14ac:dyDescent="0.2">
      <c r="C248" s="674"/>
      <c r="AA248" s="83"/>
    </row>
    <row r="249" spans="3:27" x14ac:dyDescent="0.2">
      <c r="C249" s="674"/>
      <c r="AA249" s="83"/>
    </row>
    <row r="250" spans="3:27" x14ac:dyDescent="0.2">
      <c r="C250" s="674"/>
      <c r="AA250" s="83"/>
    </row>
    <row r="251" spans="3:27" x14ac:dyDescent="0.2">
      <c r="C251" s="674"/>
      <c r="AA251" s="83"/>
    </row>
    <row r="252" spans="3:27" x14ac:dyDescent="0.2">
      <c r="C252" s="674"/>
      <c r="AA252" s="80"/>
    </row>
    <row r="253" spans="3:27" x14ac:dyDescent="0.2">
      <c r="C253" s="674"/>
      <c r="AA253" s="80"/>
    </row>
    <row r="254" spans="3:27" x14ac:dyDescent="0.2">
      <c r="C254" s="674"/>
      <c r="AA254" s="80"/>
    </row>
    <row r="255" spans="3:27" x14ac:dyDescent="0.2">
      <c r="C255" s="674"/>
      <c r="AA255" s="80"/>
    </row>
    <row r="256" spans="3:27" x14ac:dyDescent="0.2">
      <c r="C256" s="674"/>
      <c r="AA256" s="80"/>
    </row>
    <row r="257" spans="3:27" x14ac:dyDescent="0.2">
      <c r="C257" s="674"/>
      <c r="AA257" s="80"/>
    </row>
    <row r="258" spans="3:27" x14ac:dyDescent="0.2">
      <c r="C258" s="674"/>
      <c r="AA258" s="80"/>
    </row>
    <row r="259" spans="3:27" x14ac:dyDescent="0.2">
      <c r="C259" s="674"/>
      <c r="AA259" s="80"/>
    </row>
    <row r="260" spans="3:27" x14ac:dyDescent="0.2">
      <c r="C260" s="674"/>
      <c r="AA260" s="80"/>
    </row>
    <row r="261" spans="3:27" x14ac:dyDescent="0.2">
      <c r="C261" s="674"/>
      <c r="AA261" s="80"/>
    </row>
    <row r="262" spans="3:27" x14ac:dyDescent="0.2">
      <c r="C262" s="674"/>
      <c r="AA262" s="80"/>
    </row>
    <row r="263" spans="3:27" x14ac:dyDescent="0.2">
      <c r="C263" s="674"/>
      <c r="AA263" s="80"/>
    </row>
    <row r="264" spans="3:27" x14ac:dyDescent="0.2">
      <c r="C264" s="674"/>
      <c r="AA264" s="80"/>
    </row>
    <row r="265" spans="3:27" x14ac:dyDescent="0.2">
      <c r="AA265" s="80"/>
    </row>
    <row r="266" spans="3:27" x14ac:dyDescent="0.2">
      <c r="AA266" s="80"/>
    </row>
    <row r="267" spans="3:27" x14ac:dyDescent="0.2">
      <c r="AA267" s="80"/>
    </row>
    <row r="268" spans="3:27" x14ac:dyDescent="0.2">
      <c r="AA268" s="80"/>
    </row>
    <row r="269" spans="3:27" x14ac:dyDescent="0.2">
      <c r="AA269" s="80"/>
    </row>
    <row r="270" spans="3:27" x14ac:dyDescent="0.2">
      <c r="AA270" s="80"/>
    </row>
    <row r="271" spans="3:27" x14ac:dyDescent="0.2">
      <c r="AA271" s="80"/>
    </row>
    <row r="272" spans="3:27" x14ac:dyDescent="0.2">
      <c r="AA272" s="80"/>
    </row>
    <row r="273" spans="27:27" x14ac:dyDescent="0.2">
      <c r="AA273" s="80"/>
    </row>
    <row r="274" spans="27:27" x14ac:dyDescent="0.2">
      <c r="AA274" s="80"/>
    </row>
    <row r="275" spans="27:27" x14ac:dyDescent="0.2">
      <c r="AA275" s="80"/>
    </row>
    <row r="276" spans="27:27" x14ac:dyDescent="0.2">
      <c r="AA276" s="80"/>
    </row>
    <row r="277" spans="27:27" x14ac:dyDescent="0.2">
      <c r="AA277" s="80"/>
    </row>
    <row r="278" spans="27:27" x14ac:dyDescent="0.2">
      <c r="AA278" s="80"/>
    </row>
    <row r="279" spans="27:27" x14ac:dyDescent="0.2">
      <c r="AA279" s="80"/>
    </row>
    <row r="280" spans="27:27" x14ac:dyDescent="0.2">
      <c r="AA280" s="80"/>
    </row>
    <row r="281" spans="27:27" x14ac:dyDescent="0.2">
      <c r="AA281" s="80"/>
    </row>
    <row r="282" spans="27:27" x14ac:dyDescent="0.2">
      <c r="AA282" s="80"/>
    </row>
    <row r="283" spans="27:27" x14ac:dyDescent="0.2">
      <c r="AA283" s="80"/>
    </row>
    <row r="284" spans="27:27" x14ac:dyDescent="0.2">
      <c r="AA284" s="80"/>
    </row>
    <row r="285" spans="27:27" x14ac:dyDescent="0.2">
      <c r="AA285" s="80"/>
    </row>
    <row r="286" spans="27:27" x14ac:dyDescent="0.2">
      <c r="AA286" s="80"/>
    </row>
    <row r="287" spans="27:27" x14ac:dyDescent="0.2">
      <c r="AA287" s="80"/>
    </row>
    <row r="288" spans="27:27" x14ac:dyDescent="0.2">
      <c r="AA288" s="80"/>
    </row>
    <row r="289" spans="27:27" x14ac:dyDescent="0.2">
      <c r="AA289" s="80"/>
    </row>
    <row r="290" spans="27:27" x14ac:dyDescent="0.2">
      <c r="AA290" s="80"/>
    </row>
    <row r="291" spans="27:27" x14ac:dyDescent="0.2">
      <c r="AA291" s="80"/>
    </row>
    <row r="292" spans="27:27" x14ac:dyDescent="0.2">
      <c r="AA292" s="80"/>
    </row>
    <row r="293" spans="27:27" x14ac:dyDescent="0.2">
      <c r="AA293" s="80"/>
    </row>
    <row r="294" spans="27:27" x14ac:dyDescent="0.2">
      <c r="AA294" s="80"/>
    </row>
    <row r="295" spans="27:27" x14ac:dyDescent="0.2">
      <c r="AA295" s="80"/>
    </row>
    <row r="296" spans="27:27" x14ac:dyDescent="0.2">
      <c r="AA296" s="80"/>
    </row>
    <row r="297" spans="27:27" x14ac:dyDescent="0.2">
      <c r="AA297" s="80"/>
    </row>
    <row r="298" spans="27:27" x14ac:dyDescent="0.2">
      <c r="AA298" s="80"/>
    </row>
    <row r="299" spans="27:27" x14ac:dyDescent="0.2">
      <c r="AA299" s="80"/>
    </row>
    <row r="300" spans="27:27" x14ac:dyDescent="0.2">
      <c r="AA300" s="80"/>
    </row>
    <row r="301" spans="27:27" x14ac:dyDescent="0.2">
      <c r="AA301" s="80"/>
    </row>
    <row r="302" spans="27:27" x14ac:dyDescent="0.2">
      <c r="AA302" s="80"/>
    </row>
    <row r="303" spans="27:27" x14ac:dyDescent="0.2">
      <c r="AA303" s="80"/>
    </row>
    <row r="304" spans="27:27" x14ac:dyDescent="0.2">
      <c r="AA304" s="80"/>
    </row>
    <row r="305" spans="27:27" x14ac:dyDescent="0.2">
      <c r="AA305" s="80"/>
    </row>
    <row r="306" spans="27:27" x14ac:dyDescent="0.2">
      <c r="AA306" s="80"/>
    </row>
    <row r="307" spans="27:27" x14ac:dyDescent="0.2">
      <c r="AA307" s="80"/>
    </row>
    <row r="308" spans="27:27" x14ac:dyDescent="0.2">
      <c r="AA308" s="80"/>
    </row>
    <row r="309" spans="27:27" x14ac:dyDescent="0.2">
      <c r="AA309" s="80"/>
    </row>
    <row r="310" spans="27:27" x14ac:dyDescent="0.2">
      <c r="AA310" s="80"/>
    </row>
    <row r="311" spans="27:27" x14ac:dyDescent="0.2">
      <c r="AA311" s="80"/>
    </row>
    <row r="312" spans="27:27" x14ac:dyDescent="0.2">
      <c r="AA312" s="80"/>
    </row>
    <row r="313" spans="27:27" x14ac:dyDescent="0.2">
      <c r="AA313" s="80"/>
    </row>
    <row r="314" spans="27:27" x14ac:dyDescent="0.2">
      <c r="AA314" s="80"/>
    </row>
    <row r="315" spans="27:27" x14ac:dyDescent="0.2">
      <c r="AA315" s="80"/>
    </row>
    <row r="316" spans="27:27" x14ac:dyDescent="0.2">
      <c r="AA316" s="80"/>
    </row>
    <row r="317" spans="27:27" x14ac:dyDescent="0.2">
      <c r="AA317" s="80"/>
    </row>
    <row r="318" spans="27:27" x14ac:dyDescent="0.2">
      <c r="AA318" s="80"/>
    </row>
    <row r="319" spans="27:27" x14ac:dyDescent="0.2">
      <c r="AA319" s="80"/>
    </row>
    <row r="320" spans="27:27" x14ac:dyDescent="0.2">
      <c r="AA320" s="80"/>
    </row>
    <row r="321" spans="27:27" x14ac:dyDescent="0.2">
      <c r="AA321" s="80"/>
    </row>
    <row r="322" spans="27:27" x14ac:dyDescent="0.2">
      <c r="AA322" s="80"/>
    </row>
    <row r="323" spans="27:27" x14ac:dyDescent="0.2">
      <c r="AA323" s="80"/>
    </row>
    <row r="324" spans="27:27" x14ac:dyDescent="0.2">
      <c r="AA324" s="80"/>
    </row>
    <row r="325" spans="27:27" x14ac:dyDescent="0.2">
      <c r="AA325" s="80"/>
    </row>
    <row r="326" spans="27:27" x14ac:dyDescent="0.2">
      <c r="AA326" s="80"/>
    </row>
    <row r="327" spans="27:27" x14ac:dyDescent="0.2">
      <c r="AA327" s="80"/>
    </row>
    <row r="328" spans="27:27" x14ac:dyDescent="0.2">
      <c r="AA328" s="80"/>
    </row>
    <row r="329" spans="27:27" x14ac:dyDescent="0.2">
      <c r="AA329" s="80"/>
    </row>
    <row r="330" spans="27:27" x14ac:dyDescent="0.2">
      <c r="AA330" s="80"/>
    </row>
    <row r="331" spans="27:27" x14ac:dyDescent="0.2">
      <c r="AA331" s="80"/>
    </row>
    <row r="332" spans="27:27" x14ac:dyDescent="0.2">
      <c r="AA332" s="80"/>
    </row>
    <row r="333" spans="27:27" x14ac:dyDescent="0.2">
      <c r="AA333" s="80"/>
    </row>
    <row r="334" spans="27:27" x14ac:dyDescent="0.2">
      <c r="AA334" s="80"/>
    </row>
    <row r="335" spans="27:27" x14ac:dyDescent="0.2">
      <c r="AA335" s="80"/>
    </row>
    <row r="336" spans="27:27" x14ac:dyDescent="0.2">
      <c r="AA336" s="80"/>
    </row>
    <row r="337" spans="27:27" x14ac:dyDescent="0.2">
      <c r="AA337" s="80"/>
    </row>
    <row r="338" spans="27:27" x14ac:dyDescent="0.2">
      <c r="AA338" s="80"/>
    </row>
    <row r="339" spans="27:27" x14ac:dyDescent="0.2">
      <c r="AA339" s="80"/>
    </row>
    <row r="340" spans="27:27" x14ac:dyDescent="0.2">
      <c r="AA340" s="80"/>
    </row>
    <row r="341" spans="27:27" x14ac:dyDescent="0.2">
      <c r="AA341" s="80"/>
    </row>
    <row r="342" spans="27:27" x14ac:dyDescent="0.2">
      <c r="AA342" s="80"/>
    </row>
    <row r="343" spans="27:27" x14ac:dyDescent="0.2">
      <c r="AA343" s="80"/>
    </row>
    <row r="344" spans="27:27" x14ac:dyDescent="0.2">
      <c r="AA344" s="80"/>
    </row>
    <row r="345" spans="27:27" x14ac:dyDescent="0.2">
      <c r="AA345" s="80"/>
    </row>
    <row r="346" spans="27:27" x14ac:dyDescent="0.2">
      <c r="AA346" s="80"/>
    </row>
    <row r="347" spans="27:27" x14ac:dyDescent="0.2">
      <c r="AA347" s="80"/>
    </row>
    <row r="348" spans="27:27" x14ac:dyDescent="0.2">
      <c r="AA348" s="80"/>
    </row>
    <row r="349" spans="27:27" x14ac:dyDescent="0.2">
      <c r="AA349" s="80"/>
    </row>
    <row r="350" spans="27:27" x14ac:dyDescent="0.2">
      <c r="AA350" s="80"/>
    </row>
    <row r="351" spans="27:27" x14ac:dyDescent="0.2">
      <c r="AA351" s="80"/>
    </row>
    <row r="352" spans="27:27" x14ac:dyDescent="0.2">
      <c r="AA352" s="80"/>
    </row>
    <row r="353" spans="27:27" x14ac:dyDescent="0.2">
      <c r="AA353" s="80"/>
    </row>
    <row r="354" spans="27:27" x14ac:dyDescent="0.2">
      <c r="AA354" s="80"/>
    </row>
    <row r="355" spans="27:27" x14ac:dyDescent="0.2">
      <c r="AA355" s="80"/>
    </row>
    <row r="356" spans="27:27" x14ac:dyDescent="0.2">
      <c r="AA356" s="80"/>
    </row>
    <row r="357" spans="27:27" x14ac:dyDescent="0.2">
      <c r="AA357" s="80"/>
    </row>
    <row r="358" spans="27:27" x14ac:dyDescent="0.2">
      <c r="AA358" s="80"/>
    </row>
    <row r="359" spans="27:27" x14ac:dyDescent="0.2">
      <c r="AA359" s="80"/>
    </row>
    <row r="360" spans="27:27" x14ac:dyDescent="0.2">
      <c r="AA360" s="80"/>
    </row>
    <row r="361" spans="27:27" x14ac:dyDescent="0.2">
      <c r="AA361" s="80"/>
    </row>
    <row r="362" spans="27:27" x14ac:dyDescent="0.2">
      <c r="AA362" s="80"/>
    </row>
    <row r="363" spans="27:27" x14ac:dyDescent="0.2">
      <c r="AA363" s="80"/>
    </row>
    <row r="364" spans="27:27" x14ac:dyDescent="0.2">
      <c r="AA364" s="80"/>
    </row>
    <row r="365" spans="27:27" x14ac:dyDescent="0.2">
      <c r="AA365" s="80"/>
    </row>
    <row r="366" spans="27:27" x14ac:dyDescent="0.2">
      <c r="AA366" s="80"/>
    </row>
    <row r="367" spans="27:27" x14ac:dyDescent="0.2">
      <c r="AA367" s="80"/>
    </row>
    <row r="368" spans="27:27" x14ac:dyDescent="0.2">
      <c r="AA368" s="80"/>
    </row>
    <row r="369" spans="27:27" x14ac:dyDescent="0.2">
      <c r="AA369" s="80"/>
    </row>
    <row r="370" spans="27:27" x14ac:dyDescent="0.2">
      <c r="AA370" s="80"/>
    </row>
    <row r="371" spans="27:27" x14ac:dyDescent="0.2">
      <c r="AA371" s="80"/>
    </row>
    <row r="372" spans="27:27" x14ac:dyDescent="0.2">
      <c r="AA372" s="80"/>
    </row>
    <row r="373" spans="27:27" x14ac:dyDescent="0.2">
      <c r="AA373" s="80"/>
    </row>
    <row r="374" spans="27:27" x14ac:dyDescent="0.2">
      <c r="AA374" s="80"/>
    </row>
    <row r="375" spans="27:27" x14ac:dyDescent="0.2">
      <c r="AA375" s="80"/>
    </row>
    <row r="376" spans="27:27" x14ac:dyDescent="0.2">
      <c r="AA376" s="80"/>
    </row>
    <row r="377" spans="27:27" x14ac:dyDescent="0.2">
      <c r="AA377" s="80"/>
    </row>
    <row r="378" spans="27:27" x14ac:dyDescent="0.2">
      <c r="AA378" s="80"/>
    </row>
    <row r="379" spans="27:27" x14ac:dyDescent="0.2">
      <c r="AA379" s="80"/>
    </row>
    <row r="380" spans="27:27" x14ac:dyDescent="0.2">
      <c r="AA380" s="80"/>
    </row>
    <row r="381" spans="27:27" x14ac:dyDescent="0.2">
      <c r="AA381" s="80"/>
    </row>
    <row r="382" spans="27:27" x14ac:dyDescent="0.2">
      <c r="AA382" s="80"/>
    </row>
    <row r="383" spans="27:27" x14ac:dyDescent="0.2">
      <c r="AA383" s="80"/>
    </row>
    <row r="384" spans="27:27" x14ac:dyDescent="0.2">
      <c r="AA384" s="80"/>
    </row>
    <row r="385" spans="27:27" x14ac:dyDescent="0.2">
      <c r="AA385" s="80"/>
    </row>
    <row r="386" spans="27:27" x14ac:dyDescent="0.2">
      <c r="AA386" s="80"/>
    </row>
    <row r="387" spans="27:27" x14ac:dyDescent="0.2">
      <c r="AA387" s="80"/>
    </row>
    <row r="388" spans="27:27" x14ac:dyDescent="0.2">
      <c r="AA388" s="80"/>
    </row>
    <row r="389" spans="27:27" x14ac:dyDescent="0.2">
      <c r="AA389" s="80"/>
    </row>
    <row r="390" spans="27:27" x14ac:dyDescent="0.2">
      <c r="AA390" s="80"/>
    </row>
    <row r="391" spans="27:27" x14ac:dyDescent="0.2">
      <c r="AA391" s="80"/>
    </row>
    <row r="392" spans="27:27" x14ac:dyDescent="0.2">
      <c r="AA392" s="80"/>
    </row>
    <row r="393" spans="27:27" x14ac:dyDescent="0.2">
      <c r="AA393" s="80"/>
    </row>
    <row r="394" spans="27:27" x14ac:dyDescent="0.2">
      <c r="AA394" s="80"/>
    </row>
    <row r="395" spans="27:27" x14ac:dyDescent="0.2">
      <c r="AA395" s="80"/>
    </row>
    <row r="396" spans="27:27" x14ac:dyDescent="0.2">
      <c r="AA396" s="80"/>
    </row>
    <row r="397" spans="27:27" x14ac:dyDescent="0.2">
      <c r="AA397" s="80"/>
    </row>
    <row r="398" spans="27:27" x14ac:dyDescent="0.2">
      <c r="AA398" s="80"/>
    </row>
    <row r="399" spans="27:27" x14ac:dyDescent="0.2">
      <c r="AA399" s="80"/>
    </row>
    <row r="400" spans="27:27" x14ac:dyDescent="0.2">
      <c r="AA400" s="80"/>
    </row>
    <row r="401" spans="27:27" x14ac:dyDescent="0.2">
      <c r="AA401" s="80"/>
    </row>
    <row r="402" spans="27:27" x14ac:dyDescent="0.2">
      <c r="AA402" s="80"/>
    </row>
    <row r="403" spans="27:27" x14ac:dyDescent="0.2">
      <c r="AA403" s="80"/>
    </row>
    <row r="404" spans="27:27" x14ac:dyDescent="0.2">
      <c r="AA404" s="80"/>
    </row>
    <row r="405" spans="27:27" x14ac:dyDescent="0.2">
      <c r="AA405" s="80"/>
    </row>
    <row r="406" spans="27:27" x14ac:dyDescent="0.2">
      <c r="AA406" s="80"/>
    </row>
    <row r="407" spans="27:27" x14ac:dyDescent="0.2">
      <c r="AA407" s="80"/>
    </row>
    <row r="408" spans="27:27" x14ac:dyDescent="0.2">
      <c r="AA408" s="80"/>
    </row>
    <row r="409" spans="27:27" x14ac:dyDescent="0.2">
      <c r="AA409" s="80"/>
    </row>
    <row r="410" spans="27:27" x14ac:dyDescent="0.2">
      <c r="AA410" s="80"/>
    </row>
    <row r="411" spans="27:27" x14ac:dyDescent="0.2">
      <c r="AA411" s="80"/>
    </row>
    <row r="412" spans="27:27" x14ac:dyDescent="0.2">
      <c r="AA412" s="80"/>
    </row>
    <row r="413" spans="27:27" x14ac:dyDescent="0.2">
      <c r="AA413" s="80"/>
    </row>
    <row r="414" spans="27:27" x14ac:dyDescent="0.2">
      <c r="AA414" s="80"/>
    </row>
    <row r="415" spans="27:27" x14ac:dyDescent="0.2">
      <c r="AA415" s="80"/>
    </row>
    <row r="416" spans="27:27" x14ac:dyDescent="0.2">
      <c r="AA416" s="80"/>
    </row>
    <row r="417" spans="27:27" x14ac:dyDescent="0.2">
      <c r="AA417" s="80"/>
    </row>
    <row r="418" spans="27:27" x14ac:dyDescent="0.2">
      <c r="AA418" s="80"/>
    </row>
    <row r="419" spans="27:27" x14ac:dyDescent="0.2">
      <c r="AA419" s="80"/>
    </row>
    <row r="420" spans="27:27" x14ac:dyDescent="0.2">
      <c r="AA420" s="80"/>
    </row>
    <row r="421" spans="27:27" x14ac:dyDescent="0.2">
      <c r="AA421" s="80"/>
    </row>
    <row r="422" spans="27:27" x14ac:dyDescent="0.2">
      <c r="AA422" s="80"/>
    </row>
    <row r="423" spans="27:27" x14ac:dyDescent="0.2">
      <c r="AA423" s="80"/>
    </row>
    <row r="424" spans="27:27" x14ac:dyDescent="0.2">
      <c r="AA424" s="80"/>
    </row>
    <row r="425" spans="27:27" x14ac:dyDescent="0.2">
      <c r="AA425" s="80"/>
    </row>
    <row r="426" spans="27:27" x14ac:dyDescent="0.2">
      <c r="AA426" s="80"/>
    </row>
    <row r="427" spans="27:27" x14ac:dyDescent="0.2">
      <c r="AA427" s="80"/>
    </row>
    <row r="428" spans="27:27" x14ac:dyDescent="0.2">
      <c r="AA428" s="80"/>
    </row>
    <row r="429" spans="27:27" x14ac:dyDescent="0.2">
      <c r="AA429" s="80"/>
    </row>
    <row r="430" spans="27:27" x14ac:dyDescent="0.2">
      <c r="AA430" s="80"/>
    </row>
    <row r="431" spans="27:27" x14ac:dyDescent="0.2">
      <c r="AA431" s="80"/>
    </row>
    <row r="432" spans="27:27" x14ac:dyDescent="0.2">
      <c r="AA432" s="80"/>
    </row>
    <row r="433" spans="27:27" x14ac:dyDescent="0.2">
      <c r="AA433" s="80"/>
    </row>
    <row r="434" spans="27:27" x14ac:dyDescent="0.2">
      <c r="AA434" s="80"/>
    </row>
    <row r="435" spans="27:27" x14ac:dyDescent="0.2">
      <c r="AA435" s="80"/>
    </row>
    <row r="436" spans="27:27" x14ac:dyDescent="0.2">
      <c r="AA436" s="80"/>
    </row>
    <row r="437" spans="27:27" x14ac:dyDescent="0.2">
      <c r="AA437" s="80"/>
    </row>
    <row r="438" spans="27:27" x14ac:dyDescent="0.2">
      <c r="AA438" s="80"/>
    </row>
    <row r="439" spans="27:27" x14ac:dyDescent="0.2">
      <c r="AA439" s="80"/>
    </row>
    <row r="440" spans="27:27" x14ac:dyDescent="0.2">
      <c r="AA440" s="80"/>
    </row>
    <row r="441" spans="27:27" x14ac:dyDescent="0.2">
      <c r="AA441" s="80"/>
    </row>
    <row r="442" spans="27:27" x14ac:dyDescent="0.2">
      <c r="AA442" s="80"/>
    </row>
    <row r="443" spans="27:27" x14ac:dyDescent="0.2">
      <c r="AA443" s="80"/>
    </row>
    <row r="444" spans="27:27" x14ac:dyDescent="0.2">
      <c r="AA444" s="80"/>
    </row>
    <row r="445" spans="27:27" x14ac:dyDescent="0.2">
      <c r="AA445" s="80"/>
    </row>
    <row r="446" spans="27:27" x14ac:dyDescent="0.2">
      <c r="AA446" s="80"/>
    </row>
    <row r="447" spans="27:27" x14ac:dyDescent="0.2">
      <c r="AA447" s="80"/>
    </row>
    <row r="448" spans="27:27" x14ac:dyDescent="0.2">
      <c r="AA448" s="80"/>
    </row>
    <row r="449" spans="27:27" x14ac:dyDescent="0.2">
      <c r="AA449" s="80"/>
    </row>
    <row r="450" spans="27:27" x14ac:dyDescent="0.2">
      <c r="AA450" s="80"/>
    </row>
    <row r="451" spans="27:27" x14ac:dyDescent="0.2">
      <c r="AA451" s="80"/>
    </row>
    <row r="452" spans="27:27" x14ac:dyDescent="0.2">
      <c r="AA452" s="80"/>
    </row>
    <row r="453" spans="27:27" x14ac:dyDescent="0.2">
      <c r="AA453" s="80"/>
    </row>
    <row r="454" spans="27:27" x14ac:dyDescent="0.2">
      <c r="AA454" s="80"/>
    </row>
    <row r="455" spans="27:27" x14ac:dyDescent="0.2">
      <c r="AA455" s="80"/>
    </row>
    <row r="456" spans="27:27" x14ac:dyDescent="0.2">
      <c r="AA456" s="80"/>
    </row>
    <row r="457" spans="27:27" x14ac:dyDescent="0.2">
      <c r="AA457" s="80"/>
    </row>
    <row r="458" spans="27:27" x14ac:dyDescent="0.2">
      <c r="AA458" s="80"/>
    </row>
    <row r="459" spans="27:27" x14ac:dyDescent="0.2">
      <c r="AA459" s="80"/>
    </row>
    <row r="460" spans="27:27" x14ac:dyDescent="0.2">
      <c r="AA460" s="80"/>
    </row>
    <row r="461" spans="27:27" x14ac:dyDescent="0.2">
      <c r="AA461" s="80"/>
    </row>
    <row r="462" spans="27:27" x14ac:dyDescent="0.2">
      <c r="AA462" s="80"/>
    </row>
    <row r="463" spans="27:27" x14ac:dyDescent="0.2">
      <c r="AA463" s="80"/>
    </row>
    <row r="464" spans="27:27" x14ac:dyDescent="0.2">
      <c r="AA464" s="80"/>
    </row>
    <row r="465" spans="27:27" x14ac:dyDescent="0.2">
      <c r="AA465" s="80"/>
    </row>
    <row r="466" spans="27:27" x14ac:dyDescent="0.2">
      <c r="AA466" s="80"/>
    </row>
    <row r="467" spans="27:27" x14ac:dyDescent="0.2">
      <c r="AA467" s="80"/>
    </row>
    <row r="468" spans="27:27" x14ac:dyDescent="0.2">
      <c r="AA468" s="80"/>
    </row>
    <row r="469" spans="27:27" x14ac:dyDescent="0.2">
      <c r="AA469" s="80"/>
    </row>
    <row r="470" spans="27:27" x14ac:dyDescent="0.2">
      <c r="AA470" s="80"/>
    </row>
    <row r="471" spans="27:27" x14ac:dyDescent="0.2">
      <c r="AA471" s="80"/>
    </row>
    <row r="472" spans="27:27" x14ac:dyDescent="0.2">
      <c r="AA472" s="80"/>
    </row>
    <row r="473" spans="27:27" x14ac:dyDescent="0.2">
      <c r="AA473" s="80"/>
    </row>
    <row r="474" spans="27:27" x14ac:dyDescent="0.2">
      <c r="AA474" s="80"/>
    </row>
    <row r="475" spans="27:27" x14ac:dyDescent="0.2">
      <c r="AA475" s="80"/>
    </row>
    <row r="476" spans="27:27" x14ac:dyDescent="0.2">
      <c r="AA476" s="80"/>
    </row>
    <row r="477" spans="27:27" x14ac:dyDescent="0.2">
      <c r="AA477" s="80"/>
    </row>
    <row r="478" spans="27:27" x14ac:dyDescent="0.2">
      <c r="AA478" s="80"/>
    </row>
    <row r="479" spans="27:27" x14ac:dyDescent="0.2">
      <c r="AA479" s="80"/>
    </row>
    <row r="480" spans="27:27" x14ac:dyDescent="0.2">
      <c r="AA480" s="80"/>
    </row>
    <row r="481" spans="27:27" x14ac:dyDescent="0.2">
      <c r="AA481" s="80"/>
    </row>
    <row r="482" spans="27:27" x14ac:dyDescent="0.2">
      <c r="AA482" s="80"/>
    </row>
    <row r="483" spans="27:27" x14ac:dyDescent="0.2">
      <c r="AA483" s="80"/>
    </row>
    <row r="484" spans="27:27" x14ac:dyDescent="0.2">
      <c r="AA484" s="80"/>
    </row>
    <row r="485" spans="27:27" x14ac:dyDescent="0.2">
      <c r="AA485" s="80"/>
    </row>
    <row r="486" spans="27:27" x14ac:dyDescent="0.2">
      <c r="AA486" s="80"/>
    </row>
    <row r="487" spans="27:27" x14ac:dyDescent="0.2">
      <c r="AA487" s="80"/>
    </row>
    <row r="488" spans="27:27" x14ac:dyDescent="0.2">
      <c r="AA488" s="80"/>
    </row>
    <row r="489" spans="27:27" x14ac:dyDescent="0.2">
      <c r="AA489" s="80"/>
    </row>
    <row r="490" spans="27:27" x14ac:dyDescent="0.2">
      <c r="AA490" s="80"/>
    </row>
    <row r="491" spans="27:27" x14ac:dyDescent="0.2">
      <c r="AA491" s="80"/>
    </row>
    <row r="492" spans="27:27" x14ac:dyDescent="0.2">
      <c r="AA492" s="80"/>
    </row>
    <row r="493" spans="27:27" x14ac:dyDescent="0.2">
      <c r="AA493" s="80"/>
    </row>
    <row r="494" spans="27:27" x14ac:dyDescent="0.2">
      <c r="AA494" s="80"/>
    </row>
    <row r="495" spans="27:27" x14ac:dyDescent="0.2">
      <c r="AA495" s="80"/>
    </row>
    <row r="496" spans="27:27" x14ac:dyDescent="0.2">
      <c r="AA496" s="80"/>
    </row>
    <row r="497" spans="27:27" x14ac:dyDescent="0.2">
      <c r="AA497" s="80"/>
    </row>
    <row r="498" spans="27:27" x14ac:dyDescent="0.2">
      <c r="AA498" s="80"/>
    </row>
    <row r="499" spans="27:27" x14ac:dyDescent="0.2">
      <c r="AA499" s="80"/>
    </row>
    <row r="500" spans="27:27" x14ac:dyDescent="0.2">
      <c r="AA500" s="80"/>
    </row>
    <row r="501" spans="27:27" x14ac:dyDescent="0.2">
      <c r="AA501" s="80"/>
    </row>
    <row r="502" spans="27:27" x14ac:dyDescent="0.2">
      <c r="AA502" s="80"/>
    </row>
    <row r="503" spans="27:27" x14ac:dyDescent="0.2">
      <c r="AA503" s="80"/>
    </row>
    <row r="504" spans="27:27" x14ac:dyDescent="0.2">
      <c r="AA504" s="80"/>
    </row>
    <row r="505" spans="27:27" x14ac:dyDescent="0.2">
      <c r="AA505" s="80"/>
    </row>
    <row r="506" spans="27:27" x14ac:dyDescent="0.2">
      <c r="AA506" s="80"/>
    </row>
    <row r="507" spans="27:27" x14ac:dyDescent="0.2">
      <c r="AA507" s="80"/>
    </row>
    <row r="508" spans="27:27" x14ac:dyDescent="0.2">
      <c r="AA508" s="80"/>
    </row>
    <row r="509" spans="27:27" x14ac:dyDescent="0.2">
      <c r="AA509" s="80"/>
    </row>
    <row r="510" spans="27:27" x14ac:dyDescent="0.2">
      <c r="AA510" s="80"/>
    </row>
    <row r="511" spans="27:27" x14ac:dyDescent="0.2">
      <c r="AA511" s="80"/>
    </row>
    <row r="512" spans="27:27" x14ac:dyDescent="0.2">
      <c r="AA512" s="80"/>
    </row>
    <row r="513" spans="27:27" x14ac:dyDescent="0.2">
      <c r="AA513" s="80"/>
    </row>
    <row r="514" spans="27:27" x14ac:dyDescent="0.2">
      <c r="AA514" s="80"/>
    </row>
    <row r="515" spans="27:27" x14ac:dyDescent="0.2">
      <c r="AA515" s="80"/>
    </row>
    <row r="516" spans="27:27" x14ac:dyDescent="0.2">
      <c r="AA516" s="80"/>
    </row>
    <row r="517" spans="27:27" x14ac:dyDescent="0.2">
      <c r="AA517" s="80"/>
    </row>
    <row r="518" spans="27:27" x14ac:dyDescent="0.2">
      <c r="AA518" s="80"/>
    </row>
    <row r="519" spans="27:27" x14ac:dyDescent="0.2">
      <c r="AA519" s="80"/>
    </row>
    <row r="520" spans="27:27" x14ac:dyDescent="0.2">
      <c r="AA520" s="80"/>
    </row>
    <row r="521" spans="27:27" x14ac:dyDescent="0.2">
      <c r="AA521" s="80"/>
    </row>
    <row r="522" spans="27:27" x14ac:dyDescent="0.2">
      <c r="AA522" s="80"/>
    </row>
    <row r="523" spans="27:27" x14ac:dyDescent="0.2">
      <c r="AA523" s="80"/>
    </row>
    <row r="524" spans="27:27" x14ac:dyDescent="0.2">
      <c r="AA524" s="80"/>
    </row>
    <row r="525" spans="27:27" x14ac:dyDescent="0.2">
      <c r="AA525" s="80"/>
    </row>
    <row r="526" spans="27:27" x14ac:dyDescent="0.2">
      <c r="AA526" s="80"/>
    </row>
    <row r="527" spans="27:27" x14ac:dyDescent="0.2">
      <c r="AA527" s="80"/>
    </row>
    <row r="528" spans="27:27" x14ac:dyDescent="0.2">
      <c r="AA528" s="80"/>
    </row>
    <row r="529" spans="27:27" x14ac:dyDescent="0.2">
      <c r="AA529" s="80"/>
    </row>
    <row r="530" spans="27:27" x14ac:dyDescent="0.2">
      <c r="AA530" s="80"/>
    </row>
    <row r="531" spans="27:27" x14ac:dyDescent="0.2">
      <c r="AA531" s="80"/>
    </row>
    <row r="532" spans="27:27" x14ac:dyDescent="0.2">
      <c r="AA532" s="80"/>
    </row>
    <row r="533" spans="27:27" x14ac:dyDescent="0.2">
      <c r="AA533" s="80"/>
    </row>
    <row r="534" spans="27:27" x14ac:dyDescent="0.2">
      <c r="AA534" s="80"/>
    </row>
    <row r="535" spans="27:27" x14ac:dyDescent="0.2">
      <c r="AA535" s="80"/>
    </row>
    <row r="536" spans="27:27" x14ac:dyDescent="0.2">
      <c r="AA536" s="80"/>
    </row>
    <row r="537" spans="27:27" x14ac:dyDescent="0.2">
      <c r="AA537" s="80"/>
    </row>
    <row r="538" spans="27:27" x14ac:dyDescent="0.2">
      <c r="AA538" s="80"/>
    </row>
    <row r="539" spans="27:27" x14ac:dyDescent="0.2">
      <c r="AA539" s="80"/>
    </row>
    <row r="540" spans="27:27" x14ac:dyDescent="0.2">
      <c r="AA540" s="80"/>
    </row>
    <row r="541" spans="27:27" x14ac:dyDescent="0.2">
      <c r="AA541" s="80"/>
    </row>
    <row r="542" spans="27:27" x14ac:dyDescent="0.2">
      <c r="AA542" s="80"/>
    </row>
    <row r="543" spans="27:27" x14ac:dyDescent="0.2">
      <c r="AA543" s="80"/>
    </row>
    <row r="544" spans="27:27" x14ac:dyDescent="0.2">
      <c r="AA544" s="80"/>
    </row>
    <row r="545" spans="27:27" x14ac:dyDescent="0.2">
      <c r="AA545" s="80"/>
    </row>
    <row r="546" spans="27:27" x14ac:dyDescent="0.2">
      <c r="AA546" s="80"/>
    </row>
    <row r="547" spans="27:27" x14ac:dyDescent="0.2">
      <c r="AA547" s="80"/>
    </row>
    <row r="548" spans="27:27" x14ac:dyDescent="0.2">
      <c r="AA548" s="80"/>
    </row>
    <row r="549" spans="27:27" x14ac:dyDescent="0.2">
      <c r="AA549" s="80"/>
    </row>
    <row r="550" spans="27:27" x14ac:dyDescent="0.2">
      <c r="AA550" s="80"/>
    </row>
    <row r="551" spans="27:27" x14ac:dyDescent="0.2">
      <c r="AA551" s="80"/>
    </row>
    <row r="552" spans="27:27" x14ac:dyDescent="0.2">
      <c r="AA552" s="80"/>
    </row>
    <row r="553" spans="27:27" x14ac:dyDescent="0.2">
      <c r="AA553" s="80"/>
    </row>
    <row r="554" spans="27:27" x14ac:dyDescent="0.2">
      <c r="AA554" s="80"/>
    </row>
    <row r="555" spans="27:27" x14ac:dyDescent="0.2">
      <c r="AA555" s="80"/>
    </row>
    <row r="556" spans="27:27" x14ac:dyDescent="0.2">
      <c r="AA556" s="80"/>
    </row>
    <row r="557" spans="27:27" x14ac:dyDescent="0.2">
      <c r="AA557" s="80"/>
    </row>
    <row r="558" spans="27:27" x14ac:dyDescent="0.2">
      <c r="AA558" s="80"/>
    </row>
    <row r="559" spans="27:27" x14ac:dyDescent="0.2">
      <c r="AA559" s="80"/>
    </row>
    <row r="560" spans="27:27" x14ac:dyDescent="0.2">
      <c r="AA560" s="80"/>
    </row>
    <row r="561" spans="27:27" x14ac:dyDescent="0.2">
      <c r="AA561" s="80"/>
    </row>
    <row r="562" spans="27:27" x14ac:dyDescent="0.2">
      <c r="AA562" s="80"/>
    </row>
    <row r="563" spans="27:27" x14ac:dyDescent="0.2">
      <c r="AA563" s="80"/>
    </row>
    <row r="564" spans="27:27" x14ac:dyDescent="0.2">
      <c r="AA564" s="80"/>
    </row>
    <row r="565" spans="27:27" x14ac:dyDescent="0.2">
      <c r="AA565" s="80"/>
    </row>
    <row r="566" spans="27:27" x14ac:dyDescent="0.2">
      <c r="AA566" s="80"/>
    </row>
    <row r="567" spans="27:27" x14ac:dyDescent="0.2">
      <c r="AA567" s="80"/>
    </row>
    <row r="568" spans="27:27" x14ac:dyDescent="0.2">
      <c r="AA568" s="80"/>
    </row>
    <row r="569" spans="27:27" x14ac:dyDescent="0.2">
      <c r="AA569" s="80"/>
    </row>
    <row r="570" spans="27:27" x14ac:dyDescent="0.2">
      <c r="AA570" s="80"/>
    </row>
    <row r="571" spans="27:27" x14ac:dyDescent="0.2">
      <c r="AA571" s="80"/>
    </row>
    <row r="572" spans="27:27" x14ac:dyDescent="0.2">
      <c r="AA572" s="80"/>
    </row>
    <row r="573" spans="27:27" x14ac:dyDescent="0.2">
      <c r="AA573" s="80"/>
    </row>
    <row r="574" spans="27:27" x14ac:dyDescent="0.2">
      <c r="AA574" s="80"/>
    </row>
    <row r="575" spans="27:27" x14ac:dyDescent="0.2">
      <c r="AA575" s="80"/>
    </row>
    <row r="576" spans="27:27" x14ac:dyDescent="0.2">
      <c r="AA576" s="80"/>
    </row>
    <row r="577" spans="27:27" x14ac:dyDescent="0.2">
      <c r="AA577" s="80"/>
    </row>
    <row r="578" spans="27:27" x14ac:dyDescent="0.2">
      <c r="AA578" s="80"/>
    </row>
    <row r="579" spans="27:27" x14ac:dyDescent="0.2">
      <c r="AA579" s="80"/>
    </row>
    <row r="580" spans="27:27" x14ac:dyDescent="0.2">
      <c r="AA580" s="80"/>
    </row>
    <row r="581" spans="27:27" x14ac:dyDescent="0.2">
      <c r="AA581" s="80"/>
    </row>
    <row r="582" spans="27:27" x14ac:dyDescent="0.2">
      <c r="AA582" s="80"/>
    </row>
    <row r="583" spans="27:27" x14ac:dyDescent="0.2">
      <c r="AA583" s="80"/>
    </row>
    <row r="584" spans="27:27" x14ac:dyDescent="0.2">
      <c r="AA584" s="80"/>
    </row>
    <row r="585" spans="27:27" x14ac:dyDescent="0.2">
      <c r="AA585" s="80"/>
    </row>
    <row r="586" spans="27:27" x14ac:dyDescent="0.2">
      <c r="AA586" s="80"/>
    </row>
    <row r="587" spans="27:27" x14ac:dyDescent="0.2">
      <c r="AA587" s="80"/>
    </row>
    <row r="588" spans="27:27" x14ac:dyDescent="0.2">
      <c r="AA588" s="80"/>
    </row>
    <row r="589" spans="27:27" x14ac:dyDescent="0.2">
      <c r="AA589" s="80"/>
    </row>
    <row r="590" spans="27:27" x14ac:dyDescent="0.2">
      <c r="AA590" s="80"/>
    </row>
    <row r="591" spans="27:27" x14ac:dyDescent="0.2">
      <c r="AA591" s="80"/>
    </row>
    <row r="592" spans="27:27" x14ac:dyDescent="0.2">
      <c r="AA592" s="80"/>
    </row>
    <row r="593" spans="27:27" x14ac:dyDescent="0.2">
      <c r="AA593" s="80"/>
    </row>
    <row r="594" spans="27:27" x14ac:dyDescent="0.2">
      <c r="AA594" s="80"/>
    </row>
    <row r="595" spans="27:27" x14ac:dyDescent="0.2">
      <c r="AA595" s="80"/>
    </row>
    <row r="596" spans="27:27" x14ac:dyDescent="0.2">
      <c r="AA596" s="80"/>
    </row>
    <row r="597" spans="27:27" x14ac:dyDescent="0.2">
      <c r="AA597" s="80"/>
    </row>
    <row r="598" spans="27:27" x14ac:dyDescent="0.2">
      <c r="AA598" s="80"/>
    </row>
    <row r="599" spans="27:27" x14ac:dyDescent="0.2">
      <c r="AA599" s="80"/>
    </row>
    <row r="600" spans="27:27" x14ac:dyDescent="0.2">
      <c r="AA600" s="80"/>
    </row>
    <row r="601" spans="27:27" x14ac:dyDescent="0.2">
      <c r="AA601" s="80"/>
    </row>
    <row r="602" spans="27:27" x14ac:dyDescent="0.2">
      <c r="AA602" s="80"/>
    </row>
    <row r="603" spans="27:27" x14ac:dyDescent="0.2">
      <c r="AA603" s="80"/>
    </row>
    <row r="604" spans="27:27" x14ac:dyDescent="0.2">
      <c r="AA604" s="80"/>
    </row>
    <row r="605" spans="27:27" x14ac:dyDescent="0.2">
      <c r="AA605" s="80"/>
    </row>
    <row r="606" spans="27:27" x14ac:dyDescent="0.2">
      <c r="AA606" s="80"/>
    </row>
    <row r="607" spans="27:27" x14ac:dyDescent="0.2">
      <c r="AA607" s="80"/>
    </row>
    <row r="608" spans="27:27" x14ac:dyDescent="0.2">
      <c r="AA608" s="80"/>
    </row>
    <row r="609" spans="27:27" x14ac:dyDescent="0.2">
      <c r="AA609" s="80"/>
    </row>
    <row r="610" spans="27:27" x14ac:dyDescent="0.2">
      <c r="AA610" s="80"/>
    </row>
    <row r="611" spans="27:27" x14ac:dyDescent="0.2">
      <c r="AA611" s="80"/>
    </row>
    <row r="612" spans="27:27" x14ac:dyDescent="0.2">
      <c r="AA612" s="80"/>
    </row>
    <row r="613" spans="27:27" x14ac:dyDescent="0.2">
      <c r="AA613" s="80"/>
    </row>
    <row r="614" spans="27:27" x14ac:dyDescent="0.2">
      <c r="AA614" s="80"/>
    </row>
    <row r="615" spans="27:27" x14ac:dyDescent="0.2">
      <c r="AA615" s="80"/>
    </row>
    <row r="616" spans="27:27" x14ac:dyDescent="0.2">
      <c r="AA616" s="80"/>
    </row>
    <row r="617" spans="27:27" x14ac:dyDescent="0.2">
      <c r="AA617" s="80"/>
    </row>
    <row r="618" spans="27:27" x14ac:dyDescent="0.2">
      <c r="AA618" s="80"/>
    </row>
    <row r="619" spans="27:27" x14ac:dyDescent="0.2">
      <c r="AA619" s="80"/>
    </row>
    <row r="620" spans="27:27" x14ac:dyDescent="0.2">
      <c r="AA620" s="80"/>
    </row>
    <row r="621" spans="27:27" x14ac:dyDescent="0.2">
      <c r="AA621" s="80"/>
    </row>
    <row r="622" spans="27:27" x14ac:dyDescent="0.2">
      <c r="AA622" s="80"/>
    </row>
    <row r="623" spans="27:27" x14ac:dyDescent="0.2">
      <c r="AA623" s="80"/>
    </row>
    <row r="624" spans="27:27" x14ac:dyDescent="0.2">
      <c r="AA624" s="80"/>
    </row>
    <row r="625" spans="27:27" x14ac:dyDescent="0.2">
      <c r="AA625" s="80"/>
    </row>
    <row r="626" spans="27:27" x14ac:dyDescent="0.2">
      <c r="AA626" s="80"/>
    </row>
    <row r="627" spans="27:27" x14ac:dyDescent="0.2">
      <c r="AA627" s="80"/>
    </row>
    <row r="628" spans="27:27" x14ac:dyDescent="0.2">
      <c r="AA628" s="80"/>
    </row>
    <row r="629" spans="27:27" x14ac:dyDescent="0.2">
      <c r="AA629" s="80"/>
    </row>
    <row r="630" spans="27:27" x14ac:dyDescent="0.2">
      <c r="AA630" s="80"/>
    </row>
    <row r="631" spans="27:27" x14ac:dyDescent="0.2">
      <c r="AA631" s="80"/>
    </row>
    <row r="632" spans="27:27" x14ac:dyDescent="0.2">
      <c r="AA632" s="80"/>
    </row>
    <row r="633" spans="27:27" x14ac:dyDescent="0.2">
      <c r="AA633" s="80"/>
    </row>
    <row r="634" spans="27:27" x14ac:dyDescent="0.2">
      <c r="AA634" s="80"/>
    </row>
    <row r="635" spans="27:27" x14ac:dyDescent="0.2">
      <c r="AA635" s="80"/>
    </row>
    <row r="636" spans="27:27" x14ac:dyDescent="0.2">
      <c r="AA636" s="80"/>
    </row>
    <row r="637" spans="27:27" x14ac:dyDescent="0.2">
      <c r="AA637" s="80"/>
    </row>
    <row r="638" spans="27:27" x14ac:dyDescent="0.2">
      <c r="AA638" s="80"/>
    </row>
    <row r="639" spans="27:27" x14ac:dyDescent="0.2">
      <c r="AA639" s="80"/>
    </row>
    <row r="640" spans="27:27" x14ac:dyDescent="0.2">
      <c r="AA640" s="95"/>
    </row>
    <row r="641" spans="27:27" x14ac:dyDescent="0.2">
      <c r="AA641" s="95"/>
    </row>
    <row r="642" spans="27:27" x14ac:dyDescent="0.2">
      <c r="AA642" s="95"/>
    </row>
    <row r="643" spans="27:27" x14ac:dyDescent="0.2">
      <c r="AA643" s="95"/>
    </row>
    <row r="644" spans="27:27" x14ac:dyDescent="0.2">
      <c r="AA644" s="95"/>
    </row>
    <row r="645" spans="27:27" x14ac:dyDescent="0.2">
      <c r="AA645" s="95"/>
    </row>
    <row r="646" spans="27:27" x14ac:dyDescent="0.2">
      <c r="AA646" s="95"/>
    </row>
    <row r="647" spans="27:27" x14ac:dyDescent="0.2">
      <c r="AA647" s="95"/>
    </row>
    <row r="648" spans="27:27" x14ac:dyDescent="0.2">
      <c r="AA648" s="95"/>
    </row>
    <row r="649" spans="27:27" x14ac:dyDescent="0.2">
      <c r="AA649" s="95"/>
    </row>
    <row r="650" spans="27:27" x14ac:dyDescent="0.2">
      <c r="AA650" s="95"/>
    </row>
    <row r="651" spans="27:27" x14ac:dyDescent="0.2">
      <c r="AA651" s="95"/>
    </row>
    <row r="652" spans="27:27" x14ac:dyDescent="0.2">
      <c r="AA652" s="95"/>
    </row>
    <row r="653" spans="27:27" x14ac:dyDescent="0.2">
      <c r="AA653" s="95"/>
    </row>
    <row r="654" spans="27:27" x14ac:dyDescent="0.2">
      <c r="AA654" s="95"/>
    </row>
    <row r="655" spans="27:27" x14ac:dyDescent="0.2">
      <c r="AA655" s="95"/>
    </row>
    <row r="656" spans="27:27" x14ac:dyDescent="0.2">
      <c r="AA656" s="95"/>
    </row>
    <row r="657" spans="27:27" x14ac:dyDescent="0.2">
      <c r="AA657" s="95"/>
    </row>
    <row r="658" spans="27:27" x14ac:dyDescent="0.2">
      <c r="AA658" s="95"/>
    </row>
    <row r="659" spans="27:27" x14ac:dyDescent="0.2">
      <c r="AA659" s="95"/>
    </row>
    <row r="660" spans="27:27" x14ac:dyDescent="0.2">
      <c r="AA660" s="95"/>
    </row>
    <row r="661" spans="27:27" x14ac:dyDescent="0.2">
      <c r="AA661" s="95"/>
    </row>
    <row r="662" spans="27:27" x14ac:dyDescent="0.2">
      <c r="AA662" s="95"/>
    </row>
    <row r="663" spans="27:27" x14ac:dyDescent="0.2">
      <c r="AA663" s="95"/>
    </row>
    <row r="664" spans="27:27" x14ac:dyDescent="0.2">
      <c r="AA664" s="95"/>
    </row>
    <row r="665" spans="27:27" x14ac:dyDescent="0.2">
      <c r="AA665" s="95"/>
    </row>
    <row r="666" spans="27:27" x14ac:dyDescent="0.2">
      <c r="AA666" s="95"/>
    </row>
    <row r="667" spans="27:27" x14ac:dyDescent="0.2">
      <c r="AA667" s="95"/>
    </row>
    <row r="668" spans="27:27" x14ac:dyDescent="0.2">
      <c r="AA668" s="95"/>
    </row>
    <row r="669" spans="27:27" x14ac:dyDescent="0.2">
      <c r="AA669" s="95"/>
    </row>
    <row r="670" spans="27:27" x14ac:dyDescent="0.2">
      <c r="AA670" s="95"/>
    </row>
    <row r="671" spans="27:27" x14ac:dyDescent="0.2">
      <c r="AA671" s="95"/>
    </row>
    <row r="672" spans="27:27" x14ac:dyDescent="0.2">
      <c r="AA672" s="95"/>
    </row>
    <row r="673" spans="27:27" x14ac:dyDescent="0.2">
      <c r="AA673" s="95"/>
    </row>
    <row r="674" spans="27:27" x14ac:dyDescent="0.2">
      <c r="AA674" s="95"/>
    </row>
    <row r="675" spans="27:27" x14ac:dyDescent="0.2">
      <c r="AA675" s="95"/>
    </row>
    <row r="676" spans="27:27" x14ac:dyDescent="0.2">
      <c r="AA676" s="95"/>
    </row>
    <row r="677" spans="27:27" x14ac:dyDescent="0.2">
      <c r="AA677" s="95"/>
    </row>
    <row r="678" spans="27:27" x14ac:dyDescent="0.2">
      <c r="AA678" s="95"/>
    </row>
    <row r="679" spans="27:27" x14ac:dyDescent="0.2">
      <c r="AA679" s="95"/>
    </row>
    <row r="680" spans="27:27" x14ac:dyDescent="0.2">
      <c r="AA680" s="95"/>
    </row>
    <row r="681" spans="27:27" x14ac:dyDescent="0.2">
      <c r="AA681" s="95"/>
    </row>
    <row r="682" spans="27:27" x14ac:dyDescent="0.2">
      <c r="AA682" s="95"/>
    </row>
    <row r="683" spans="27:27" x14ac:dyDescent="0.2">
      <c r="AA683" s="95"/>
    </row>
    <row r="684" spans="27:27" x14ac:dyDescent="0.2">
      <c r="AA684" s="95"/>
    </row>
    <row r="685" spans="27:27" x14ac:dyDescent="0.2">
      <c r="AA685" s="95"/>
    </row>
    <row r="686" spans="27:27" x14ac:dyDescent="0.2">
      <c r="AA686" s="95"/>
    </row>
    <row r="687" spans="27:27" x14ac:dyDescent="0.2">
      <c r="AA687" s="95"/>
    </row>
    <row r="688" spans="27:27" x14ac:dyDescent="0.2">
      <c r="AA688" s="95"/>
    </row>
    <row r="689" spans="27:27" x14ac:dyDescent="0.2">
      <c r="AA689" s="95"/>
    </row>
    <row r="690" spans="27:27" x14ac:dyDescent="0.2">
      <c r="AA690" s="95"/>
    </row>
    <row r="691" spans="27:27" x14ac:dyDescent="0.2">
      <c r="AA691" s="95"/>
    </row>
    <row r="692" spans="27:27" x14ac:dyDescent="0.2">
      <c r="AA692" s="95"/>
    </row>
    <row r="693" spans="27:27" x14ac:dyDescent="0.2">
      <c r="AA693" s="95"/>
    </row>
    <row r="694" spans="27:27" x14ac:dyDescent="0.2">
      <c r="AA694" s="95"/>
    </row>
    <row r="695" spans="27:27" x14ac:dyDescent="0.2">
      <c r="AA695" s="95"/>
    </row>
    <row r="696" spans="27:27" x14ac:dyDescent="0.2">
      <c r="AA696" s="95"/>
    </row>
    <row r="697" spans="27:27" x14ac:dyDescent="0.2">
      <c r="AA697" s="95"/>
    </row>
    <row r="698" spans="27:27" x14ac:dyDescent="0.2">
      <c r="AA698" s="95"/>
    </row>
    <row r="699" spans="27:27" x14ac:dyDescent="0.2">
      <c r="AA699" s="95"/>
    </row>
    <row r="700" spans="27:27" x14ac:dyDescent="0.2">
      <c r="AA700" s="95"/>
    </row>
    <row r="701" spans="27:27" x14ac:dyDescent="0.2">
      <c r="AA701" s="95"/>
    </row>
    <row r="702" spans="27:27" x14ac:dyDescent="0.2">
      <c r="AA702" s="95"/>
    </row>
  </sheetData>
  <mergeCells count="6">
    <mergeCell ref="D8:F8"/>
    <mergeCell ref="AC2:AU2"/>
    <mergeCell ref="V6:X6"/>
    <mergeCell ref="F1:X1"/>
    <mergeCell ref="F3:X3"/>
    <mergeCell ref="F2:X2"/>
  </mergeCells>
  <phoneticPr fontId="14" type="noConversion"/>
  <printOptions horizontalCentered="1"/>
  <pageMargins left="0.5" right="0.5" top="1" bottom="0.5" header="0.5" footer="0.5"/>
  <pageSetup scale="80" fitToHeight="0" orientation="landscape" r:id="rId1"/>
  <headerFooter alignWithMargins="0"/>
  <rowBreaks count="4" manualBreakCount="4">
    <brk id="43" min="3" max="23" man="1"/>
    <brk id="85" min="3" max="23" man="1"/>
    <brk id="111" min="3" max="23" man="1"/>
    <brk id="127" min="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B1598"/>
  <sheetViews>
    <sheetView workbookViewId="0"/>
  </sheetViews>
  <sheetFormatPr defaultColWidth="9.77734375" defaultRowHeight="15" x14ac:dyDescent="0.2"/>
  <cols>
    <col min="1" max="1" width="9.6640625" style="16" bestFit="1" customWidth="1"/>
    <col min="2" max="3" width="7.77734375" style="16" customWidth="1"/>
    <col min="4" max="4" width="2" style="16" customWidth="1"/>
    <col min="5" max="5" width="8.6640625" style="16" customWidth="1"/>
    <col min="6" max="6" width="1.88671875" style="16" customWidth="1"/>
    <col min="7" max="7" width="8.6640625" style="16" customWidth="1"/>
    <col min="8" max="8" width="2" style="16" customWidth="1"/>
    <col min="9" max="9" width="8.6640625" style="16" customWidth="1"/>
    <col min="10" max="10" width="2" style="16" customWidth="1"/>
    <col min="11" max="11" width="8.6640625" style="16" customWidth="1"/>
    <col min="12" max="12" width="2" style="16" customWidth="1"/>
    <col min="13" max="13" width="14.77734375" style="16" customWidth="1"/>
    <col min="14" max="14" width="4.77734375" style="16" customWidth="1"/>
    <col min="15" max="15" width="10.5546875" style="16" customWidth="1"/>
    <col min="16" max="16" width="10.6640625" style="16" customWidth="1"/>
    <col min="17" max="17" width="9.77734375" style="16" customWidth="1"/>
    <col min="18" max="18" width="10.44140625" style="16" bestFit="1" customWidth="1"/>
    <col min="19" max="19" width="7.5546875" style="16" bestFit="1" customWidth="1"/>
    <col min="20" max="20" width="7.77734375" style="16" customWidth="1"/>
    <col min="21" max="21" width="10.77734375" style="16" customWidth="1"/>
    <col min="22" max="22" width="7.77734375" style="16" customWidth="1"/>
    <col min="23" max="23" width="8.77734375" style="16" customWidth="1"/>
    <col min="24" max="24" width="2.77734375" style="16" customWidth="1"/>
    <col min="25" max="25" width="9.77734375" style="16" customWidth="1"/>
    <col min="26" max="26" width="2.77734375" style="16" customWidth="1"/>
    <col min="27" max="27" width="7.77734375" style="16" customWidth="1"/>
    <col min="28" max="16384" width="9.77734375" style="16"/>
  </cols>
  <sheetData>
    <row r="1" spans="1:28" x14ac:dyDescent="0.2">
      <c r="B1" s="15" t="s">
        <v>386</v>
      </c>
      <c r="C1" s="15"/>
      <c r="D1" s="15"/>
      <c r="E1" s="15"/>
      <c r="F1" s="15"/>
      <c r="G1" s="15"/>
      <c r="H1" s="15"/>
      <c r="I1" s="15"/>
      <c r="J1" s="15"/>
      <c r="K1" s="15"/>
      <c r="L1" s="15"/>
      <c r="M1" s="15"/>
    </row>
    <row r="2" spans="1:28" x14ac:dyDescent="0.2">
      <c r="B2" s="15"/>
      <c r="C2" s="15"/>
      <c r="D2" s="15"/>
      <c r="E2" s="15"/>
      <c r="F2" s="15"/>
      <c r="G2" s="15"/>
      <c r="H2" s="15"/>
      <c r="I2" s="15"/>
      <c r="J2" s="15"/>
      <c r="K2" s="15"/>
      <c r="L2" s="15"/>
      <c r="M2" s="15"/>
    </row>
    <row r="3" spans="1:28" ht="13.35" customHeight="1" x14ac:dyDescent="0.2">
      <c r="B3" s="333" t="s">
        <v>62</v>
      </c>
      <c r="C3" s="333"/>
      <c r="D3" s="333"/>
      <c r="E3" s="333"/>
      <c r="F3" s="333"/>
      <c r="G3" s="333"/>
      <c r="H3" s="333"/>
      <c r="I3" s="333"/>
      <c r="J3" s="333"/>
      <c r="K3" s="333"/>
      <c r="L3" s="333"/>
      <c r="M3" s="333"/>
      <c r="N3" s="2"/>
      <c r="O3" s="2"/>
      <c r="P3" s="2"/>
      <c r="Q3" s="2"/>
      <c r="R3" s="2"/>
      <c r="S3" s="2"/>
      <c r="T3" s="2"/>
      <c r="U3" s="2"/>
      <c r="V3" s="2"/>
      <c r="W3" s="2"/>
      <c r="X3" s="2"/>
      <c r="Y3" s="2"/>
      <c r="Z3" s="2"/>
      <c r="AA3" s="2"/>
      <c r="AB3" s="2"/>
    </row>
    <row r="4" spans="1:28" ht="13.35" customHeight="1" x14ac:dyDescent="0.2">
      <c r="B4" s="334"/>
      <c r="C4" s="334"/>
      <c r="D4" s="334"/>
      <c r="E4" s="334"/>
      <c r="F4" s="334"/>
      <c r="G4" s="334"/>
      <c r="H4" s="334"/>
      <c r="I4" s="334"/>
      <c r="J4" s="334"/>
      <c r="K4" s="334"/>
      <c r="L4" s="334"/>
      <c r="M4" s="334"/>
      <c r="N4" s="2"/>
      <c r="O4" s="2"/>
      <c r="P4" s="2"/>
      <c r="Q4" s="2"/>
      <c r="R4" s="2"/>
      <c r="S4" s="2"/>
      <c r="T4" s="2"/>
      <c r="U4" s="2"/>
      <c r="V4" s="2"/>
      <c r="W4" s="2"/>
      <c r="X4" s="2"/>
      <c r="Y4" s="2"/>
      <c r="Z4" s="2"/>
      <c r="AA4" s="2"/>
      <c r="AB4" s="2"/>
    </row>
    <row r="5" spans="1:28" ht="13.35" customHeight="1" x14ac:dyDescent="0.2">
      <c r="B5" s="334" t="s">
        <v>376</v>
      </c>
      <c r="C5" s="334"/>
      <c r="D5" s="334"/>
      <c r="E5" s="334"/>
      <c r="F5" s="334"/>
      <c r="G5" s="334"/>
      <c r="H5" s="334"/>
      <c r="I5" s="334"/>
      <c r="J5" s="334"/>
      <c r="K5" s="334"/>
      <c r="L5" s="334"/>
      <c r="M5" s="334"/>
      <c r="N5" s="2"/>
      <c r="O5" s="2"/>
      <c r="P5" s="2"/>
      <c r="Q5" s="2"/>
      <c r="R5" s="2"/>
      <c r="S5" s="2"/>
      <c r="T5" s="2"/>
      <c r="U5" s="2"/>
      <c r="V5" s="2"/>
      <c r="W5" s="2"/>
      <c r="X5" s="2"/>
      <c r="Y5" s="2"/>
      <c r="Z5" s="2"/>
      <c r="AA5" s="2"/>
      <c r="AB5" s="2"/>
    </row>
    <row r="6" spans="1:28" ht="13.35" customHeight="1" x14ac:dyDescent="0.2">
      <c r="B6" s="334" t="s">
        <v>377</v>
      </c>
      <c r="C6" s="334"/>
      <c r="D6" s="334"/>
      <c r="E6" s="334"/>
      <c r="F6" s="334"/>
      <c r="G6" s="334"/>
      <c r="H6" s="334"/>
      <c r="I6" s="334"/>
      <c r="J6" s="334"/>
      <c r="K6" s="334"/>
      <c r="L6" s="334"/>
      <c r="M6" s="334"/>
      <c r="N6" s="2"/>
      <c r="O6" s="2"/>
      <c r="P6" s="2"/>
      <c r="Q6" s="2"/>
      <c r="R6" s="2"/>
      <c r="S6" s="2"/>
      <c r="T6" s="2"/>
      <c r="U6" s="2"/>
      <c r="V6" s="2"/>
      <c r="W6" s="2"/>
      <c r="X6" s="2"/>
      <c r="Y6" s="2"/>
      <c r="Z6" s="2"/>
      <c r="AA6" s="2"/>
      <c r="AB6" s="2"/>
    </row>
    <row r="7" spans="1:28" ht="13.35" customHeight="1" x14ac:dyDescent="0.2">
      <c r="B7" s="334"/>
      <c r="C7" s="334"/>
      <c r="D7" s="334"/>
      <c r="E7" s="334"/>
      <c r="F7" s="334"/>
      <c r="G7" s="334"/>
      <c r="H7" s="334"/>
      <c r="I7" s="334"/>
      <c r="J7" s="334"/>
      <c r="K7" s="334"/>
      <c r="L7" s="334"/>
      <c r="M7" s="334"/>
      <c r="N7" s="2"/>
      <c r="O7" s="2"/>
      <c r="P7" s="2"/>
      <c r="Q7" s="2"/>
      <c r="R7" s="2"/>
      <c r="S7" s="2"/>
      <c r="T7" s="2"/>
      <c r="U7" s="2"/>
      <c r="V7" s="2"/>
      <c r="W7" s="2"/>
      <c r="X7" s="2"/>
      <c r="Y7" s="2"/>
      <c r="Z7" s="2"/>
      <c r="AA7" s="2"/>
      <c r="AB7" s="2"/>
    </row>
    <row r="8" spans="1:28" ht="27.6" customHeight="1" x14ac:dyDescent="0.2">
      <c r="B8" s="699" t="s">
        <v>63</v>
      </c>
      <c r="C8" s="699"/>
      <c r="D8" s="699"/>
      <c r="E8" s="699"/>
      <c r="F8" s="699"/>
      <c r="G8" s="699"/>
      <c r="H8" s="699"/>
      <c r="I8" s="699"/>
      <c r="J8" s="699"/>
      <c r="K8" s="699"/>
      <c r="L8" s="699"/>
      <c r="M8" s="699"/>
      <c r="N8" s="2"/>
      <c r="O8" s="2"/>
      <c r="P8" s="2"/>
      <c r="Q8" s="2"/>
      <c r="R8" s="2"/>
      <c r="S8" s="2"/>
      <c r="T8" s="2"/>
      <c r="U8" s="2"/>
      <c r="V8" s="2"/>
      <c r="W8" s="2"/>
      <c r="X8" s="2"/>
      <c r="Y8" s="2"/>
      <c r="Z8" s="2"/>
      <c r="AA8" s="2"/>
      <c r="AB8" s="2"/>
    </row>
    <row r="9" spans="1:28" ht="10.7" customHeight="1" x14ac:dyDescent="0.2">
      <c r="B9" s="334"/>
      <c r="C9" s="334"/>
      <c r="D9" s="334"/>
      <c r="E9" s="334"/>
      <c r="F9" s="334"/>
      <c r="G9" s="334"/>
      <c r="H9" s="334"/>
      <c r="I9" s="334"/>
      <c r="J9" s="334"/>
      <c r="K9" s="334"/>
      <c r="L9" s="334"/>
      <c r="M9" s="334"/>
      <c r="N9" s="2"/>
      <c r="O9" s="2"/>
      <c r="P9" s="2"/>
      <c r="Q9" s="2"/>
      <c r="R9" s="2"/>
      <c r="S9" s="2"/>
      <c r="T9" s="2"/>
      <c r="U9" s="2"/>
      <c r="V9" s="2"/>
      <c r="W9" s="2"/>
      <c r="X9" s="2"/>
      <c r="Y9" s="2"/>
      <c r="Z9" s="2"/>
      <c r="AA9" s="2"/>
      <c r="AB9" s="2"/>
    </row>
    <row r="10" spans="1:28" ht="13.35" customHeight="1" x14ac:dyDescent="0.2">
      <c r="B10" s="334"/>
      <c r="C10" s="334"/>
      <c r="D10" s="334"/>
      <c r="E10" s="334"/>
      <c r="F10" s="333" t="s">
        <v>64</v>
      </c>
      <c r="G10" s="333"/>
      <c r="H10" s="333"/>
      <c r="I10" s="334"/>
      <c r="J10" s="334"/>
      <c r="K10" s="334"/>
      <c r="L10" s="334"/>
      <c r="M10" s="334"/>
      <c r="N10" s="2"/>
      <c r="O10" s="2"/>
      <c r="P10" s="2"/>
      <c r="Q10" s="2"/>
      <c r="R10" s="2"/>
      <c r="S10" s="2"/>
      <c r="T10" s="2"/>
      <c r="U10" s="2"/>
      <c r="V10" s="2"/>
      <c r="W10" s="2"/>
      <c r="X10" s="2"/>
      <c r="Y10" s="2"/>
      <c r="Z10" s="2"/>
      <c r="AA10" s="2"/>
      <c r="AB10" s="2"/>
    </row>
    <row r="11" spans="1:28" ht="13.35" customHeight="1" x14ac:dyDescent="0.2">
      <c r="B11" s="333" t="s">
        <v>65</v>
      </c>
      <c r="C11" s="333"/>
      <c r="D11" s="334"/>
      <c r="E11" s="334"/>
      <c r="F11" s="333" t="s">
        <v>66</v>
      </c>
      <c r="G11" s="333"/>
      <c r="H11" s="333"/>
      <c r="I11" s="334"/>
      <c r="J11" s="333" t="s">
        <v>67</v>
      </c>
      <c r="K11" s="333"/>
      <c r="L11" s="333"/>
      <c r="M11" s="334"/>
      <c r="N11" s="2"/>
      <c r="O11" s="2"/>
      <c r="P11" s="282"/>
      <c r="Q11" s="2"/>
      <c r="R11" s="2"/>
      <c r="S11" s="2"/>
      <c r="T11" s="2"/>
      <c r="U11" s="2"/>
      <c r="V11" s="2"/>
      <c r="W11" s="2"/>
      <c r="X11" s="2"/>
      <c r="Y11" s="2"/>
      <c r="Z11" s="2"/>
      <c r="AA11" s="2"/>
      <c r="AB11" s="2"/>
    </row>
    <row r="12" spans="1:28" ht="13.35" customHeight="1" x14ac:dyDescent="0.2">
      <c r="B12" s="333" t="s">
        <v>68</v>
      </c>
      <c r="C12" s="333"/>
      <c r="D12" s="334"/>
      <c r="E12" s="334"/>
      <c r="F12" s="333" t="s">
        <v>318</v>
      </c>
      <c r="G12" s="333"/>
      <c r="H12" s="333"/>
      <c r="I12" s="334"/>
      <c r="J12" s="333" t="s">
        <v>69</v>
      </c>
      <c r="K12" s="333"/>
      <c r="L12" s="333"/>
      <c r="M12" s="334"/>
      <c r="N12" s="2"/>
      <c r="O12" s="2"/>
      <c r="P12" s="282"/>
      <c r="Q12"/>
      <c r="R12" s="105"/>
      <c r="S12" s="371"/>
      <c r="T12"/>
      <c r="U12"/>
      <c r="V12"/>
      <c r="W12"/>
      <c r="X12"/>
      <c r="Y12" s="2"/>
      <c r="Z12" s="2"/>
      <c r="AA12" s="2"/>
      <c r="AB12" s="2"/>
    </row>
    <row r="13" spans="1:28" ht="13.35" customHeight="1" x14ac:dyDescent="0.2">
      <c r="B13" s="336" t="s">
        <v>70</v>
      </c>
      <c r="C13" s="336"/>
      <c r="D13" s="334"/>
      <c r="E13" s="334"/>
      <c r="F13" s="336" t="s">
        <v>71</v>
      </c>
      <c r="G13" s="336"/>
      <c r="H13" s="336"/>
      <c r="I13" s="334"/>
      <c r="J13" s="336" t="s">
        <v>72</v>
      </c>
      <c r="K13" s="336"/>
      <c r="L13" s="336"/>
      <c r="M13" s="334"/>
      <c r="N13" s="2"/>
      <c r="O13" s="2"/>
      <c r="P13" s="282"/>
      <c r="Q13" s="270"/>
      <c r="R13" s="206"/>
      <c r="S13" s="371"/>
      <c r="T13"/>
      <c r="U13"/>
      <c r="V13"/>
      <c r="W13"/>
      <c r="X13"/>
      <c r="Y13" s="2"/>
      <c r="Z13" s="2"/>
      <c r="AA13" s="2"/>
      <c r="AB13" s="2"/>
    </row>
    <row r="14" spans="1:28" ht="12.75" customHeight="1" x14ac:dyDescent="0.2">
      <c r="B14" s="334"/>
      <c r="C14" s="334"/>
      <c r="D14" s="334"/>
      <c r="E14" s="334"/>
      <c r="F14" s="334"/>
      <c r="G14" s="334"/>
      <c r="H14" s="334"/>
      <c r="I14" s="334"/>
      <c r="J14" s="334"/>
      <c r="K14" s="334"/>
      <c r="L14" s="334"/>
      <c r="M14" s="334"/>
      <c r="N14" s="2"/>
      <c r="P14" s="282"/>
      <c r="Q14" s="266"/>
      <c r="R14" s="371"/>
      <c r="S14" s="371"/>
      <c r="T14" s="80"/>
      <c r="U14" s="80"/>
      <c r="V14" s="80"/>
      <c r="W14" s="80"/>
      <c r="X14"/>
      <c r="Y14" s="2"/>
      <c r="Z14" s="2"/>
      <c r="AA14" s="2"/>
      <c r="AB14" s="2"/>
    </row>
    <row r="15" spans="1:28" ht="13.35" customHeight="1" x14ac:dyDescent="0.2">
      <c r="A15" s="175"/>
      <c r="B15" s="334" t="s">
        <v>73</v>
      </c>
      <c r="C15" s="334"/>
      <c r="D15" s="334"/>
      <c r="E15" s="334"/>
      <c r="F15" s="334"/>
      <c r="G15" s="654">
        <v>630.70000000000005</v>
      </c>
      <c r="H15" s="338"/>
      <c r="I15" s="334"/>
      <c r="J15" s="334"/>
      <c r="K15" s="340">
        <f>ROUND(G15/G$23,4)+0.0001</f>
        <v>0.56030000000000002</v>
      </c>
      <c r="L15" s="334"/>
      <c r="M15" s="334"/>
      <c r="N15" s="2"/>
      <c r="O15" s="283"/>
      <c r="P15" s="282"/>
      <c r="Q15" s="266"/>
      <c r="R15" s="371"/>
      <c r="S15" s="371"/>
      <c r="T15" s="80"/>
      <c r="U15" s="80"/>
      <c r="V15" s="80"/>
      <c r="W15" s="80"/>
      <c r="X15"/>
      <c r="Y15" s="2"/>
      <c r="Z15" s="2"/>
      <c r="AA15" s="2"/>
      <c r="AB15" s="2"/>
    </row>
    <row r="16" spans="1:28" ht="13.35" customHeight="1" x14ac:dyDescent="0.2">
      <c r="A16" s="175"/>
      <c r="B16" s="334" t="s">
        <v>543</v>
      </c>
      <c r="C16" s="334"/>
      <c r="D16" s="334"/>
      <c r="E16" s="334"/>
      <c r="F16" s="334"/>
      <c r="G16" s="654">
        <v>353.3</v>
      </c>
      <c r="H16" s="338"/>
      <c r="I16" s="334"/>
      <c r="J16" s="334"/>
      <c r="K16" s="340">
        <f t="shared" ref="K16:K21" si="0">ROUND(G16/G$23,4)</f>
        <v>0.31380000000000002</v>
      </c>
      <c r="L16" s="334"/>
      <c r="M16" s="334"/>
      <c r="N16" s="2"/>
      <c r="O16" s="283"/>
      <c r="P16" s="282"/>
      <c r="Q16" s="266"/>
      <c r="R16" s="637"/>
      <c r="S16" s="637"/>
      <c r="T16" s="80"/>
      <c r="U16"/>
      <c r="V16"/>
      <c r="W16" s="80"/>
      <c r="X16"/>
      <c r="Y16" s="2"/>
      <c r="Z16" s="2"/>
      <c r="AA16" s="2"/>
      <c r="AB16" s="2"/>
    </row>
    <row r="17" spans="1:28" ht="13.35" customHeight="1" x14ac:dyDescent="0.2">
      <c r="A17" s="175"/>
      <c r="B17" s="334" t="s">
        <v>75</v>
      </c>
      <c r="C17" s="334"/>
      <c r="D17" s="334"/>
      <c r="E17" s="334"/>
      <c r="F17" s="334"/>
      <c r="G17" s="654">
        <v>135.80000000000001</v>
      </c>
      <c r="H17" s="338"/>
      <c r="I17" s="334"/>
      <c r="J17" s="334"/>
      <c r="K17" s="340">
        <f t="shared" si="0"/>
        <v>0.1206</v>
      </c>
      <c r="L17" s="334"/>
      <c r="M17" s="334"/>
      <c r="N17" s="2"/>
      <c r="O17" s="283"/>
      <c r="P17" s="282"/>
      <c r="Q17" s="266"/>
      <c r="R17" s="637"/>
      <c r="S17" s="637"/>
      <c r="T17" s="80"/>
      <c r="U17"/>
      <c r="V17"/>
      <c r="W17" s="80"/>
      <c r="X17"/>
      <c r="Y17" s="2"/>
      <c r="Z17" s="2"/>
      <c r="AA17" s="2"/>
      <c r="AB17" s="2"/>
    </row>
    <row r="18" spans="1:28" ht="13.35" hidden="1" customHeight="1" x14ac:dyDescent="0.2">
      <c r="A18" s="175"/>
      <c r="B18" s="334" t="s">
        <v>76</v>
      </c>
      <c r="C18" s="334"/>
      <c r="D18" s="334"/>
      <c r="E18" s="334"/>
      <c r="F18" s="334"/>
      <c r="G18" s="654">
        <v>0</v>
      </c>
      <c r="H18" s="338"/>
      <c r="I18" s="334"/>
      <c r="J18" s="334"/>
      <c r="K18" s="340">
        <f t="shared" si="0"/>
        <v>0</v>
      </c>
      <c r="L18" s="334"/>
      <c r="M18" s="334"/>
      <c r="N18" s="2"/>
      <c r="O18" s="283"/>
      <c r="P18" s="282"/>
      <c r="Q18" s="266"/>
      <c r="R18" s="80"/>
      <c r="S18" s="80"/>
      <c r="T18" s="80"/>
      <c r="U18"/>
      <c r="V18"/>
      <c r="W18" s="80"/>
      <c r="X18"/>
      <c r="Y18" s="2"/>
      <c r="Z18" s="2"/>
      <c r="AA18" s="2"/>
      <c r="AB18" s="2"/>
    </row>
    <row r="19" spans="1:28" ht="13.35" hidden="1" customHeight="1" x14ac:dyDescent="0.2">
      <c r="A19" s="175"/>
      <c r="B19" s="334" t="s">
        <v>179</v>
      </c>
      <c r="C19" s="334"/>
      <c r="D19" s="334"/>
      <c r="E19" s="334"/>
      <c r="F19" s="334"/>
      <c r="G19" s="654">
        <v>0</v>
      </c>
      <c r="H19" s="338"/>
      <c r="I19" s="334"/>
      <c r="J19" s="334"/>
      <c r="K19" s="340">
        <f t="shared" si="0"/>
        <v>0</v>
      </c>
      <c r="L19" s="334"/>
      <c r="M19" s="334"/>
      <c r="N19" s="2"/>
      <c r="O19" s="283"/>
      <c r="P19" s="282"/>
      <c r="Q19" s="105"/>
      <c r="T19" s="371"/>
      <c r="U19"/>
      <c r="V19"/>
      <c r="W19" s="80"/>
      <c r="X19"/>
      <c r="Y19" s="2"/>
      <c r="Z19" s="2"/>
      <c r="AA19" s="2"/>
      <c r="AB19" s="2"/>
    </row>
    <row r="20" spans="1:28" ht="13.35" customHeight="1" x14ac:dyDescent="0.2">
      <c r="B20" s="334" t="s">
        <v>77</v>
      </c>
      <c r="C20" s="334"/>
      <c r="D20" s="334"/>
      <c r="E20" s="334"/>
      <c r="F20" s="334"/>
      <c r="G20" s="654">
        <v>1</v>
      </c>
      <c r="H20" s="338"/>
      <c r="I20" s="334"/>
      <c r="J20" s="334"/>
      <c r="K20" s="340">
        <f t="shared" si="0"/>
        <v>8.9999999999999998E-4</v>
      </c>
      <c r="L20" s="334"/>
      <c r="M20" s="334"/>
      <c r="N20" s="2"/>
      <c r="O20" s="2"/>
      <c r="P20" s="282"/>
      <c r="Q20" s="269"/>
      <c r="T20" s="371"/>
      <c r="U20"/>
      <c r="V20"/>
      <c r="W20"/>
      <c r="X20"/>
      <c r="Y20" s="2"/>
      <c r="Z20" s="2"/>
      <c r="AA20" s="2"/>
      <c r="AB20" s="2"/>
    </row>
    <row r="21" spans="1:28" ht="13.35" customHeight="1" x14ac:dyDescent="0.2">
      <c r="B21" s="334" t="s">
        <v>78</v>
      </c>
      <c r="C21" s="334"/>
      <c r="D21" s="334"/>
      <c r="E21" s="334"/>
      <c r="F21" s="334"/>
      <c r="G21" s="655">
        <v>5</v>
      </c>
      <c r="H21" s="338"/>
      <c r="I21" s="334"/>
      <c r="J21" s="334"/>
      <c r="K21" s="340">
        <f t="shared" si="0"/>
        <v>4.4000000000000003E-3</v>
      </c>
      <c r="L21" s="334"/>
      <c r="M21" s="334"/>
      <c r="N21" s="2"/>
      <c r="O21" s="283"/>
      <c r="P21" s="282"/>
      <c r="Q21" s="269"/>
      <c r="T21" s="371"/>
      <c r="U21"/>
      <c r="V21"/>
      <c r="W21"/>
      <c r="X21"/>
      <c r="Y21" s="2"/>
      <c r="Z21" s="2"/>
      <c r="AA21" s="2"/>
      <c r="AB21" s="2"/>
    </row>
    <row r="22" spans="1:28" ht="13.35" customHeight="1" x14ac:dyDescent="0.2">
      <c r="B22" s="334"/>
      <c r="C22" s="334"/>
      <c r="D22" s="334"/>
      <c r="E22" s="334"/>
      <c r="F22" s="334"/>
      <c r="G22" s="479"/>
      <c r="H22" s="338"/>
      <c r="I22" s="334"/>
      <c r="J22" s="334"/>
      <c r="K22" s="343"/>
      <c r="L22" s="334"/>
      <c r="M22" s="334"/>
      <c r="N22" s="2"/>
      <c r="O22" s="283"/>
      <c r="P22" s="282"/>
      <c r="Q22" s="269"/>
      <c r="T22" s="371"/>
      <c r="U22"/>
      <c r="V22"/>
      <c r="W22"/>
      <c r="X22"/>
      <c r="Y22" s="2"/>
      <c r="Z22" s="2"/>
      <c r="AA22" s="2"/>
      <c r="AB22" s="2"/>
    </row>
    <row r="23" spans="1:28" ht="13.35" customHeight="1" thickBot="1" x14ac:dyDescent="0.25">
      <c r="B23" s="334" t="s">
        <v>79</v>
      </c>
      <c r="C23" s="334"/>
      <c r="D23" s="334"/>
      <c r="E23" s="334"/>
      <c r="F23" s="334"/>
      <c r="G23" s="480">
        <f>SUM(G15:G22)</f>
        <v>1125.8</v>
      </c>
      <c r="H23" s="338"/>
      <c r="I23" s="334"/>
      <c r="J23" s="334"/>
      <c r="K23" s="340">
        <f>SUM(K15:K22)</f>
        <v>1.0000000000000002</v>
      </c>
      <c r="L23" s="334"/>
      <c r="M23" s="334"/>
      <c r="N23" s="2"/>
      <c r="O23" s="2"/>
      <c r="P23" s="282"/>
      <c r="Q23" s="269"/>
      <c r="T23" s="371"/>
      <c r="U23"/>
      <c r="V23"/>
      <c r="W23"/>
      <c r="X23"/>
      <c r="Y23" s="2"/>
      <c r="Z23" s="2"/>
      <c r="AA23" s="2"/>
      <c r="AB23" s="2"/>
    </row>
    <row r="24" spans="1:28" ht="13.35" customHeight="1" thickTop="1" x14ac:dyDescent="0.2">
      <c r="B24" s="334"/>
      <c r="C24" s="334"/>
      <c r="D24" s="334"/>
      <c r="E24" s="334"/>
      <c r="F24" s="334"/>
      <c r="G24" s="344"/>
      <c r="H24" s="334"/>
      <c r="I24" s="334"/>
      <c r="J24" s="334"/>
      <c r="K24" s="346"/>
      <c r="L24" s="334"/>
      <c r="M24" s="334"/>
      <c r="N24" s="2"/>
      <c r="O24" s="2"/>
      <c r="P24" s="282"/>
      <c r="Q24" s="269"/>
      <c r="T24" s="371"/>
      <c r="U24"/>
      <c r="V24"/>
      <c r="W24"/>
      <c r="X24"/>
      <c r="Y24" s="2"/>
      <c r="Z24" s="2"/>
      <c r="AA24" s="2"/>
      <c r="AB24" s="2"/>
    </row>
    <row r="25" spans="1:28" ht="13.35" customHeight="1" x14ac:dyDescent="0.2">
      <c r="B25" s="334"/>
      <c r="C25" s="334"/>
      <c r="D25" s="334"/>
      <c r="E25" s="334"/>
      <c r="F25" s="334"/>
      <c r="G25" s="341"/>
      <c r="H25" s="334"/>
      <c r="I25" s="334"/>
      <c r="J25" s="334"/>
      <c r="K25" s="334"/>
      <c r="L25" s="334"/>
      <c r="M25" s="334"/>
      <c r="N25" s="2"/>
      <c r="O25" s="2"/>
      <c r="P25" s="282"/>
      <c r="Q25" s="2"/>
      <c r="R25" s="207"/>
      <c r="S25" s="208"/>
      <c r="T25" s="2"/>
      <c r="U25" s="2"/>
      <c r="V25" s="2"/>
      <c r="W25" s="2"/>
      <c r="X25" s="2"/>
      <c r="Y25" s="2"/>
      <c r="Z25" s="2"/>
      <c r="AA25" s="2"/>
      <c r="AB25" s="2"/>
    </row>
    <row r="26" spans="1:28" ht="13.35" customHeight="1" x14ac:dyDescent="0.2">
      <c r="B26" s="334" t="s">
        <v>80</v>
      </c>
      <c r="C26" s="334"/>
      <c r="D26" s="334"/>
      <c r="E26" s="334"/>
      <c r="F26" s="334"/>
      <c r="G26" s="334"/>
      <c r="H26" s="334"/>
      <c r="I26" s="334"/>
      <c r="J26" s="334"/>
      <c r="K26" s="334"/>
      <c r="L26" s="334"/>
      <c r="M26" s="334"/>
      <c r="N26" s="2"/>
      <c r="O26" s="2"/>
      <c r="P26" s="282"/>
      <c r="Q26" s="2"/>
      <c r="R26" s="2"/>
      <c r="S26" s="2"/>
      <c r="T26" s="2"/>
      <c r="U26" s="2"/>
      <c r="V26" s="2"/>
      <c r="W26" s="2"/>
      <c r="X26" s="2"/>
      <c r="Y26" s="2"/>
      <c r="Z26" s="2"/>
      <c r="AA26" s="2"/>
      <c r="AB26" s="2"/>
    </row>
    <row r="27" spans="1:28" ht="13.35" customHeight="1" x14ac:dyDescent="0.2">
      <c r="B27" s="334" t="s">
        <v>81</v>
      </c>
      <c r="C27" s="334"/>
      <c r="D27" s="334"/>
      <c r="E27" s="334"/>
      <c r="F27" s="334"/>
      <c r="G27" s="334"/>
      <c r="H27" s="334"/>
      <c r="I27" s="334"/>
      <c r="J27" s="334"/>
      <c r="K27" s="334"/>
      <c r="L27" s="334"/>
      <c r="M27" s="334"/>
      <c r="N27" s="2"/>
      <c r="O27" s="2"/>
      <c r="P27" s="282"/>
      <c r="Q27" s="2"/>
      <c r="R27" s="2"/>
      <c r="S27" s="2"/>
      <c r="T27" s="2"/>
      <c r="U27" s="2"/>
      <c r="V27" s="2"/>
      <c r="W27" s="2"/>
      <c r="X27" s="2"/>
      <c r="Y27" s="2"/>
      <c r="Z27" s="2"/>
      <c r="AA27" s="2"/>
      <c r="AB27" s="2"/>
    </row>
    <row r="28" spans="1:28" ht="9.1999999999999993" customHeight="1" x14ac:dyDescent="0.2">
      <c r="B28" s="334"/>
      <c r="C28" s="334"/>
      <c r="D28" s="334"/>
      <c r="E28" s="334"/>
      <c r="F28" s="334"/>
      <c r="G28" s="334"/>
      <c r="H28" s="334"/>
      <c r="I28" s="334"/>
      <c r="J28" s="334"/>
      <c r="K28" s="334"/>
      <c r="L28" s="334"/>
      <c r="M28" s="334"/>
      <c r="N28" s="2"/>
      <c r="O28" s="2"/>
      <c r="P28" s="282"/>
      <c r="Q28" s="2"/>
      <c r="R28" s="2"/>
      <c r="S28" s="2"/>
      <c r="T28" s="2"/>
      <c r="U28" s="2"/>
      <c r="V28" s="2"/>
      <c r="W28" s="2"/>
      <c r="X28" s="2"/>
      <c r="Y28" s="2"/>
      <c r="Z28" s="2"/>
      <c r="AA28" s="2"/>
      <c r="AB28" s="2"/>
    </row>
    <row r="29" spans="1:28" ht="27.6" customHeight="1" x14ac:dyDescent="0.2">
      <c r="B29" s="699" t="s">
        <v>82</v>
      </c>
      <c r="C29" s="699"/>
      <c r="D29" s="699"/>
      <c r="E29" s="699"/>
      <c r="F29" s="699"/>
      <c r="G29" s="699"/>
      <c r="H29" s="699"/>
      <c r="I29" s="699"/>
      <c r="J29" s="699"/>
      <c r="K29" s="699"/>
      <c r="L29" s="699"/>
      <c r="M29" s="699"/>
      <c r="N29" s="2"/>
      <c r="O29" s="2"/>
      <c r="P29" s="282"/>
      <c r="Q29" s="2"/>
      <c r="R29" s="2"/>
      <c r="S29" s="2"/>
      <c r="T29" s="2"/>
      <c r="U29" s="2"/>
      <c r="V29" s="2"/>
      <c r="W29" s="2"/>
      <c r="X29" s="2"/>
      <c r="Y29" s="2"/>
      <c r="Z29" s="2"/>
      <c r="AA29" s="2"/>
      <c r="AB29" s="2"/>
    </row>
    <row r="30" spans="1:28" ht="7.9" customHeight="1" x14ac:dyDescent="0.2">
      <c r="B30" s="334"/>
      <c r="C30" s="334"/>
      <c r="D30" s="334"/>
      <c r="E30" s="334"/>
      <c r="F30" s="334"/>
      <c r="G30" s="334"/>
      <c r="H30" s="334"/>
      <c r="I30" s="334"/>
      <c r="J30" s="334"/>
      <c r="K30" s="334"/>
      <c r="L30" s="334"/>
      <c r="M30" s="334"/>
      <c r="N30" s="2"/>
      <c r="O30" s="2"/>
      <c r="P30" s="2"/>
      <c r="Q30" s="2"/>
      <c r="R30" s="2"/>
      <c r="S30" s="2"/>
      <c r="T30" s="2"/>
      <c r="U30" s="2"/>
      <c r="V30" s="2"/>
      <c r="W30" s="2"/>
      <c r="X30" s="2"/>
      <c r="Y30" s="2"/>
      <c r="Z30" s="2"/>
      <c r="AA30" s="2"/>
      <c r="AB30" s="2"/>
    </row>
    <row r="31" spans="1:28" ht="13.35" customHeight="1" x14ac:dyDescent="0.2">
      <c r="B31" s="334"/>
      <c r="C31" s="334"/>
      <c r="D31" s="334"/>
      <c r="E31" s="333" t="s">
        <v>64</v>
      </c>
      <c r="F31" s="333"/>
      <c r="G31" s="333"/>
      <c r="H31" s="334"/>
      <c r="I31" s="333" t="s">
        <v>83</v>
      </c>
      <c r="J31" s="333"/>
      <c r="K31" s="333"/>
      <c r="L31" s="334"/>
      <c r="M31" s="334"/>
      <c r="N31" s="2"/>
      <c r="O31" s="2"/>
      <c r="P31" s="2"/>
      <c r="Q31" s="2"/>
      <c r="R31" s="2"/>
      <c r="S31" s="2"/>
      <c r="T31" s="2"/>
      <c r="U31" s="2"/>
      <c r="V31" s="2"/>
      <c r="W31" s="2"/>
      <c r="X31" s="2"/>
      <c r="Y31" s="2"/>
      <c r="Z31" s="2"/>
      <c r="AA31" s="2"/>
      <c r="AB31" s="2"/>
    </row>
    <row r="32" spans="1:28" ht="13.35" customHeight="1" x14ac:dyDescent="0.2">
      <c r="B32" s="334"/>
      <c r="C32" s="334"/>
      <c r="D32" s="334"/>
      <c r="E32" s="333" t="s">
        <v>84</v>
      </c>
      <c r="F32" s="333"/>
      <c r="G32" s="333"/>
      <c r="H32" s="334"/>
      <c r="I32" s="333" t="s">
        <v>85</v>
      </c>
      <c r="J32" s="333"/>
      <c r="K32" s="333"/>
      <c r="L32" s="334"/>
      <c r="M32" s="334"/>
      <c r="N32" s="2"/>
      <c r="O32" s="2"/>
      <c r="P32" s="2"/>
      <c r="Q32" s="2"/>
      <c r="R32" s="2"/>
      <c r="S32" s="2"/>
      <c r="T32" s="2"/>
      <c r="U32" s="2"/>
      <c r="V32" s="2"/>
      <c r="W32" s="2"/>
      <c r="X32" s="2"/>
      <c r="Y32" s="2"/>
      <c r="Z32" s="2"/>
      <c r="AA32" s="2"/>
      <c r="AB32" s="2"/>
    </row>
    <row r="33" spans="2:28" ht="13.35" customHeight="1" x14ac:dyDescent="0.2">
      <c r="B33" s="333" t="s">
        <v>65</v>
      </c>
      <c r="C33" s="333"/>
      <c r="D33" s="334"/>
      <c r="E33" s="337" t="s">
        <v>67</v>
      </c>
      <c r="F33" s="337"/>
      <c r="G33" s="337" t="s">
        <v>86</v>
      </c>
      <c r="H33" s="372"/>
      <c r="I33" s="337" t="s">
        <v>67</v>
      </c>
      <c r="J33" s="337"/>
      <c r="K33" s="337" t="s">
        <v>86</v>
      </c>
      <c r="L33" s="372"/>
      <c r="M33" s="372" t="s">
        <v>67</v>
      </c>
      <c r="N33" s="2"/>
      <c r="O33" s="2"/>
      <c r="P33" s="2"/>
      <c r="Q33" s="2"/>
      <c r="R33" s="2"/>
      <c r="S33" s="2"/>
      <c r="T33" s="2"/>
      <c r="U33" s="2"/>
      <c r="V33" s="2"/>
      <c r="W33" s="2"/>
      <c r="X33" s="2"/>
      <c r="Y33" s="2"/>
      <c r="Z33" s="2"/>
      <c r="AA33" s="2"/>
      <c r="AB33" s="2"/>
    </row>
    <row r="34" spans="2:28" ht="13.35" customHeight="1" x14ac:dyDescent="0.2">
      <c r="B34" s="333" t="s">
        <v>68</v>
      </c>
      <c r="C34" s="333"/>
      <c r="D34" s="334"/>
      <c r="E34" s="372" t="s">
        <v>87</v>
      </c>
      <c r="F34" s="372"/>
      <c r="G34" s="372" t="s">
        <v>69</v>
      </c>
      <c r="H34" s="372"/>
      <c r="I34" s="372" t="s">
        <v>69</v>
      </c>
      <c r="J34" s="372"/>
      <c r="K34" s="372" t="s">
        <v>69</v>
      </c>
      <c r="L34" s="372"/>
      <c r="M34" s="372" t="s">
        <v>69</v>
      </c>
      <c r="N34" s="2"/>
      <c r="O34" s="2"/>
      <c r="P34" s="2"/>
      <c r="Q34" s="2"/>
      <c r="R34" s="2"/>
      <c r="S34" s="2"/>
      <c r="T34" s="2"/>
      <c r="U34" s="2"/>
      <c r="V34" s="2"/>
      <c r="W34" s="2"/>
      <c r="X34" s="2"/>
      <c r="Y34" s="2"/>
      <c r="Z34" s="2"/>
      <c r="AA34" s="2"/>
      <c r="AB34" s="2"/>
    </row>
    <row r="35" spans="2:28" ht="13.35" customHeight="1" x14ac:dyDescent="0.2">
      <c r="B35" s="336" t="s">
        <v>70</v>
      </c>
      <c r="C35" s="336"/>
      <c r="D35" s="334"/>
      <c r="E35" s="337" t="s">
        <v>88</v>
      </c>
      <c r="F35" s="334"/>
      <c r="G35" s="447" t="s">
        <v>89</v>
      </c>
      <c r="H35" s="334"/>
      <c r="I35" s="337" t="s">
        <v>90</v>
      </c>
      <c r="J35" s="334"/>
      <c r="K35" s="447" t="s">
        <v>91</v>
      </c>
      <c r="L35" s="334"/>
      <c r="M35" s="337" t="s">
        <v>92</v>
      </c>
      <c r="N35" s="2"/>
      <c r="O35" s="2"/>
      <c r="P35" s="2"/>
      <c r="Q35" s="2"/>
      <c r="R35" s="2"/>
      <c r="S35" s="2"/>
      <c r="T35" s="2"/>
      <c r="U35" s="2"/>
      <c r="V35" s="2"/>
      <c r="W35" s="2"/>
      <c r="X35" s="2"/>
      <c r="Y35" s="2"/>
      <c r="Z35" s="2"/>
      <c r="AA35" s="2"/>
      <c r="AB35" s="2"/>
    </row>
    <row r="36" spans="2:28" ht="13.35" customHeight="1" x14ac:dyDescent="0.2">
      <c r="B36" s="334"/>
      <c r="C36" s="334"/>
      <c r="D36" s="334"/>
      <c r="E36" s="334"/>
      <c r="F36" s="334"/>
      <c r="G36" s="340">
        <f>'F 2 B'!$H$29</f>
        <v>0.52629999999999999</v>
      </c>
      <c r="H36" s="334"/>
      <c r="I36" s="334"/>
      <c r="J36" s="334"/>
      <c r="K36" s="340">
        <f>'F 2 B'!$H$31</f>
        <v>0.47370000000000001</v>
      </c>
      <c r="L36" s="334"/>
      <c r="M36" s="334"/>
      <c r="N36" s="2"/>
      <c r="O36" s="2"/>
      <c r="P36" s="2"/>
      <c r="Q36" s="2"/>
      <c r="R36" s="2"/>
      <c r="S36" s="2"/>
      <c r="T36" s="2"/>
      <c r="U36" s="2"/>
      <c r="V36" s="2"/>
      <c r="W36" s="2"/>
      <c r="X36" s="2"/>
      <c r="Y36" s="2"/>
      <c r="Z36" s="2"/>
      <c r="AA36" s="2"/>
      <c r="AB36" s="2"/>
    </row>
    <row r="37" spans="2:28" ht="8.25" customHeight="1" x14ac:dyDescent="0.2">
      <c r="B37" s="334"/>
      <c r="C37" s="334"/>
      <c r="D37" s="334"/>
      <c r="E37" s="334"/>
      <c r="F37" s="334"/>
      <c r="G37" s="334"/>
      <c r="H37" s="334"/>
      <c r="I37" s="334"/>
      <c r="J37" s="334"/>
      <c r="K37" s="334"/>
      <c r="L37" s="334"/>
      <c r="M37" s="334"/>
      <c r="N37" s="2"/>
      <c r="O37" s="2"/>
      <c r="P37" s="2"/>
      <c r="Q37" s="2"/>
      <c r="R37" s="2"/>
      <c r="S37" s="2"/>
      <c r="T37" s="2"/>
      <c r="U37" s="2"/>
      <c r="V37" s="2"/>
      <c r="W37" s="2"/>
      <c r="X37" s="2"/>
      <c r="Y37" s="2"/>
      <c r="Z37" s="2"/>
      <c r="AA37" s="2"/>
      <c r="AB37" s="2"/>
    </row>
    <row r="38" spans="2:28" ht="13.35" customHeight="1" x14ac:dyDescent="0.2">
      <c r="B38" s="334" t="s">
        <v>73</v>
      </c>
      <c r="C38" s="334"/>
      <c r="D38" s="334"/>
      <c r="E38" s="340">
        <f t="shared" ref="E38:E44" si="1">K15</f>
        <v>0.56030000000000002</v>
      </c>
      <c r="F38" s="334"/>
      <c r="G38" s="340">
        <f>ROUND(E38*G$36,4)-0.0001</f>
        <v>0.29480000000000001</v>
      </c>
      <c r="H38" s="334"/>
      <c r="I38" s="340">
        <f>'F 2 B'!$J$14</f>
        <v>0.67579999999999996</v>
      </c>
      <c r="J38" s="334"/>
      <c r="K38" s="340">
        <f>ROUND(I38*K$36,4)</f>
        <v>0.3201</v>
      </c>
      <c r="L38" s="334"/>
      <c r="M38" s="340">
        <f t="shared" ref="M38:M44" si="2">G38+K38</f>
        <v>0.6149</v>
      </c>
      <c r="N38" s="2"/>
      <c r="O38" s="2"/>
      <c r="P38" s="2"/>
      <c r="Q38" s="4"/>
      <c r="R38" s="2"/>
      <c r="S38" s="2"/>
      <c r="T38" s="2"/>
      <c r="U38" s="2"/>
      <c r="V38" s="2"/>
      <c r="W38" s="2"/>
      <c r="X38" s="2"/>
      <c r="Y38" s="2"/>
      <c r="Z38" s="2"/>
      <c r="AA38" s="2"/>
      <c r="AB38" s="2"/>
    </row>
    <row r="39" spans="2:28" ht="13.35" customHeight="1" x14ac:dyDescent="0.2">
      <c r="B39" s="334" t="s">
        <v>543</v>
      </c>
      <c r="C39" s="334"/>
      <c r="D39" s="334"/>
      <c r="E39" s="340">
        <f t="shared" si="1"/>
        <v>0.31380000000000002</v>
      </c>
      <c r="F39" s="334"/>
      <c r="G39" s="340">
        <f t="shared" ref="G39:G43" si="3">ROUND(E39*G$36,4)</f>
        <v>0.16520000000000001</v>
      </c>
      <c r="H39" s="334"/>
      <c r="I39" s="340">
        <f>'F 2 B'!$J$15</f>
        <v>0.25800000000000001</v>
      </c>
      <c r="J39" s="334"/>
      <c r="K39" s="340">
        <f>ROUND(I39*K$36,4)</f>
        <v>0.1222</v>
      </c>
      <c r="L39" s="334"/>
      <c r="M39" s="340">
        <f t="shared" si="2"/>
        <v>0.28739999999999999</v>
      </c>
      <c r="N39" s="2"/>
      <c r="O39" s="2"/>
      <c r="P39" s="2"/>
      <c r="Q39" s="4"/>
      <c r="R39" s="2"/>
      <c r="S39" s="2"/>
      <c r="T39" s="2"/>
      <c r="U39" s="2"/>
      <c r="V39" s="2"/>
      <c r="W39" s="2"/>
      <c r="X39" s="2"/>
      <c r="Y39" s="2"/>
      <c r="Z39" s="2"/>
      <c r="AA39" s="2"/>
      <c r="AB39" s="2"/>
    </row>
    <row r="40" spans="2:28" ht="13.35" customHeight="1" x14ac:dyDescent="0.2">
      <c r="B40" s="334" t="s">
        <v>75</v>
      </c>
      <c r="C40" s="334"/>
      <c r="D40" s="334"/>
      <c r="E40" s="340">
        <f t="shared" si="1"/>
        <v>0.1206</v>
      </c>
      <c r="F40" s="334"/>
      <c r="G40" s="340">
        <f t="shared" si="3"/>
        <v>6.3500000000000001E-2</v>
      </c>
      <c r="H40" s="334"/>
      <c r="I40" s="340">
        <f>'F 2 B'!$J$16</f>
        <v>6.6199999999999995E-2</v>
      </c>
      <c r="J40" s="334"/>
      <c r="K40" s="340">
        <f>ROUND(I40*K$36,4)</f>
        <v>3.1399999999999997E-2</v>
      </c>
      <c r="L40" s="334"/>
      <c r="M40" s="340">
        <f t="shared" si="2"/>
        <v>9.4899999999999998E-2</v>
      </c>
      <c r="N40" s="2"/>
      <c r="O40" s="2"/>
      <c r="P40" s="2"/>
      <c r="Q40" s="4"/>
      <c r="R40" s="2"/>
      <c r="S40" s="2"/>
      <c r="T40" s="2"/>
      <c r="U40" s="2"/>
      <c r="V40" s="2"/>
      <c r="W40" s="2"/>
      <c r="X40" s="2"/>
      <c r="Y40" s="2"/>
      <c r="Z40" s="2"/>
      <c r="AA40" s="2"/>
      <c r="AB40" s="2"/>
    </row>
    <row r="41" spans="2:28" ht="13.35" hidden="1" customHeight="1" x14ac:dyDescent="0.2">
      <c r="B41" s="334" t="s">
        <v>76</v>
      </c>
      <c r="C41" s="334"/>
      <c r="D41" s="334"/>
      <c r="E41" s="340">
        <f t="shared" si="1"/>
        <v>0</v>
      </c>
      <c r="F41" s="334"/>
      <c r="G41" s="340">
        <f t="shared" si="3"/>
        <v>0</v>
      </c>
      <c r="H41" s="334"/>
      <c r="I41" s="340">
        <f>'F 2 B'!$J$17</f>
        <v>0</v>
      </c>
      <c r="J41" s="334"/>
      <c r="K41" s="340">
        <f>ROUND(I41*K$36,4)</f>
        <v>0</v>
      </c>
      <c r="L41" s="334"/>
      <c r="M41" s="340">
        <f t="shared" si="2"/>
        <v>0</v>
      </c>
      <c r="N41" s="2"/>
      <c r="O41" s="2"/>
      <c r="P41" s="2"/>
      <c r="Q41" s="4"/>
      <c r="R41" s="2"/>
      <c r="S41" s="2"/>
      <c r="T41" s="2"/>
      <c r="U41" s="2"/>
      <c r="V41" s="2"/>
      <c r="W41" s="2"/>
      <c r="X41" s="2"/>
      <c r="Y41" s="2"/>
      <c r="Z41" s="2"/>
      <c r="AA41" s="2"/>
      <c r="AB41" s="2"/>
    </row>
    <row r="42" spans="2:28" ht="13.35" hidden="1" customHeight="1" x14ac:dyDescent="0.2">
      <c r="B42" s="334" t="s">
        <v>179</v>
      </c>
      <c r="C42" s="334"/>
      <c r="D42" s="334"/>
      <c r="E42" s="340">
        <f t="shared" si="1"/>
        <v>0</v>
      </c>
      <c r="F42" s="334"/>
      <c r="G42" s="340">
        <f t="shared" si="3"/>
        <v>0</v>
      </c>
      <c r="H42" s="334"/>
      <c r="I42" s="340">
        <f>'F 2 B'!$J$18</f>
        <v>0</v>
      </c>
      <c r="J42" s="334"/>
      <c r="K42" s="340">
        <f>ROUND(I42*K$36,4)</f>
        <v>0</v>
      </c>
      <c r="L42" s="334"/>
      <c r="M42" s="340">
        <f t="shared" si="2"/>
        <v>0</v>
      </c>
      <c r="N42" s="2"/>
      <c r="O42" s="2"/>
      <c r="P42" s="2"/>
      <c r="Q42" s="4"/>
      <c r="R42" s="2"/>
      <c r="S42" s="2"/>
      <c r="T42" s="2"/>
      <c r="U42" s="2"/>
      <c r="V42" s="2"/>
      <c r="W42" s="2"/>
      <c r="X42" s="2"/>
      <c r="Y42" s="2"/>
      <c r="Z42" s="2"/>
      <c r="AA42" s="2"/>
      <c r="AB42" s="2"/>
    </row>
    <row r="43" spans="2:28" ht="13.35" customHeight="1" x14ac:dyDescent="0.2">
      <c r="B43" s="334" t="s">
        <v>77</v>
      </c>
      <c r="C43" s="334"/>
      <c r="D43" s="334"/>
      <c r="E43" s="340">
        <f t="shared" si="1"/>
        <v>8.9999999999999998E-4</v>
      </c>
      <c r="F43" s="334"/>
      <c r="G43" s="340">
        <f t="shared" si="3"/>
        <v>5.0000000000000001E-4</v>
      </c>
      <c r="H43" s="334"/>
      <c r="I43" s="334"/>
      <c r="J43" s="334"/>
      <c r="K43" s="334"/>
      <c r="L43" s="334"/>
      <c r="M43" s="340">
        <f t="shared" si="2"/>
        <v>5.0000000000000001E-4</v>
      </c>
      <c r="N43" s="2"/>
      <c r="O43" s="2"/>
      <c r="P43" s="2"/>
      <c r="Q43" s="4"/>
      <c r="R43" s="2"/>
      <c r="S43" s="2"/>
      <c r="T43" s="2"/>
      <c r="U43" s="2"/>
      <c r="V43" s="2"/>
      <c r="W43" s="2"/>
      <c r="X43" s="2"/>
      <c r="Y43" s="2"/>
      <c r="Z43" s="2"/>
      <c r="AA43" s="2"/>
      <c r="AB43" s="2"/>
    </row>
    <row r="44" spans="2:28" ht="13.35" customHeight="1" x14ac:dyDescent="0.2">
      <c r="B44" s="334" t="s">
        <v>78</v>
      </c>
      <c r="C44" s="334"/>
      <c r="D44" s="334"/>
      <c r="E44" s="340">
        <f t="shared" si="1"/>
        <v>4.4000000000000003E-3</v>
      </c>
      <c r="F44" s="334"/>
      <c r="G44" s="453">
        <f>ROUND(E44*G$36,4)</f>
        <v>2.3E-3</v>
      </c>
      <c r="H44" s="334"/>
      <c r="I44" s="334"/>
      <c r="J44" s="334"/>
      <c r="K44" s="334"/>
      <c r="L44" s="334"/>
      <c r="M44" s="340">
        <f t="shared" si="2"/>
        <v>2.3E-3</v>
      </c>
      <c r="N44" s="2"/>
      <c r="O44" s="2"/>
      <c r="P44" s="2"/>
      <c r="Q44" s="4"/>
      <c r="R44" s="2"/>
      <c r="S44" s="2"/>
      <c r="T44" s="2"/>
      <c r="U44" s="2"/>
      <c r="V44" s="2"/>
      <c r="W44" s="2"/>
      <c r="X44" s="2"/>
      <c r="Y44" s="2"/>
      <c r="Z44" s="2"/>
      <c r="AA44" s="2"/>
      <c r="AB44" s="2"/>
    </row>
    <row r="45" spans="2:28" ht="8.25" customHeight="1" x14ac:dyDescent="0.2">
      <c r="B45" s="334"/>
      <c r="C45" s="334"/>
      <c r="D45" s="334"/>
      <c r="E45" s="343"/>
      <c r="F45" s="334"/>
      <c r="G45" s="343"/>
      <c r="H45" s="334"/>
      <c r="I45" s="343"/>
      <c r="J45" s="334"/>
      <c r="K45" s="343"/>
      <c r="L45" s="334"/>
      <c r="M45" s="343"/>
      <c r="N45" s="2"/>
      <c r="O45" s="2"/>
      <c r="P45" s="2"/>
      <c r="Q45" s="11"/>
      <c r="R45" s="2"/>
      <c r="S45" s="2"/>
      <c r="T45" s="2"/>
      <c r="U45" s="2"/>
      <c r="V45" s="2"/>
      <c r="W45" s="2"/>
      <c r="X45" s="2"/>
      <c r="Y45" s="2"/>
      <c r="Z45" s="2"/>
      <c r="AA45" s="2"/>
      <c r="AB45" s="2"/>
    </row>
    <row r="46" spans="2:28" ht="13.35" customHeight="1" thickBot="1" x14ac:dyDescent="0.25">
      <c r="B46" s="334" t="s">
        <v>79</v>
      </c>
      <c r="C46" s="334"/>
      <c r="D46" s="334"/>
      <c r="E46" s="340">
        <f>SUM(E38:E45)</f>
        <v>1.0000000000000002</v>
      </c>
      <c r="F46" s="334"/>
      <c r="G46" s="359">
        <f>SUM(G38:G45)</f>
        <v>0.52629999999999999</v>
      </c>
      <c r="H46" s="334"/>
      <c r="I46" s="340">
        <f>SUM(I38:I45)</f>
        <v>1</v>
      </c>
      <c r="J46" s="334"/>
      <c r="K46" s="340">
        <f>SUM(K38:K45)</f>
        <v>0.47370000000000001</v>
      </c>
      <c r="L46" s="334"/>
      <c r="M46" s="340">
        <f>SUM(M38:M45)</f>
        <v>0.99999999999999989</v>
      </c>
      <c r="N46" s="2"/>
      <c r="O46" s="2"/>
      <c r="P46" s="2"/>
      <c r="Q46" s="4"/>
      <c r="R46" s="2"/>
      <c r="S46" s="2"/>
      <c r="T46" s="2"/>
      <c r="U46" s="2"/>
      <c r="V46" s="2"/>
      <c r="W46" s="2"/>
      <c r="X46" s="2"/>
      <c r="Y46" s="2"/>
      <c r="Z46" s="2"/>
      <c r="AA46" s="2"/>
      <c r="AB46" s="2"/>
    </row>
    <row r="47" spans="2:28" ht="13.35" customHeight="1" thickTop="1" x14ac:dyDescent="0.2">
      <c r="B47" s="338"/>
      <c r="C47" s="338"/>
      <c r="D47" s="338"/>
      <c r="E47" s="481"/>
      <c r="F47" s="338"/>
      <c r="G47" s="362"/>
      <c r="H47" s="338"/>
      <c r="I47" s="481"/>
      <c r="J47" s="338"/>
      <c r="K47" s="481"/>
      <c r="L47" s="338"/>
      <c r="M47" s="481"/>
      <c r="N47" s="2"/>
      <c r="O47" s="2"/>
      <c r="P47" s="2"/>
      <c r="Q47" s="2"/>
      <c r="R47" s="2"/>
      <c r="S47" s="2"/>
      <c r="T47" s="2"/>
      <c r="U47" s="2"/>
      <c r="V47" s="2"/>
      <c r="W47" s="2"/>
      <c r="X47" s="2"/>
      <c r="Y47" s="2"/>
      <c r="Z47" s="2"/>
      <c r="AA47" s="2"/>
      <c r="AB47" s="2"/>
    </row>
    <row r="48" spans="2:28" ht="25.9" customHeight="1" x14ac:dyDescent="0.2">
      <c r="B48" s="700" t="s">
        <v>93</v>
      </c>
      <c r="C48" s="700"/>
      <c r="D48" s="700"/>
      <c r="E48" s="700"/>
      <c r="F48" s="700"/>
      <c r="G48" s="700"/>
      <c r="H48" s="700"/>
      <c r="I48" s="700"/>
      <c r="J48" s="700"/>
      <c r="K48" s="700"/>
      <c r="L48" s="700"/>
      <c r="M48" s="700"/>
      <c r="N48" s="2"/>
      <c r="O48" s="2"/>
      <c r="P48" s="2"/>
      <c r="Q48" s="2"/>
      <c r="R48" s="2"/>
      <c r="S48" s="2"/>
      <c r="T48" s="2"/>
      <c r="U48" s="2"/>
      <c r="V48" s="2"/>
      <c r="W48" s="2"/>
      <c r="X48" s="2"/>
      <c r="Y48" s="2"/>
      <c r="Z48" s="2"/>
      <c r="AA48" s="2"/>
      <c r="AB48" s="2"/>
    </row>
    <row r="49" spans="2:28" ht="13.35" customHeight="1" x14ac:dyDescent="0.2">
      <c r="B49" s="338"/>
      <c r="C49" s="338"/>
      <c r="D49" s="338"/>
      <c r="E49" s="338"/>
      <c r="F49" s="338"/>
      <c r="G49" s="338"/>
      <c r="H49" s="338"/>
      <c r="I49" s="338"/>
      <c r="J49" s="338"/>
      <c r="K49" s="338"/>
      <c r="L49" s="338"/>
      <c r="M49" s="338"/>
      <c r="N49" s="2"/>
      <c r="O49" s="2"/>
      <c r="P49" s="2"/>
      <c r="Q49" s="2"/>
      <c r="R49" s="2"/>
      <c r="S49" s="2"/>
      <c r="T49" s="2"/>
      <c r="U49" s="2"/>
      <c r="V49" s="2"/>
      <c r="W49" s="2"/>
      <c r="X49" s="2"/>
      <c r="Y49" s="2"/>
      <c r="Z49" s="2"/>
      <c r="AA49" s="2"/>
      <c r="AB49" s="2"/>
    </row>
    <row r="50" spans="2:28" ht="13.35" customHeight="1" x14ac:dyDescent="0.2">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2:28" x14ac:dyDescent="0.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2:28" x14ac:dyDescent="0.2">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2:28" x14ac:dyDescent="0.2">
      <c r="B53" s="2"/>
      <c r="C53" s="2"/>
      <c r="D53" s="2"/>
      <c r="E53" s="2"/>
      <c r="F53" s="2"/>
      <c r="G53" s="2"/>
      <c r="H53" s="2"/>
      <c r="I53" s="2"/>
      <c r="J53" s="2"/>
      <c r="K53" s="2"/>
      <c r="L53" s="2"/>
      <c r="M53" s="2"/>
      <c r="N53" s="2"/>
      <c r="O53" s="2"/>
      <c r="P53" s="2"/>
      <c r="Q53" s="2"/>
      <c r="R53" s="2"/>
      <c r="S53" s="2"/>
      <c r="T53" s="2"/>
      <c r="U53" s="2"/>
      <c r="V53" s="2"/>
      <c r="W53" s="2"/>
      <c r="X53" s="2"/>
      <c r="Y53" s="2"/>
      <c r="Z53" s="2"/>
      <c r="AA53" s="2"/>
      <c r="AB53" s="2"/>
    </row>
    <row r="54" spans="2:28" x14ac:dyDescent="0.2">
      <c r="B54" s="2"/>
      <c r="C54" s="2"/>
      <c r="D54" s="2"/>
      <c r="E54" s="2"/>
      <c r="F54" s="2"/>
      <c r="G54" s="2"/>
      <c r="H54" s="2"/>
      <c r="I54" s="2"/>
      <c r="J54" s="2"/>
      <c r="K54" s="2"/>
      <c r="L54" s="2"/>
      <c r="M54" s="2"/>
      <c r="N54" s="2"/>
      <c r="O54" s="2"/>
      <c r="P54" s="2"/>
      <c r="Q54" s="2"/>
      <c r="R54" s="2"/>
      <c r="S54" s="2"/>
      <c r="T54" s="2"/>
      <c r="U54" s="2"/>
      <c r="V54" s="2"/>
      <c r="W54" s="2"/>
      <c r="X54" s="2"/>
      <c r="Y54" s="2"/>
      <c r="Z54" s="2"/>
      <c r="AA54" s="2"/>
      <c r="AB54" s="2"/>
    </row>
    <row r="55" spans="2:28" x14ac:dyDescent="0.2">
      <c r="B55" s="2"/>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2:28" x14ac:dyDescent="0.2">
      <c r="B56" s="2"/>
      <c r="C56" s="2"/>
      <c r="D56" s="2"/>
      <c r="E56" s="2"/>
      <c r="F56" s="2"/>
      <c r="G56" s="2"/>
      <c r="H56" s="2"/>
      <c r="I56" s="2"/>
      <c r="J56" s="2"/>
      <c r="K56" s="2"/>
      <c r="L56" s="2"/>
      <c r="M56" s="2"/>
      <c r="N56" s="2"/>
      <c r="O56" s="2"/>
      <c r="P56" s="2"/>
      <c r="Q56" s="2"/>
      <c r="R56" s="2"/>
      <c r="S56" s="2"/>
      <c r="T56" s="2"/>
      <c r="U56" s="2"/>
      <c r="V56" s="2"/>
      <c r="W56" s="2"/>
      <c r="X56" s="2"/>
      <c r="Y56" s="2"/>
      <c r="Z56" s="2"/>
      <c r="AA56" s="2"/>
      <c r="AB56" s="2"/>
    </row>
    <row r="57" spans="2:28" x14ac:dyDescent="0.2">
      <c r="B57" s="2"/>
      <c r="C57" s="2"/>
      <c r="D57" s="2"/>
      <c r="E57" s="2"/>
      <c r="F57" s="2"/>
      <c r="G57" s="2"/>
      <c r="H57" s="2"/>
      <c r="I57" s="2"/>
      <c r="J57" s="2"/>
      <c r="K57" s="2"/>
      <c r="L57" s="2"/>
      <c r="M57" s="2"/>
      <c r="N57" s="2"/>
      <c r="O57" s="2"/>
      <c r="P57" s="2"/>
      <c r="Q57" s="2"/>
      <c r="R57" s="2"/>
      <c r="S57" s="2"/>
      <c r="T57" s="2"/>
      <c r="U57" s="2"/>
      <c r="V57" s="2"/>
      <c r="W57" s="2"/>
      <c r="X57" s="2"/>
      <c r="Y57" s="2"/>
      <c r="Z57" s="2"/>
      <c r="AA57" s="2"/>
      <c r="AB57" s="2"/>
    </row>
    <row r="58" spans="2:28" x14ac:dyDescent="0.2">
      <c r="B58" s="2"/>
      <c r="C58" s="2"/>
      <c r="D58" s="2"/>
      <c r="E58" s="2"/>
      <c r="F58" s="2"/>
      <c r="G58" s="2"/>
      <c r="H58" s="2"/>
      <c r="I58" s="2"/>
      <c r="J58" s="2"/>
      <c r="K58" s="2"/>
      <c r="L58" s="2"/>
      <c r="M58" s="2"/>
      <c r="N58" s="2"/>
      <c r="O58" s="2"/>
      <c r="P58" s="2"/>
      <c r="Q58" s="2"/>
      <c r="R58" s="2"/>
      <c r="S58" s="2"/>
      <c r="T58" s="2"/>
      <c r="U58" s="2"/>
      <c r="V58" s="2"/>
      <c r="W58" s="2"/>
      <c r="X58" s="2"/>
      <c r="Y58" s="2"/>
      <c r="Z58" s="2"/>
      <c r="AA58" s="2"/>
      <c r="AB58" s="2"/>
    </row>
    <row r="59" spans="2:28" x14ac:dyDescent="0.2">
      <c r="B59" s="2"/>
      <c r="C59" s="2"/>
      <c r="D59" s="2"/>
      <c r="E59" s="2"/>
      <c r="F59" s="2"/>
      <c r="G59" s="2"/>
      <c r="H59" s="2"/>
      <c r="I59" s="2"/>
      <c r="J59" s="2"/>
      <c r="K59" s="2"/>
      <c r="L59" s="2"/>
      <c r="M59" s="2"/>
      <c r="N59" s="2"/>
      <c r="O59" s="2"/>
      <c r="P59" s="2"/>
      <c r="Q59" s="2"/>
      <c r="R59" s="2"/>
      <c r="S59" s="2"/>
      <c r="T59" s="2"/>
      <c r="U59" s="2"/>
      <c r="V59" s="2"/>
      <c r="W59" s="2"/>
      <c r="X59" s="2"/>
      <c r="Y59" s="2"/>
      <c r="Z59" s="2"/>
      <c r="AA59" s="2"/>
      <c r="AB59" s="2"/>
    </row>
    <row r="60" spans="2:28" x14ac:dyDescent="0.2">
      <c r="B60" s="2"/>
      <c r="C60" s="2"/>
      <c r="D60" s="2"/>
      <c r="E60" s="2"/>
      <c r="F60" s="2"/>
      <c r="G60" s="2"/>
      <c r="H60" s="2"/>
      <c r="I60" s="2"/>
      <c r="J60" s="2"/>
      <c r="K60" s="2"/>
      <c r="L60" s="2"/>
      <c r="M60" s="2"/>
      <c r="N60" s="2"/>
      <c r="O60" s="2"/>
      <c r="P60" s="2"/>
      <c r="Q60" s="2"/>
      <c r="R60" s="2"/>
      <c r="S60" s="2"/>
      <c r="T60" s="2"/>
      <c r="U60" s="2"/>
      <c r="V60" s="2"/>
      <c r="W60" s="2"/>
      <c r="X60" s="2"/>
      <c r="Y60" s="2"/>
      <c r="Z60" s="2"/>
      <c r="AA60" s="2"/>
      <c r="AB60" s="2"/>
    </row>
    <row r="61" spans="2:28" x14ac:dyDescent="0.2">
      <c r="B61" s="2"/>
      <c r="C61" s="2"/>
      <c r="D61" s="2"/>
      <c r="E61" s="2"/>
      <c r="F61" s="2"/>
      <c r="G61" s="2"/>
      <c r="H61" s="2"/>
      <c r="I61" s="2"/>
      <c r="J61" s="2"/>
      <c r="K61" s="2"/>
      <c r="L61" s="2"/>
      <c r="M61" s="2"/>
      <c r="N61" s="2"/>
      <c r="O61" s="2"/>
      <c r="P61" s="2"/>
      <c r="Q61" s="2"/>
      <c r="R61" s="2"/>
      <c r="S61" s="2"/>
      <c r="T61" s="2"/>
      <c r="U61" s="2"/>
      <c r="V61" s="2"/>
      <c r="W61" s="2"/>
      <c r="X61" s="2"/>
      <c r="Y61" s="2"/>
      <c r="Z61" s="2"/>
      <c r="AA61" s="2"/>
      <c r="AB61" s="2"/>
    </row>
    <row r="62" spans="2:28" x14ac:dyDescent="0.2">
      <c r="B62" s="2"/>
      <c r="C62" s="2"/>
      <c r="D62" s="2"/>
      <c r="E62" s="2"/>
      <c r="F62" s="2"/>
      <c r="G62" s="2"/>
      <c r="H62" s="2"/>
      <c r="I62" s="2"/>
      <c r="J62" s="2"/>
      <c r="K62" s="2"/>
      <c r="L62" s="2"/>
      <c r="M62" s="2"/>
      <c r="N62" s="2"/>
      <c r="O62" s="2"/>
      <c r="P62" s="2"/>
      <c r="Q62" s="2"/>
      <c r="R62" s="2"/>
      <c r="S62" s="2"/>
      <c r="T62" s="2"/>
      <c r="U62" s="2"/>
      <c r="V62" s="2"/>
      <c r="W62" s="2"/>
      <c r="X62" s="2"/>
      <c r="Y62" s="2"/>
      <c r="Z62" s="2"/>
      <c r="AA62" s="2"/>
      <c r="AB62" s="2"/>
    </row>
    <row r="63" spans="2:28" x14ac:dyDescent="0.2">
      <c r="B63" s="2"/>
      <c r="C63" s="2"/>
      <c r="D63" s="2"/>
      <c r="E63" s="2"/>
      <c r="F63" s="2"/>
      <c r="G63" s="2"/>
      <c r="H63" s="2"/>
      <c r="I63" s="2"/>
      <c r="J63" s="2"/>
      <c r="K63" s="2"/>
      <c r="L63" s="2"/>
      <c r="M63" s="2"/>
      <c r="N63" s="2"/>
      <c r="O63" s="2"/>
      <c r="P63" s="2"/>
      <c r="Q63" s="2"/>
      <c r="AB63" s="2"/>
    </row>
    <row r="64" spans="2:28" x14ac:dyDescent="0.2">
      <c r="B64" s="2"/>
      <c r="C64" s="2"/>
      <c r="D64" s="2"/>
      <c r="E64" s="2"/>
      <c r="F64" s="2"/>
      <c r="G64" s="2"/>
      <c r="H64" s="2"/>
      <c r="I64" s="2"/>
      <c r="J64" s="2"/>
      <c r="K64" s="2"/>
      <c r="L64" s="2"/>
      <c r="M64" s="2"/>
      <c r="N64" s="2"/>
      <c r="O64" s="2"/>
      <c r="P64" s="2"/>
      <c r="Q64" s="2"/>
      <c r="AB64" s="2"/>
    </row>
    <row r="65" spans="2:28" x14ac:dyDescent="0.2">
      <c r="B65" s="2"/>
      <c r="C65" s="2"/>
      <c r="D65" s="2"/>
      <c r="E65" s="2"/>
      <c r="F65" s="2"/>
      <c r="G65" s="2"/>
      <c r="H65" s="2"/>
      <c r="I65" s="2"/>
      <c r="J65" s="2"/>
      <c r="K65" s="2"/>
      <c r="L65" s="2"/>
      <c r="M65" s="2"/>
      <c r="N65" s="2"/>
      <c r="O65" s="2"/>
      <c r="P65" s="2"/>
      <c r="Q65" s="2"/>
      <c r="AB65" s="2"/>
    </row>
    <row r="66" spans="2:28" x14ac:dyDescent="0.2">
      <c r="B66" s="2"/>
      <c r="C66" s="2"/>
      <c r="D66" s="2"/>
      <c r="E66" s="2"/>
      <c r="F66" s="2"/>
      <c r="G66" s="2"/>
      <c r="H66" s="2"/>
      <c r="I66" s="2"/>
      <c r="J66" s="2"/>
      <c r="K66" s="2"/>
      <c r="L66" s="2"/>
      <c r="M66" s="2"/>
      <c r="N66" s="2"/>
      <c r="O66" s="2"/>
      <c r="P66" s="2"/>
      <c r="Q66" s="2"/>
      <c r="AB66" s="2"/>
    </row>
    <row r="67" spans="2:28" x14ac:dyDescent="0.2">
      <c r="B67" s="2"/>
      <c r="C67" s="2"/>
      <c r="D67" s="2"/>
      <c r="E67" s="2"/>
      <c r="F67" s="2"/>
      <c r="G67" s="2"/>
      <c r="H67" s="2"/>
      <c r="I67" s="2"/>
      <c r="J67" s="2"/>
      <c r="K67" s="2"/>
      <c r="L67" s="2"/>
      <c r="M67" s="2"/>
      <c r="N67" s="2"/>
      <c r="O67" s="2"/>
      <c r="P67" s="2"/>
      <c r="Q67" s="2"/>
      <c r="AB67" s="2"/>
    </row>
    <row r="68" spans="2:28" x14ac:dyDescent="0.2">
      <c r="B68" s="2"/>
      <c r="C68" s="2"/>
      <c r="D68" s="2"/>
      <c r="E68" s="2"/>
      <c r="F68" s="2"/>
      <c r="G68" s="2"/>
      <c r="H68" s="2"/>
      <c r="I68" s="2"/>
      <c r="J68" s="2"/>
      <c r="K68" s="2"/>
      <c r="L68" s="2"/>
      <c r="M68" s="2"/>
      <c r="N68" s="2"/>
      <c r="O68" s="2"/>
      <c r="P68" s="2"/>
      <c r="Q68" s="2"/>
      <c r="AB68" s="2"/>
    </row>
    <row r="69" spans="2:28" x14ac:dyDescent="0.2">
      <c r="B69" s="2"/>
      <c r="C69" s="2"/>
      <c r="D69" s="2"/>
      <c r="E69" s="2"/>
      <c r="F69" s="2"/>
      <c r="G69" s="2"/>
      <c r="H69" s="2"/>
      <c r="I69" s="2"/>
      <c r="J69" s="2"/>
      <c r="K69" s="2"/>
      <c r="L69" s="2"/>
      <c r="M69" s="2"/>
      <c r="N69" s="2"/>
      <c r="O69" s="2"/>
      <c r="P69" s="2"/>
      <c r="Q69" s="2"/>
      <c r="AB69" s="2"/>
    </row>
    <row r="70" spans="2:28" x14ac:dyDescent="0.2">
      <c r="B70" s="2"/>
      <c r="C70" s="2"/>
      <c r="D70" s="2"/>
      <c r="E70" s="2"/>
      <c r="F70" s="2"/>
      <c r="G70" s="2"/>
      <c r="H70" s="2"/>
      <c r="I70" s="2"/>
      <c r="J70" s="2"/>
      <c r="K70" s="2"/>
      <c r="L70" s="2"/>
      <c r="M70" s="2"/>
      <c r="N70" s="2"/>
      <c r="O70" s="2"/>
      <c r="P70" s="2"/>
      <c r="Q70" s="2"/>
      <c r="AB70" s="2"/>
    </row>
    <row r="71" spans="2:28" x14ac:dyDescent="0.2">
      <c r="B71" s="2"/>
      <c r="C71" s="2"/>
      <c r="D71" s="2"/>
      <c r="E71" s="2"/>
      <c r="F71" s="2"/>
      <c r="G71" s="2"/>
      <c r="H71" s="2"/>
      <c r="I71" s="2"/>
      <c r="J71" s="2"/>
      <c r="K71" s="2"/>
      <c r="L71" s="2"/>
      <c r="M71" s="2"/>
      <c r="N71" s="2"/>
      <c r="O71" s="2"/>
      <c r="P71" s="2"/>
      <c r="Q71" s="2"/>
      <c r="AB71" s="2"/>
    </row>
    <row r="72" spans="2:28" x14ac:dyDescent="0.2">
      <c r="B72" s="2"/>
      <c r="C72" s="2"/>
      <c r="D72" s="2"/>
      <c r="E72" s="2"/>
      <c r="F72" s="2"/>
      <c r="G72" s="2"/>
      <c r="H72" s="2"/>
      <c r="I72" s="2"/>
      <c r="J72" s="2"/>
      <c r="K72" s="2"/>
      <c r="L72" s="2"/>
      <c r="M72" s="2"/>
      <c r="N72" s="2"/>
      <c r="O72" s="2"/>
      <c r="P72" s="2"/>
      <c r="Q72" s="2"/>
      <c r="AB72" s="2"/>
    </row>
    <row r="73" spans="2:28" x14ac:dyDescent="0.2">
      <c r="B73" s="2"/>
      <c r="C73" s="2"/>
      <c r="D73" s="2"/>
      <c r="E73" s="2"/>
      <c r="F73" s="2"/>
      <c r="G73" s="2"/>
      <c r="H73" s="2"/>
      <c r="I73" s="2"/>
      <c r="J73" s="2"/>
      <c r="K73" s="2"/>
      <c r="L73" s="2"/>
      <c r="M73" s="2"/>
      <c r="N73" s="2"/>
      <c r="O73" s="2"/>
      <c r="P73" s="2"/>
      <c r="Q73" s="2"/>
      <c r="AB73" s="2"/>
    </row>
    <row r="74" spans="2:28" x14ac:dyDescent="0.2">
      <c r="B74" s="2"/>
      <c r="C74" s="2"/>
      <c r="D74" s="2"/>
      <c r="E74" s="2"/>
      <c r="F74" s="2"/>
      <c r="G74" s="2"/>
      <c r="H74" s="2"/>
      <c r="I74" s="2"/>
      <c r="J74" s="2"/>
      <c r="K74" s="2"/>
      <c r="L74" s="2"/>
      <c r="M74" s="2"/>
      <c r="N74" s="2"/>
      <c r="O74" s="2"/>
      <c r="P74" s="2"/>
      <c r="Q74" s="2"/>
      <c r="AB74" s="2"/>
    </row>
    <row r="75" spans="2:28" x14ac:dyDescent="0.2">
      <c r="B75" s="2"/>
      <c r="C75" s="2"/>
      <c r="D75" s="2"/>
      <c r="E75" s="2"/>
      <c r="F75" s="2"/>
      <c r="G75" s="2"/>
      <c r="H75" s="2"/>
      <c r="I75" s="2"/>
      <c r="J75" s="2"/>
      <c r="K75" s="2"/>
      <c r="L75" s="2"/>
      <c r="M75" s="2"/>
      <c r="N75" s="2"/>
      <c r="O75" s="2"/>
      <c r="P75" s="2"/>
      <c r="Q75" s="2"/>
      <c r="AB75" s="2"/>
    </row>
    <row r="76" spans="2:28" x14ac:dyDescent="0.2">
      <c r="B76" s="2"/>
      <c r="C76" s="2"/>
      <c r="D76" s="2"/>
      <c r="E76" s="2"/>
      <c r="F76" s="2"/>
      <c r="G76" s="2"/>
      <c r="H76" s="2"/>
      <c r="I76" s="2"/>
      <c r="J76" s="2"/>
      <c r="K76" s="2"/>
      <c r="L76" s="2"/>
      <c r="M76" s="2"/>
      <c r="N76" s="2"/>
      <c r="O76" s="2"/>
      <c r="P76" s="2"/>
      <c r="Q76" s="2"/>
      <c r="AB76" s="2"/>
    </row>
    <row r="77" spans="2:28" ht="12.75" customHeight="1" x14ac:dyDescent="0.2">
      <c r="B77" s="2"/>
      <c r="C77" s="2"/>
      <c r="D77" s="2"/>
      <c r="E77" s="2"/>
      <c r="F77" s="2"/>
      <c r="G77" s="2"/>
      <c r="H77" s="2"/>
      <c r="I77" s="2"/>
      <c r="J77" s="2"/>
      <c r="K77" s="2"/>
      <c r="L77" s="2"/>
      <c r="M77" s="2"/>
      <c r="N77" s="2"/>
      <c r="O77" s="2"/>
      <c r="P77" s="2"/>
      <c r="Q77" s="2"/>
      <c r="AB77" s="2"/>
    </row>
    <row r="78" spans="2:28" x14ac:dyDescent="0.2">
      <c r="B78" s="2"/>
      <c r="C78" s="2"/>
      <c r="D78" s="2"/>
      <c r="E78" s="2"/>
      <c r="F78" s="2"/>
      <c r="G78" s="2"/>
      <c r="H78" s="2"/>
      <c r="I78" s="2"/>
      <c r="J78" s="2"/>
      <c r="K78" s="2"/>
      <c r="L78" s="2"/>
      <c r="M78" s="2"/>
      <c r="N78" s="2"/>
      <c r="O78" s="2"/>
      <c r="P78" s="2"/>
      <c r="Q78" s="2"/>
      <c r="AB78" s="2"/>
    </row>
    <row r="79" spans="2:28" x14ac:dyDescent="0.2">
      <c r="B79" s="2"/>
      <c r="C79" s="2"/>
      <c r="D79" s="2"/>
      <c r="E79" s="2"/>
      <c r="F79" s="2"/>
      <c r="G79" s="2"/>
      <c r="H79" s="2"/>
      <c r="I79" s="2"/>
      <c r="J79" s="2"/>
      <c r="K79" s="2"/>
      <c r="L79" s="2"/>
      <c r="M79" s="2"/>
      <c r="N79" s="2"/>
      <c r="O79" s="2"/>
      <c r="P79" s="2"/>
      <c r="Q79" s="2"/>
      <c r="AB79" s="2"/>
    </row>
    <row r="80" spans="2:28" x14ac:dyDescent="0.2">
      <c r="B80" s="2"/>
      <c r="C80" s="2"/>
      <c r="D80" s="2"/>
      <c r="E80" s="2"/>
      <c r="F80" s="2"/>
      <c r="G80" s="2"/>
      <c r="H80" s="2"/>
      <c r="I80" s="2"/>
      <c r="J80" s="2"/>
      <c r="K80" s="2"/>
      <c r="L80" s="2"/>
      <c r="M80" s="2"/>
      <c r="N80" s="2"/>
      <c r="O80" s="2"/>
      <c r="P80" s="2"/>
      <c r="Q80" s="2"/>
      <c r="AB80" s="2"/>
    </row>
    <row r="81" spans="2:28" x14ac:dyDescent="0.2">
      <c r="B81" s="2"/>
      <c r="C81" s="2"/>
      <c r="D81" s="2"/>
      <c r="E81" s="2"/>
      <c r="F81" s="2"/>
      <c r="G81" s="2"/>
      <c r="H81" s="2"/>
      <c r="I81" s="2"/>
      <c r="J81" s="2"/>
      <c r="K81" s="2"/>
      <c r="L81" s="2"/>
      <c r="M81" s="2"/>
      <c r="N81" s="2"/>
      <c r="O81" s="2"/>
      <c r="P81" s="2"/>
      <c r="Q81" s="2"/>
      <c r="AB81" s="2"/>
    </row>
    <row r="82" spans="2:28" x14ac:dyDescent="0.2">
      <c r="B82" s="2"/>
      <c r="C82" s="2"/>
      <c r="D82" s="2"/>
      <c r="E82" s="2"/>
      <c r="F82" s="2"/>
      <c r="G82" s="2"/>
      <c r="H82" s="2"/>
      <c r="I82" s="2"/>
      <c r="J82" s="2"/>
      <c r="K82" s="2"/>
      <c r="L82" s="2"/>
      <c r="M82" s="2"/>
      <c r="N82" s="2"/>
      <c r="O82" s="2"/>
      <c r="P82" s="2"/>
      <c r="Q82" s="2"/>
      <c r="AB82" s="2"/>
    </row>
    <row r="83" spans="2:28" x14ac:dyDescent="0.2">
      <c r="B83" s="2"/>
      <c r="C83" s="2"/>
      <c r="D83" s="2"/>
      <c r="E83" s="2"/>
      <c r="F83" s="2"/>
      <c r="G83" s="2"/>
      <c r="H83" s="2"/>
      <c r="I83" s="2"/>
      <c r="J83" s="2"/>
      <c r="K83" s="2"/>
      <c r="L83" s="2"/>
      <c r="M83" s="2"/>
      <c r="N83" s="2"/>
      <c r="O83" s="2"/>
      <c r="P83" s="2"/>
      <c r="Q83" s="2"/>
      <c r="AB83" s="2"/>
    </row>
    <row r="84" spans="2:28" x14ac:dyDescent="0.2">
      <c r="B84" s="2"/>
      <c r="C84" s="2"/>
      <c r="D84" s="2"/>
      <c r="E84" s="2"/>
      <c r="F84" s="2"/>
      <c r="G84" s="2"/>
      <c r="H84" s="2"/>
      <c r="I84" s="2"/>
      <c r="J84" s="2"/>
      <c r="K84" s="2"/>
      <c r="L84" s="2"/>
      <c r="M84" s="2"/>
      <c r="N84" s="2"/>
      <c r="O84" s="2"/>
      <c r="P84" s="2"/>
      <c r="Q84" s="2"/>
      <c r="AA84" s="177"/>
      <c r="AB84" s="2"/>
    </row>
    <row r="85" spans="2:28" x14ac:dyDescent="0.2">
      <c r="B85" s="2"/>
      <c r="C85" s="2"/>
      <c r="D85" s="2"/>
      <c r="E85" s="2"/>
      <c r="F85" s="2"/>
      <c r="G85" s="2"/>
      <c r="H85" s="2"/>
      <c r="I85" s="2"/>
      <c r="J85" s="2"/>
      <c r="K85" s="2"/>
      <c r="L85" s="2"/>
      <c r="M85" s="2"/>
      <c r="N85" s="2"/>
      <c r="O85" s="2"/>
      <c r="P85" s="2"/>
      <c r="Q85" s="2"/>
      <c r="AA85" s="177"/>
      <c r="AB85" s="2"/>
    </row>
    <row r="86" spans="2:28" x14ac:dyDescent="0.2">
      <c r="B86" s="2"/>
      <c r="C86" s="2"/>
      <c r="D86" s="2"/>
      <c r="E86" s="2"/>
      <c r="F86" s="2"/>
      <c r="G86" s="2"/>
      <c r="H86" s="2"/>
      <c r="I86" s="2"/>
      <c r="J86" s="2"/>
      <c r="K86" s="2"/>
      <c r="L86" s="2"/>
      <c r="M86" s="2"/>
      <c r="N86" s="2"/>
      <c r="O86" s="2"/>
      <c r="P86" s="2"/>
      <c r="Q86" s="2"/>
      <c r="AB86" s="2"/>
    </row>
    <row r="87" spans="2:28" x14ac:dyDescent="0.2">
      <c r="B87" s="2"/>
      <c r="C87" s="2"/>
      <c r="D87" s="2"/>
      <c r="E87" s="2"/>
      <c r="F87" s="2"/>
      <c r="G87" s="2"/>
      <c r="H87" s="2"/>
      <c r="I87" s="2"/>
      <c r="J87" s="2"/>
      <c r="K87" s="2"/>
      <c r="L87" s="2"/>
      <c r="M87" s="2"/>
      <c r="N87" s="2"/>
      <c r="O87" s="2"/>
      <c r="P87" s="2"/>
      <c r="Q87" s="2"/>
      <c r="AB87" s="2"/>
    </row>
    <row r="88" spans="2:28" x14ac:dyDescent="0.2">
      <c r="B88" s="2"/>
      <c r="C88" s="2"/>
      <c r="D88" s="2"/>
      <c r="E88" s="2"/>
      <c r="F88" s="2"/>
      <c r="G88" s="2"/>
      <c r="H88" s="2"/>
      <c r="I88" s="2"/>
      <c r="J88" s="2"/>
      <c r="K88" s="2"/>
      <c r="L88" s="2"/>
      <c r="M88" s="2"/>
      <c r="N88" s="2"/>
      <c r="O88" s="2"/>
      <c r="P88" s="2"/>
      <c r="Q88" s="2"/>
      <c r="AB88" s="2"/>
    </row>
    <row r="89" spans="2:28" x14ac:dyDescent="0.2">
      <c r="B89" s="2"/>
      <c r="C89" s="2"/>
      <c r="D89" s="2"/>
      <c r="E89" s="2"/>
      <c r="F89" s="2"/>
      <c r="G89" s="2"/>
      <c r="H89" s="2"/>
      <c r="I89" s="2"/>
      <c r="J89" s="2"/>
      <c r="K89" s="2"/>
      <c r="L89" s="2"/>
      <c r="M89" s="2"/>
      <c r="N89" s="2"/>
      <c r="O89" s="2"/>
      <c r="P89" s="2"/>
      <c r="Q89" s="2"/>
      <c r="AB89" s="2"/>
    </row>
    <row r="90" spans="2:28" x14ac:dyDescent="0.2">
      <c r="B90" s="2"/>
      <c r="C90" s="2"/>
      <c r="D90" s="2"/>
      <c r="E90" s="2"/>
      <c r="F90" s="2"/>
      <c r="G90" s="2"/>
      <c r="H90" s="2"/>
      <c r="I90" s="2"/>
      <c r="J90" s="2"/>
      <c r="K90" s="2"/>
      <c r="L90" s="2"/>
      <c r="M90" s="2"/>
      <c r="N90" s="2"/>
      <c r="O90" s="2"/>
      <c r="P90" s="2"/>
      <c r="Q90" s="2"/>
      <c r="AB90" s="2"/>
    </row>
    <row r="91" spans="2:28" x14ac:dyDescent="0.2">
      <c r="B91" s="2"/>
      <c r="C91" s="2"/>
      <c r="D91" s="2"/>
      <c r="E91" s="2"/>
      <c r="F91" s="2"/>
      <c r="G91" s="2"/>
      <c r="H91" s="2"/>
      <c r="I91" s="2"/>
      <c r="J91" s="2"/>
      <c r="K91" s="2"/>
      <c r="L91" s="2"/>
      <c r="M91" s="2"/>
      <c r="N91" s="2"/>
      <c r="O91" s="2"/>
      <c r="P91" s="2"/>
      <c r="Q91" s="2"/>
      <c r="AB91" s="2"/>
    </row>
    <row r="92" spans="2:28" x14ac:dyDescent="0.2">
      <c r="B92" s="2"/>
      <c r="C92" s="2"/>
      <c r="D92" s="2"/>
      <c r="E92" s="2"/>
      <c r="F92" s="2"/>
      <c r="G92" s="2"/>
      <c r="H92" s="2"/>
      <c r="I92" s="2"/>
      <c r="J92" s="2"/>
      <c r="K92" s="2"/>
      <c r="L92" s="2"/>
      <c r="M92" s="2"/>
      <c r="N92" s="2"/>
      <c r="O92" s="2"/>
      <c r="P92" s="2"/>
      <c r="Q92" s="2"/>
      <c r="AB92" s="2"/>
    </row>
    <row r="93" spans="2:28" x14ac:dyDescent="0.2">
      <c r="B93" s="2"/>
      <c r="C93" s="2"/>
      <c r="D93" s="2"/>
      <c r="E93" s="2"/>
      <c r="F93" s="2"/>
      <c r="G93" s="2"/>
      <c r="H93" s="2"/>
      <c r="I93" s="2"/>
      <c r="J93" s="2"/>
      <c r="K93" s="2"/>
      <c r="L93" s="2"/>
      <c r="M93" s="2"/>
      <c r="N93" s="2"/>
      <c r="O93" s="2"/>
      <c r="P93" s="2"/>
      <c r="Q93" s="2"/>
      <c r="AB93" s="2"/>
    </row>
    <row r="94" spans="2:28" x14ac:dyDescent="0.2">
      <c r="B94" s="2"/>
      <c r="C94" s="2"/>
      <c r="D94" s="2"/>
      <c r="E94" s="2"/>
      <c r="F94" s="2"/>
      <c r="G94" s="2"/>
      <c r="H94" s="2"/>
      <c r="I94" s="2"/>
      <c r="J94" s="2"/>
      <c r="K94" s="2"/>
      <c r="L94" s="2"/>
      <c r="M94" s="2"/>
      <c r="N94" s="2"/>
      <c r="O94" s="2"/>
      <c r="P94" s="2"/>
      <c r="Q94" s="2"/>
      <c r="AB94" s="2"/>
    </row>
    <row r="95" spans="2:28" x14ac:dyDescent="0.2">
      <c r="B95" s="2"/>
      <c r="C95" s="2"/>
      <c r="D95" s="2"/>
      <c r="E95" s="2"/>
      <c r="F95" s="2"/>
      <c r="G95" s="2"/>
      <c r="H95" s="2"/>
      <c r="I95" s="2"/>
      <c r="J95" s="2"/>
      <c r="K95" s="2"/>
      <c r="L95" s="2"/>
      <c r="M95" s="2"/>
      <c r="N95" s="2"/>
      <c r="O95" s="2"/>
      <c r="P95" s="2"/>
      <c r="Q95" s="2"/>
      <c r="AB95" s="2"/>
    </row>
    <row r="96" spans="2:28" x14ac:dyDescent="0.2">
      <c r="B96" s="2"/>
      <c r="C96" s="2"/>
      <c r="D96" s="2"/>
      <c r="E96" s="2"/>
      <c r="F96" s="2"/>
      <c r="G96" s="2"/>
      <c r="H96" s="2"/>
      <c r="I96" s="2"/>
      <c r="J96" s="2"/>
      <c r="K96" s="2"/>
      <c r="L96" s="2"/>
      <c r="M96" s="2"/>
      <c r="N96" s="2"/>
      <c r="O96" s="2"/>
      <c r="P96" s="2"/>
      <c r="Q96" s="2"/>
      <c r="AB96" s="2"/>
    </row>
    <row r="97" spans="2:28" x14ac:dyDescent="0.2">
      <c r="B97" s="2"/>
      <c r="C97" s="2"/>
      <c r="D97" s="2"/>
      <c r="E97" s="2"/>
      <c r="F97" s="2"/>
      <c r="G97" s="2"/>
      <c r="H97" s="2"/>
      <c r="I97" s="2"/>
      <c r="J97" s="2"/>
      <c r="K97" s="2"/>
      <c r="L97" s="2"/>
      <c r="M97" s="2"/>
      <c r="N97" s="2"/>
      <c r="O97" s="2"/>
      <c r="P97" s="2"/>
      <c r="Q97" s="2"/>
      <c r="AB97" s="2"/>
    </row>
    <row r="98" spans="2:28" x14ac:dyDescent="0.2">
      <c r="B98" s="2"/>
      <c r="C98" s="2"/>
      <c r="D98" s="2"/>
      <c r="E98" s="2"/>
      <c r="F98" s="2"/>
      <c r="G98" s="2"/>
      <c r="H98" s="2"/>
      <c r="I98" s="2"/>
      <c r="J98" s="2"/>
      <c r="K98" s="2"/>
      <c r="L98" s="2"/>
      <c r="M98" s="2"/>
      <c r="N98" s="2"/>
      <c r="O98" s="2"/>
      <c r="P98" s="2"/>
      <c r="Q98" s="2"/>
      <c r="AB98" s="2"/>
    </row>
    <row r="99" spans="2:28" x14ac:dyDescent="0.2">
      <c r="B99" s="2"/>
      <c r="C99" s="2"/>
      <c r="D99" s="2"/>
      <c r="E99" s="2"/>
      <c r="F99" s="2"/>
      <c r="G99" s="2"/>
      <c r="H99" s="2"/>
      <c r="I99" s="2"/>
      <c r="J99" s="2"/>
      <c r="K99" s="2"/>
      <c r="L99" s="2"/>
      <c r="M99" s="2"/>
      <c r="N99" s="2"/>
      <c r="O99" s="2"/>
      <c r="P99" s="2"/>
      <c r="Q99" s="2"/>
      <c r="AB99" s="2"/>
    </row>
    <row r="100" spans="2:28" x14ac:dyDescent="0.2">
      <c r="B100" s="2"/>
      <c r="C100" s="2"/>
      <c r="D100" s="2"/>
      <c r="E100" s="2"/>
      <c r="F100" s="2"/>
      <c r="G100" s="2"/>
      <c r="H100" s="2"/>
      <c r="I100" s="2"/>
      <c r="J100" s="2"/>
      <c r="K100" s="2"/>
      <c r="L100" s="2"/>
      <c r="M100" s="2"/>
      <c r="N100" s="2"/>
      <c r="O100" s="2"/>
      <c r="P100" s="2"/>
      <c r="Q100" s="2"/>
      <c r="AB100" s="2"/>
    </row>
    <row r="101" spans="2:28" x14ac:dyDescent="0.2">
      <c r="B101" s="2"/>
      <c r="C101" s="2"/>
      <c r="D101" s="2"/>
      <c r="E101" s="2"/>
      <c r="F101" s="2"/>
      <c r="G101" s="2"/>
      <c r="H101" s="2"/>
      <c r="I101" s="2"/>
      <c r="J101" s="2"/>
      <c r="K101" s="2"/>
      <c r="L101" s="2"/>
      <c r="M101" s="2"/>
      <c r="N101" s="2"/>
      <c r="O101" s="2"/>
      <c r="P101" s="2"/>
      <c r="Q101" s="2"/>
      <c r="AB101" s="2"/>
    </row>
    <row r="102" spans="2:28" x14ac:dyDescent="0.2">
      <c r="B102" s="2"/>
      <c r="C102" s="2"/>
      <c r="D102" s="2"/>
      <c r="E102" s="2"/>
      <c r="F102" s="2"/>
      <c r="G102" s="2"/>
      <c r="H102" s="2"/>
      <c r="I102" s="2"/>
      <c r="J102" s="2"/>
      <c r="K102" s="2"/>
      <c r="L102" s="2"/>
      <c r="M102" s="2"/>
      <c r="N102" s="2"/>
      <c r="O102" s="2"/>
      <c r="P102" s="2"/>
      <c r="Q102" s="2"/>
      <c r="AB102" s="2"/>
    </row>
    <row r="103" spans="2:28" x14ac:dyDescent="0.2">
      <c r="B103" s="2"/>
      <c r="C103" s="2"/>
      <c r="D103" s="2"/>
      <c r="E103" s="2"/>
      <c r="F103" s="2"/>
      <c r="G103" s="2"/>
      <c r="H103" s="2"/>
      <c r="I103" s="2"/>
      <c r="J103" s="2"/>
      <c r="K103" s="2"/>
      <c r="L103" s="2"/>
      <c r="M103" s="2"/>
      <c r="N103" s="2"/>
      <c r="O103" s="2"/>
      <c r="P103" s="2"/>
      <c r="Q103" s="2"/>
      <c r="AB103" s="2"/>
    </row>
    <row r="104" spans="2:28" x14ac:dyDescent="0.2">
      <c r="B104" s="2"/>
      <c r="C104" s="2"/>
      <c r="D104" s="2"/>
      <c r="E104" s="2"/>
      <c r="F104" s="2"/>
      <c r="G104" s="2"/>
      <c r="H104" s="2"/>
      <c r="I104" s="2"/>
      <c r="J104" s="2"/>
      <c r="K104" s="2"/>
      <c r="L104" s="2"/>
      <c r="M104" s="2"/>
      <c r="N104" s="2"/>
      <c r="O104" s="2"/>
      <c r="P104" s="2"/>
      <c r="Q104" s="2"/>
      <c r="AB104" s="2"/>
    </row>
    <row r="105" spans="2:28" x14ac:dyDescent="0.2">
      <c r="B105" s="2"/>
      <c r="C105" s="2"/>
      <c r="D105" s="2"/>
      <c r="E105" s="2"/>
      <c r="F105" s="2"/>
      <c r="G105" s="2"/>
      <c r="H105" s="2"/>
      <c r="I105" s="2"/>
      <c r="J105" s="2"/>
      <c r="K105" s="2"/>
      <c r="L105" s="2"/>
      <c r="M105" s="2"/>
      <c r="N105" s="2"/>
      <c r="O105" s="2"/>
      <c r="P105" s="2"/>
      <c r="Q105" s="2"/>
      <c r="AB105" s="2"/>
    </row>
    <row r="106" spans="2:28" x14ac:dyDescent="0.2">
      <c r="B106" s="2"/>
      <c r="C106" s="2"/>
      <c r="D106" s="2"/>
      <c r="E106" s="2"/>
      <c r="F106" s="2"/>
      <c r="G106" s="2"/>
      <c r="H106" s="2"/>
      <c r="I106" s="2"/>
      <c r="J106" s="2"/>
      <c r="K106" s="2"/>
      <c r="L106" s="2"/>
      <c r="M106" s="2"/>
      <c r="N106" s="2"/>
      <c r="O106" s="2"/>
      <c r="P106" s="2"/>
      <c r="Q106" s="2"/>
      <c r="AB106" s="2"/>
    </row>
    <row r="107" spans="2:28" x14ac:dyDescent="0.2">
      <c r="B107" s="2"/>
      <c r="C107" s="2"/>
      <c r="D107" s="2"/>
      <c r="E107" s="2"/>
      <c r="F107" s="2"/>
      <c r="G107" s="2"/>
      <c r="H107" s="2"/>
      <c r="I107" s="2"/>
      <c r="J107" s="2"/>
      <c r="K107" s="2"/>
      <c r="L107" s="2"/>
      <c r="M107" s="2"/>
      <c r="N107" s="2"/>
      <c r="O107" s="2"/>
      <c r="P107" s="2"/>
      <c r="Q107" s="2"/>
      <c r="R107" s="2" t="s">
        <v>94</v>
      </c>
      <c r="S107" s="2"/>
      <c r="T107" s="2"/>
      <c r="U107" s="2"/>
      <c r="V107" s="2"/>
      <c r="W107" s="2"/>
      <c r="X107" s="2"/>
      <c r="Y107" s="2"/>
      <c r="Z107" s="2"/>
      <c r="AA107" s="2"/>
      <c r="AB107" s="2"/>
    </row>
    <row r="108" spans="2:28" x14ac:dyDescent="0.2">
      <c r="B108" s="2"/>
      <c r="C108" s="2"/>
      <c r="D108" s="2"/>
      <c r="E108" s="2"/>
      <c r="F108" s="2"/>
      <c r="G108" s="2"/>
      <c r="H108" s="2"/>
      <c r="I108" s="2"/>
      <c r="J108" s="2"/>
      <c r="K108" s="2"/>
      <c r="L108" s="2"/>
      <c r="M108" s="2"/>
      <c r="N108" s="2"/>
      <c r="O108" s="2"/>
      <c r="P108" s="2"/>
      <c r="Q108" s="2"/>
      <c r="R108" s="2"/>
      <c r="S108" s="2"/>
      <c r="T108" s="2"/>
      <c r="U108" s="2"/>
      <c r="V108" s="2"/>
      <c r="W108" s="11"/>
      <c r="X108" s="2"/>
      <c r="Y108" s="2"/>
      <c r="Z108" s="2"/>
      <c r="AA108" s="2"/>
      <c r="AB108" s="2"/>
    </row>
    <row r="109" spans="2:28" x14ac:dyDescent="0.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2:28" x14ac:dyDescent="0.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2:28" x14ac:dyDescent="0.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2:28" x14ac:dyDescent="0.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2:28" x14ac:dyDescent="0.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2:28" x14ac:dyDescent="0.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2:28" x14ac:dyDescent="0.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2:28" x14ac:dyDescent="0.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2:28" x14ac:dyDescent="0.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2:28" x14ac:dyDescent="0.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2:28" x14ac:dyDescent="0.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2:28" x14ac:dyDescent="0.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2:28" x14ac:dyDescent="0.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2:28" x14ac:dyDescent="0.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2:28" x14ac:dyDescent="0.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2:28" x14ac:dyDescent="0.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2:28" x14ac:dyDescent="0.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2:28" x14ac:dyDescent="0.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2:28" x14ac:dyDescent="0.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2:28" x14ac:dyDescent="0.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2:28" x14ac:dyDescent="0.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2:28" x14ac:dyDescent="0.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2:28" x14ac:dyDescent="0.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2:28" x14ac:dyDescent="0.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2:28" x14ac:dyDescent="0.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2:28" x14ac:dyDescent="0.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2:28" x14ac:dyDescent="0.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2:28" x14ac:dyDescent="0.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2:28" x14ac:dyDescent="0.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2:28" x14ac:dyDescent="0.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2:28" x14ac:dyDescent="0.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2:28" x14ac:dyDescent="0.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2:28" x14ac:dyDescent="0.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2:28" x14ac:dyDescent="0.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2:28" x14ac:dyDescent="0.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2:28" x14ac:dyDescent="0.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2:28" x14ac:dyDescent="0.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2:28" x14ac:dyDescent="0.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2:28" x14ac:dyDescent="0.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2:28" x14ac:dyDescent="0.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2:28" x14ac:dyDescent="0.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2:28" x14ac:dyDescent="0.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2:28" x14ac:dyDescent="0.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2:28" x14ac:dyDescent="0.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2:28" x14ac:dyDescent="0.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2:28" x14ac:dyDescent="0.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2:28" x14ac:dyDescent="0.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2:28" x14ac:dyDescent="0.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2:28" x14ac:dyDescent="0.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2:28" x14ac:dyDescent="0.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2:28" x14ac:dyDescent="0.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2:28" x14ac:dyDescent="0.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2:28" x14ac:dyDescent="0.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2:28" x14ac:dyDescent="0.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2:28" x14ac:dyDescent="0.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2:28" x14ac:dyDescent="0.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2:28" x14ac:dyDescent="0.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2:28" x14ac:dyDescent="0.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spans="2:28" x14ac:dyDescent="0.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spans="2:28" x14ac:dyDescent="0.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spans="2:28" x14ac:dyDescent="0.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spans="2:28" x14ac:dyDescent="0.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spans="2:28" x14ac:dyDescent="0.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2:28" x14ac:dyDescent="0.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spans="2:28" x14ac:dyDescent="0.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spans="2:28" x14ac:dyDescent="0.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spans="2:28" x14ac:dyDescent="0.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spans="2:28" x14ac:dyDescent="0.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spans="2:28" x14ac:dyDescent="0.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spans="2:28" x14ac:dyDescent="0.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row>
    <row r="179" spans="2:28" x14ac:dyDescent="0.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row>
    <row r="180" spans="2:28" x14ac:dyDescent="0.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row>
    <row r="181" spans="2:28" x14ac:dyDescent="0.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row>
    <row r="182" spans="2:28" x14ac:dyDescent="0.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row>
    <row r="183" spans="2:28" x14ac:dyDescent="0.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row>
    <row r="184" spans="2:28" x14ac:dyDescent="0.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row>
    <row r="185" spans="2:28" x14ac:dyDescent="0.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row>
    <row r="186" spans="2:28" x14ac:dyDescent="0.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row>
    <row r="187" spans="2:28" x14ac:dyDescent="0.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spans="2:28" x14ac:dyDescent="0.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row>
    <row r="189" spans="2:28" x14ac:dyDescent="0.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row>
    <row r="190" spans="2:28" x14ac:dyDescent="0.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row>
    <row r="191" spans="2:28" x14ac:dyDescent="0.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row>
    <row r="192" spans="2:28" x14ac:dyDescent="0.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row>
    <row r="193" spans="2:28" x14ac:dyDescent="0.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row>
    <row r="194" spans="2:28" x14ac:dyDescent="0.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row>
    <row r="195" spans="2:28" x14ac:dyDescent="0.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row>
    <row r="196" spans="2:28" x14ac:dyDescent="0.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spans="2:28" x14ac:dyDescent="0.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row>
    <row r="198" spans="2:28" x14ac:dyDescent="0.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row>
    <row r="199" spans="2:28" x14ac:dyDescent="0.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row>
    <row r="200" spans="2:28" x14ac:dyDescent="0.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row>
    <row r="201" spans="2:28" x14ac:dyDescent="0.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row>
    <row r="202" spans="2:28" x14ac:dyDescent="0.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row>
    <row r="203" spans="2:28" x14ac:dyDescent="0.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row>
    <row r="204" spans="2:28" x14ac:dyDescent="0.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row>
    <row r="205" spans="2:28" x14ac:dyDescent="0.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row>
    <row r="206" spans="2:28" x14ac:dyDescent="0.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row>
    <row r="207" spans="2:28" x14ac:dyDescent="0.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spans="2:28" x14ac:dyDescent="0.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2:28" x14ac:dyDescent="0.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2:28" x14ac:dyDescent="0.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2:28" x14ac:dyDescent="0.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2:28" x14ac:dyDescent="0.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2:28"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2:28"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2:28"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2:28"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2:28"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2:28"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2:28"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2:28"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2:28"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2:28"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2:28"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2:28"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spans="2:28"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2:28"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spans="2:28"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2:28"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spans="2:28"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spans="2:28"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spans="2:28"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spans="2:28"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spans="2:28"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2:28"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2:28"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2:28"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2:28"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2:28"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2:28"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spans="2:28"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2:28"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2:28"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spans="2:28"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spans="2:28"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spans="2:28"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spans="2:28"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2:28"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2:28"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2:28"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2:28"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spans="2:28"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spans="2:28"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spans="2:28"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spans="2:28"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spans="2:28"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spans="2:28"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spans="2:28"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row>
    <row r="258" spans="2:28"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row>
    <row r="259" spans="2:28"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row>
    <row r="260" spans="2:28"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row>
    <row r="261" spans="2:28"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row>
    <row r="262" spans="2:28"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row>
    <row r="263" spans="2:28"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row>
    <row r="264" spans="2:28"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row>
    <row r="265" spans="2:28"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row>
    <row r="266" spans="2:28"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row>
    <row r="267" spans="2:28"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row>
    <row r="268" spans="2:28"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row>
    <row r="269" spans="2:28"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row>
    <row r="270" spans="2:28" x14ac:dyDescent="0.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row>
    <row r="271" spans="2:28" x14ac:dyDescent="0.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row>
    <row r="272" spans="2:28" x14ac:dyDescent="0.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row>
    <row r="273" spans="2:28" x14ac:dyDescent="0.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row>
    <row r="274" spans="2:28" x14ac:dyDescent="0.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row>
    <row r="275" spans="2:28" x14ac:dyDescent="0.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row>
    <row r="276" spans="2:28" x14ac:dyDescent="0.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row>
    <row r="277" spans="2:28" x14ac:dyDescent="0.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row>
    <row r="278" spans="2:28" x14ac:dyDescent="0.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row>
    <row r="279" spans="2:28" x14ac:dyDescent="0.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row>
    <row r="280" spans="2:28" x14ac:dyDescent="0.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row>
    <row r="281" spans="2:28" x14ac:dyDescent="0.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row>
    <row r="282" spans="2:28" x14ac:dyDescent="0.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row>
    <row r="283" spans="2:28" x14ac:dyDescent="0.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row>
    <row r="284" spans="2:28" x14ac:dyDescent="0.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row>
    <row r="285" spans="2:28" x14ac:dyDescent="0.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row>
    <row r="286" spans="2:28" x14ac:dyDescent="0.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row>
    <row r="287" spans="2:28" x14ac:dyDescent="0.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row>
    <row r="288" spans="2:28" x14ac:dyDescent="0.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row>
    <row r="289" spans="2:28" x14ac:dyDescent="0.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row>
    <row r="290" spans="2:28" x14ac:dyDescent="0.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row>
    <row r="291" spans="2:28" x14ac:dyDescent="0.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row>
    <row r="292" spans="2:28" x14ac:dyDescent="0.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row>
    <row r="293" spans="2:28" x14ac:dyDescent="0.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row>
    <row r="294" spans="2:28" x14ac:dyDescent="0.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row>
    <row r="295" spans="2:28" x14ac:dyDescent="0.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row>
    <row r="296" spans="2:28" x14ac:dyDescent="0.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row>
    <row r="297" spans="2:28" x14ac:dyDescent="0.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row>
    <row r="298" spans="2:28" x14ac:dyDescent="0.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row>
    <row r="299" spans="2:28" x14ac:dyDescent="0.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row>
    <row r="300" spans="2:28" x14ac:dyDescent="0.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row>
    <row r="301" spans="2:28" x14ac:dyDescent="0.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row>
    <row r="302" spans="2:28" x14ac:dyDescent="0.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row>
    <row r="303" spans="2:28" x14ac:dyDescent="0.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row>
    <row r="304" spans="2:28" x14ac:dyDescent="0.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row>
    <row r="305" spans="2:28" x14ac:dyDescent="0.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row>
    <row r="306" spans="2:28" x14ac:dyDescent="0.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row>
    <row r="307" spans="2:28" x14ac:dyDescent="0.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row>
    <row r="308" spans="2:28" x14ac:dyDescent="0.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row>
    <row r="309" spans="2:28" x14ac:dyDescent="0.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row>
    <row r="310" spans="2:28" x14ac:dyDescent="0.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row>
    <row r="311" spans="2:28" x14ac:dyDescent="0.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row>
    <row r="312" spans="2:28" x14ac:dyDescent="0.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row>
    <row r="313" spans="2:28" x14ac:dyDescent="0.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row>
    <row r="314" spans="2:28" x14ac:dyDescent="0.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row>
    <row r="315" spans="2:28" x14ac:dyDescent="0.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row>
    <row r="316" spans="2:28" x14ac:dyDescent="0.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row>
    <row r="317" spans="2:28" x14ac:dyDescent="0.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row>
    <row r="318" spans="2:28" x14ac:dyDescent="0.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row>
    <row r="319" spans="2:28" x14ac:dyDescent="0.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row>
    <row r="320" spans="2:28" x14ac:dyDescent="0.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row>
    <row r="321" spans="2:28" x14ac:dyDescent="0.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row>
    <row r="322" spans="2:28" x14ac:dyDescent="0.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row>
    <row r="323" spans="2:28" x14ac:dyDescent="0.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row>
    <row r="324" spans="2:28" x14ac:dyDescent="0.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row>
    <row r="325" spans="2:28" x14ac:dyDescent="0.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row>
    <row r="326" spans="2:28" x14ac:dyDescent="0.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row>
    <row r="327" spans="2:28" x14ac:dyDescent="0.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row>
    <row r="328" spans="2:28" x14ac:dyDescent="0.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row>
    <row r="329" spans="2:28" x14ac:dyDescent="0.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row>
    <row r="330" spans="2:28" x14ac:dyDescent="0.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row>
    <row r="331" spans="2:28" x14ac:dyDescent="0.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row>
    <row r="332" spans="2:28" x14ac:dyDescent="0.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row>
    <row r="333" spans="2:28" x14ac:dyDescent="0.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row>
    <row r="334" spans="2:28" x14ac:dyDescent="0.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row>
    <row r="335" spans="2:28" x14ac:dyDescent="0.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row>
    <row r="336" spans="2:28" x14ac:dyDescent="0.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row>
    <row r="337" spans="2:28" x14ac:dyDescent="0.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row>
    <row r="338" spans="2:28" x14ac:dyDescent="0.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row>
    <row r="339" spans="2:28" x14ac:dyDescent="0.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row>
    <row r="340" spans="2:28" x14ac:dyDescent="0.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row>
    <row r="341" spans="2:28" x14ac:dyDescent="0.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row>
    <row r="342" spans="2:28" x14ac:dyDescent="0.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row>
    <row r="343" spans="2:28" x14ac:dyDescent="0.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row>
    <row r="344" spans="2:28" x14ac:dyDescent="0.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row>
    <row r="345" spans="2:28" x14ac:dyDescent="0.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row>
    <row r="346" spans="2:28" x14ac:dyDescent="0.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row>
    <row r="347" spans="2:28" x14ac:dyDescent="0.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row>
    <row r="348" spans="2:28" x14ac:dyDescent="0.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row>
    <row r="349" spans="2:28" x14ac:dyDescent="0.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row>
    <row r="350" spans="2:28" x14ac:dyDescent="0.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row>
    <row r="351" spans="2:28" x14ac:dyDescent="0.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row>
    <row r="352" spans="2:28" x14ac:dyDescent="0.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row>
    <row r="353" spans="2:28" x14ac:dyDescent="0.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row>
    <row r="354" spans="2:28" x14ac:dyDescent="0.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row>
    <row r="355" spans="2:28" x14ac:dyDescent="0.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row>
    <row r="356" spans="2:28" x14ac:dyDescent="0.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row>
    <row r="357" spans="2:28" x14ac:dyDescent="0.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row>
    <row r="358" spans="2:28" x14ac:dyDescent="0.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row>
    <row r="359" spans="2:28" x14ac:dyDescent="0.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row>
    <row r="360" spans="2:28" x14ac:dyDescent="0.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row>
    <row r="361" spans="2:28" x14ac:dyDescent="0.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row>
    <row r="362" spans="2:28" x14ac:dyDescent="0.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row>
    <row r="363" spans="2:28" x14ac:dyDescent="0.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row>
    <row r="364" spans="2:28" x14ac:dyDescent="0.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row>
    <row r="365" spans="2:28" x14ac:dyDescent="0.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row>
    <row r="366" spans="2:28" x14ac:dyDescent="0.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row>
    <row r="367" spans="2:28" x14ac:dyDescent="0.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row>
    <row r="368" spans="2:28" x14ac:dyDescent="0.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row>
    <row r="369" spans="2:28" x14ac:dyDescent="0.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row>
    <row r="370" spans="2:28" x14ac:dyDescent="0.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row>
    <row r="371" spans="2:28" x14ac:dyDescent="0.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row>
    <row r="372" spans="2:28" x14ac:dyDescent="0.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row>
    <row r="373" spans="2:28" x14ac:dyDescent="0.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row>
    <row r="374" spans="2:28" x14ac:dyDescent="0.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row>
    <row r="375" spans="2:28" x14ac:dyDescent="0.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row>
    <row r="376" spans="2:28" x14ac:dyDescent="0.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row>
    <row r="377" spans="2:28" x14ac:dyDescent="0.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row>
    <row r="378" spans="2:28" x14ac:dyDescent="0.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row>
    <row r="379" spans="2:28" x14ac:dyDescent="0.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row>
    <row r="380" spans="2:28" x14ac:dyDescent="0.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row>
    <row r="381" spans="2:28" x14ac:dyDescent="0.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row>
    <row r="382" spans="2:28" x14ac:dyDescent="0.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row>
    <row r="383" spans="2:28" x14ac:dyDescent="0.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row>
    <row r="384" spans="2:28" x14ac:dyDescent="0.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row>
    <row r="385" spans="2:28" x14ac:dyDescent="0.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row>
    <row r="386" spans="2:28" x14ac:dyDescent="0.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row>
    <row r="387" spans="2:28" x14ac:dyDescent="0.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row>
    <row r="388" spans="2:28" x14ac:dyDescent="0.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row>
    <row r="389" spans="2:28" x14ac:dyDescent="0.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row>
    <row r="390" spans="2:28" x14ac:dyDescent="0.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row>
    <row r="391" spans="2:28" x14ac:dyDescent="0.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row>
    <row r="392" spans="2:28" x14ac:dyDescent="0.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row>
    <row r="393" spans="2:28" x14ac:dyDescent="0.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row>
    <row r="394" spans="2:28" x14ac:dyDescent="0.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row>
    <row r="395" spans="2:28" x14ac:dyDescent="0.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row>
    <row r="396" spans="2:28" x14ac:dyDescent="0.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row>
    <row r="397" spans="2:28" x14ac:dyDescent="0.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row>
    <row r="398" spans="2:28" x14ac:dyDescent="0.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row>
    <row r="399" spans="2:28" x14ac:dyDescent="0.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row>
    <row r="400" spans="2:28" x14ac:dyDescent="0.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row>
    <row r="401" spans="2:28" x14ac:dyDescent="0.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row>
    <row r="402" spans="2:28" x14ac:dyDescent="0.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row>
    <row r="403" spans="2:28" x14ac:dyDescent="0.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row>
    <row r="404" spans="2:28" x14ac:dyDescent="0.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row>
    <row r="405" spans="2:28" x14ac:dyDescent="0.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row>
    <row r="406" spans="2:28" x14ac:dyDescent="0.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row>
    <row r="407" spans="2:28" x14ac:dyDescent="0.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row>
    <row r="408" spans="2:28" x14ac:dyDescent="0.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row>
    <row r="409" spans="2:28" x14ac:dyDescent="0.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row>
    <row r="410" spans="2:28" x14ac:dyDescent="0.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row>
    <row r="411" spans="2:28" x14ac:dyDescent="0.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row>
    <row r="412" spans="2:28" x14ac:dyDescent="0.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row>
    <row r="413" spans="2:28" x14ac:dyDescent="0.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row>
    <row r="414" spans="2:28" x14ac:dyDescent="0.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row>
    <row r="415" spans="2:28" x14ac:dyDescent="0.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row>
    <row r="416" spans="2:28" x14ac:dyDescent="0.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row>
    <row r="417" spans="2:28" x14ac:dyDescent="0.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row>
    <row r="418" spans="2:28" x14ac:dyDescent="0.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row>
    <row r="419" spans="2:28" x14ac:dyDescent="0.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row>
    <row r="420" spans="2:28" x14ac:dyDescent="0.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row>
    <row r="421" spans="2:28" x14ac:dyDescent="0.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row>
    <row r="422" spans="2:28" x14ac:dyDescent="0.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row>
    <row r="423" spans="2:28" x14ac:dyDescent="0.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row>
    <row r="424" spans="2:28" x14ac:dyDescent="0.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row>
    <row r="425" spans="2:28" x14ac:dyDescent="0.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row>
    <row r="426" spans="2:28" x14ac:dyDescent="0.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row>
    <row r="427" spans="2:28" x14ac:dyDescent="0.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row>
    <row r="428" spans="2:28" x14ac:dyDescent="0.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row>
    <row r="429" spans="2:28" x14ac:dyDescent="0.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row>
    <row r="430" spans="2:28" x14ac:dyDescent="0.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row>
    <row r="431" spans="2:28" x14ac:dyDescent="0.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row>
    <row r="432" spans="2:28" x14ac:dyDescent="0.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row>
    <row r="433" spans="2:28" x14ac:dyDescent="0.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row>
    <row r="434" spans="2:28" x14ac:dyDescent="0.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row>
    <row r="435" spans="2:28" x14ac:dyDescent="0.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row>
    <row r="436" spans="2:28" x14ac:dyDescent="0.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row>
    <row r="437" spans="2:28" x14ac:dyDescent="0.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row>
    <row r="438" spans="2:28" x14ac:dyDescent="0.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row>
    <row r="439" spans="2:28" x14ac:dyDescent="0.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row>
    <row r="440" spans="2:28" x14ac:dyDescent="0.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row>
    <row r="441" spans="2:28" x14ac:dyDescent="0.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row>
    <row r="442" spans="2:28" x14ac:dyDescent="0.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row>
    <row r="443" spans="2:28" x14ac:dyDescent="0.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row>
    <row r="444" spans="2:28" x14ac:dyDescent="0.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row>
    <row r="445" spans="2:28" x14ac:dyDescent="0.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row>
    <row r="446" spans="2:28" x14ac:dyDescent="0.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row>
    <row r="447" spans="2:28" x14ac:dyDescent="0.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row>
    <row r="448" spans="2:28" x14ac:dyDescent="0.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row>
    <row r="449" spans="2:28" x14ac:dyDescent="0.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row>
    <row r="450" spans="2:28" x14ac:dyDescent="0.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row>
    <row r="451" spans="2:28" x14ac:dyDescent="0.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row>
    <row r="452" spans="2:28" x14ac:dyDescent="0.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row>
    <row r="453" spans="2:28" x14ac:dyDescent="0.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row>
    <row r="454" spans="2:28" x14ac:dyDescent="0.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row>
    <row r="455" spans="2:28" x14ac:dyDescent="0.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row>
    <row r="456" spans="2:28" x14ac:dyDescent="0.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row>
    <row r="457" spans="2:28" x14ac:dyDescent="0.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row>
    <row r="458" spans="2:28" x14ac:dyDescent="0.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row>
    <row r="459" spans="2:28" x14ac:dyDescent="0.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row>
    <row r="460" spans="2:28" x14ac:dyDescent="0.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row>
    <row r="461" spans="2:28" x14ac:dyDescent="0.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row>
    <row r="462" spans="2:28" x14ac:dyDescent="0.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row>
    <row r="463" spans="2:28" x14ac:dyDescent="0.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row>
    <row r="464" spans="2:28" x14ac:dyDescent="0.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row>
    <row r="465" spans="2:28" x14ac:dyDescent="0.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row>
    <row r="466" spans="2:28" x14ac:dyDescent="0.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row>
    <row r="467" spans="2:28" x14ac:dyDescent="0.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row>
    <row r="468" spans="2:28" x14ac:dyDescent="0.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row>
    <row r="469" spans="2:28" x14ac:dyDescent="0.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row>
    <row r="470" spans="2:28" x14ac:dyDescent="0.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row>
    <row r="471" spans="2:28" x14ac:dyDescent="0.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row>
    <row r="472" spans="2:28" x14ac:dyDescent="0.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row>
    <row r="473" spans="2:28" x14ac:dyDescent="0.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row>
    <row r="474" spans="2:28" x14ac:dyDescent="0.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row>
    <row r="475" spans="2:28" x14ac:dyDescent="0.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row>
    <row r="476" spans="2:28" x14ac:dyDescent="0.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row>
    <row r="477" spans="2:28" x14ac:dyDescent="0.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row>
    <row r="478" spans="2:28" x14ac:dyDescent="0.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row>
    <row r="479" spans="2:28" x14ac:dyDescent="0.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row>
    <row r="480" spans="2:28" x14ac:dyDescent="0.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row>
    <row r="481" spans="2:28" x14ac:dyDescent="0.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row>
    <row r="482" spans="2:28" x14ac:dyDescent="0.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row>
    <row r="483" spans="2:28" x14ac:dyDescent="0.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row>
    <row r="484" spans="2:28" x14ac:dyDescent="0.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row>
    <row r="485" spans="2:28" x14ac:dyDescent="0.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row>
    <row r="486" spans="2:28" x14ac:dyDescent="0.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row>
    <row r="487" spans="2:28" x14ac:dyDescent="0.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row>
    <row r="488" spans="2:28" x14ac:dyDescent="0.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row>
    <row r="489" spans="2:28" x14ac:dyDescent="0.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row>
    <row r="490" spans="2:28" x14ac:dyDescent="0.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row>
    <row r="491" spans="2:28" x14ac:dyDescent="0.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row>
    <row r="492" spans="2:28" x14ac:dyDescent="0.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row>
    <row r="493" spans="2:28" x14ac:dyDescent="0.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row>
    <row r="494" spans="2:28" x14ac:dyDescent="0.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row>
    <row r="495" spans="2:28" x14ac:dyDescent="0.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row>
    <row r="496" spans="2:28" x14ac:dyDescent="0.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row>
    <row r="497" spans="2:28" x14ac:dyDescent="0.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row>
    <row r="498" spans="2:28" x14ac:dyDescent="0.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row>
    <row r="499" spans="2:28" x14ac:dyDescent="0.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row>
    <row r="500" spans="2:28" x14ac:dyDescent="0.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row>
    <row r="501" spans="2:28" x14ac:dyDescent="0.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row>
    <row r="502" spans="2:28" x14ac:dyDescent="0.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row>
    <row r="503" spans="2:28" x14ac:dyDescent="0.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row>
    <row r="504" spans="2:28" x14ac:dyDescent="0.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row>
    <row r="505" spans="2:28" x14ac:dyDescent="0.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row>
    <row r="506" spans="2:28" x14ac:dyDescent="0.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row>
    <row r="507" spans="2:28" x14ac:dyDescent="0.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row>
    <row r="508" spans="2:28" x14ac:dyDescent="0.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row>
    <row r="509" spans="2:28" x14ac:dyDescent="0.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row>
    <row r="510" spans="2:28" x14ac:dyDescent="0.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row>
    <row r="511" spans="2:28" x14ac:dyDescent="0.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row>
    <row r="512" spans="2:28" x14ac:dyDescent="0.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row>
    <row r="513" spans="2:28" x14ac:dyDescent="0.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row>
    <row r="514" spans="2:28" x14ac:dyDescent="0.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row>
    <row r="515" spans="2:28" x14ac:dyDescent="0.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row>
    <row r="516" spans="2:28" x14ac:dyDescent="0.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row>
    <row r="517" spans="2:28" x14ac:dyDescent="0.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row>
    <row r="518" spans="2:28" x14ac:dyDescent="0.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row>
    <row r="519" spans="2:28" x14ac:dyDescent="0.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row>
    <row r="520" spans="2:28" x14ac:dyDescent="0.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row>
    <row r="521" spans="2:28" x14ac:dyDescent="0.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row>
    <row r="522" spans="2:28" x14ac:dyDescent="0.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row>
    <row r="523" spans="2:28" x14ac:dyDescent="0.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row>
    <row r="524" spans="2:28" x14ac:dyDescent="0.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row>
    <row r="525" spans="2:28" x14ac:dyDescent="0.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row>
    <row r="526" spans="2:28" x14ac:dyDescent="0.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row>
    <row r="527" spans="2:28" x14ac:dyDescent="0.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row>
    <row r="528" spans="2:28" x14ac:dyDescent="0.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row>
    <row r="529" spans="2:28" x14ac:dyDescent="0.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row>
    <row r="530" spans="2:28" x14ac:dyDescent="0.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row>
    <row r="531" spans="2:28" x14ac:dyDescent="0.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row>
    <row r="532" spans="2:28" x14ac:dyDescent="0.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row>
    <row r="533" spans="2:28" x14ac:dyDescent="0.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row>
    <row r="534" spans="2:28" x14ac:dyDescent="0.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row>
    <row r="535" spans="2:28" x14ac:dyDescent="0.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row>
    <row r="536" spans="2:28" x14ac:dyDescent="0.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row>
    <row r="537" spans="2:28" x14ac:dyDescent="0.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row>
    <row r="538" spans="2:28" x14ac:dyDescent="0.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row>
    <row r="539" spans="2:28" x14ac:dyDescent="0.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row>
    <row r="540" spans="2:28" x14ac:dyDescent="0.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row>
    <row r="541" spans="2:28" x14ac:dyDescent="0.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row>
    <row r="542" spans="2:28" x14ac:dyDescent="0.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row>
    <row r="543" spans="2:28" x14ac:dyDescent="0.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row>
    <row r="544" spans="2:28" x14ac:dyDescent="0.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row>
    <row r="545" spans="2:28" x14ac:dyDescent="0.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row>
    <row r="546" spans="2:28" x14ac:dyDescent="0.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row>
    <row r="547" spans="2:28" x14ac:dyDescent="0.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row>
    <row r="548" spans="2:28" x14ac:dyDescent="0.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row>
    <row r="549" spans="2:28" x14ac:dyDescent="0.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row>
    <row r="550" spans="2:28" x14ac:dyDescent="0.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row>
    <row r="551" spans="2:28" x14ac:dyDescent="0.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row>
    <row r="552" spans="2:28" x14ac:dyDescent="0.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row>
    <row r="553" spans="2:28" x14ac:dyDescent="0.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row>
    <row r="554" spans="2:28" x14ac:dyDescent="0.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row>
    <row r="555" spans="2:28" x14ac:dyDescent="0.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row>
    <row r="556" spans="2:28" x14ac:dyDescent="0.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row>
    <row r="557" spans="2:28" x14ac:dyDescent="0.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row>
    <row r="558" spans="2:28" x14ac:dyDescent="0.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row>
    <row r="559" spans="2:28" x14ac:dyDescent="0.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row>
    <row r="560" spans="2:28" x14ac:dyDescent="0.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row>
    <row r="561" spans="2:28" x14ac:dyDescent="0.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row>
    <row r="562" spans="2:28" x14ac:dyDescent="0.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row>
    <row r="563" spans="2:28" x14ac:dyDescent="0.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row>
    <row r="564" spans="2:28" x14ac:dyDescent="0.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row>
    <row r="565" spans="2:28" x14ac:dyDescent="0.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row>
    <row r="566" spans="2:28" x14ac:dyDescent="0.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row>
    <row r="567" spans="2:28" x14ac:dyDescent="0.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row>
    <row r="568" spans="2:28" x14ac:dyDescent="0.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row>
    <row r="569" spans="2:28" x14ac:dyDescent="0.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row>
    <row r="570" spans="2:28" x14ac:dyDescent="0.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row>
    <row r="571" spans="2:28" x14ac:dyDescent="0.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row>
    <row r="572" spans="2:28" x14ac:dyDescent="0.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row>
    <row r="573" spans="2:28" x14ac:dyDescent="0.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row>
    <row r="574" spans="2:28" x14ac:dyDescent="0.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row>
    <row r="575" spans="2:28" x14ac:dyDescent="0.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row>
    <row r="576" spans="2:28" x14ac:dyDescent="0.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row>
    <row r="577" spans="2:28" x14ac:dyDescent="0.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row>
    <row r="578" spans="2:28" x14ac:dyDescent="0.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row>
    <row r="579" spans="2:28" x14ac:dyDescent="0.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row>
    <row r="580" spans="2:28" x14ac:dyDescent="0.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row>
    <row r="581" spans="2:28" x14ac:dyDescent="0.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row>
    <row r="582" spans="2:28" x14ac:dyDescent="0.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row>
    <row r="583" spans="2:28" x14ac:dyDescent="0.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row>
    <row r="584" spans="2:28" x14ac:dyDescent="0.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row>
    <row r="585" spans="2:28" x14ac:dyDescent="0.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row>
    <row r="586" spans="2:28" x14ac:dyDescent="0.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row>
    <row r="587" spans="2:28" x14ac:dyDescent="0.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row>
    <row r="588" spans="2:28" x14ac:dyDescent="0.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row>
    <row r="589" spans="2:28" x14ac:dyDescent="0.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row>
    <row r="590" spans="2:28" x14ac:dyDescent="0.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row>
    <row r="591" spans="2:28" x14ac:dyDescent="0.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row>
    <row r="592" spans="2:28" x14ac:dyDescent="0.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row>
    <row r="593" spans="2:28" x14ac:dyDescent="0.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row>
    <row r="594" spans="2:28" x14ac:dyDescent="0.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row>
    <row r="595" spans="2:28" x14ac:dyDescent="0.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row>
    <row r="596" spans="2:28" x14ac:dyDescent="0.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row>
    <row r="597" spans="2:28" x14ac:dyDescent="0.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row>
    <row r="598" spans="2:28" x14ac:dyDescent="0.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row>
    <row r="599" spans="2:28" x14ac:dyDescent="0.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row>
    <row r="600" spans="2:28" x14ac:dyDescent="0.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row>
    <row r="601" spans="2:28" x14ac:dyDescent="0.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row>
    <row r="602" spans="2:28" x14ac:dyDescent="0.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row>
    <row r="603" spans="2:28" x14ac:dyDescent="0.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row>
    <row r="604" spans="2:28" x14ac:dyDescent="0.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row>
    <row r="605" spans="2:28" x14ac:dyDescent="0.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row>
    <row r="606" spans="2:28" x14ac:dyDescent="0.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row>
    <row r="607" spans="2:28" x14ac:dyDescent="0.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row>
    <row r="608" spans="2:28" x14ac:dyDescent="0.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row>
    <row r="609" spans="2:28" x14ac:dyDescent="0.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row>
    <row r="610" spans="2:28" x14ac:dyDescent="0.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row>
    <row r="611" spans="2:28" x14ac:dyDescent="0.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row>
    <row r="612" spans="2:28" x14ac:dyDescent="0.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row>
    <row r="613" spans="2:28" x14ac:dyDescent="0.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row>
    <row r="614" spans="2:28" x14ac:dyDescent="0.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row>
    <row r="615" spans="2:28" x14ac:dyDescent="0.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row>
    <row r="616" spans="2:28" x14ac:dyDescent="0.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row>
    <row r="617" spans="2:28" x14ac:dyDescent="0.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row>
    <row r="618" spans="2:28" x14ac:dyDescent="0.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row>
    <row r="619" spans="2:28" x14ac:dyDescent="0.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row>
    <row r="620" spans="2:28" x14ac:dyDescent="0.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row>
    <row r="621" spans="2:28" x14ac:dyDescent="0.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row>
    <row r="622" spans="2:28" x14ac:dyDescent="0.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row>
    <row r="623" spans="2:28" x14ac:dyDescent="0.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row>
    <row r="624" spans="2:28" x14ac:dyDescent="0.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row>
    <row r="625" spans="2:28" x14ac:dyDescent="0.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row>
    <row r="626" spans="2:28" x14ac:dyDescent="0.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row>
    <row r="627" spans="2:28" x14ac:dyDescent="0.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row>
    <row r="628" spans="2:28" x14ac:dyDescent="0.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row>
    <row r="629" spans="2:28" x14ac:dyDescent="0.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row>
    <row r="630" spans="2:28" x14ac:dyDescent="0.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row>
    <row r="631" spans="2:28" x14ac:dyDescent="0.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row>
    <row r="632" spans="2:28" x14ac:dyDescent="0.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row>
    <row r="633" spans="2:28" x14ac:dyDescent="0.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row>
    <row r="634" spans="2:28" x14ac:dyDescent="0.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row>
    <row r="635" spans="2:28" x14ac:dyDescent="0.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row>
    <row r="636" spans="2:28" x14ac:dyDescent="0.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row>
    <row r="637" spans="2:28" x14ac:dyDescent="0.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row>
    <row r="638" spans="2:28" x14ac:dyDescent="0.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row>
    <row r="639" spans="2:28" x14ac:dyDescent="0.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row>
    <row r="640" spans="2:28" x14ac:dyDescent="0.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row>
    <row r="641" spans="2:28" x14ac:dyDescent="0.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row>
    <row r="642" spans="2:28" x14ac:dyDescent="0.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row>
    <row r="643" spans="2:28" x14ac:dyDescent="0.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row>
    <row r="644" spans="2:28" x14ac:dyDescent="0.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row>
    <row r="645" spans="2:28" x14ac:dyDescent="0.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row>
    <row r="646" spans="2:28" x14ac:dyDescent="0.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row>
    <row r="647" spans="2:28" x14ac:dyDescent="0.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row>
    <row r="648" spans="2:28" x14ac:dyDescent="0.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row>
    <row r="649" spans="2:28" x14ac:dyDescent="0.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row>
    <row r="650" spans="2:28" x14ac:dyDescent="0.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row>
    <row r="651" spans="2:28" x14ac:dyDescent="0.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row>
    <row r="652" spans="2:28" x14ac:dyDescent="0.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row>
    <row r="653" spans="2:28" x14ac:dyDescent="0.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row>
    <row r="654" spans="2:28" x14ac:dyDescent="0.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row>
    <row r="655" spans="2:28" x14ac:dyDescent="0.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row>
    <row r="656" spans="2:28" x14ac:dyDescent="0.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row>
    <row r="657" spans="2:28" x14ac:dyDescent="0.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row>
    <row r="658" spans="2:28" x14ac:dyDescent="0.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row>
    <row r="659" spans="2:28" x14ac:dyDescent="0.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row>
    <row r="660" spans="2:28" x14ac:dyDescent="0.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row>
    <row r="661" spans="2:28" x14ac:dyDescent="0.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row>
    <row r="662" spans="2:28" x14ac:dyDescent="0.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row>
    <row r="663" spans="2:28" x14ac:dyDescent="0.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row>
    <row r="664" spans="2:28" x14ac:dyDescent="0.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row>
    <row r="665" spans="2:28" x14ac:dyDescent="0.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row>
    <row r="666" spans="2:28" x14ac:dyDescent="0.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row>
    <row r="667" spans="2:28" x14ac:dyDescent="0.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row>
    <row r="668" spans="2:28" x14ac:dyDescent="0.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row>
    <row r="669" spans="2:28" x14ac:dyDescent="0.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row>
    <row r="670" spans="2:28" x14ac:dyDescent="0.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row>
    <row r="671" spans="2:28" x14ac:dyDescent="0.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row>
    <row r="672" spans="2:28" x14ac:dyDescent="0.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row>
    <row r="673" spans="2:28" x14ac:dyDescent="0.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row>
    <row r="674" spans="2:28" x14ac:dyDescent="0.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row>
    <row r="675" spans="2:28" x14ac:dyDescent="0.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row>
    <row r="676" spans="2:28" x14ac:dyDescent="0.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row>
    <row r="677" spans="2:28" x14ac:dyDescent="0.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row>
    <row r="678" spans="2:28" x14ac:dyDescent="0.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row>
    <row r="679" spans="2:28" x14ac:dyDescent="0.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row>
    <row r="680" spans="2:28" x14ac:dyDescent="0.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row>
    <row r="681" spans="2:28" x14ac:dyDescent="0.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row>
    <row r="682" spans="2:28" x14ac:dyDescent="0.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row>
    <row r="683" spans="2:28" x14ac:dyDescent="0.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row>
    <row r="684" spans="2:28" x14ac:dyDescent="0.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row>
    <row r="685" spans="2:28" x14ac:dyDescent="0.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row>
    <row r="686" spans="2:28" x14ac:dyDescent="0.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row>
    <row r="687" spans="2:28" x14ac:dyDescent="0.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row>
    <row r="688" spans="2:28" x14ac:dyDescent="0.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row>
    <row r="689" spans="2:28" x14ac:dyDescent="0.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row>
    <row r="690" spans="2:28" x14ac:dyDescent="0.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row>
    <row r="691" spans="2:28" x14ac:dyDescent="0.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row>
    <row r="692" spans="2:28" x14ac:dyDescent="0.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row>
    <row r="693" spans="2:28" x14ac:dyDescent="0.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row>
    <row r="694" spans="2:28" x14ac:dyDescent="0.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row>
    <row r="695" spans="2:28" x14ac:dyDescent="0.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row>
    <row r="696" spans="2:28" x14ac:dyDescent="0.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row>
    <row r="697" spans="2:28" x14ac:dyDescent="0.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row>
    <row r="698" spans="2:28" x14ac:dyDescent="0.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row>
    <row r="699" spans="2:28" x14ac:dyDescent="0.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row>
    <row r="700" spans="2:28" x14ac:dyDescent="0.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row>
    <row r="701" spans="2:28" x14ac:dyDescent="0.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row>
    <row r="702" spans="2:28" x14ac:dyDescent="0.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row>
    <row r="703" spans="2:28" x14ac:dyDescent="0.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row>
    <row r="704" spans="2:28" x14ac:dyDescent="0.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row>
    <row r="705" spans="2:28" x14ac:dyDescent="0.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row>
    <row r="706" spans="2:28" x14ac:dyDescent="0.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row>
    <row r="707" spans="2:28" x14ac:dyDescent="0.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row>
    <row r="708" spans="2:28" x14ac:dyDescent="0.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row>
    <row r="709" spans="2:28" x14ac:dyDescent="0.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row>
    <row r="710" spans="2:28" x14ac:dyDescent="0.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row>
    <row r="711" spans="2:28" x14ac:dyDescent="0.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row>
    <row r="712" spans="2:28" x14ac:dyDescent="0.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row>
    <row r="713" spans="2:28" x14ac:dyDescent="0.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row>
    <row r="714" spans="2:28" x14ac:dyDescent="0.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row>
    <row r="715" spans="2:28" x14ac:dyDescent="0.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row>
    <row r="716" spans="2:28" x14ac:dyDescent="0.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row>
    <row r="717" spans="2:28" x14ac:dyDescent="0.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row>
    <row r="718" spans="2:28" x14ac:dyDescent="0.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row>
    <row r="719" spans="2:28" x14ac:dyDescent="0.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row>
    <row r="720" spans="2:28" x14ac:dyDescent="0.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row>
    <row r="721" spans="2:28" x14ac:dyDescent="0.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row>
    <row r="722" spans="2:28" x14ac:dyDescent="0.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row>
    <row r="723" spans="2:28" x14ac:dyDescent="0.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row>
    <row r="724" spans="2:28" x14ac:dyDescent="0.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row>
    <row r="725" spans="2:28" x14ac:dyDescent="0.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row>
    <row r="726" spans="2:28" x14ac:dyDescent="0.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row>
    <row r="727" spans="2:28" x14ac:dyDescent="0.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row>
    <row r="728" spans="2:28" x14ac:dyDescent="0.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row>
    <row r="729" spans="2:28" x14ac:dyDescent="0.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row>
    <row r="730" spans="2:28" x14ac:dyDescent="0.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row>
    <row r="731" spans="2:28" x14ac:dyDescent="0.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row>
    <row r="732" spans="2:28" x14ac:dyDescent="0.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row>
    <row r="733" spans="2:28" x14ac:dyDescent="0.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row>
    <row r="734" spans="2:28" x14ac:dyDescent="0.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row>
    <row r="735" spans="2:28" x14ac:dyDescent="0.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row>
    <row r="736" spans="2:28" x14ac:dyDescent="0.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row>
    <row r="737" spans="2:28" x14ac:dyDescent="0.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row>
    <row r="738" spans="2:28" x14ac:dyDescent="0.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row>
    <row r="739" spans="2:28" x14ac:dyDescent="0.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row>
    <row r="740" spans="2:28" x14ac:dyDescent="0.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row>
    <row r="741" spans="2:28" x14ac:dyDescent="0.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row>
    <row r="742" spans="2:28" x14ac:dyDescent="0.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row>
    <row r="743" spans="2:28" x14ac:dyDescent="0.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row>
    <row r="744" spans="2:28" x14ac:dyDescent="0.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row>
    <row r="745" spans="2:28" x14ac:dyDescent="0.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row>
    <row r="746" spans="2:28" x14ac:dyDescent="0.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row>
    <row r="747" spans="2:28" x14ac:dyDescent="0.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row>
    <row r="748" spans="2:28" x14ac:dyDescent="0.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row>
    <row r="749" spans="2:28" x14ac:dyDescent="0.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row>
    <row r="750" spans="2:28" x14ac:dyDescent="0.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row>
    <row r="751" spans="2:28" x14ac:dyDescent="0.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row>
    <row r="752" spans="2:28" x14ac:dyDescent="0.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row>
    <row r="753" spans="2:28" x14ac:dyDescent="0.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row>
    <row r="754" spans="2:28" x14ac:dyDescent="0.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row>
    <row r="755" spans="2:28" x14ac:dyDescent="0.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row>
    <row r="756" spans="2:28" x14ac:dyDescent="0.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row>
    <row r="757" spans="2:28" x14ac:dyDescent="0.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row>
    <row r="758" spans="2:28" x14ac:dyDescent="0.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row>
    <row r="759" spans="2:28" x14ac:dyDescent="0.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row>
    <row r="760" spans="2:28" x14ac:dyDescent="0.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row>
    <row r="761" spans="2:28" x14ac:dyDescent="0.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row>
    <row r="762" spans="2:28" x14ac:dyDescent="0.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row>
    <row r="763" spans="2:28" x14ac:dyDescent="0.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row>
    <row r="764" spans="2:28" x14ac:dyDescent="0.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row>
    <row r="765" spans="2:28" x14ac:dyDescent="0.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row>
    <row r="766" spans="2:28" x14ac:dyDescent="0.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row>
    <row r="767" spans="2:28" x14ac:dyDescent="0.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row>
    <row r="768" spans="2:28" x14ac:dyDescent="0.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row>
    <row r="769" spans="2:28" x14ac:dyDescent="0.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row>
    <row r="770" spans="2:28" x14ac:dyDescent="0.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row>
    <row r="771" spans="2:28" x14ac:dyDescent="0.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row>
    <row r="772" spans="2:28" x14ac:dyDescent="0.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row>
    <row r="773" spans="2:28" x14ac:dyDescent="0.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row>
    <row r="774" spans="2:28" x14ac:dyDescent="0.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row>
    <row r="775" spans="2:28" x14ac:dyDescent="0.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row>
    <row r="776" spans="2:28" x14ac:dyDescent="0.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row>
    <row r="777" spans="2:28" x14ac:dyDescent="0.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row>
    <row r="778" spans="2:28" x14ac:dyDescent="0.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row>
    <row r="779" spans="2:28" x14ac:dyDescent="0.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row>
    <row r="780" spans="2:28" x14ac:dyDescent="0.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row>
    <row r="781" spans="2:28" x14ac:dyDescent="0.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row>
    <row r="782" spans="2:28" x14ac:dyDescent="0.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row>
    <row r="783" spans="2:28" x14ac:dyDescent="0.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row>
    <row r="784" spans="2:28" x14ac:dyDescent="0.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row>
    <row r="785" spans="2:28" x14ac:dyDescent="0.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row>
    <row r="786" spans="2:28" x14ac:dyDescent="0.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row>
    <row r="787" spans="2:28" x14ac:dyDescent="0.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row>
    <row r="788" spans="2:28" x14ac:dyDescent="0.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row>
    <row r="789" spans="2:28" x14ac:dyDescent="0.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row>
    <row r="790" spans="2:28" x14ac:dyDescent="0.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row>
    <row r="791" spans="2:28" x14ac:dyDescent="0.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row>
    <row r="792" spans="2:28" x14ac:dyDescent="0.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row>
    <row r="793" spans="2:28" x14ac:dyDescent="0.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row>
    <row r="794" spans="2:28" x14ac:dyDescent="0.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row>
    <row r="795" spans="2:28" x14ac:dyDescent="0.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row>
    <row r="796" spans="2:28" x14ac:dyDescent="0.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row>
    <row r="797" spans="2:28" x14ac:dyDescent="0.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row>
    <row r="798" spans="2:28" x14ac:dyDescent="0.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row>
    <row r="799" spans="2:28" x14ac:dyDescent="0.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row>
    <row r="800" spans="2:28" x14ac:dyDescent="0.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row>
    <row r="801" spans="2:28" x14ac:dyDescent="0.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row>
    <row r="802" spans="2:28" x14ac:dyDescent="0.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row>
    <row r="803" spans="2:28" x14ac:dyDescent="0.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row>
    <row r="804" spans="2:28" x14ac:dyDescent="0.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row>
    <row r="805" spans="2:28" x14ac:dyDescent="0.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row>
    <row r="806" spans="2:28" x14ac:dyDescent="0.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row>
    <row r="807" spans="2:28" x14ac:dyDescent="0.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row>
    <row r="808" spans="2:28" x14ac:dyDescent="0.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row>
    <row r="809" spans="2:28" x14ac:dyDescent="0.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row>
    <row r="810" spans="2:28" x14ac:dyDescent="0.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row>
    <row r="811" spans="2:28" x14ac:dyDescent="0.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row>
    <row r="812" spans="2:28" x14ac:dyDescent="0.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row>
    <row r="813" spans="2:28" x14ac:dyDescent="0.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row>
    <row r="814" spans="2:28" x14ac:dyDescent="0.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row>
    <row r="815" spans="2:28" x14ac:dyDescent="0.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row>
    <row r="816" spans="2:28" x14ac:dyDescent="0.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row>
    <row r="817" spans="2:28" x14ac:dyDescent="0.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row>
    <row r="818" spans="2:28" x14ac:dyDescent="0.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row>
    <row r="819" spans="2:28" x14ac:dyDescent="0.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row>
    <row r="820" spans="2:28" x14ac:dyDescent="0.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row>
    <row r="821" spans="2:28" x14ac:dyDescent="0.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row>
    <row r="822" spans="2:28" x14ac:dyDescent="0.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row>
    <row r="823" spans="2:28" x14ac:dyDescent="0.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row>
    <row r="824" spans="2:28" x14ac:dyDescent="0.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row>
    <row r="825" spans="2:28" x14ac:dyDescent="0.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row>
    <row r="826" spans="2:28" x14ac:dyDescent="0.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row>
    <row r="827" spans="2:28" x14ac:dyDescent="0.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row>
    <row r="828" spans="2:28" x14ac:dyDescent="0.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row>
    <row r="829" spans="2:28" x14ac:dyDescent="0.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row>
    <row r="830" spans="2:28" x14ac:dyDescent="0.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row>
    <row r="831" spans="2:28" x14ac:dyDescent="0.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row>
    <row r="832" spans="2:28" x14ac:dyDescent="0.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row>
    <row r="833" spans="2:28" x14ac:dyDescent="0.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row>
    <row r="834" spans="2:28" x14ac:dyDescent="0.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row>
    <row r="835" spans="2:28" x14ac:dyDescent="0.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row>
    <row r="836" spans="2:28" x14ac:dyDescent="0.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row>
    <row r="837" spans="2:28" x14ac:dyDescent="0.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row>
    <row r="838" spans="2:28" x14ac:dyDescent="0.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row>
    <row r="839" spans="2:28" x14ac:dyDescent="0.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row>
    <row r="840" spans="2:28" x14ac:dyDescent="0.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row>
    <row r="841" spans="2:28" x14ac:dyDescent="0.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row>
    <row r="842" spans="2:28" x14ac:dyDescent="0.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row>
    <row r="843" spans="2:28" x14ac:dyDescent="0.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row>
    <row r="844" spans="2:28" x14ac:dyDescent="0.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row>
    <row r="845" spans="2:28" x14ac:dyDescent="0.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row>
    <row r="846" spans="2:28" x14ac:dyDescent="0.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row>
    <row r="847" spans="2:28" x14ac:dyDescent="0.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row>
    <row r="848" spans="2:28" x14ac:dyDescent="0.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row>
    <row r="849" spans="2:28" x14ac:dyDescent="0.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row>
    <row r="850" spans="2:28" x14ac:dyDescent="0.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row>
    <row r="851" spans="2:28" x14ac:dyDescent="0.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row>
    <row r="852" spans="2:28" x14ac:dyDescent="0.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row>
    <row r="853" spans="2:28" x14ac:dyDescent="0.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row>
    <row r="854" spans="2:28" x14ac:dyDescent="0.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row>
    <row r="855" spans="2:28" x14ac:dyDescent="0.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row>
    <row r="856" spans="2:28" x14ac:dyDescent="0.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row>
    <row r="857" spans="2:28" x14ac:dyDescent="0.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row>
    <row r="858" spans="2:28" x14ac:dyDescent="0.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row>
    <row r="859" spans="2:28" x14ac:dyDescent="0.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row>
    <row r="860" spans="2:28" x14ac:dyDescent="0.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row>
    <row r="861" spans="2:28" x14ac:dyDescent="0.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row>
    <row r="862" spans="2:28" x14ac:dyDescent="0.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row>
    <row r="863" spans="2:28" x14ac:dyDescent="0.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row>
    <row r="864" spans="2:28" x14ac:dyDescent="0.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row>
    <row r="865" spans="2:28" x14ac:dyDescent="0.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row>
    <row r="866" spans="2:28" x14ac:dyDescent="0.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row>
    <row r="867" spans="2:28" x14ac:dyDescent="0.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row>
    <row r="868" spans="2:28" x14ac:dyDescent="0.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row>
    <row r="869" spans="2:28" x14ac:dyDescent="0.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row>
    <row r="870" spans="2:28" x14ac:dyDescent="0.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row>
    <row r="871" spans="2:28" x14ac:dyDescent="0.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row>
    <row r="872" spans="2:28" x14ac:dyDescent="0.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row>
    <row r="873" spans="2:28" x14ac:dyDescent="0.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row>
    <row r="874" spans="2:28" x14ac:dyDescent="0.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row>
    <row r="875" spans="2:28" x14ac:dyDescent="0.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row>
    <row r="876" spans="2:28" x14ac:dyDescent="0.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row>
    <row r="877" spans="2:28" x14ac:dyDescent="0.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row>
    <row r="878" spans="2:28" x14ac:dyDescent="0.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row>
    <row r="879" spans="2:28" x14ac:dyDescent="0.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row>
    <row r="880" spans="2:28" x14ac:dyDescent="0.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row>
    <row r="881" spans="2:28" x14ac:dyDescent="0.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row>
    <row r="882" spans="2:28" x14ac:dyDescent="0.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row>
    <row r="883" spans="2:28" x14ac:dyDescent="0.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row>
    <row r="884" spans="2:28" x14ac:dyDescent="0.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row>
    <row r="885" spans="2:28" x14ac:dyDescent="0.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row>
    <row r="886" spans="2:28" x14ac:dyDescent="0.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row>
    <row r="887" spans="2:28" x14ac:dyDescent="0.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row>
    <row r="888" spans="2:28" x14ac:dyDescent="0.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row>
    <row r="889" spans="2:28" x14ac:dyDescent="0.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row>
    <row r="890" spans="2:28" x14ac:dyDescent="0.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row>
    <row r="891" spans="2:28" x14ac:dyDescent="0.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row>
    <row r="892" spans="2:28" x14ac:dyDescent="0.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row>
    <row r="893" spans="2:28" x14ac:dyDescent="0.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row>
    <row r="894" spans="2:28" x14ac:dyDescent="0.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row>
    <row r="895" spans="2:28" x14ac:dyDescent="0.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row>
    <row r="896" spans="2:28" x14ac:dyDescent="0.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row>
    <row r="897" spans="2:28" x14ac:dyDescent="0.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row>
    <row r="898" spans="2:28" x14ac:dyDescent="0.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row>
    <row r="899" spans="2:28" x14ac:dyDescent="0.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row>
    <row r="900" spans="2:28" x14ac:dyDescent="0.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row>
    <row r="901" spans="2:28" x14ac:dyDescent="0.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row>
    <row r="902" spans="2:28" x14ac:dyDescent="0.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row>
    <row r="903" spans="2:28" x14ac:dyDescent="0.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row>
    <row r="904" spans="2:28" x14ac:dyDescent="0.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row>
    <row r="905" spans="2:28" x14ac:dyDescent="0.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row>
    <row r="906" spans="2:28" x14ac:dyDescent="0.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row>
    <row r="907" spans="2:28" x14ac:dyDescent="0.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row>
    <row r="908" spans="2:28" x14ac:dyDescent="0.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row>
    <row r="909" spans="2:28" x14ac:dyDescent="0.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row>
    <row r="910" spans="2:28" x14ac:dyDescent="0.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row>
    <row r="911" spans="2:28" x14ac:dyDescent="0.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row>
    <row r="912" spans="2:28" x14ac:dyDescent="0.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row>
    <row r="913" spans="2:28" x14ac:dyDescent="0.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row>
    <row r="914" spans="2:28" x14ac:dyDescent="0.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row>
    <row r="915" spans="2:28" x14ac:dyDescent="0.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row>
    <row r="916" spans="2:28" x14ac:dyDescent="0.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row>
    <row r="917" spans="2:28" x14ac:dyDescent="0.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row>
    <row r="918" spans="2:28" x14ac:dyDescent="0.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row>
    <row r="919" spans="2:28" x14ac:dyDescent="0.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row>
    <row r="920" spans="2:28" x14ac:dyDescent="0.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row>
    <row r="921" spans="2:28" x14ac:dyDescent="0.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row>
    <row r="922" spans="2:28" x14ac:dyDescent="0.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row>
    <row r="923" spans="2:28" x14ac:dyDescent="0.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row>
    <row r="924" spans="2:28" x14ac:dyDescent="0.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row>
    <row r="925" spans="2:28" x14ac:dyDescent="0.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row>
    <row r="926" spans="2:28" x14ac:dyDescent="0.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row>
    <row r="927" spans="2:28" x14ac:dyDescent="0.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row>
    <row r="928" spans="2:28" x14ac:dyDescent="0.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row>
    <row r="929" spans="2:28" x14ac:dyDescent="0.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row>
    <row r="930" spans="2:28" x14ac:dyDescent="0.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row>
    <row r="931" spans="2:28" x14ac:dyDescent="0.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row>
    <row r="932" spans="2:28" x14ac:dyDescent="0.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row>
    <row r="933" spans="2:28" x14ac:dyDescent="0.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row>
    <row r="934" spans="2:28" x14ac:dyDescent="0.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row>
    <row r="935" spans="2:28" x14ac:dyDescent="0.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row>
    <row r="936" spans="2:28" x14ac:dyDescent="0.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row>
    <row r="937" spans="2:28" x14ac:dyDescent="0.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row>
    <row r="938" spans="2:28" x14ac:dyDescent="0.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row>
    <row r="939" spans="2:28" x14ac:dyDescent="0.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row>
    <row r="940" spans="2:28" x14ac:dyDescent="0.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row>
    <row r="941" spans="2:28" x14ac:dyDescent="0.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row>
    <row r="942" spans="2:28" x14ac:dyDescent="0.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row>
    <row r="943" spans="2:28" x14ac:dyDescent="0.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row>
    <row r="944" spans="2:28" x14ac:dyDescent="0.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row>
    <row r="945" spans="2:28" x14ac:dyDescent="0.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row>
    <row r="946" spans="2:28" x14ac:dyDescent="0.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row>
    <row r="947" spans="2:28" x14ac:dyDescent="0.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row>
    <row r="948" spans="2:28" x14ac:dyDescent="0.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row>
    <row r="949" spans="2:28" x14ac:dyDescent="0.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row>
    <row r="950" spans="2:28" x14ac:dyDescent="0.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row>
    <row r="951" spans="2:28" x14ac:dyDescent="0.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row>
    <row r="952" spans="2:28" x14ac:dyDescent="0.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row>
    <row r="953" spans="2:28" x14ac:dyDescent="0.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row>
    <row r="954" spans="2:28" x14ac:dyDescent="0.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row>
    <row r="955" spans="2:28" x14ac:dyDescent="0.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row>
    <row r="956" spans="2:28" x14ac:dyDescent="0.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row>
    <row r="957" spans="2:28" x14ac:dyDescent="0.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row>
    <row r="958" spans="2:28" x14ac:dyDescent="0.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row>
    <row r="959" spans="2:28" x14ac:dyDescent="0.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row>
    <row r="960" spans="2:28" x14ac:dyDescent="0.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row>
    <row r="961" spans="2:28" x14ac:dyDescent="0.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row>
    <row r="962" spans="2:28" x14ac:dyDescent="0.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row>
    <row r="963" spans="2:28" x14ac:dyDescent="0.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row>
    <row r="964" spans="2:28" x14ac:dyDescent="0.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row>
    <row r="965" spans="2:28" x14ac:dyDescent="0.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row>
    <row r="966" spans="2:28" x14ac:dyDescent="0.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row>
    <row r="967" spans="2:28" x14ac:dyDescent="0.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row>
    <row r="968" spans="2:28" x14ac:dyDescent="0.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row>
    <row r="969" spans="2:28" x14ac:dyDescent="0.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row>
    <row r="970" spans="2:28" x14ac:dyDescent="0.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row>
    <row r="971" spans="2:28" x14ac:dyDescent="0.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row>
    <row r="972" spans="2:28" x14ac:dyDescent="0.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row>
    <row r="973" spans="2:28" x14ac:dyDescent="0.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row>
    <row r="974" spans="2:28" x14ac:dyDescent="0.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row>
    <row r="975" spans="2:28" x14ac:dyDescent="0.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row>
    <row r="976" spans="2:28" x14ac:dyDescent="0.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row>
    <row r="977" spans="2:28" x14ac:dyDescent="0.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row>
    <row r="978" spans="2:28" x14ac:dyDescent="0.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row>
    <row r="979" spans="2:28" x14ac:dyDescent="0.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row>
    <row r="980" spans="2:28" x14ac:dyDescent="0.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row>
    <row r="981" spans="2:28" x14ac:dyDescent="0.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row>
    <row r="982" spans="2:28" x14ac:dyDescent="0.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row>
    <row r="983" spans="2:28" x14ac:dyDescent="0.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row>
    <row r="984" spans="2:28" x14ac:dyDescent="0.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row>
    <row r="985" spans="2:28" x14ac:dyDescent="0.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row>
    <row r="986" spans="2:28" x14ac:dyDescent="0.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row>
    <row r="987" spans="2:28" x14ac:dyDescent="0.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row>
    <row r="988" spans="2:28" x14ac:dyDescent="0.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row>
    <row r="989" spans="2:28" x14ac:dyDescent="0.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row>
    <row r="990" spans="2:28" x14ac:dyDescent="0.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row>
    <row r="991" spans="2:28" x14ac:dyDescent="0.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row>
    <row r="992" spans="2:28" x14ac:dyDescent="0.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row>
    <row r="993" spans="2:28" x14ac:dyDescent="0.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row>
    <row r="994" spans="2:28" x14ac:dyDescent="0.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row>
    <row r="995" spans="2:28" x14ac:dyDescent="0.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row>
    <row r="996" spans="2:28" x14ac:dyDescent="0.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row>
    <row r="997" spans="2:28" x14ac:dyDescent="0.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row>
    <row r="998" spans="2:28" x14ac:dyDescent="0.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row>
    <row r="999" spans="2:28" x14ac:dyDescent="0.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row>
    <row r="1000" spans="2:28" x14ac:dyDescent="0.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row>
    <row r="1001" spans="2:28" x14ac:dyDescent="0.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row>
    <row r="1002" spans="2:28" x14ac:dyDescent="0.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row>
    <row r="1003" spans="2:28" x14ac:dyDescent="0.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row>
    <row r="1004" spans="2:28" x14ac:dyDescent="0.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row>
    <row r="1005" spans="2:28" x14ac:dyDescent="0.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row>
    <row r="1006" spans="2:28" x14ac:dyDescent="0.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row>
    <row r="1007" spans="2:28" x14ac:dyDescent="0.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row>
    <row r="1008" spans="2:28" x14ac:dyDescent="0.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row>
    <row r="1009" spans="2:28" x14ac:dyDescent="0.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row>
    <row r="1010" spans="2:28" x14ac:dyDescent="0.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row>
    <row r="1011" spans="2:28" x14ac:dyDescent="0.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row>
    <row r="1012" spans="2:28" x14ac:dyDescent="0.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row>
    <row r="1013" spans="2:28" x14ac:dyDescent="0.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row>
    <row r="1014" spans="2:28" x14ac:dyDescent="0.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row>
    <row r="1015" spans="2:28" x14ac:dyDescent="0.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row>
    <row r="1016" spans="2:28" x14ac:dyDescent="0.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row>
    <row r="1017" spans="2:28" x14ac:dyDescent="0.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row>
    <row r="1018" spans="2:28" x14ac:dyDescent="0.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row>
    <row r="1019" spans="2:28" x14ac:dyDescent="0.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row>
    <row r="1020" spans="2:28" x14ac:dyDescent="0.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row>
    <row r="1021" spans="2:28" x14ac:dyDescent="0.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row>
    <row r="1022" spans="2:28" x14ac:dyDescent="0.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row>
    <row r="1023" spans="2:28" x14ac:dyDescent="0.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row>
    <row r="1024" spans="2:28" x14ac:dyDescent="0.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row>
    <row r="1025" spans="2:28" x14ac:dyDescent="0.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row>
    <row r="1026" spans="2:28" x14ac:dyDescent="0.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row>
    <row r="1027" spans="2:28" x14ac:dyDescent="0.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row>
    <row r="1028" spans="2:28" x14ac:dyDescent="0.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row>
    <row r="1029" spans="2:28" x14ac:dyDescent="0.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row>
    <row r="1030" spans="2:28" x14ac:dyDescent="0.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row>
    <row r="1031" spans="2:28" x14ac:dyDescent="0.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row>
    <row r="1032" spans="2:28" x14ac:dyDescent="0.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row>
    <row r="1033" spans="2:28" x14ac:dyDescent="0.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row>
    <row r="1034" spans="2:28" x14ac:dyDescent="0.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row>
    <row r="1035" spans="2:28" x14ac:dyDescent="0.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row>
    <row r="1036" spans="2:28" x14ac:dyDescent="0.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row>
    <row r="1037" spans="2:28" x14ac:dyDescent="0.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row>
    <row r="1038" spans="2:28" x14ac:dyDescent="0.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2:28" x14ac:dyDescent="0.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row>
    <row r="1040" spans="2:28" x14ac:dyDescent="0.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row>
    <row r="1041" spans="2:28" x14ac:dyDescent="0.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row>
    <row r="1042" spans="2:28" x14ac:dyDescent="0.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row>
    <row r="1043" spans="2:28" x14ac:dyDescent="0.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row>
    <row r="1044" spans="2:28" x14ac:dyDescent="0.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row>
    <row r="1045" spans="2:28" x14ac:dyDescent="0.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row>
    <row r="1046" spans="2:28" x14ac:dyDescent="0.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row>
    <row r="1047" spans="2:28" x14ac:dyDescent="0.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row>
    <row r="1048" spans="2:28" x14ac:dyDescent="0.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row>
    <row r="1049" spans="2:28" x14ac:dyDescent="0.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row>
    <row r="1050" spans="2:28" x14ac:dyDescent="0.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row>
    <row r="1051" spans="2:28" x14ac:dyDescent="0.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row>
    <row r="1052" spans="2:28" x14ac:dyDescent="0.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row>
    <row r="1053" spans="2:28" x14ac:dyDescent="0.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row>
    <row r="1054" spans="2:28" x14ac:dyDescent="0.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row>
    <row r="1055" spans="2:28" x14ac:dyDescent="0.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row>
    <row r="1056" spans="2:28" x14ac:dyDescent="0.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row>
    <row r="1057" spans="2:28" x14ac:dyDescent="0.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row>
    <row r="1058" spans="2:28" x14ac:dyDescent="0.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row>
    <row r="1059" spans="2:28" x14ac:dyDescent="0.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row>
    <row r="1060" spans="2:28" x14ac:dyDescent="0.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row>
    <row r="1061" spans="2:28" x14ac:dyDescent="0.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row>
    <row r="1062" spans="2:28" x14ac:dyDescent="0.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row>
    <row r="1063" spans="2:28" x14ac:dyDescent="0.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row>
    <row r="1064" spans="2:28" x14ac:dyDescent="0.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row>
    <row r="1065" spans="2:28" x14ac:dyDescent="0.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row>
    <row r="1066" spans="2:28" x14ac:dyDescent="0.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row>
    <row r="1067" spans="2:28" x14ac:dyDescent="0.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row>
    <row r="1068" spans="2:28" x14ac:dyDescent="0.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row>
    <row r="1069" spans="2:28" x14ac:dyDescent="0.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row>
    <row r="1070" spans="2:28" x14ac:dyDescent="0.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row>
    <row r="1071" spans="2:28" x14ac:dyDescent="0.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row>
    <row r="1072" spans="2:28" x14ac:dyDescent="0.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row>
    <row r="1073" spans="2:28" x14ac:dyDescent="0.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row>
    <row r="1074" spans="2:28" x14ac:dyDescent="0.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row>
    <row r="1075" spans="2:28" x14ac:dyDescent="0.2">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row>
    <row r="1076" spans="2:28" x14ac:dyDescent="0.2">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row>
    <row r="1077" spans="2:28" x14ac:dyDescent="0.2">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row>
    <row r="1078" spans="2:28" x14ac:dyDescent="0.2">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row>
    <row r="1079" spans="2:28" x14ac:dyDescent="0.2">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row>
    <row r="1080" spans="2:28" x14ac:dyDescent="0.2">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row>
    <row r="1081" spans="2:28" x14ac:dyDescent="0.2">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row>
    <row r="1082" spans="2:28" x14ac:dyDescent="0.2">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row>
    <row r="1083" spans="2:28" x14ac:dyDescent="0.2">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row>
    <row r="1084" spans="2:28" x14ac:dyDescent="0.2">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row>
    <row r="1085" spans="2:28" x14ac:dyDescent="0.2">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row>
    <row r="1086" spans="2:28" x14ac:dyDescent="0.2">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row>
    <row r="1087" spans="2:28" x14ac:dyDescent="0.2">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row>
    <row r="1088" spans="2:28" x14ac:dyDescent="0.2">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row>
    <row r="1089" spans="2:28" x14ac:dyDescent="0.2">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row>
    <row r="1090" spans="2:28" x14ac:dyDescent="0.2">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row>
    <row r="1091" spans="2:28" x14ac:dyDescent="0.2">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row>
    <row r="1092" spans="2:28" x14ac:dyDescent="0.2">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row>
    <row r="1093" spans="2:28" x14ac:dyDescent="0.2">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row>
    <row r="1094" spans="2:28" x14ac:dyDescent="0.2">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row>
    <row r="1095" spans="2:28" x14ac:dyDescent="0.2">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row>
    <row r="1096" spans="2:28" x14ac:dyDescent="0.2">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row>
    <row r="1097" spans="2:28" x14ac:dyDescent="0.2">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row>
    <row r="1098" spans="2:28" x14ac:dyDescent="0.2">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row>
    <row r="1099" spans="2:28" x14ac:dyDescent="0.2">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row>
    <row r="1100" spans="2:28" x14ac:dyDescent="0.2">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row>
    <row r="1101" spans="2:28" x14ac:dyDescent="0.2">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row>
    <row r="1102" spans="2:28" x14ac:dyDescent="0.2">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row>
    <row r="1103" spans="2:28" x14ac:dyDescent="0.2">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row>
    <row r="1104" spans="2:28" x14ac:dyDescent="0.2">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row>
    <row r="1105" spans="2:28" x14ac:dyDescent="0.2">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row>
    <row r="1106" spans="2:28" x14ac:dyDescent="0.2">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row>
    <row r="1107" spans="2:28" x14ac:dyDescent="0.2">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row>
    <row r="1108" spans="2:28" x14ac:dyDescent="0.2">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row>
    <row r="1109" spans="2:28" x14ac:dyDescent="0.2">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row>
    <row r="1110" spans="2:28" x14ac:dyDescent="0.2">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row>
    <row r="1111" spans="2:28" x14ac:dyDescent="0.2">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row>
    <row r="1112" spans="2:28" x14ac:dyDescent="0.2">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row>
    <row r="1113" spans="2:28" x14ac:dyDescent="0.2">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row>
    <row r="1114" spans="2:28" x14ac:dyDescent="0.2">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row>
    <row r="1115" spans="2:28" x14ac:dyDescent="0.2">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row>
    <row r="1116" spans="2:28" x14ac:dyDescent="0.2">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row>
    <row r="1117" spans="2:28" x14ac:dyDescent="0.2">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row>
    <row r="1118" spans="2:28" x14ac:dyDescent="0.2">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row>
    <row r="1119" spans="2:28" x14ac:dyDescent="0.2">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row>
    <row r="1120" spans="2:28" x14ac:dyDescent="0.2">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row>
    <row r="1121" spans="2:28" x14ac:dyDescent="0.2">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row>
    <row r="1122" spans="2:28" x14ac:dyDescent="0.2">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row>
    <row r="1123" spans="2:28" x14ac:dyDescent="0.2">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row>
    <row r="1124" spans="2:28" x14ac:dyDescent="0.2">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row>
    <row r="1125" spans="2:28" x14ac:dyDescent="0.2">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row>
    <row r="1126" spans="2:28" x14ac:dyDescent="0.2">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row>
    <row r="1127" spans="2:28" x14ac:dyDescent="0.2">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row>
    <row r="1128" spans="2:28" x14ac:dyDescent="0.2">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row>
    <row r="1129" spans="2:28" x14ac:dyDescent="0.2">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row>
    <row r="1130" spans="2:28" x14ac:dyDescent="0.2">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row>
    <row r="1131" spans="2:28" x14ac:dyDescent="0.2">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row>
    <row r="1132" spans="2:28" x14ac:dyDescent="0.2">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row>
    <row r="1133" spans="2:28" x14ac:dyDescent="0.2">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row>
    <row r="1134" spans="2:28" x14ac:dyDescent="0.2">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row>
    <row r="1135" spans="2:28" x14ac:dyDescent="0.2">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row>
    <row r="1136" spans="2:28" x14ac:dyDescent="0.2">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row>
    <row r="1137" spans="2:28" x14ac:dyDescent="0.2">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row>
    <row r="1138" spans="2:28" x14ac:dyDescent="0.2">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row>
    <row r="1139" spans="2:28" x14ac:dyDescent="0.2">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row>
    <row r="1140" spans="2:28" x14ac:dyDescent="0.2">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row>
    <row r="1141" spans="2:28" x14ac:dyDescent="0.2">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row>
    <row r="1142" spans="2:28" x14ac:dyDescent="0.2">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row>
    <row r="1143" spans="2:28" x14ac:dyDescent="0.2">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row>
    <row r="1144" spans="2:28" x14ac:dyDescent="0.2">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row>
    <row r="1145" spans="2:28" x14ac:dyDescent="0.2">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row>
    <row r="1146" spans="2:28" x14ac:dyDescent="0.2">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row>
    <row r="1147" spans="2:28" x14ac:dyDescent="0.2">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row>
    <row r="1148" spans="2:28" x14ac:dyDescent="0.2">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row>
    <row r="1149" spans="2:28" x14ac:dyDescent="0.2">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row>
    <row r="1150" spans="2:28" x14ac:dyDescent="0.2">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row>
    <row r="1151" spans="2:28" x14ac:dyDescent="0.2">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row>
    <row r="1152" spans="2:28" x14ac:dyDescent="0.2">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row>
    <row r="1153" spans="2:28" x14ac:dyDescent="0.2">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row>
    <row r="1154" spans="2:28" x14ac:dyDescent="0.2">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row>
    <row r="1155" spans="2:28" x14ac:dyDescent="0.2">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row>
    <row r="1156" spans="2:28" x14ac:dyDescent="0.2">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row>
    <row r="1157" spans="2:28" x14ac:dyDescent="0.2">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row>
    <row r="1158" spans="2:28" x14ac:dyDescent="0.2">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row>
    <row r="1159" spans="2:28" x14ac:dyDescent="0.2">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row>
    <row r="1160" spans="2:28" x14ac:dyDescent="0.2">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row>
    <row r="1161" spans="2:28" x14ac:dyDescent="0.2">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row>
    <row r="1162" spans="2:28" x14ac:dyDescent="0.2">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row>
    <row r="1163" spans="2:28" x14ac:dyDescent="0.2">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row>
    <row r="1164" spans="2:28" x14ac:dyDescent="0.2">
      <c r="B1164" s="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row>
    <row r="1165" spans="2:28" x14ac:dyDescent="0.2">
      <c r="B1165" s="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row>
    <row r="1166" spans="2:28" x14ac:dyDescent="0.2">
      <c r="B1166" s="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row>
    <row r="1167" spans="2:28" x14ac:dyDescent="0.2">
      <c r="B1167" s="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row>
    <row r="1168" spans="2:28" x14ac:dyDescent="0.2">
      <c r="B1168" s="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row>
    <row r="1169" spans="2:28" x14ac:dyDescent="0.2">
      <c r="B1169" s="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row>
    <row r="1170" spans="2:28" x14ac:dyDescent="0.2">
      <c r="B1170" s="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row>
    <row r="1171" spans="2:28" x14ac:dyDescent="0.2">
      <c r="B1171" s="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row>
    <row r="1172" spans="2:28" x14ac:dyDescent="0.2">
      <c r="B1172" s="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row>
    <row r="1173" spans="2:28" x14ac:dyDescent="0.2">
      <c r="B1173" s="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row>
    <row r="1174" spans="2:28" x14ac:dyDescent="0.2">
      <c r="B1174" s="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row>
    <row r="1175" spans="2:28" x14ac:dyDescent="0.2">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row>
    <row r="1176" spans="2:28" x14ac:dyDescent="0.2">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row>
    <row r="1177" spans="2:28" x14ac:dyDescent="0.2">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row>
    <row r="1178" spans="2:28" x14ac:dyDescent="0.2">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row>
    <row r="1179" spans="2:28" x14ac:dyDescent="0.2">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row>
    <row r="1180" spans="2:28" x14ac:dyDescent="0.2">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row>
    <row r="1181" spans="2:28" x14ac:dyDescent="0.2">
      <c r="B1181" s="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row>
    <row r="1182" spans="2:28" x14ac:dyDescent="0.2">
      <c r="B1182" s="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row>
    <row r="1183" spans="2:28" x14ac:dyDescent="0.2">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row>
    <row r="1184" spans="2:28" x14ac:dyDescent="0.2">
      <c r="B1184" s="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row>
    <row r="1185" spans="2:28" x14ac:dyDescent="0.2">
      <c r="B1185" s="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row>
    <row r="1186" spans="2:28" x14ac:dyDescent="0.2">
      <c r="B1186" s="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row>
    <row r="1187" spans="2:28" x14ac:dyDescent="0.2">
      <c r="B1187" s="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row>
    <row r="1188" spans="2:28" x14ac:dyDescent="0.2">
      <c r="B1188" s="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row>
    <row r="1189" spans="2:28" x14ac:dyDescent="0.2">
      <c r="B1189" s="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row>
    <row r="1190" spans="2:28" x14ac:dyDescent="0.2">
      <c r="B1190" s="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row>
    <row r="1191" spans="2:28" x14ac:dyDescent="0.2">
      <c r="B1191" s="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row>
    <row r="1192" spans="2:28" x14ac:dyDescent="0.2">
      <c r="B1192" s="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row>
    <row r="1193" spans="2:28" x14ac:dyDescent="0.2">
      <c r="B1193" s="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row>
    <row r="1194" spans="2:28" x14ac:dyDescent="0.2">
      <c r="B1194" s="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row>
    <row r="1195" spans="2:28" x14ac:dyDescent="0.2">
      <c r="B1195" s="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row>
    <row r="1196" spans="2:28" x14ac:dyDescent="0.2">
      <c r="B1196" s="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row>
    <row r="1197" spans="2:28" x14ac:dyDescent="0.2">
      <c r="B1197" s="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row>
    <row r="1198" spans="2:28" x14ac:dyDescent="0.2">
      <c r="B1198" s="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row>
    <row r="1199" spans="2:28" x14ac:dyDescent="0.2">
      <c r="B1199" s="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row>
    <row r="1200" spans="2:28" x14ac:dyDescent="0.2">
      <c r="B1200" s="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row>
    <row r="1201" spans="2:28" x14ac:dyDescent="0.2">
      <c r="B1201" s="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row>
    <row r="1202" spans="2:28" x14ac:dyDescent="0.2">
      <c r="B1202" s="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row>
    <row r="1203" spans="2:28" x14ac:dyDescent="0.2">
      <c r="B1203" s="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row>
    <row r="1204" spans="2:28" x14ac:dyDescent="0.2">
      <c r="B1204" s="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row>
    <row r="1205" spans="2:28" x14ac:dyDescent="0.2">
      <c r="B1205" s="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row>
    <row r="1206" spans="2:28" x14ac:dyDescent="0.2">
      <c r="B1206" s="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row>
    <row r="1207" spans="2:28" x14ac:dyDescent="0.2">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row>
    <row r="1208" spans="2:28" x14ac:dyDescent="0.2">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row>
    <row r="1209" spans="2:28" x14ac:dyDescent="0.2">
      <c r="B1209" s="2"/>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row>
    <row r="1210" spans="2:28" x14ac:dyDescent="0.2">
      <c r="B1210" s="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row>
    <row r="1211" spans="2:28" x14ac:dyDescent="0.2">
      <c r="B1211" s="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row>
    <row r="1212" spans="2:28" x14ac:dyDescent="0.2">
      <c r="B1212" s="2"/>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row>
    <row r="1213" spans="2:28" x14ac:dyDescent="0.2">
      <c r="B1213" s="2"/>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row>
    <row r="1214" spans="2:28" x14ac:dyDescent="0.2">
      <c r="B1214" s="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row>
    <row r="1215" spans="2:28" x14ac:dyDescent="0.2">
      <c r="B1215" s="2"/>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row>
    <row r="1216" spans="2:28" x14ac:dyDescent="0.2">
      <c r="B1216" s="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row>
    <row r="1217" spans="2:28" x14ac:dyDescent="0.2">
      <c r="B1217" s="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row>
    <row r="1218" spans="2:28" x14ac:dyDescent="0.2">
      <c r="B1218" s="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row>
    <row r="1219" spans="2:28" x14ac:dyDescent="0.2">
      <c r="B1219" s="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row>
    <row r="1220" spans="2:28" x14ac:dyDescent="0.2">
      <c r="B1220" s="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row>
    <row r="1221" spans="2:28" x14ac:dyDescent="0.2">
      <c r="B1221" s="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row>
    <row r="1222" spans="2:28" x14ac:dyDescent="0.2">
      <c r="B1222" s="2"/>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row>
    <row r="1223" spans="2:28" x14ac:dyDescent="0.2">
      <c r="B1223" s="2"/>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row>
    <row r="1224" spans="2:28" x14ac:dyDescent="0.2">
      <c r="B1224" s="2"/>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row>
    <row r="1225" spans="2:28" x14ac:dyDescent="0.2">
      <c r="B1225" s="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row>
    <row r="1226" spans="2:28" x14ac:dyDescent="0.2">
      <c r="B1226" s="2"/>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row>
    <row r="1227" spans="2:28" x14ac:dyDescent="0.2">
      <c r="B1227" s="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row>
    <row r="1228" spans="2:28" x14ac:dyDescent="0.2">
      <c r="B1228" s="2"/>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row>
    <row r="1229" spans="2:28" x14ac:dyDescent="0.2">
      <c r="B1229" s="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row>
    <row r="1230" spans="2:28" x14ac:dyDescent="0.2">
      <c r="B1230" s="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row>
    <row r="1231" spans="2:28" x14ac:dyDescent="0.2">
      <c r="B1231" s="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row>
    <row r="1232" spans="2:28" x14ac:dyDescent="0.2">
      <c r="B1232" s="2"/>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row>
    <row r="1233" spans="2:28" x14ac:dyDescent="0.2">
      <c r="B1233" s="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row>
    <row r="1234" spans="2:28" x14ac:dyDescent="0.2">
      <c r="B1234" s="2"/>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row>
    <row r="1235" spans="2:28" x14ac:dyDescent="0.2">
      <c r="B1235" s="2"/>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row>
    <row r="1236" spans="2:28" x14ac:dyDescent="0.2">
      <c r="B1236" s="2"/>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row>
    <row r="1237" spans="2:28" x14ac:dyDescent="0.2">
      <c r="B1237" s="2"/>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row>
    <row r="1238" spans="2:28" x14ac:dyDescent="0.2">
      <c r="B1238" s="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row>
    <row r="1239" spans="2:28" x14ac:dyDescent="0.2">
      <c r="B1239" s="2"/>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row>
    <row r="1240" spans="2:28" x14ac:dyDescent="0.2">
      <c r="B1240" s="2"/>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row>
    <row r="1241" spans="2:28" x14ac:dyDescent="0.2">
      <c r="B1241" s="2"/>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row>
    <row r="1242" spans="2:28" x14ac:dyDescent="0.2">
      <c r="B1242" s="2"/>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row>
    <row r="1243" spans="2:28" x14ac:dyDescent="0.2">
      <c r="B1243" s="2"/>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row>
    <row r="1244" spans="2:28" x14ac:dyDescent="0.2">
      <c r="B1244" s="2"/>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row>
    <row r="1245" spans="2:28" x14ac:dyDescent="0.2">
      <c r="B1245" s="2"/>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row>
    <row r="1246" spans="2:28" x14ac:dyDescent="0.2">
      <c r="B1246" s="2"/>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row>
    <row r="1247" spans="2:28" x14ac:dyDescent="0.2">
      <c r="B1247" s="2"/>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row>
    <row r="1248" spans="2:28" x14ac:dyDescent="0.2">
      <c r="B1248" s="2"/>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row>
    <row r="1249" spans="2:28" x14ac:dyDescent="0.2">
      <c r="B1249" s="2"/>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row>
    <row r="1250" spans="2:28" x14ac:dyDescent="0.2">
      <c r="B1250" s="2"/>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row>
    <row r="1251" spans="2:28" x14ac:dyDescent="0.2">
      <c r="B1251" s="2"/>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row>
    <row r="1252" spans="2:28" x14ac:dyDescent="0.2">
      <c r="B1252" s="2"/>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row>
    <row r="1253" spans="2:28" x14ac:dyDescent="0.2">
      <c r="B1253" s="2"/>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row>
    <row r="1254" spans="2:28" x14ac:dyDescent="0.2">
      <c r="B1254" s="2"/>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row>
    <row r="1255" spans="2:28" x14ac:dyDescent="0.2">
      <c r="B1255" s="2"/>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row>
    <row r="1256" spans="2:28" x14ac:dyDescent="0.2">
      <c r="B1256" s="2"/>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row>
    <row r="1257" spans="2:28" x14ac:dyDescent="0.2">
      <c r="B1257" s="2"/>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row>
    <row r="1258" spans="2:28" x14ac:dyDescent="0.2">
      <c r="B1258" s="2"/>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row>
    <row r="1259" spans="2:28" x14ac:dyDescent="0.2">
      <c r="B1259" s="2"/>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row>
    <row r="1260" spans="2:28" x14ac:dyDescent="0.2">
      <c r="B1260" s="2"/>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row>
    <row r="1261" spans="2:28" x14ac:dyDescent="0.2">
      <c r="B1261" s="2"/>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row>
    <row r="1262" spans="2:28" x14ac:dyDescent="0.2">
      <c r="B1262" s="2"/>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row>
    <row r="1263" spans="2:28" x14ac:dyDescent="0.2">
      <c r="B1263" s="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row>
    <row r="1264" spans="2:28" x14ac:dyDescent="0.2">
      <c r="B1264" s="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row>
    <row r="1265" spans="2:28" x14ac:dyDescent="0.2">
      <c r="B1265" s="2"/>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row>
    <row r="1266" spans="2:28" x14ac:dyDescent="0.2">
      <c r="B1266" s="2"/>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row>
    <row r="1267" spans="2:28" x14ac:dyDescent="0.2">
      <c r="B1267" s="2"/>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row>
    <row r="1268" spans="2:28" x14ac:dyDescent="0.2">
      <c r="B1268" s="2"/>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row>
    <row r="1269" spans="2:28" x14ac:dyDescent="0.2">
      <c r="B1269" s="2"/>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row>
    <row r="1270" spans="2:28" x14ac:dyDescent="0.2">
      <c r="B1270" s="2"/>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row>
    <row r="1271" spans="2:28" x14ac:dyDescent="0.2">
      <c r="B1271" s="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row>
    <row r="1272" spans="2:28" x14ac:dyDescent="0.2">
      <c r="B1272" s="2"/>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row>
    <row r="1273" spans="2:28" x14ac:dyDescent="0.2">
      <c r="B1273" s="2"/>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row>
    <row r="1274" spans="2:28" x14ac:dyDescent="0.2">
      <c r="B1274" s="2"/>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row>
    <row r="1275" spans="2:28" x14ac:dyDescent="0.2">
      <c r="B1275" s="2"/>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row>
    <row r="1276" spans="2:28" x14ac:dyDescent="0.2">
      <c r="B1276" s="2"/>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row>
    <row r="1277" spans="2:28" x14ac:dyDescent="0.2">
      <c r="B1277" s="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row>
    <row r="1278" spans="2:28" x14ac:dyDescent="0.2">
      <c r="B1278" s="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row>
    <row r="1279" spans="2:28" x14ac:dyDescent="0.2">
      <c r="B1279" s="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row>
    <row r="1280" spans="2:28" x14ac:dyDescent="0.2">
      <c r="B1280" s="2"/>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row>
    <row r="1281" spans="2:28" x14ac:dyDescent="0.2">
      <c r="B1281" s="2"/>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row>
    <row r="1282" spans="2:28" x14ac:dyDescent="0.2">
      <c r="B1282" s="2"/>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row>
    <row r="1283" spans="2:28" x14ac:dyDescent="0.2">
      <c r="B1283" s="2"/>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row>
    <row r="1284" spans="2:28" x14ac:dyDescent="0.2">
      <c r="B1284" s="2"/>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row>
    <row r="1285" spans="2:28" x14ac:dyDescent="0.2">
      <c r="B1285" s="2"/>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row>
    <row r="1286" spans="2:28" x14ac:dyDescent="0.2">
      <c r="B1286" s="2"/>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row>
    <row r="1287" spans="2:28" x14ac:dyDescent="0.2">
      <c r="B1287" s="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row>
    <row r="1288" spans="2:28" x14ac:dyDescent="0.2">
      <c r="B1288" s="2"/>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row>
    <row r="1289" spans="2:28" x14ac:dyDescent="0.2">
      <c r="B1289" s="2"/>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row>
    <row r="1290" spans="2:28" x14ac:dyDescent="0.2">
      <c r="B1290" s="2"/>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row>
    <row r="1291" spans="2:28" x14ac:dyDescent="0.2">
      <c r="B1291" s="2"/>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row>
    <row r="1292" spans="2:28" x14ac:dyDescent="0.2">
      <c r="B1292" s="2"/>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row>
    <row r="1293" spans="2:28" x14ac:dyDescent="0.2">
      <c r="B1293" s="2"/>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row>
    <row r="1294" spans="2:28" x14ac:dyDescent="0.2">
      <c r="B1294" s="2"/>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row>
    <row r="1295" spans="2:28" x14ac:dyDescent="0.2">
      <c r="B1295" s="2"/>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row>
    <row r="1296" spans="2:28" x14ac:dyDescent="0.2">
      <c r="B1296" s="2"/>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row>
    <row r="1297" spans="2:28" x14ac:dyDescent="0.2">
      <c r="B1297" s="2"/>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row>
    <row r="1298" spans="2:28" x14ac:dyDescent="0.2">
      <c r="B1298" s="2"/>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row>
    <row r="1299" spans="2:28" x14ac:dyDescent="0.2">
      <c r="B1299" s="2"/>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row>
    <row r="1300" spans="2:28" x14ac:dyDescent="0.2">
      <c r="B1300" s="2"/>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row>
    <row r="1301" spans="2:28" x14ac:dyDescent="0.2">
      <c r="B1301" s="2"/>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row>
    <row r="1302" spans="2:28" x14ac:dyDescent="0.2">
      <c r="B1302" s="2"/>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row>
    <row r="1303" spans="2:28" x14ac:dyDescent="0.2">
      <c r="B1303" s="2"/>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row>
    <row r="1304" spans="2:28" x14ac:dyDescent="0.2">
      <c r="B1304" s="2"/>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row>
    <row r="1305" spans="2:28" x14ac:dyDescent="0.2">
      <c r="B1305" s="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row>
    <row r="1306" spans="2:28" x14ac:dyDescent="0.2">
      <c r="B1306" s="2"/>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row>
    <row r="1307" spans="2:28" x14ac:dyDescent="0.2">
      <c r="B1307" s="2"/>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row>
    <row r="1308" spans="2:28" x14ac:dyDescent="0.2">
      <c r="B1308" s="2"/>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row>
    <row r="1309" spans="2:28" x14ac:dyDescent="0.2">
      <c r="B1309" s="2"/>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row>
    <row r="1310" spans="2:28" x14ac:dyDescent="0.2">
      <c r="B1310" s="2"/>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row>
    <row r="1311" spans="2:28" x14ac:dyDescent="0.2">
      <c r="B1311" s="2"/>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row>
    <row r="1312" spans="2:28" x14ac:dyDescent="0.2">
      <c r="B1312" s="2"/>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row>
    <row r="1313" spans="2:28" x14ac:dyDescent="0.2">
      <c r="B1313" s="2"/>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row>
    <row r="1314" spans="2:28" x14ac:dyDescent="0.2">
      <c r="B1314" s="2"/>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row>
    <row r="1315" spans="2:28" x14ac:dyDescent="0.2">
      <c r="B1315" s="2"/>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row>
    <row r="1316" spans="2:28" x14ac:dyDescent="0.2">
      <c r="B1316" s="2"/>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row>
    <row r="1317" spans="2:28" x14ac:dyDescent="0.2">
      <c r="B1317" s="2"/>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row>
    <row r="1318" spans="2:28" x14ac:dyDescent="0.2">
      <c r="B1318" s="2"/>
      <c r="C1318" s="2"/>
      <c r="D1318" s="2"/>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row>
    <row r="1319" spans="2:28" x14ac:dyDescent="0.2">
      <c r="B1319" s="2"/>
      <c r="C1319" s="2"/>
      <c r="D1319" s="2"/>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row>
    <row r="1320" spans="2:28" x14ac:dyDescent="0.2">
      <c r="B1320" s="2"/>
      <c r="C1320" s="2"/>
      <c r="D1320" s="2"/>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row>
    <row r="1321" spans="2:28" x14ac:dyDescent="0.2">
      <c r="B1321" s="2"/>
      <c r="C1321" s="2"/>
      <c r="D1321" s="2"/>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row>
    <row r="1322" spans="2:28" x14ac:dyDescent="0.2">
      <c r="B1322" s="2"/>
      <c r="C1322" s="2"/>
      <c r="D1322" s="2"/>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row>
    <row r="1323" spans="2:28" x14ac:dyDescent="0.2">
      <c r="B1323" s="2"/>
      <c r="C1323" s="2"/>
      <c r="D1323" s="2"/>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row>
    <row r="1324" spans="2:28" x14ac:dyDescent="0.2">
      <c r="B1324" s="2"/>
      <c r="C1324" s="2"/>
      <c r="D1324" s="2"/>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row>
    <row r="1325" spans="2:28" x14ac:dyDescent="0.2">
      <c r="B1325" s="2"/>
      <c r="C1325" s="2"/>
      <c r="D1325" s="2"/>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row>
    <row r="1326" spans="2:28" x14ac:dyDescent="0.2">
      <c r="B1326" s="2"/>
      <c r="C1326" s="2"/>
      <c r="D1326" s="2"/>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row>
    <row r="1327" spans="2:28" x14ac:dyDescent="0.2">
      <c r="B1327" s="2"/>
      <c r="C1327" s="2"/>
      <c r="D1327" s="2"/>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row>
    <row r="1328" spans="2:28" x14ac:dyDescent="0.2">
      <c r="B1328" s="2"/>
      <c r="C1328" s="2"/>
      <c r="D1328" s="2"/>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row>
    <row r="1329" spans="2:28" x14ac:dyDescent="0.2">
      <c r="B1329" s="2"/>
      <c r="C1329" s="2"/>
      <c r="D1329" s="2"/>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row>
    <row r="1330" spans="2:28" x14ac:dyDescent="0.2">
      <c r="B1330" s="2"/>
      <c r="C1330" s="2"/>
      <c r="D1330" s="2"/>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row>
    <row r="1331" spans="2:28" x14ac:dyDescent="0.2">
      <c r="B1331" s="2"/>
      <c r="C1331" s="2"/>
      <c r="D1331" s="2"/>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row>
    <row r="1332" spans="2:28" x14ac:dyDescent="0.2">
      <c r="B1332" s="2"/>
      <c r="C1332" s="2"/>
      <c r="D1332" s="2"/>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row>
    <row r="1333" spans="2:28" x14ac:dyDescent="0.2">
      <c r="B1333" s="2"/>
      <c r="C1333" s="2"/>
      <c r="D1333" s="2"/>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row>
    <row r="1334" spans="2:28" x14ac:dyDescent="0.2">
      <c r="B1334" s="2"/>
      <c r="C1334" s="2"/>
      <c r="D1334" s="2"/>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row>
    <row r="1335" spans="2:28" x14ac:dyDescent="0.2">
      <c r="B1335" s="2"/>
      <c r="C1335" s="2"/>
      <c r="D1335" s="2"/>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row>
    <row r="1336" spans="2:28" x14ac:dyDescent="0.2">
      <c r="B1336" s="2"/>
      <c r="C1336" s="2"/>
      <c r="D1336" s="2"/>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row>
    <row r="1337" spans="2:28" x14ac:dyDescent="0.2">
      <c r="B1337" s="2"/>
      <c r="C1337" s="2"/>
      <c r="D1337" s="2"/>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row>
    <row r="1338" spans="2:28" x14ac:dyDescent="0.2">
      <c r="B1338" s="2"/>
      <c r="C1338" s="2"/>
      <c r="D1338" s="2"/>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row>
    <row r="1339" spans="2:28" x14ac:dyDescent="0.2">
      <c r="B1339" s="2"/>
      <c r="C1339" s="2"/>
      <c r="D1339" s="2"/>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row>
    <row r="1340" spans="2:28" x14ac:dyDescent="0.2">
      <c r="B1340" s="2"/>
      <c r="C1340" s="2"/>
      <c r="D1340" s="2"/>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row>
    <row r="1341" spans="2:28" x14ac:dyDescent="0.2">
      <c r="B1341" s="2"/>
      <c r="C1341" s="2"/>
      <c r="D1341" s="2"/>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row>
    <row r="1342" spans="2:28" x14ac:dyDescent="0.2">
      <c r="B1342" s="2"/>
      <c r="C1342" s="2"/>
      <c r="D1342" s="2"/>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row>
    <row r="1343" spans="2:28" x14ac:dyDescent="0.2">
      <c r="B1343" s="2"/>
      <c r="C1343" s="2"/>
      <c r="D1343" s="2"/>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row>
    <row r="1344" spans="2:28" x14ac:dyDescent="0.2">
      <c r="B1344" s="2"/>
      <c r="C1344" s="2"/>
      <c r="D1344" s="2"/>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row>
    <row r="1345" spans="2:28" x14ac:dyDescent="0.2">
      <c r="B1345" s="2"/>
      <c r="C1345" s="2"/>
      <c r="D1345" s="2"/>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row>
    <row r="1346" spans="2:28" x14ac:dyDescent="0.2">
      <c r="B1346" s="2"/>
      <c r="C1346" s="2"/>
      <c r="D1346" s="2"/>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row>
    <row r="1347" spans="2:28" x14ac:dyDescent="0.2">
      <c r="B1347" s="2"/>
      <c r="C1347" s="2"/>
      <c r="D1347" s="2"/>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row>
    <row r="1348" spans="2:28" x14ac:dyDescent="0.2">
      <c r="B1348" s="2"/>
      <c r="C1348" s="2"/>
      <c r="D1348" s="2"/>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row>
    <row r="1349" spans="2:28" x14ac:dyDescent="0.2">
      <c r="B1349" s="2"/>
      <c r="C1349" s="2"/>
      <c r="D1349" s="2"/>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row>
    <row r="1350" spans="2:28" x14ac:dyDescent="0.2">
      <c r="B1350" s="2"/>
      <c r="C1350" s="2"/>
      <c r="D1350" s="2"/>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row>
    <row r="1351" spans="2:28" x14ac:dyDescent="0.2">
      <c r="B1351" s="2"/>
      <c r="C1351" s="2"/>
      <c r="D1351" s="2"/>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row>
    <row r="1352" spans="2:28" x14ac:dyDescent="0.2">
      <c r="B1352" s="2"/>
      <c r="C1352" s="2"/>
      <c r="D1352" s="2"/>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row>
    <row r="1353" spans="2:28" x14ac:dyDescent="0.2">
      <c r="B1353" s="2"/>
      <c r="C1353" s="2"/>
      <c r="D1353" s="2"/>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row>
    <row r="1354" spans="2:28" x14ac:dyDescent="0.2">
      <c r="B1354" s="2"/>
      <c r="C1354" s="2"/>
      <c r="D1354" s="2"/>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row>
    <row r="1355" spans="2:28" x14ac:dyDescent="0.2">
      <c r="B1355" s="2"/>
      <c r="C1355" s="2"/>
      <c r="D1355" s="2"/>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row>
    <row r="1356" spans="2:28" x14ac:dyDescent="0.2">
      <c r="B1356" s="2"/>
      <c r="C1356" s="2"/>
      <c r="D1356" s="2"/>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row>
    <row r="1357" spans="2:28" x14ac:dyDescent="0.2">
      <c r="B1357" s="2"/>
      <c r="C1357" s="2"/>
      <c r="D1357" s="2"/>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row>
    <row r="1358" spans="2:28" x14ac:dyDescent="0.2">
      <c r="B1358" s="2"/>
      <c r="C1358" s="2"/>
      <c r="D1358" s="2"/>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row>
    <row r="1359" spans="2:28" x14ac:dyDescent="0.2">
      <c r="B1359" s="2"/>
      <c r="C1359" s="2"/>
      <c r="D1359" s="2"/>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row>
    <row r="1360" spans="2:28" x14ac:dyDescent="0.2">
      <c r="B1360" s="2"/>
      <c r="C1360" s="2"/>
      <c r="D1360" s="2"/>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row>
    <row r="1361" spans="2:28" x14ac:dyDescent="0.2">
      <c r="B1361" s="2"/>
      <c r="C1361" s="2"/>
      <c r="D1361" s="2"/>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row>
    <row r="1362" spans="2:28" x14ac:dyDescent="0.2">
      <c r="B1362" s="2"/>
      <c r="C1362" s="2"/>
      <c r="D1362" s="2"/>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row>
    <row r="1363" spans="2:28" x14ac:dyDescent="0.2">
      <c r="B1363" s="2"/>
      <c r="C1363" s="2"/>
      <c r="D1363" s="2"/>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row>
    <row r="1364" spans="2:28" x14ac:dyDescent="0.2">
      <c r="B1364" s="2"/>
      <c r="C1364" s="2"/>
      <c r="D1364" s="2"/>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row>
    <row r="1365" spans="2:28" x14ac:dyDescent="0.2">
      <c r="B1365" s="2"/>
      <c r="C1365" s="2"/>
      <c r="D1365" s="2"/>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row>
    <row r="1366" spans="2:28" x14ac:dyDescent="0.2">
      <c r="B1366" s="2"/>
      <c r="C1366" s="2"/>
      <c r="D1366" s="2"/>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row>
    <row r="1367" spans="2:28" x14ac:dyDescent="0.2">
      <c r="B1367" s="2"/>
      <c r="C1367" s="2"/>
      <c r="D1367" s="2"/>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row>
    <row r="1368" spans="2:28" x14ac:dyDescent="0.2">
      <c r="B1368" s="2"/>
      <c r="C1368" s="2"/>
      <c r="D1368" s="2"/>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row>
    <row r="1369" spans="2:28" x14ac:dyDescent="0.2">
      <c r="B1369" s="2"/>
      <c r="C1369" s="2"/>
      <c r="D1369" s="2"/>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row>
    <row r="1370" spans="2:28" x14ac:dyDescent="0.2">
      <c r="B1370" s="2"/>
      <c r="C1370" s="2"/>
      <c r="D1370" s="2"/>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row>
    <row r="1371" spans="2:28" x14ac:dyDescent="0.2">
      <c r="B1371" s="2"/>
      <c r="C1371" s="2"/>
      <c r="D1371" s="2"/>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row>
    <row r="1372" spans="2:28" x14ac:dyDescent="0.2">
      <c r="B1372" s="2"/>
      <c r="C1372" s="2"/>
      <c r="D1372" s="2"/>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row>
    <row r="1373" spans="2:28" x14ac:dyDescent="0.2">
      <c r="B1373" s="2"/>
      <c r="C1373" s="2"/>
      <c r="D1373" s="2"/>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row>
    <row r="1374" spans="2:28" x14ac:dyDescent="0.2">
      <c r="B1374" s="2"/>
      <c r="C1374" s="2"/>
      <c r="D1374" s="2"/>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row>
    <row r="1375" spans="2:28" x14ac:dyDescent="0.2">
      <c r="B1375" s="2"/>
      <c r="C1375" s="2"/>
      <c r="D1375" s="2"/>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row>
    <row r="1376" spans="2:28" x14ac:dyDescent="0.2">
      <c r="B1376" s="2"/>
      <c r="C1376" s="2"/>
      <c r="D1376" s="2"/>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row>
    <row r="1377" spans="2:28" x14ac:dyDescent="0.2">
      <c r="B1377" s="2"/>
      <c r="C1377" s="2"/>
      <c r="D1377" s="2"/>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row>
    <row r="1378" spans="2:28" x14ac:dyDescent="0.2">
      <c r="B1378" s="2"/>
      <c r="C1378" s="2"/>
      <c r="D1378" s="2"/>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row>
    <row r="1379" spans="2:28" x14ac:dyDescent="0.2">
      <c r="B1379" s="2"/>
      <c r="C1379" s="2"/>
      <c r="D1379" s="2"/>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row>
    <row r="1380" spans="2:28" x14ac:dyDescent="0.2">
      <c r="B1380" s="2"/>
      <c r="C1380" s="2"/>
      <c r="D1380" s="2"/>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row>
    <row r="1381" spans="2:28" x14ac:dyDescent="0.2">
      <c r="B1381" s="2"/>
      <c r="C1381" s="2"/>
      <c r="D1381" s="2"/>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row>
    <row r="1382" spans="2:28" x14ac:dyDescent="0.2">
      <c r="B1382" s="2"/>
      <c r="C1382" s="2"/>
      <c r="D1382" s="2"/>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row>
    <row r="1383" spans="2:28" x14ac:dyDescent="0.2">
      <c r="B1383" s="2"/>
      <c r="C1383" s="2"/>
      <c r="D1383" s="2"/>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row>
    <row r="1384" spans="2:28" x14ac:dyDescent="0.2">
      <c r="B1384" s="2"/>
      <c r="C1384" s="2"/>
      <c r="D1384" s="2"/>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row>
    <row r="1385" spans="2:28" x14ac:dyDescent="0.2">
      <c r="B1385" s="2"/>
      <c r="C1385" s="2"/>
      <c r="D1385" s="2"/>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row>
    <row r="1386" spans="2:28" x14ac:dyDescent="0.2">
      <c r="B1386" s="2"/>
      <c r="C1386" s="2"/>
      <c r="D1386" s="2"/>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row>
    <row r="1387" spans="2:28" x14ac:dyDescent="0.2">
      <c r="B1387" s="2"/>
      <c r="C1387" s="2"/>
      <c r="D1387" s="2"/>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row>
    <row r="1388" spans="2:28" x14ac:dyDescent="0.2">
      <c r="B1388" s="2"/>
      <c r="C1388" s="2"/>
      <c r="D1388" s="2"/>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row>
    <row r="1389" spans="2:28" x14ac:dyDescent="0.2">
      <c r="B1389" s="2"/>
      <c r="C1389" s="2"/>
      <c r="D1389" s="2"/>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row>
    <row r="1390" spans="2:28" x14ac:dyDescent="0.2">
      <c r="B1390" s="2"/>
      <c r="C1390" s="2"/>
      <c r="D1390" s="2"/>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row>
    <row r="1391" spans="2:28" x14ac:dyDescent="0.2">
      <c r="B1391" s="2"/>
      <c r="C1391" s="2"/>
      <c r="D1391" s="2"/>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row>
    <row r="1392" spans="2:28" x14ac:dyDescent="0.2">
      <c r="B1392" s="2"/>
      <c r="C1392" s="2"/>
      <c r="D1392" s="2"/>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row>
    <row r="1393" spans="2:28" x14ac:dyDescent="0.2">
      <c r="B1393" s="2"/>
      <c r="C1393" s="2"/>
      <c r="D1393" s="2"/>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row>
    <row r="1394" spans="2:28" x14ac:dyDescent="0.2">
      <c r="B1394" s="2"/>
      <c r="C1394" s="2"/>
      <c r="D1394" s="2"/>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row>
    <row r="1395" spans="2:28" x14ac:dyDescent="0.2">
      <c r="B1395" s="2"/>
      <c r="C1395" s="2"/>
      <c r="D1395" s="2"/>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row>
    <row r="1396" spans="2:28" x14ac:dyDescent="0.2">
      <c r="B1396" s="2"/>
      <c r="C1396" s="2"/>
      <c r="D1396" s="2"/>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row>
    <row r="1397" spans="2:28" x14ac:dyDescent="0.2">
      <c r="B1397" s="2"/>
      <c r="C1397" s="2"/>
      <c r="D1397" s="2"/>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row>
    <row r="1398" spans="2:28" x14ac:dyDescent="0.2">
      <c r="B1398" s="2"/>
      <c r="C1398" s="2"/>
      <c r="D1398" s="2"/>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row>
    <row r="1399" spans="2:28" x14ac:dyDescent="0.2">
      <c r="B1399" s="2"/>
      <c r="C1399" s="2"/>
      <c r="D1399" s="2"/>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row>
    <row r="1400" spans="2:28" x14ac:dyDescent="0.2">
      <c r="B1400" s="2"/>
      <c r="C1400" s="2"/>
      <c r="D1400" s="2"/>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row>
    <row r="1401" spans="2:28" x14ac:dyDescent="0.2">
      <c r="B1401" s="2"/>
      <c r="C1401" s="2"/>
      <c r="D1401" s="2"/>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row>
    <row r="1402" spans="2:28" x14ac:dyDescent="0.2">
      <c r="B1402" s="2"/>
      <c r="C1402" s="2"/>
      <c r="D1402" s="2"/>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row>
    <row r="1403" spans="2:28" x14ac:dyDescent="0.2">
      <c r="B1403" s="2"/>
      <c r="C1403" s="2"/>
      <c r="D1403" s="2"/>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row>
    <row r="1404" spans="2:28" x14ac:dyDescent="0.2">
      <c r="B1404" s="2"/>
      <c r="C1404" s="2"/>
      <c r="D1404" s="2"/>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row>
    <row r="1405" spans="2:28" x14ac:dyDescent="0.2">
      <c r="B1405" s="2"/>
      <c r="C1405" s="2"/>
      <c r="D1405" s="2"/>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row>
    <row r="1406" spans="2:28" x14ac:dyDescent="0.2">
      <c r="B1406" s="2"/>
      <c r="C1406" s="2"/>
      <c r="D1406" s="2"/>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row>
    <row r="1407" spans="2:28" x14ac:dyDescent="0.2">
      <c r="B1407" s="2"/>
      <c r="C1407" s="2"/>
      <c r="D1407" s="2"/>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row>
    <row r="1408" spans="2:28" x14ac:dyDescent="0.2">
      <c r="B1408" s="2"/>
      <c r="C1408" s="2"/>
      <c r="D1408" s="2"/>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row>
    <row r="1409" spans="2:28" x14ac:dyDescent="0.2">
      <c r="B1409" s="2"/>
      <c r="C1409" s="2"/>
      <c r="D1409" s="2"/>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row>
    <row r="1410" spans="2:28" x14ac:dyDescent="0.2">
      <c r="B1410" s="2"/>
      <c r="C1410" s="2"/>
      <c r="D1410" s="2"/>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row>
    <row r="1411" spans="2:28" x14ac:dyDescent="0.2">
      <c r="B1411" s="2"/>
      <c r="C1411" s="2"/>
      <c r="D1411" s="2"/>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row>
    <row r="1412" spans="2:28" x14ac:dyDescent="0.2">
      <c r="B1412" s="2"/>
      <c r="C1412" s="2"/>
      <c r="D1412" s="2"/>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row>
    <row r="1413" spans="2:28" x14ac:dyDescent="0.2">
      <c r="B1413" s="2"/>
      <c r="C1413" s="2"/>
      <c r="D1413" s="2"/>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row>
    <row r="1414" spans="2:28" x14ac:dyDescent="0.2">
      <c r="B1414" s="2"/>
      <c r="C1414" s="2"/>
      <c r="D1414" s="2"/>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row>
    <row r="1415" spans="2:28" x14ac:dyDescent="0.2">
      <c r="B1415" s="2"/>
      <c r="C1415" s="2"/>
      <c r="D1415" s="2"/>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row>
    <row r="1416" spans="2:28" x14ac:dyDescent="0.2">
      <c r="B1416" s="2"/>
      <c r="C1416" s="2"/>
      <c r="D1416" s="2"/>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row>
    <row r="1417" spans="2:28" x14ac:dyDescent="0.2">
      <c r="B1417" s="2"/>
      <c r="C1417" s="2"/>
      <c r="D1417" s="2"/>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row>
    <row r="1418" spans="2:28" x14ac:dyDescent="0.2">
      <c r="B1418" s="2"/>
      <c r="C1418" s="2"/>
      <c r="D1418" s="2"/>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row>
    <row r="1419" spans="2:28" x14ac:dyDescent="0.2">
      <c r="B1419" s="2"/>
      <c r="C1419" s="2"/>
      <c r="D1419" s="2"/>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row>
    <row r="1420" spans="2:28" x14ac:dyDescent="0.2">
      <c r="B1420" s="2"/>
      <c r="C1420" s="2"/>
      <c r="D1420" s="2"/>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row>
    <row r="1421" spans="2:28" x14ac:dyDescent="0.2">
      <c r="B1421" s="2"/>
      <c r="C1421" s="2"/>
      <c r="D1421" s="2"/>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row>
    <row r="1422" spans="2:28" x14ac:dyDescent="0.2">
      <c r="B1422" s="2"/>
      <c r="C1422" s="2"/>
      <c r="D1422" s="2"/>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row>
    <row r="1423" spans="2:28" x14ac:dyDescent="0.2">
      <c r="B1423" s="2"/>
      <c r="C1423" s="2"/>
      <c r="D1423" s="2"/>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row>
    <row r="1424" spans="2:28" x14ac:dyDescent="0.2">
      <c r="B1424" s="2"/>
      <c r="C1424" s="2"/>
      <c r="D1424" s="2"/>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row>
    <row r="1425" spans="2:28" x14ac:dyDescent="0.2">
      <c r="B1425" s="2"/>
      <c r="C1425" s="2"/>
      <c r="D1425" s="2"/>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row>
    <row r="1426" spans="2:28" x14ac:dyDescent="0.2">
      <c r="B1426" s="2"/>
      <c r="C1426" s="2"/>
      <c r="D1426" s="2"/>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row>
    <row r="1427" spans="2:28" x14ac:dyDescent="0.2">
      <c r="B1427" s="2"/>
      <c r="C1427" s="2"/>
      <c r="D1427" s="2"/>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row>
    <row r="1428" spans="2:28" x14ac:dyDescent="0.2">
      <c r="B1428" s="2"/>
      <c r="C1428" s="2"/>
      <c r="D1428" s="2"/>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row>
    <row r="1429" spans="2:28" x14ac:dyDescent="0.2">
      <c r="B1429" s="2"/>
      <c r="C1429" s="2"/>
      <c r="D1429" s="2"/>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row>
    <row r="1430" spans="2:28" x14ac:dyDescent="0.2">
      <c r="B1430" s="2"/>
      <c r="C1430" s="2"/>
      <c r="D1430" s="2"/>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row>
    <row r="1431" spans="2:28" x14ac:dyDescent="0.2">
      <c r="B1431" s="2"/>
      <c r="C1431" s="2"/>
      <c r="D1431" s="2"/>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row>
    <row r="1432" spans="2:28" x14ac:dyDescent="0.2">
      <c r="B1432" s="2"/>
      <c r="C1432" s="2"/>
      <c r="D1432" s="2"/>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row>
    <row r="1433" spans="2:28" x14ac:dyDescent="0.2">
      <c r="B1433" s="2"/>
      <c r="C1433" s="2"/>
      <c r="D1433" s="2"/>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row>
    <row r="1434" spans="2:28" x14ac:dyDescent="0.2">
      <c r="B1434" s="2"/>
      <c r="C1434" s="2"/>
      <c r="D1434" s="2"/>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row>
    <row r="1435" spans="2:28" x14ac:dyDescent="0.2">
      <c r="B1435" s="2"/>
      <c r="C1435" s="2"/>
      <c r="D1435" s="2"/>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row>
    <row r="1436" spans="2:28" x14ac:dyDescent="0.2">
      <c r="B1436" s="2"/>
      <c r="C1436" s="2"/>
      <c r="D1436" s="2"/>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row>
    <row r="1437" spans="2:28" x14ac:dyDescent="0.2">
      <c r="B1437" s="2"/>
      <c r="C1437" s="2"/>
      <c r="D1437" s="2"/>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row>
    <row r="1438" spans="2:28" x14ac:dyDescent="0.2">
      <c r="B1438" s="2"/>
      <c r="C1438" s="2"/>
      <c r="D1438" s="2"/>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row>
    <row r="1439" spans="2:28" x14ac:dyDescent="0.2">
      <c r="B1439" s="2"/>
      <c r="C1439" s="2"/>
      <c r="D1439" s="2"/>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row>
    <row r="1440" spans="2:28" x14ac:dyDescent="0.2">
      <c r="B1440" s="2"/>
      <c r="C1440" s="2"/>
      <c r="D1440" s="2"/>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row>
    <row r="1441" spans="2:28" x14ac:dyDescent="0.2">
      <c r="B1441" s="2"/>
      <c r="C1441" s="2"/>
      <c r="D1441" s="2"/>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row>
    <row r="1442" spans="2:28" x14ac:dyDescent="0.2">
      <c r="B1442" s="2"/>
      <c r="C1442" s="2"/>
      <c r="D1442" s="2"/>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row>
    <row r="1443" spans="2:28" x14ac:dyDescent="0.2">
      <c r="B1443" s="2"/>
      <c r="C1443" s="2"/>
      <c r="D1443" s="2"/>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row>
    <row r="1444" spans="2:28" x14ac:dyDescent="0.2">
      <c r="B1444" s="2"/>
      <c r="C1444" s="2"/>
      <c r="D1444" s="2"/>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row>
    <row r="1445" spans="2:28" x14ac:dyDescent="0.2">
      <c r="B1445" s="2"/>
      <c r="C1445" s="2"/>
      <c r="D1445" s="2"/>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row>
    <row r="1446" spans="2:28" x14ac:dyDescent="0.2">
      <c r="B1446" s="2"/>
      <c r="C1446" s="2"/>
      <c r="D1446" s="2"/>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row>
    <row r="1447" spans="2:28" x14ac:dyDescent="0.2">
      <c r="B1447" s="2"/>
      <c r="C1447" s="2"/>
      <c r="D1447" s="2"/>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row>
    <row r="1448" spans="2:28" x14ac:dyDescent="0.2">
      <c r="B1448" s="2"/>
      <c r="C1448" s="2"/>
      <c r="D1448" s="2"/>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row>
    <row r="1449" spans="2:28" x14ac:dyDescent="0.2">
      <c r="B1449" s="2"/>
      <c r="C1449" s="2"/>
      <c r="D1449" s="2"/>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row>
    <row r="1450" spans="2:28" x14ac:dyDescent="0.2">
      <c r="B1450" s="2"/>
      <c r="C1450" s="2"/>
      <c r="D1450" s="2"/>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row>
    <row r="1451" spans="2:28" x14ac:dyDescent="0.2">
      <c r="B1451" s="2"/>
      <c r="C1451" s="2"/>
      <c r="D1451" s="2"/>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row>
    <row r="1452" spans="2:28" x14ac:dyDescent="0.2">
      <c r="B1452" s="2"/>
      <c r="C1452" s="2"/>
      <c r="D1452" s="2"/>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row>
    <row r="1453" spans="2:28" x14ac:dyDescent="0.2">
      <c r="B1453" s="2"/>
      <c r="C1453" s="2"/>
      <c r="D1453" s="2"/>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row>
    <row r="1454" spans="2:28" x14ac:dyDescent="0.2">
      <c r="B1454" s="2"/>
      <c r="C1454" s="2"/>
      <c r="D1454" s="2"/>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row>
    <row r="1455" spans="2:28" x14ac:dyDescent="0.2">
      <c r="B1455" s="2"/>
      <c r="C1455" s="2"/>
      <c r="D1455" s="2"/>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row>
    <row r="1456" spans="2:28" x14ac:dyDescent="0.2">
      <c r="B1456" s="2"/>
      <c r="C1456" s="2"/>
      <c r="D1456" s="2"/>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row>
    <row r="1457" spans="2:28" x14ac:dyDescent="0.2">
      <c r="B1457" s="2"/>
      <c r="C1457" s="2"/>
      <c r="D1457" s="2"/>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row>
    <row r="1458" spans="2:28" x14ac:dyDescent="0.2">
      <c r="B1458" s="2"/>
      <c r="C1458" s="2"/>
      <c r="D1458" s="2"/>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row>
    <row r="1459" spans="2:28" x14ac:dyDescent="0.2">
      <c r="B1459" s="2"/>
      <c r="C1459" s="2"/>
      <c r="D1459" s="2"/>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row>
    <row r="1460" spans="2:28" x14ac:dyDescent="0.2">
      <c r="B1460" s="2"/>
      <c r="C1460" s="2"/>
      <c r="D1460" s="2"/>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row>
    <row r="1461" spans="2:28" x14ac:dyDescent="0.2">
      <c r="B1461" s="2"/>
      <c r="C1461" s="2"/>
      <c r="D1461" s="2"/>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row>
    <row r="1462" spans="2:28" x14ac:dyDescent="0.2">
      <c r="B1462" s="2"/>
      <c r="C1462" s="2"/>
      <c r="D1462" s="2"/>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row>
    <row r="1463" spans="2:28" x14ac:dyDescent="0.2">
      <c r="B1463" s="2"/>
      <c r="C1463" s="2"/>
      <c r="D1463" s="2"/>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row>
    <row r="1464" spans="2:28" x14ac:dyDescent="0.2">
      <c r="B1464" s="2"/>
      <c r="C1464" s="2"/>
      <c r="D1464" s="2"/>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row>
    <row r="1465" spans="2:28" x14ac:dyDescent="0.2">
      <c r="B1465" s="2"/>
      <c r="C1465" s="2"/>
      <c r="D1465" s="2"/>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row>
    <row r="1466" spans="2:28" x14ac:dyDescent="0.2">
      <c r="B1466" s="2"/>
      <c r="C1466" s="2"/>
      <c r="D1466" s="2"/>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row>
    <row r="1467" spans="2:28" x14ac:dyDescent="0.2">
      <c r="B1467" s="2"/>
      <c r="C1467" s="2"/>
      <c r="D1467" s="2"/>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row>
    <row r="1468" spans="2:28" x14ac:dyDescent="0.2">
      <c r="B1468" s="2"/>
      <c r="C1468" s="2"/>
      <c r="D1468" s="2"/>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row>
    <row r="1469" spans="2:28" x14ac:dyDescent="0.2">
      <c r="B1469" s="2"/>
      <c r="C1469" s="2"/>
      <c r="D1469" s="2"/>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row>
    <row r="1470" spans="2:28" x14ac:dyDescent="0.2">
      <c r="B1470" s="2"/>
      <c r="C1470" s="2"/>
      <c r="D1470" s="2"/>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row>
    <row r="1471" spans="2:28" x14ac:dyDescent="0.2">
      <c r="B1471" s="2"/>
      <c r="C1471" s="2"/>
      <c r="D1471" s="2"/>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row>
    <row r="1472" spans="2:28" x14ac:dyDescent="0.2">
      <c r="B1472" s="2"/>
      <c r="C1472" s="2"/>
      <c r="D1472" s="2"/>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row>
    <row r="1473" spans="2:28" x14ac:dyDescent="0.2">
      <c r="B1473" s="2"/>
      <c r="C1473" s="2"/>
      <c r="D1473" s="2"/>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row>
    <row r="1474" spans="2:28" x14ac:dyDescent="0.2">
      <c r="B1474" s="2"/>
      <c r="C1474" s="2"/>
      <c r="D1474" s="2"/>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row>
    <row r="1475" spans="2:28" x14ac:dyDescent="0.2">
      <c r="B1475" s="2"/>
      <c r="C1475" s="2"/>
      <c r="D1475" s="2"/>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row>
    <row r="1476" spans="2:28" x14ac:dyDescent="0.2">
      <c r="B1476" s="2"/>
      <c r="C1476" s="2"/>
      <c r="D1476" s="2"/>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row>
    <row r="1477" spans="2:28" x14ac:dyDescent="0.2">
      <c r="B1477" s="2"/>
      <c r="C1477" s="2"/>
      <c r="D1477" s="2"/>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row>
    <row r="1478" spans="2:28" x14ac:dyDescent="0.2">
      <c r="B1478" s="2"/>
      <c r="C1478" s="2"/>
      <c r="D1478" s="2"/>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row>
    <row r="1479" spans="2:28" x14ac:dyDescent="0.2">
      <c r="B1479" s="2"/>
      <c r="C1479" s="2"/>
      <c r="D1479" s="2"/>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row>
    <row r="1480" spans="2:28" x14ac:dyDescent="0.2">
      <c r="B1480" s="2"/>
      <c r="C1480" s="2"/>
      <c r="D1480" s="2"/>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row>
    <row r="1481" spans="2:28" x14ac:dyDescent="0.2">
      <c r="B1481" s="2"/>
      <c r="C1481" s="2"/>
      <c r="D1481" s="2"/>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row>
    <row r="1482" spans="2:28" x14ac:dyDescent="0.2">
      <c r="B1482" s="2"/>
      <c r="C1482" s="2"/>
      <c r="D1482" s="2"/>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row>
    <row r="1483" spans="2:28" x14ac:dyDescent="0.2">
      <c r="B1483" s="2"/>
      <c r="C1483" s="2"/>
      <c r="D1483" s="2"/>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row>
    <row r="1484" spans="2:28" x14ac:dyDescent="0.2">
      <c r="B1484" s="2"/>
      <c r="C1484" s="2"/>
      <c r="D1484" s="2"/>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row>
    <row r="1485" spans="2:28" x14ac:dyDescent="0.2">
      <c r="B1485" s="2"/>
      <c r="C1485" s="2"/>
      <c r="D1485" s="2"/>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row>
    <row r="1486" spans="2:28" x14ac:dyDescent="0.2">
      <c r="B1486" s="2"/>
      <c r="C1486" s="2"/>
      <c r="D1486" s="2"/>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row>
    <row r="1487" spans="2:28" x14ac:dyDescent="0.2">
      <c r="B1487" s="2"/>
      <c r="C1487" s="2"/>
      <c r="D1487" s="2"/>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row>
    <row r="1488" spans="2:28" x14ac:dyDescent="0.2">
      <c r="B1488" s="2"/>
      <c r="C1488" s="2"/>
      <c r="D1488" s="2"/>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row>
    <row r="1489" spans="2:28" x14ac:dyDescent="0.2">
      <c r="B1489" s="2"/>
      <c r="C1489" s="2"/>
      <c r="D1489" s="2"/>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row>
    <row r="1490" spans="2:28" x14ac:dyDescent="0.2">
      <c r="B1490" s="2"/>
      <c r="C1490" s="2"/>
      <c r="D1490" s="2"/>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row>
    <row r="1491" spans="2:28" x14ac:dyDescent="0.2">
      <c r="B1491" s="2"/>
      <c r="C1491" s="2"/>
      <c r="D1491" s="2"/>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row>
    <row r="1492" spans="2:28" x14ac:dyDescent="0.2">
      <c r="B1492" s="2"/>
      <c r="C1492" s="2"/>
      <c r="D1492" s="2"/>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row>
    <row r="1493" spans="2:28" x14ac:dyDescent="0.2">
      <c r="B1493" s="2"/>
      <c r="C1493" s="2"/>
      <c r="D1493" s="2"/>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row>
    <row r="1494" spans="2:28" x14ac:dyDescent="0.2">
      <c r="B1494" s="2"/>
      <c r="C1494" s="2"/>
      <c r="D1494" s="2"/>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row>
    <row r="1495" spans="2:28" x14ac:dyDescent="0.2">
      <c r="B1495" s="2"/>
      <c r="C1495" s="2"/>
      <c r="D1495" s="2"/>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row>
    <row r="1496" spans="2:28" x14ac:dyDescent="0.2">
      <c r="B1496" s="2"/>
      <c r="C1496" s="2"/>
      <c r="D1496" s="2"/>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row>
    <row r="1497" spans="2:28" x14ac:dyDescent="0.2">
      <c r="B1497" s="2"/>
      <c r="C1497" s="2"/>
      <c r="D1497" s="2"/>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row>
    <row r="1498" spans="2:28" x14ac:dyDescent="0.2">
      <c r="B1498" s="2"/>
      <c r="C1498" s="2"/>
      <c r="D1498" s="2"/>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row>
    <row r="1499" spans="2:28" x14ac:dyDescent="0.2">
      <c r="B1499" s="2"/>
      <c r="C1499" s="2"/>
      <c r="D1499" s="2"/>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row>
    <row r="1500" spans="2:28" x14ac:dyDescent="0.2">
      <c r="B1500" s="2"/>
      <c r="C1500" s="2"/>
      <c r="D1500" s="2"/>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row>
    <row r="1501" spans="2:28" x14ac:dyDescent="0.2">
      <c r="B1501" s="2"/>
      <c r="C1501" s="2"/>
      <c r="D1501" s="2"/>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row>
    <row r="1502" spans="2:28" x14ac:dyDescent="0.2">
      <c r="B1502" s="2"/>
      <c r="C1502" s="2"/>
      <c r="D1502" s="2"/>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row>
    <row r="1503" spans="2:28" x14ac:dyDescent="0.2">
      <c r="B1503" s="2"/>
      <c r="C1503" s="2"/>
      <c r="D1503" s="2"/>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row>
    <row r="1504" spans="2:28" x14ac:dyDescent="0.2">
      <c r="B1504" s="2"/>
      <c r="C1504" s="2"/>
      <c r="D1504" s="2"/>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row>
    <row r="1505" spans="2:28" x14ac:dyDescent="0.2">
      <c r="B1505" s="2"/>
      <c r="C1505" s="2"/>
      <c r="D1505" s="2"/>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row>
    <row r="1506" spans="2:28" x14ac:dyDescent="0.2">
      <c r="B1506" s="2"/>
      <c r="C1506" s="2"/>
      <c r="D1506" s="2"/>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row>
    <row r="1507" spans="2:28" x14ac:dyDescent="0.2">
      <c r="B1507" s="2"/>
      <c r="C1507" s="2"/>
      <c r="D1507" s="2"/>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row>
    <row r="1508" spans="2:28" x14ac:dyDescent="0.2">
      <c r="B1508" s="2"/>
      <c r="C1508" s="2"/>
      <c r="D1508" s="2"/>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row>
    <row r="1509" spans="2:28" x14ac:dyDescent="0.2">
      <c r="B1509" s="2"/>
      <c r="C1509" s="2"/>
      <c r="D1509" s="2"/>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row>
    <row r="1510" spans="2:28" x14ac:dyDescent="0.2">
      <c r="B1510" s="2"/>
      <c r="C1510" s="2"/>
      <c r="D1510" s="2"/>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row>
    <row r="1511" spans="2:28" x14ac:dyDescent="0.2">
      <c r="B1511" s="2"/>
      <c r="C1511" s="2"/>
      <c r="D1511" s="2"/>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row>
    <row r="1512" spans="2:28" x14ac:dyDescent="0.2">
      <c r="B1512" s="2"/>
      <c r="C1512" s="2"/>
      <c r="D1512" s="2"/>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row>
    <row r="1513" spans="2:28" x14ac:dyDescent="0.2">
      <c r="B1513" s="2"/>
      <c r="C1513" s="2"/>
      <c r="D1513" s="2"/>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row>
    <row r="1514" spans="2:28" x14ac:dyDescent="0.2">
      <c r="B1514" s="2"/>
      <c r="C1514" s="2"/>
      <c r="D1514" s="2"/>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row>
    <row r="1515" spans="2:28" x14ac:dyDescent="0.2">
      <c r="B1515" s="2"/>
      <c r="C1515" s="2"/>
      <c r="D1515" s="2"/>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row>
    <row r="1516" spans="2:28" x14ac:dyDescent="0.2">
      <c r="B1516" s="2"/>
      <c r="C1516" s="2"/>
      <c r="D1516" s="2"/>
      <c r="E1516" s="2"/>
      <c r="F1516" s="2"/>
      <c r="G1516" s="2"/>
      <c r="H1516" s="2"/>
      <c r="I1516" s="2"/>
      <c r="J1516" s="2"/>
      <c r="K1516" s="2"/>
      <c r="L1516" s="2"/>
      <c r="M1516" s="2"/>
      <c r="N1516" s="2"/>
      <c r="O1516" s="2"/>
      <c r="P1516" s="2"/>
      <c r="Q1516" s="2"/>
      <c r="R1516" s="2"/>
      <c r="S1516" s="2"/>
      <c r="T1516" s="2"/>
      <c r="U1516" s="2"/>
      <c r="V1516" s="2"/>
      <c r="W1516" s="2"/>
      <c r="X1516" s="2"/>
      <c r="Y1516" s="2"/>
      <c r="Z1516" s="2"/>
      <c r="AA1516" s="2"/>
      <c r="AB1516" s="2"/>
    </row>
    <row r="1517" spans="2:28" x14ac:dyDescent="0.2">
      <c r="B1517" s="2"/>
      <c r="C1517" s="2"/>
      <c r="D1517" s="2"/>
      <c r="E1517" s="2"/>
      <c r="F1517" s="2"/>
      <c r="G1517" s="2"/>
      <c r="H1517" s="2"/>
      <c r="I1517" s="2"/>
      <c r="J1517" s="2"/>
      <c r="K1517" s="2"/>
      <c r="L1517" s="2"/>
      <c r="M1517" s="2"/>
      <c r="N1517" s="2"/>
      <c r="O1517" s="2"/>
      <c r="P1517" s="2"/>
      <c r="Q1517" s="2"/>
      <c r="R1517" s="2"/>
      <c r="S1517" s="2"/>
      <c r="T1517" s="2"/>
      <c r="U1517" s="2"/>
      <c r="V1517" s="2"/>
      <c r="W1517" s="2"/>
      <c r="X1517" s="2"/>
      <c r="Y1517" s="2"/>
      <c r="Z1517" s="2"/>
      <c r="AA1517" s="2"/>
      <c r="AB1517" s="2"/>
    </row>
    <row r="1518" spans="2:28" x14ac:dyDescent="0.2">
      <c r="B1518" s="2"/>
      <c r="C1518" s="2"/>
      <c r="D1518" s="2"/>
      <c r="E1518" s="2"/>
      <c r="F1518" s="2"/>
      <c r="G1518" s="2"/>
      <c r="H1518" s="2"/>
      <c r="I1518" s="2"/>
      <c r="J1518" s="2"/>
      <c r="K1518" s="2"/>
      <c r="L1518" s="2"/>
      <c r="M1518" s="2"/>
      <c r="N1518" s="2"/>
      <c r="O1518" s="2"/>
      <c r="P1518" s="2"/>
      <c r="Q1518" s="2"/>
      <c r="R1518" s="2"/>
      <c r="S1518" s="2"/>
      <c r="T1518" s="2"/>
      <c r="U1518" s="2"/>
      <c r="V1518" s="2"/>
      <c r="W1518" s="2"/>
      <c r="X1518" s="2"/>
      <c r="Y1518" s="2"/>
      <c r="Z1518" s="2"/>
      <c r="AA1518" s="2"/>
      <c r="AB1518" s="2"/>
    </row>
    <row r="1519" spans="2:28" x14ac:dyDescent="0.2">
      <c r="B1519" s="2"/>
      <c r="C1519" s="2"/>
      <c r="D1519" s="2"/>
      <c r="E1519" s="2"/>
      <c r="F1519" s="2"/>
      <c r="G1519" s="2"/>
      <c r="H1519" s="2"/>
      <c r="I1519" s="2"/>
      <c r="J1519" s="2"/>
      <c r="K1519" s="2"/>
      <c r="L1519" s="2"/>
      <c r="M1519" s="2"/>
      <c r="N1519" s="2"/>
      <c r="O1519" s="2"/>
      <c r="P1519" s="2"/>
      <c r="Q1519" s="2"/>
      <c r="R1519" s="2"/>
      <c r="S1519" s="2"/>
      <c r="T1519" s="2"/>
      <c r="U1519" s="2"/>
      <c r="V1519" s="2"/>
      <c r="W1519" s="2"/>
      <c r="X1519" s="2"/>
      <c r="Y1519" s="2"/>
      <c r="Z1519" s="2"/>
      <c r="AA1519" s="2"/>
      <c r="AB1519" s="2"/>
    </row>
    <row r="1520" spans="2:28" x14ac:dyDescent="0.2">
      <c r="B1520" s="2"/>
      <c r="C1520" s="2"/>
      <c r="D1520" s="2"/>
      <c r="E1520" s="2"/>
      <c r="F1520" s="2"/>
      <c r="G1520" s="2"/>
      <c r="H1520" s="2"/>
      <c r="I1520" s="2"/>
      <c r="J1520" s="2"/>
      <c r="K1520" s="2"/>
      <c r="L1520" s="2"/>
      <c r="M1520" s="2"/>
      <c r="N1520" s="2"/>
      <c r="O1520" s="2"/>
      <c r="P1520" s="2"/>
      <c r="Q1520" s="2"/>
      <c r="R1520" s="2"/>
      <c r="S1520" s="2"/>
      <c r="T1520" s="2"/>
      <c r="U1520" s="2"/>
      <c r="V1520" s="2"/>
      <c r="W1520" s="2"/>
      <c r="X1520" s="2"/>
      <c r="Y1520" s="2"/>
      <c r="Z1520" s="2"/>
      <c r="AA1520" s="2"/>
      <c r="AB1520" s="2"/>
    </row>
    <row r="1521" spans="2:28" x14ac:dyDescent="0.2">
      <c r="B1521" s="2"/>
      <c r="C1521" s="2"/>
      <c r="D1521" s="2"/>
      <c r="E1521" s="2"/>
      <c r="F1521" s="2"/>
      <c r="G1521" s="2"/>
      <c r="H1521" s="2"/>
      <c r="I1521" s="2"/>
      <c r="J1521" s="2"/>
      <c r="K1521" s="2"/>
      <c r="L1521" s="2"/>
      <c r="M1521" s="2"/>
      <c r="N1521" s="2"/>
      <c r="O1521" s="2"/>
      <c r="P1521" s="2"/>
      <c r="Q1521" s="2"/>
      <c r="R1521" s="2"/>
      <c r="S1521" s="2"/>
      <c r="T1521" s="2"/>
      <c r="U1521" s="2"/>
      <c r="V1521" s="2"/>
      <c r="W1521" s="2"/>
      <c r="X1521" s="2"/>
      <c r="Y1521" s="2"/>
      <c r="Z1521" s="2"/>
      <c r="AA1521" s="2"/>
      <c r="AB1521" s="2"/>
    </row>
    <row r="1522" spans="2:28" x14ac:dyDescent="0.2">
      <c r="B1522" s="2"/>
      <c r="C1522" s="2"/>
      <c r="D1522" s="2"/>
      <c r="E1522" s="2"/>
      <c r="F1522" s="2"/>
      <c r="G1522" s="2"/>
      <c r="H1522" s="2"/>
      <c r="I1522" s="2"/>
      <c r="J1522" s="2"/>
      <c r="K1522" s="2"/>
      <c r="L1522" s="2"/>
      <c r="M1522" s="2"/>
      <c r="N1522" s="2"/>
      <c r="O1522" s="2"/>
      <c r="P1522" s="2"/>
      <c r="Q1522" s="2"/>
      <c r="R1522" s="2"/>
      <c r="S1522" s="2"/>
      <c r="T1522" s="2"/>
      <c r="U1522" s="2"/>
      <c r="V1522" s="2"/>
      <c r="W1522" s="2"/>
      <c r="X1522" s="2"/>
      <c r="Y1522" s="2"/>
      <c r="Z1522" s="2"/>
      <c r="AA1522" s="2"/>
      <c r="AB1522" s="2"/>
    </row>
    <row r="1523" spans="2:28" x14ac:dyDescent="0.2">
      <c r="B1523" s="2"/>
      <c r="C1523" s="2"/>
      <c r="D1523" s="2"/>
      <c r="E1523" s="2"/>
      <c r="F1523" s="2"/>
      <c r="G1523" s="2"/>
      <c r="H1523" s="2"/>
      <c r="I1523" s="2"/>
      <c r="J1523" s="2"/>
      <c r="K1523" s="2"/>
      <c r="L1523" s="2"/>
      <c r="M1523" s="2"/>
      <c r="N1523" s="2"/>
      <c r="O1523" s="2"/>
      <c r="P1523" s="2"/>
      <c r="Q1523" s="2"/>
      <c r="R1523" s="2"/>
      <c r="S1523" s="2"/>
      <c r="T1523" s="2"/>
      <c r="U1523" s="2"/>
      <c r="V1523" s="2"/>
      <c r="W1523" s="2"/>
      <c r="X1523" s="2"/>
      <c r="Y1523" s="2"/>
      <c r="Z1523" s="2"/>
      <c r="AA1523" s="2"/>
      <c r="AB1523" s="2"/>
    </row>
    <row r="1524" spans="2:28" x14ac:dyDescent="0.2">
      <c r="B1524" s="2"/>
      <c r="C1524" s="2"/>
      <c r="D1524" s="2"/>
      <c r="E1524" s="2"/>
      <c r="F1524" s="2"/>
      <c r="G1524" s="2"/>
      <c r="H1524" s="2"/>
      <c r="I1524" s="2"/>
      <c r="J1524" s="2"/>
      <c r="K1524" s="2"/>
      <c r="L1524" s="2"/>
      <c r="M1524" s="2"/>
      <c r="N1524" s="2"/>
      <c r="O1524" s="2"/>
      <c r="P1524" s="2"/>
      <c r="Q1524" s="2"/>
      <c r="R1524" s="2"/>
      <c r="S1524" s="2"/>
      <c r="T1524" s="2"/>
      <c r="U1524" s="2"/>
      <c r="V1524" s="2"/>
      <c r="W1524" s="2"/>
      <c r="X1524" s="2"/>
      <c r="Y1524" s="2"/>
      <c r="Z1524" s="2"/>
      <c r="AA1524" s="2"/>
      <c r="AB1524" s="2"/>
    </row>
    <row r="1525" spans="2:28" x14ac:dyDescent="0.2">
      <c r="B1525" s="2"/>
      <c r="C1525" s="2"/>
      <c r="D1525" s="2"/>
      <c r="E1525" s="2"/>
      <c r="F1525" s="2"/>
      <c r="G1525" s="2"/>
      <c r="H1525" s="2"/>
      <c r="I1525" s="2"/>
      <c r="J1525" s="2"/>
      <c r="K1525" s="2"/>
      <c r="L1525" s="2"/>
      <c r="M1525" s="2"/>
      <c r="N1525" s="2"/>
      <c r="O1525" s="2"/>
      <c r="P1525" s="2"/>
      <c r="Q1525" s="2"/>
      <c r="R1525" s="2"/>
      <c r="S1525" s="2"/>
      <c r="T1525" s="2"/>
      <c r="U1525" s="2"/>
      <c r="V1525" s="2"/>
      <c r="W1525" s="2"/>
      <c r="X1525" s="2"/>
      <c r="Y1525" s="2"/>
      <c r="Z1525" s="2"/>
      <c r="AA1525" s="2"/>
      <c r="AB1525" s="2"/>
    </row>
    <row r="1526" spans="2:28" x14ac:dyDescent="0.2">
      <c r="B1526" s="2"/>
      <c r="C1526" s="2"/>
      <c r="D1526" s="2"/>
      <c r="E1526" s="2"/>
      <c r="F1526" s="2"/>
      <c r="G1526" s="2"/>
      <c r="H1526" s="2"/>
      <c r="I1526" s="2"/>
      <c r="J1526" s="2"/>
      <c r="K1526" s="2"/>
      <c r="L1526" s="2"/>
      <c r="M1526" s="2"/>
      <c r="N1526" s="2"/>
      <c r="O1526" s="2"/>
      <c r="P1526" s="2"/>
      <c r="Q1526" s="2"/>
      <c r="R1526" s="2"/>
      <c r="S1526" s="2"/>
      <c r="T1526" s="2"/>
      <c r="U1526" s="2"/>
      <c r="V1526" s="2"/>
      <c r="W1526" s="2"/>
      <c r="X1526" s="2"/>
      <c r="Y1526" s="2"/>
      <c r="Z1526" s="2"/>
      <c r="AA1526" s="2"/>
      <c r="AB1526" s="2"/>
    </row>
    <row r="1527" spans="2:28" x14ac:dyDescent="0.2">
      <c r="B1527" s="2"/>
      <c r="C1527" s="2"/>
      <c r="D1527" s="2"/>
      <c r="E1527" s="2"/>
      <c r="F1527" s="2"/>
      <c r="G1527" s="2"/>
      <c r="H1527" s="2"/>
      <c r="I1527" s="2"/>
      <c r="J1527" s="2"/>
      <c r="K1527" s="2"/>
      <c r="L1527" s="2"/>
      <c r="M1527" s="2"/>
      <c r="N1527" s="2"/>
      <c r="O1527" s="2"/>
      <c r="P1527" s="2"/>
      <c r="Q1527" s="2"/>
      <c r="R1527" s="2"/>
      <c r="S1527" s="2"/>
      <c r="T1527" s="2"/>
      <c r="U1527" s="2"/>
      <c r="V1527" s="2"/>
      <c r="W1527" s="2"/>
      <c r="X1527" s="2"/>
      <c r="Y1527" s="2"/>
      <c r="Z1527" s="2"/>
      <c r="AA1527" s="2"/>
      <c r="AB1527" s="2"/>
    </row>
    <row r="1528" spans="2:28" x14ac:dyDescent="0.2">
      <c r="B1528" s="2"/>
      <c r="C1528" s="2"/>
      <c r="D1528" s="2"/>
      <c r="E1528" s="2"/>
      <c r="F1528" s="2"/>
      <c r="G1528" s="2"/>
      <c r="H1528" s="2"/>
      <c r="I1528" s="2"/>
      <c r="J1528" s="2"/>
      <c r="K1528" s="2"/>
      <c r="L1528" s="2"/>
      <c r="M1528" s="2"/>
      <c r="N1528" s="2"/>
      <c r="O1528" s="2"/>
      <c r="P1528" s="2"/>
      <c r="Q1528" s="2"/>
      <c r="R1528" s="2"/>
      <c r="S1528" s="2"/>
      <c r="T1528" s="2"/>
      <c r="U1528" s="2"/>
      <c r="V1528" s="2"/>
      <c r="W1528" s="2"/>
      <c r="X1528" s="2"/>
      <c r="Y1528" s="2"/>
      <c r="Z1528" s="2"/>
      <c r="AA1528" s="2"/>
      <c r="AB1528" s="2"/>
    </row>
    <row r="1529" spans="2:28" x14ac:dyDescent="0.2">
      <c r="B1529" s="2"/>
      <c r="C1529" s="2"/>
      <c r="D1529" s="2"/>
      <c r="E1529" s="2"/>
      <c r="F1529" s="2"/>
      <c r="G1529" s="2"/>
      <c r="H1529" s="2"/>
      <c r="I1529" s="2"/>
      <c r="J1529" s="2"/>
      <c r="K1529" s="2"/>
      <c r="L1529" s="2"/>
      <c r="M1529" s="2"/>
      <c r="N1529" s="2"/>
      <c r="O1529" s="2"/>
      <c r="P1529" s="2"/>
      <c r="Q1529" s="2"/>
      <c r="R1529" s="2"/>
      <c r="S1529" s="2"/>
      <c r="T1529" s="2"/>
      <c r="U1529" s="2"/>
      <c r="V1529" s="2"/>
      <c r="W1529" s="2"/>
      <c r="X1529" s="2"/>
      <c r="Y1529" s="2"/>
      <c r="Z1529" s="2"/>
      <c r="AA1529" s="2"/>
      <c r="AB1529" s="2"/>
    </row>
    <row r="1530" spans="2:28" x14ac:dyDescent="0.2">
      <c r="B1530" s="2"/>
      <c r="C1530" s="2"/>
      <c r="D1530" s="2"/>
      <c r="E1530" s="2"/>
      <c r="F1530" s="2"/>
      <c r="G1530" s="2"/>
      <c r="H1530" s="2"/>
      <c r="I1530" s="2"/>
      <c r="J1530" s="2"/>
      <c r="K1530" s="2"/>
      <c r="L1530" s="2"/>
      <c r="M1530" s="2"/>
      <c r="N1530" s="2"/>
      <c r="O1530" s="2"/>
      <c r="P1530" s="2"/>
      <c r="Q1530" s="2"/>
      <c r="R1530" s="2"/>
      <c r="S1530" s="2"/>
      <c r="T1530" s="2"/>
      <c r="U1530" s="2"/>
      <c r="V1530" s="2"/>
      <c r="W1530" s="2"/>
      <c r="X1530" s="2"/>
      <c r="Y1530" s="2"/>
      <c r="Z1530" s="2"/>
      <c r="AA1530" s="2"/>
      <c r="AB1530" s="2"/>
    </row>
    <row r="1531" spans="2:28" x14ac:dyDescent="0.2">
      <c r="B1531" s="2"/>
      <c r="C1531" s="2"/>
      <c r="D1531" s="2"/>
      <c r="E1531" s="2"/>
      <c r="F1531" s="2"/>
      <c r="G1531" s="2"/>
      <c r="H1531" s="2"/>
      <c r="I1531" s="2"/>
      <c r="J1531" s="2"/>
      <c r="K1531" s="2"/>
      <c r="L1531" s="2"/>
      <c r="M1531" s="2"/>
      <c r="N1531" s="2"/>
      <c r="O1531" s="2"/>
      <c r="P1531" s="2"/>
      <c r="Q1531" s="2"/>
      <c r="R1531" s="2"/>
      <c r="S1531" s="2"/>
      <c r="T1531" s="2"/>
      <c r="U1531" s="2"/>
      <c r="V1531" s="2"/>
      <c r="W1531" s="2"/>
      <c r="X1531" s="2"/>
      <c r="Y1531" s="2"/>
      <c r="Z1531" s="2"/>
      <c r="AA1531" s="2"/>
      <c r="AB1531" s="2"/>
    </row>
    <row r="1532" spans="2:28" x14ac:dyDescent="0.2">
      <c r="B1532" s="2"/>
      <c r="C1532" s="2"/>
      <c r="D1532" s="2"/>
      <c r="E1532" s="2"/>
      <c r="F1532" s="2"/>
      <c r="G1532" s="2"/>
      <c r="H1532" s="2"/>
      <c r="I1532" s="2"/>
      <c r="J1532" s="2"/>
      <c r="K1532" s="2"/>
      <c r="L1532" s="2"/>
      <c r="M1532" s="2"/>
      <c r="N1532" s="2"/>
      <c r="O1532" s="2"/>
      <c r="P1532" s="2"/>
      <c r="Q1532" s="2"/>
      <c r="R1532" s="2"/>
      <c r="S1532" s="2"/>
      <c r="T1532" s="2"/>
      <c r="U1532" s="2"/>
      <c r="V1532" s="2"/>
      <c r="W1532" s="2"/>
      <c r="X1532" s="2"/>
      <c r="Y1532" s="2"/>
      <c r="Z1532" s="2"/>
      <c r="AA1532" s="2"/>
      <c r="AB1532" s="2"/>
    </row>
    <row r="1533" spans="2:28" x14ac:dyDescent="0.2">
      <c r="B1533" s="2"/>
      <c r="C1533" s="2"/>
      <c r="D1533" s="2"/>
      <c r="E1533" s="2"/>
      <c r="F1533" s="2"/>
      <c r="G1533" s="2"/>
      <c r="H1533" s="2"/>
      <c r="I1533" s="2"/>
      <c r="J1533" s="2"/>
      <c r="K1533" s="2"/>
      <c r="L1533" s="2"/>
      <c r="M1533" s="2"/>
      <c r="N1533" s="2"/>
      <c r="O1533" s="2"/>
      <c r="P1533" s="2"/>
      <c r="Q1533" s="2"/>
      <c r="R1533" s="2"/>
      <c r="S1533" s="2"/>
      <c r="T1533" s="2"/>
      <c r="U1533" s="2"/>
      <c r="V1533" s="2"/>
      <c r="W1533" s="2"/>
      <c r="X1533" s="2"/>
      <c r="Y1533" s="2"/>
      <c r="Z1533" s="2"/>
      <c r="AA1533" s="2"/>
      <c r="AB1533" s="2"/>
    </row>
    <row r="1534" spans="2:28" x14ac:dyDescent="0.2">
      <c r="B1534" s="2"/>
      <c r="C1534" s="2"/>
      <c r="D1534" s="2"/>
      <c r="E1534" s="2"/>
      <c r="F1534" s="2"/>
      <c r="G1534" s="2"/>
      <c r="H1534" s="2"/>
      <c r="I1534" s="2"/>
      <c r="J1534" s="2"/>
      <c r="K1534" s="2"/>
      <c r="L1534" s="2"/>
      <c r="M1534" s="2"/>
      <c r="N1534" s="2"/>
      <c r="O1534" s="2"/>
      <c r="P1534" s="2"/>
      <c r="Q1534" s="2"/>
      <c r="R1534" s="2"/>
      <c r="S1534" s="2"/>
      <c r="T1534" s="2"/>
      <c r="U1534" s="2"/>
      <c r="V1534" s="2"/>
      <c r="W1534" s="2"/>
      <c r="X1534" s="2"/>
      <c r="Y1534" s="2"/>
      <c r="Z1534" s="2"/>
      <c r="AA1534" s="2"/>
      <c r="AB1534" s="2"/>
    </row>
    <row r="1535" spans="2:28" x14ac:dyDescent="0.2">
      <c r="B1535" s="2"/>
      <c r="C1535" s="2"/>
      <c r="D1535" s="2"/>
      <c r="E1535" s="2"/>
      <c r="F1535" s="2"/>
      <c r="G1535" s="2"/>
      <c r="H1535" s="2"/>
      <c r="I1535" s="2"/>
      <c r="J1535" s="2"/>
      <c r="K1535" s="2"/>
      <c r="L1535" s="2"/>
      <c r="M1535" s="2"/>
      <c r="N1535" s="2"/>
      <c r="O1535" s="2"/>
      <c r="P1535" s="2"/>
      <c r="Q1535" s="2"/>
      <c r="R1535" s="2"/>
      <c r="S1535" s="2"/>
      <c r="T1535" s="2"/>
      <c r="U1535" s="2"/>
      <c r="V1535" s="2"/>
      <c r="W1535" s="2"/>
      <c r="X1535" s="2"/>
      <c r="Y1535" s="2"/>
      <c r="Z1535" s="2"/>
      <c r="AA1535" s="2"/>
      <c r="AB1535" s="2"/>
    </row>
    <row r="1536" spans="2:28" x14ac:dyDescent="0.2">
      <c r="B1536" s="2"/>
      <c r="C1536" s="2"/>
      <c r="D1536" s="2"/>
      <c r="E1536" s="2"/>
      <c r="F1536" s="2"/>
      <c r="G1536" s="2"/>
      <c r="H1536" s="2"/>
      <c r="I1536" s="2"/>
      <c r="J1536" s="2"/>
      <c r="K1536" s="2"/>
      <c r="L1536" s="2"/>
      <c r="M1536" s="2"/>
      <c r="N1536" s="2"/>
      <c r="O1536" s="2"/>
      <c r="P1536" s="2"/>
      <c r="Q1536" s="2"/>
      <c r="R1536" s="2"/>
      <c r="S1536" s="2"/>
      <c r="T1536" s="2"/>
      <c r="U1536" s="2"/>
      <c r="V1536" s="2"/>
      <c r="W1536" s="2"/>
      <c r="X1536" s="2"/>
      <c r="Y1536" s="2"/>
      <c r="Z1536" s="2"/>
      <c r="AA1536" s="2"/>
      <c r="AB1536" s="2"/>
    </row>
    <row r="1537" spans="2:28" x14ac:dyDescent="0.2">
      <c r="B1537" s="2"/>
      <c r="C1537" s="2"/>
      <c r="D1537" s="2"/>
      <c r="E1537" s="2"/>
      <c r="F1537" s="2"/>
      <c r="G1537" s="2"/>
      <c r="H1537" s="2"/>
      <c r="I1537" s="2"/>
      <c r="J1537" s="2"/>
      <c r="K1537" s="2"/>
      <c r="L1537" s="2"/>
      <c r="M1537" s="2"/>
      <c r="N1537" s="2"/>
      <c r="O1537" s="2"/>
      <c r="P1537" s="2"/>
      <c r="Q1537" s="2"/>
      <c r="R1537" s="2"/>
      <c r="S1537" s="2"/>
      <c r="T1537" s="2"/>
      <c r="U1537" s="2"/>
      <c r="V1537" s="2"/>
      <c r="W1537" s="2"/>
      <c r="X1537" s="2"/>
      <c r="Y1537" s="2"/>
      <c r="Z1537" s="2"/>
      <c r="AA1537" s="2"/>
      <c r="AB1537" s="2"/>
    </row>
    <row r="1538" spans="2:28" x14ac:dyDescent="0.2">
      <c r="B1538" s="2"/>
      <c r="C1538" s="2"/>
      <c r="D1538" s="2"/>
      <c r="E1538" s="2"/>
      <c r="F1538" s="2"/>
      <c r="G1538" s="2"/>
      <c r="H1538" s="2"/>
      <c r="I1538" s="2"/>
      <c r="J1538" s="2"/>
      <c r="K1538" s="2"/>
      <c r="L1538" s="2"/>
      <c r="M1538" s="2"/>
      <c r="N1538" s="2"/>
      <c r="O1538" s="2"/>
      <c r="P1538" s="2"/>
      <c r="Q1538" s="2"/>
      <c r="R1538" s="2"/>
      <c r="S1538" s="2"/>
      <c r="T1538" s="2"/>
      <c r="U1538" s="2"/>
      <c r="V1538" s="2"/>
      <c r="W1538" s="2"/>
      <c r="X1538" s="2"/>
      <c r="Y1538" s="2"/>
      <c r="Z1538" s="2"/>
      <c r="AA1538" s="2"/>
      <c r="AB1538" s="2"/>
    </row>
    <row r="1539" spans="2:28" x14ac:dyDescent="0.2">
      <c r="B1539" s="2"/>
      <c r="C1539" s="2"/>
      <c r="D1539" s="2"/>
      <c r="E1539" s="2"/>
      <c r="F1539" s="2"/>
      <c r="G1539" s="2"/>
      <c r="H1539" s="2"/>
      <c r="I1539" s="2"/>
      <c r="J1539" s="2"/>
      <c r="K1539" s="2"/>
      <c r="L1539" s="2"/>
      <c r="M1539" s="2"/>
      <c r="N1539" s="2"/>
      <c r="O1539" s="2"/>
      <c r="P1539" s="2"/>
      <c r="Q1539" s="2"/>
      <c r="R1539" s="2"/>
      <c r="S1539" s="2"/>
      <c r="T1539" s="2"/>
      <c r="U1539" s="2"/>
      <c r="V1539" s="2"/>
      <c r="W1539" s="2"/>
      <c r="X1539" s="2"/>
      <c r="Y1539" s="2"/>
      <c r="Z1539" s="2"/>
      <c r="AA1539" s="2"/>
      <c r="AB1539" s="2"/>
    </row>
    <row r="1540" spans="2:28" x14ac:dyDescent="0.2">
      <c r="B1540" s="2"/>
      <c r="C1540" s="2"/>
      <c r="D1540" s="2"/>
      <c r="E1540" s="2"/>
      <c r="F1540" s="2"/>
      <c r="G1540" s="2"/>
      <c r="H1540" s="2"/>
      <c r="I1540" s="2"/>
      <c r="J1540" s="2"/>
      <c r="K1540" s="2"/>
      <c r="L1540" s="2"/>
      <c r="M1540" s="2"/>
      <c r="N1540" s="2"/>
      <c r="O1540" s="2"/>
      <c r="P1540" s="2"/>
      <c r="Q1540" s="2"/>
      <c r="R1540" s="2"/>
      <c r="S1540" s="2"/>
      <c r="T1540" s="2"/>
      <c r="U1540" s="2"/>
      <c r="V1540" s="2"/>
      <c r="W1540" s="2"/>
      <c r="X1540" s="2"/>
      <c r="Y1540" s="2"/>
      <c r="Z1540" s="2"/>
      <c r="AA1540" s="2"/>
      <c r="AB1540" s="2"/>
    </row>
    <row r="1541" spans="2:28" x14ac:dyDescent="0.2">
      <c r="B1541" s="2"/>
      <c r="C1541" s="2"/>
      <c r="D1541" s="2"/>
      <c r="E1541" s="2"/>
      <c r="F1541" s="2"/>
      <c r="G1541" s="2"/>
      <c r="H1541" s="2"/>
      <c r="I1541" s="2"/>
      <c r="J1541" s="2"/>
      <c r="K1541" s="2"/>
      <c r="L1541" s="2"/>
      <c r="M1541" s="2"/>
      <c r="N1541" s="2"/>
      <c r="O1541" s="2"/>
      <c r="P1541" s="2"/>
      <c r="Q1541" s="2"/>
      <c r="R1541" s="2"/>
      <c r="S1541" s="2"/>
      <c r="T1541" s="2"/>
      <c r="U1541" s="2"/>
      <c r="V1541" s="2"/>
      <c r="W1541" s="2"/>
      <c r="X1541" s="2"/>
      <c r="Y1541" s="2"/>
      <c r="Z1541" s="2"/>
      <c r="AA1541" s="2"/>
      <c r="AB1541" s="2"/>
    </row>
    <row r="1542" spans="2:28" x14ac:dyDescent="0.2">
      <c r="B1542" s="2"/>
      <c r="C1542" s="2"/>
      <c r="D1542" s="2"/>
      <c r="E1542" s="2"/>
      <c r="F1542" s="2"/>
      <c r="G1542" s="2"/>
      <c r="H1542" s="2"/>
      <c r="I1542" s="2"/>
      <c r="J1542" s="2"/>
      <c r="K1542" s="2"/>
      <c r="L1542" s="2"/>
      <c r="M1542" s="2"/>
      <c r="N1542" s="2"/>
      <c r="O1542" s="2"/>
      <c r="P1542" s="2"/>
      <c r="Q1542" s="2"/>
      <c r="R1542" s="2"/>
      <c r="S1542" s="2"/>
      <c r="T1542" s="2"/>
      <c r="U1542" s="2"/>
      <c r="V1542" s="2"/>
      <c r="W1542" s="2"/>
      <c r="X1542" s="2"/>
      <c r="Y1542" s="2"/>
      <c r="Z1542" s="2"/>
      <c r="AA1542" s="2"/>
      <c r="AB1542" s="2"/>
    </row>
    <row r="1543" spans="2:28" x14ac:dyDescent="0.2">
      <c r="B1543" s="2"/>
      <c r="C1543" s="2"/>
      <c r="D1543" s="2"/>
      <c r="E1543" s="2"/>
      <c r="F1543" s="2"/>
      <c r="G1543" s="2"/>
      <c r="H1543" s="2"/>
      <c r="I1543" s="2"/>
      <c r="J1543" s="2"/>
      <c r="K1543" s="2"/>
      <c r="L1543" s="2"/>
      <c r="M1543" s="2"/>
      <c r="N1543" s="2"/>
      <c r="O1543" s="2"/>
      <c r="P1543" s="2"/>
      <c r="Q1543" s="2"/>
      <c r="R1543" s="2"/>
      <c r="S1543" s="2"/>
      <c r="T1543" s="2"/>
      <c r="U1543" s="2"/>
      <c r="V1543" s="2"/>
      <c r="W1543" s="2"/>
      <c r="X1543" s="2"/>
      <c r="Y1543" s="2"/>
      <c r="Z1543" s="2"/>
      <c r="AA1543" s="2"/>
      <c r="AB1543" s="2"/>
    </row>
    <row r="1544" spans="2:28" x14ac:dyDescent="0.2">
      <c r="B1544" s="2"/>
      <c r="C1544" s="2"/>
      <c r="D1544" s="2"/>
      <c r="E1544" s="2"/>
      <c r="F1544" s="2"/>
      <c r="G1544" s="2"/>
      <c r="H1544" s="2"/>
      <c r="I1544" s="2"/>
      <c r="J1544" s="2"/>
      <c r="K1544" s="2"/>
      <c r="L1544" s="2"/>
      <c r="M1544" s="2"/>
      <c r="N1544" s="2"/>
      <c r="O1544" s="2"/>
      <c r="P1544" s="2"/>
      <c r="Q1544" s="2"/>
      <c r="R1544" s="2"/>
      <c r="S1544" s="2"/>
      <c r="T1544" s="2"/>
      <c r="U1544" s="2"/>
      <c r="V1544" s="2"/>
      <c r="W1544" s="2"/>
      <c r="X1544" s="2"/>
      <c r="Y1544" s="2"/>
      <c r="Z1544" s="2"/>
      <c r="AA1544" s="2"/>
      <c r="AB1544" s="2"/>
    </row>
    <row r="1545" spans="2:28" x14ac:dyDescent="0.2">
      <c r="B1545" s="2"/>
      <c r="C1545" s="2"/>
      <c r="D1545" s="2"/>
      <c r="E1545" s="2"/>
      <c r="F1545" s="2"/>
      <c r="G1545" s="2"/>
      <c r="H1545" s="2"/>
      <c r="I1545" s="2"/>
      <c r="J1545" s="2"/>
      <c r="K1545" s="2"/>
      <c r="L1545" s="2"/>
      <c r="M1545" s="2"/>
      <c r="N1545" s="2"/>
      <c r="O1545" s="2"/>
      <c r="P1545" s="2"/>
      <c r="Q1545" s="2"/>
      <c r="R1545" s="2"/>
      <c r="S1545" s="2"/>
      <c r="T1545" s="2"/>
      <c r="U1545" s="2"/>
      <c r="V1545" s="2"/>
      <c r="W1545" s="2"/>
      <c r="X1545" s="2"/>
      <c r="Y1545" s="2"/>
      <c r="Z1545" s="2"/>
      <c r="AA1545" s="2"/>
      <c r="AB1545" s="2"/>
    </row>
    <row r="1546" spans="2:28" x14ac:dyDescent="0.2">
      <c r="B1546" s="2"/>
      <c r="C1546" s="2"/>
      <c r="D1546" s="2"/>
      <c r="E1546" s="2"/>
      <c r="F1546" s="2"/>
      <c r="G1546" s="2"/>
      <c r="H1546" s="2"/>
      <c r="I1546" s="2"/>
      <c r="J1546" s="2"/>
      <c r="K1546" s="2"/>
      <c r="L1546" s="2"/>
      <c r="M1546" s="2"/>
      <c r="N1546" s="2"/>
      <c r="O1546" s="2"/>
      <c r="P1546" s="2"/>
      <c r="Q1546" s="2"/>
      <c r="R1546" s="2"/>
      <c r="S1546" s="2"/>
      <c r="T1546" s="2"/>
      <c r="U1546" s="2"/>
      <c r="V1546" s="2"/>
      <c r="W1546" s="2"/>
      <c r="X1546" s="2"/>
      <c r="Y1546" s="2"/>
      <c r="Z1546" s="2"/>
      <c r="AA1546" s="2"/>
      <c r="AB1546" s="2"/>
    </row>
    <row r="1547" spans="2:28" x14ac:dyDescent="0.2">
      <c r="B1547" s="2"/>
      <c r="C1547" s="2"/>
      <c r="D1547" s="2"/>
      <c r="E1547" s="2"/>
      <c r="F1547" s="2"/>
      <c r="G1547" s="2"/>
      <c r="H1547" s="2"/>
      <c r="I1547" s="2"/>
      <c r="J1547" s="2"/>
      <c r="K1547" s="2"/>
      <c r="L1547" s="2"/>
      <c r="M1547" s="2"/>
      <c r="N1547" s="2"/>
      <c r="O1547" s="2"/>
      <c r="P1547" s="2"/>
      <c r="Q1547" s="2"/>
      <c r="R1547" s="2"/>
      <c r="S1547" s="2"/>
      <c r="T1547" s="2"/>
      <c r="U1547" s="2"/>
      <c r="V1547" s="2"/>
      <c r="W1547" s="2"/>
      <c r="X1547" s="2"/>
      <c r="Y1547" s="2"/>
      <c r="Z1547" s="2"/>
      <c r="AA1547" s="2"/>
      <c r="AB1547" s="2"/>
    </row>
    <row r="1548" spans="2:28" x14ac:dyDescent="0.2">
      <c r="B1548" s="2"/>
      <c r="C1548" s="2"/>
      <c r="D1548" s="2"/>
      <c r="E1548" s="2"/>
      <c r="F1548" s="2"/>
      <c r="G1548" s="2"/>
      <c r="H1548" s="2"/>
      <c r="I1548" s="2"/>
      <c r="J1548" s="2"/>
      <c r="K1548" s="2"/>
      <c r="L1548" s="2"/>
      <c r="M1548" s="2"/>
      <c r="N1548" s="2"/>
      <c r="O1548" s="2"/>
      <c r="P1548" s="2"/>
      <c r="Q1548" s="2"/>
      <c r="R1548" s="2"/>
      <c r="S1548" s="2"/>
      <c r="T1548" s="2"/>
      <c r="U1548" s="2"/>
      <c r="V1548" s="2"/>
      <c r="W1548" s="2"/>
      <c r="X1548" s="2"/>
      <c r="Y1548" s="2"/>
      <c r="Z1548" s="2"/>
      <c r="AA1548" s="2"/>
      <c r="AB1548" s="2"/>
    </row>
    <row r="1549" spans="2:28" x14ac:dyDescent="0.2">
      <c r="B1549" s="2"/>
      <c r="C1549" s="2"/>
      <c r="D1549" s="2"/>
      <c r="E1549" s="2"/>
      <c r="F1549" s="2"/>
      <c r="G1549" s="2"/>
      <c r="H1549" s="2"/>
      <c r="I1549" s="2"/>
      <c r="J1549" s="2"/>
      <c r="K1549" s="2"/>
      <c r="L1549" s="2"/>
      <c r="M1549" s="2"/>
      <c r="N1549" s="2"/>
      <c r="O1549" s="2"/>
      <c r="P1549" s="2"/>
      <c r="Q1549" s="2"/>
      <c r="R1549" s="2"/>
      <c r="S1549" s="2"/>
      <c r="T1549" s="2"/>
      <c r="U1549" s="2"/>
      <c r="V1549" s="2"/>
      <c r="W1549" s="2"/>
      <c r="X1549" s="2"/>
      <c r="Y1549" s="2"/>
      <c r="Z1549" s="2"/>
      <c r="AA1549" s="2"/>
      <c r="AB1549" s="2"/>
    </row>
    <row r="1550" spans="2:28" x14ac:dyDescent="0.2">
      <c r="B1550" s="2"/>
      <c r="C1550" s="2"/>
      <c r="D1550" s="2"/>
      <c r="E1550" s="2"/>
      <c r="F1550" s="2"/>
      <c r="G1550" s="2"/>
      <c r="H1550" s="2"/>
      <c r="I1550" s="2"/>
      <c r="J1550" s="2"/>
      <c r="K1550" s="2"/>
      <c r="L1550" s="2"/>
      <c r="M1550" s="2"/>
      <c r="N1550" s="2"/>
      <c r="O1550" s="2"/>
      <c r="P1550" s="2"/>
      <c r="Q1550" s="2"/>
      <c r="R1550" s="2"/>
      <c r="S1550" s="2"/>
      <c r="T1550" s="2"/>
      <c r="U1550" s="2"/>
      <c r="V1550" s="2"/>
      <c r="W1550" s="2"/>
      <c r="X1550" s="2"/>
      <c r="Y1550" s="2"/>
      <c r="Z1550" s="2"/>
      <c r="AA1550" s="2"/>
      <c r="AB1550" s="2"/>
    </row>
    <row r="1551" spans="2:28" x14ac:dyDescent="0.2">
      <c r="B1551" s="2"/>
      <c r="C1551" s="2"/>
      <c r="D1551" s="2"/>
      <c r="E1551" s="2"/>
      <c r="F1551" s="2"/>
      <c r="G1551" s="2"/>
      <c r="H1551" s="2"/>
      <c r="I1551" s="2"/>
      <c r="J1551" s="2"/>
      <c r="K1551" s="2"/>
      <c r="L1551" s="2"/>
      <c r="M1551" s="2"/>
      <c r="N1551" s="2"/>
      <c r="O1551" s="2"/>
      <c r="P1551" s="2"/>
      <c r="Q1551" s="2"/>
      <c r="R1551" s="2"/>
      <c r="S1551" s="2"/>
      <c r="T1551" s="2"/>
      <c r="U1551" s="2"/>
      <c r="V1551" s="2"/>
      <c r="W1551" s="2"/>
      <c r="X1551" s="2"/>
      <c r="Y1551" s="2"/>
      <c r="Z1551" s="2"/>
      <c r="AA1551" s="2"/>
      <c r="AB1551" s="2"/>
    </row>
    <row r="1552" spans="2:28" x14ac:dyDescent="0.2">
      <c r="B1552" s="2"/>
      <c r="C1552" s="2"/>
      <c r="D1552" s="2"/>
      <c r="E1552" s="2"/>
      <c r="F1552" s="2"/>
      <c r="G1552" s="2"/>
      <c r="H1552" s="2"/>
      <c r="I1552" s="2"/>
      <c r="J1552" s="2"/>
      <c r="K1552" s="2"/>
      <c r="L1552" s="2"/>
      <c r="M1552" s="2"/>
      <c r="N1552" s="2"/>
      <c r="O1552" s="2"/>
      <c r="P1552" s="2"/>
      <c r="Q1552" s="2"/>
      <c r="R1552" s="2"/>
      <c r="S1552" s="2"/>
      <c r="T1552" s="2"/>
      <c r="U1552" s="2"/>
      <c r="V1552" s="2"/>
      <c r="W1552" s="2"/>
      <c r="X1552" s="2"/>
      <c r="Y1552" s="2"/>
      <c r="Z1552" s="2"/>
      <c r="AA1552" s="2"/>
      <c r="AB1552" s="2"/>
    </row>
    <row r="1553" spans="2:28" x14ac:dyDescent="0.2">
      <c r="B1553" s="2"/>
      <c r="C1553" s="2"/>
      <c r="D1553" s="2"/>
      <c r="E1553" s="2"/>
      <c r="F1553" s="2"/>
      <c r="G1553" s="2"/>
      <c r="H1553" s="2"/>
      <c r="I1553" s="2"/>
      <c r="J1553" s="2"/>
      <c r="K1553" s="2"/>
      <c r="L1553" s="2"/>
      <c r="M1553" s="2"/>
      <c r="N1553" s="2"/>
      <c r="O1553" s="2"/>
      <c r="P1553" s="2"/>
      <c r="Q1553" s="2"/>
      <c r="R1553" s="2"/>
      <c r="S1553" s="2"/>
      <c r="T1553" s="2"/>
      <c r="U1553" s="2"/>
      <c r="V1553" s="2"/>
      <c r="W1553" s="2"/>
      <c r="X1553" s="2"/>
      <c r="Y1553" s="2"/>
      <c r="Z1553" s="2"/>
      <c r="AA1553" s="2"/>
      <c r="AB1553" s="2"/>
    </row>
    <row r="1554" spans="2:28" x14ac:dyDescent="0.2">
      <c r="B1554" s="2"/>
      <c r="C1554" s="2"/>
      <c r="D1554" s="2"/>
      <c r="E1554" s="2"/>
      <c r="F1554" s="2"/>
      <c r="G1554" s="2"/>
      <c r="H1554" s="2"/>
      <c r="I1554" s="2"/>
      <c r="J1554" s="2"/>
      <c r="K1554" s="2"/>
      <c r="L1554" s="2"/>
      <c r="M1554" s="2"/>
      <c r="N1554" s="2"/>
      <c r="O1554" s="2"/>
      <c r="P1554" s="2"/>
      <c r="Q1554" s="2"/>
      <c r="R1554" s="2"/>
      <c r="S1554" s="2"/>
      <c r="T1554" s="2"/>
      <c r="U1554" s="2"/>
      <c r="V1554" s="2"/>
      <c r="W1554" s="2"/>
      <c r="X1554" s="2"/>
      <c r="Y1554" s="2"/>
      <c r="Z1554" s="2"/>
      <c r="AA1554" s="2"/>
      <c r="AB1554" s="2"/>
    </row>
    <row r="1555" spans="2:28" x14ac:dyDescent="0.2">
      <c r="B1555" s="2"/>
      <c r="C1555" s="2"/>
      <c r="D1555" s="2"/>
      <c r="E1555" s="2"/>
      <c r="F1555" s="2"/>
      <c r="G1555" s="2"/>
      <c r="H1555" s="2"/>
      <c r="I1555" s="2"/>
      <c r="J1555" s="2"/>
      <c r="K1555" s="2"/>
      <c r="L1555" s="2"/>
      <c r="M1555" s="2"/>
      <c r="N1555" s="2"/>
      <c r="O1555" s="2"/>
      <c r="P1555" s="2"/>
      <c r="Q1555" s="2"/>
      <c r="R1555" s="2"/>
      <c r="S1555" s="2"/>
      <c r="T1555" s="2"/>
      <c r="U1555" s="2"/>
      <c r="V1555" s="2"/>
      <c r="W1555" s="2"/>
      <c r="X1555" s="2"/>
      <c r="Y1555" s="2"/>
      <c r="Z1555" s="2"/>
      <c r="AA1555" s="2"/>
      <c r="AB1555" s="2"/>
    </row>
    <row r="1556" spans="2:28" x14ac:dyDescent="0.2">
      <c r="B1556" s="2"/>
      <c r="C1556" s="2"/>
      <c r="D1556" s="2"/>
      <c r="E1556" s="2"/>
      <c r="F1556" s="2"/>
      <c r="G1556" s="2"/>
      <c r="H1556" s="2"/>
      <c r="I1556" s="2"/>
      <c r="J1556" s="2"/>
      <c r="K1556" s="2"/>
      <c r="L1556" s="2"/>
      <c r="M1556" s="2"/>
      <c r="N1556" s="2"/>
      <c r="O1556" s="2"/>
      <c r="P1556" s="2"/>
      <c r="Q1556" s="2"/>
      <c r="R1556" s="2"/>
      <c r="S1556" s="2"/>
      <c r="T1556" s="2"/>
      <c r="U1556" s="2"/>
      <c r="V1556" s="2"/>
      <c r="W1556" s="2"/>
      <c r="X1556" s="2"/>
      <c r="Y1556" s="2"/>
      <c r="Z1556" s="2"/>
      <c r="AA1556" s="2"/>
      <c r="AB1556" s="2"/>
    </row>
    <row r="1557" spans="2:28" x14ac:dyDescent="0.2">
      <c r="B1557" s="2"/>
      <c r="C1557" s="2"/>
      <c r="D1557" s="2"/>
      <c r="E1557" s="2"/>
      <c r="F1557" s="2"/>
      <c r="G1557" s="2"/>
      <c r="H1557" s="2"/>
      <c r="I1557" s="2"/>
      <c r="J1557" s="2"/>
      <c r="K1557" s="2"/>
      <c r="L1557" s="2"/>
      <c r="M1557" s="2"/>
      <c r="N1557" s="2"/>
      <c r="O1557" s="2"/>
      <c r="P1557" s="2"/>
      <c r="Q1557" s="2"/>
      <c r="R1557" s="2"/>
      <c r="S1557" s="2"/>
      <c r="T1557" s="2"/>
      <c r="U1557" s="2"/>
      <c r="V1557" s="2"/>
      <c r="W1557" s="2"/>
      <c r="X1557" s="2"/>
      <c r="Y1557" s="2"/>
      <c r="Z1557" s="2"/>
      <c r="AA1557" s="2"/>
      <c r="AB1557" s="2"/>
    </row>
    <row r="1558" spans="2:28" x14ac:dyDescent="0.2">
      <c r="B1558" s="2"/>
      <c r="C1558" s="2"/>
      <c r="D1558" s="2"/>
      <c r="E1558" s="2"/>
      <c r="F1558" s="2"/>
      <c r="G1558" s="2"/>
      <c r="H1558" s="2"/>
      <c r="I1558" s="2"/>
      <c r="J1558" s="2"/>
      <c r="K1558" s="2"/>
      <c r="L1558" s="2"/>
      <c r="M1558" s="2"/>
      <c r="N1558" s="2"/>
      <c r="O1558" s="2"/>
      <c r="P1558" s="2"/>
      <c r="Q1558" s="2"/>
      <c r="R1558" s="2"/>
      <c r="S1558" s="2"/>
      <c r="T1558" s="2"/>
      <c r="U1558" s="2"/>
      <c r="V1558" s="2"/>
      <c r="W1558" s="2"/>
      <c r="X1558" s="2"/>
      <c r="Y1558" s="2"/>
      <c r="Z1558" s="2"/>
      <c r="AA1558" s="2"/>
      <c r="AB1558" s="2"/>
    </row>
    <row r="1559" spans="2:28" x14ac:dyDescent="0.2">
      <c r="B1559" s="2"/>
      <c r="C1559" s="2"/>
      <c r="D1559" s="2"/>
      <c r="E1559" s="2"/>
      <c r="F1559" s="2"/>
      <c r="G1559" s="2"/>
      <c r="H1559" s="2"/>
      <c r="I1559" s="2"/>
      <c r="J1559" s="2"/>
      <c r="K1559" s="2"/>
      <c r="L1559" s="2"/>
      <c r="M1559" s="2"/>
      <c r="N1559" s="2"/>
      <c r="O1559" s="2"/>
      <c r="P1559" s="2"/>
      <c r="Q1559" s="2"/>
      <c r="R1559" s="2"/>
      <c r="S1559" s="2"/>
      <c r="T1559" s="2"/>
      <c r="U1559" s="2"/>
      <c r="V1559" s="2"/>
      <c r="W1559" s="2"/>
      <c r="X1559" s="2"/>
      <c r="Y1559" s="2"/>
      <c r="Z1559" s="2"/>
      <c r="AA1559" s="2"/>
      <c r="AB1559" s="2"/>
    </row>
    <row r="1560" spans="2:28" x14ac:dyDescent="0.2">
      <c r="B1560" s="2"/>
      <c r="C1560" s="2"/>
      <c r="D1560" s="2"/>
      <c r="E1560" s="2"/>
      <c r="F1560" s="2"/>
      <c r="G1560" s="2"/>
      <c r="H1560" s="2"/>
      <c r="I1560" s="2"/>
      <c r="J1560" s="2"/>
      <c r="K1560" s="2"/>
      <c r="L1560" s="2"/>
      <c r="M1560" s="2"/>
      <c r="N1560" s="2"/>
      <c r="O1560" s="2"/>
      <c r="P1560" s="2"/>
      <c r="Q1560" s="2"/>
      <c r="R1560" s="2"/>
      <c r="S1560" s="2"/>
      <c r="T1560" s="2"/>
      <c r="U1560" s="2"/>
      <c r="V1560" s="2"/>
      <c r="W1560" s="2"/>
      <c r="X1560" s="2"/>
      <c r="Y1560" s="2"/>
      <c r="Z1560" s="2"/>
      <c r="AA1560" s="2"/>
      <c r="AB1560" s="2"/>
    </row>
    <row r="1561" spans="2:28" x14ac:dyDescent="0.2">
      <c r="B1561" s="2"/>
      <c r="C1561" s="2"/>
      <c r="D1561" s="2"/>
      <c r="E1561" s="2"/>
      <c r="F1561" s="2"/>
      <c r="G1561" s="2"/>
      <c r="H1561" s="2"/>
      <c r="I1561" s="2"/>
      <c r="J1561" s="2"/>
      <c r="K1561" s="2"/>
      <c r="L1561" s="2"/>
      <c r="M1561" s="2"/>
      <c r="N1561" s="2"/>
      <c r="O1561" s="2"/>
      <c r="P1561" s="2"/>
      <c r="Q1561" s="2"/>
      <c r="R1561" s="2"/>
      <c r="S1561" s="2"/>
      <c r="T1561" s="2"/>
      <c r="U1561" s="2"/>
      <c r="V1561" s="2"/>
      <c r="W1561" s="2"/>
      <c r="X1561" s="2"/>
      <c r="Y1561" s="2"/>
      <c r="Z1561" s="2"/>
      <c r="AA1561" s="2"/>
      <c r="AB1561" s="2"/>
    </row>
    <row r="1562" spans="2:28" x14ac:dyDescent="0.2">
      <c r="B1562" s="2"/>
      <c r="C1562" s="2"/>
      <c r="D1562" s="2"/>
      <c r="E1562" s="2"/>
      <c r="F1562" s="2"/>
      <c r="G1562" s="2"/>
      <c r="H1562" s="2"/>
      <c r="I1562" s="2"/>
      <c r="J1562" s="2"/>
      <c r="K1562" s="2"/>
      <c r="L1562" s="2"/>
      <c r="M1562" s="2"/>
      <c r="N1562" s="2"/>
      <c r="O1562" s="2"/>
      <c r="P1562" s="2"/>
      <c r="Q1562" s="2"/>
      <c r="R1562" s="2"/>
      <c r="S1562" s="2"/>
      <c r="T1562" s="2"/>
      <c r="U1562" s="2"/>
      <c r="V1562" s="2"/>
      <c r="W1562" s="2"/>
      <c r="X1562" s="2"/>
      <c r="Y1562" s="2"/>
      <c r="Z1562" s="2"/>
      <c r="AA1562" s="2"/>
      <c r="AB1562" s="2"/>
    </row>
    <row r="1563" spans="2:28" x14ac:dyDescent="0.2">
      <c r="B1563" s="2"/>
      <c r="C1563" s="2"/>
      <c r="D1563" s="2"/>
      <c r="E1563" s="2"/>
      <c r="F1563" s="2"/>
      <c r="G1563" s="2"/>
      <c r="H1563" s="2"/>
      <c r="I1563" s="2"/>
      <c r="J1563" s="2"/>
      <c r="K1563" s="2"/>
      <c r="L1563" s="2"/>
      <c r="M1563" s="2"/>
      <c r="N1563" s="2"/>
      <c r="O1563" s="2"/>
      <c r="P1563" s="2"/>
      <c r="Q1563" s="2"/>
      <c r="R1563" s="2"/>
      <c r="S1563" s="2"/>
      <c r="T1563" s="2"/>
      <c r="U1563" s="2"/>
      <c r="V1563" s="2"/>
      <c r="W1563" s="2"/>
      <c r="X1563" s="2"/>
      <c r="Y1563" s="2"/>
      <c r="Z1563" s="2"/>
      <c r="AA1563" s="2"/>
      <c r="AB1563" s="2"/>
    </row>
    <row r="1564" spans="2:28" x14ac:dyDescent="0.2">
      <c r="B1564" s="2"/>
      <c r="C1564" s="2"/>
      <c r="D1564" s="2"/>
      <c r="E1564" s="2"/>
      <c r="F1564" s="2"/>
      <c r="G1564" s="2"/>
      <c r="H1564" s="2"/>
      <c r="I1564" s="2"/>
      <c r="J1564" s="2"/>
      <c r="K1564" s="2"/>
      <c r="L1564" s="2"/>
      <c r="M1564" s="2"/>
      <c r="N1564" s="2"/>
      <c r="O1564" s="2"/>
      <c r="P1564" s="2"/>
      <c r="Q1564" s="2"/>
      <c r="R1564" s="2"/>
      <c r="S1564" s="2"/>
      <c r="T1564" s="2"/>
      <c r="U1564" s="2"/>
      <c r="V1564" s="2"/>
      <c r="W1564" s="2"/>
      <c r="X1564" s="2"/>
      <c r="Y1564" s="2"/>
      <c r="Z1564" s="2"/>
      <c r="AA1564" s="2"/>
      <c r="AB1564" s="2"/>
    </row>
    <row r="1565" spans="2:28" x14ac:dyDescent="0.2">
      <c r="B1565" s="2"/>
      <c r="C1565" s="2"/>
      <c r="D1565" s="2"/>
      <c r="E1565" s="2"/>
      <c r="F1565" s="2"/>
      <c r="G1565" s="2"/>
      <c r="H1565" s="2"/>
      <c r="I1565" s="2"/>
      <c r="J1565" s="2"/>
      <c r="K1565" s="2"/>
      <c r="L1565" s="2"/>
      <c r="M1565" s="2"/>
      <c r="N1565" s="2"/>
      <c r="O1565" s="2"/>
      <c r="P1565" s="2"/>
      <c r="Q1565" s="2"/>
      <c r="R1565" s="2"/>
      <c r="S1565" s="2"/>
      <c r="T1565" s="2"/>
      <c r="U1565" s="2"/>
      <c r="V1565" s="2"/>
      <c r="W1565" s="2"/>
      <c r="X1565" s="2"/>
      <c r="Y1565" s="2"/>
      <c r="Z1565" s="2"/>
      <c r="AA1565" s="2"/>
      <c r="AB1565" s="2"/>
    </row>
    <row r="1566" spans="2:28" x14ac:dyDescent="0.2">
      <c r="B1566" s="2"/>
      <c r="C1566" s="2"/>
      <c r="D1566" s="2"/>
      <c r="E1566" s="2"/>
      <c r="F1566" s="2"/>
      <c r="G1566" s="2"/>
      <c r="H1566" s="2"/>
      <c r="I1566" s="2"/>
      <c r="J1566" s="2"/>
      <c r="K1566" s="2"/>
      <c r="L1566" s="2"/>
      <c r="M1566" s="2"/>
      <c r="N1566" s="2"/>
      <c r="O1566" s="2"/>
      <c r="P1566" s="2"/>
      <c r="Q1566" s="2"/>
      <c r="R1566" s="2"/>
      <c r="S1566" s="2"/>
      <c r="T1566" s="2"/>
      <c r="U1566" s="2"/>
      <c r="V1566" s="2"/>
      <c r="W1566" s="2"/>
      <c r="X1566" s="2"/>
      <c r="Y1566" s="2"/>
      <c r="Z1566" s="2"/>
      <c r="AA1566" s="2"/>
      <c r="AB1566" s="2"/>
    </row>
    <row r="1567" spans="2:28" x14ac:dyDescent="0.2">
      <c r="B1567" s="2"/>
      <c r="C1567" s="2"/>
      <c r="D1567" s="2"/>
      <c r="E1567" s="2"/>
      <c r="F1567" s="2"/>
      <c r="G1567" s="2"/>
      <c r="H1567" s="2"/>
      <c r="I1567" s="2"/>
      <c r="J1567" s="2"/>
      <c r="K1567" s="2"/>
      <c r="L1567" s="2"/>
      <c r="M1567" s="2"/>
      <c r="N1567" s="2"/>
      <c r="O1567" s="2"/>
      <c r="P1567" s="2"/>
      <c r="Q1567" s="2"/>
      <c r="R1567" s="2"/>
      <c r="S1567" s="2"/>
      <c r="T1567" s="2"/>
      <c r="U1567" s="2"/>
      <c r="V1567" s="2"/>
      <c r="W1567" s="2"/>
      <c r="X1567" s="2"/>
      <c r="Y1567" s="2"/>
      <c r="Z1567" s="2"/>
      <c r="AA1567" s="2"/>
      <c r="AB1567" s="2"/>
    </row>
    <row r="1568" spans="2:28" x14ac:dyDescent="0.2">
      <c r="B1568" s="2"/>
      <c r="C1568" s="2"/>
      <c r="D1568" s="2"/>
      <c r="E1568" s="2"/>
      <c r="F1568" s="2"/>
      <c r="G1568" s="2"/>
      <c r="H1568" s="2"/>
      <c r="I1568" s="2"/>
      <c r="J1568" s="2"/>
      <c r="K1568" s="2"/>
      <c r="L1568" s="2"/>
      <c r="M1568" s="2"/>
      <c r="N1568" s="2"/>
      <c r="O1568" s="2"/>
      <c r="P1568" s="2"/>
      <c r="Q1568" s="2"/>
      <c r="R1568" s="2"/>
      <c r="S1568" s="2"/>
      <c r="T1568" s="2"/>
      <c r="U1568" s="2"/>
      <c r="V1568" s="2"/>
      <c r="W1568" s="2"/>
      <c r="X1568" s="2"/>
      <c r="Y1568" s="2"/>
      <c r="Z1568" s="2"/>
      <c r="AA1568" s="2"/>
      <c r="AB1568" s="2"/>
    </row>
    <row r="1569" spans="2:28" x14ac:dyDescent="0.2">
      <c r="B1569" s="2"/>
      <c r="C1569" s="2"/>
      <c r="D1569" s="2"/>
      <c r="E1569" s="2"/>
      <c r="F1569" s="2"/>
      <c r="G1569" s="2"/>
      <c r="H1569" s="2"/>
      <c r="I1569" s="2"/>
      <c r="J1569" s="2"/>
      <c r="K1569" s="2"/>
      <c r="L1569" s="2"/>
      <c r="M1569" s="2"/>
      <c r="N1569" s="2"/>
      <c r="O1569" s="2"/>
      <c r="P1569" s="2"/>
      <c r="Q1569" s="2"/>
      <c r="R1569" s="2"/>
      <c r="S1569" s="2"/>
      <c r="T1569" s="2"/>
      <c r="U1569" s="2"/>
      <c r="V1569" s="2"/>
      <c r="W1569" s="2"/>
      <c r="X1569" s="2"/>
      <c r="Y1569" s="2"/>
      <c r="Z1569" s="2"/>
      <c r="AA1569" s="2"/>
      <c r="AB1569" s="2"/>
    </row>
    <row r="1570" spans="2:28" x14ac:dyDescent="0.2">
      <c r="B1570" s="2"/>
      <c r="C1570" s="2"/>
      <c r="D1570" s="2"/>
      <c r="E1570" s="2"/>
      <c r="F1570" s="2"/>
      <c r="G1570" s="2"/>
      <c r="H1570" s="2"/>
      <c r="I1570" s="2"/>
      <c r="J1570" s="2"/>
      <c r="K1570" s="2"/>
      <c r="L1570" s="2"/>
      <c r="M1570" s="2"/>
      <c r="N1570" s="2"/>
      <c r="O1570" s="2"/>
      <c r="P1570" s="2"/>
      <c r="Q1570" s="2"/>
      <c r="R1570" s="2"/>
      <c r="S1570" s="2"/>
      <c r="T1570" s="2"/>
      <c r="U1570" s="2"/>
      <c r="V1570" s="2"/>
      <c r="W1570" s="2"/>
      <c r="X1570" s="2"/>
      <c r="Y1570" s="2"/>
      <c r="Z1570" s="2"/>
      <c r="AA1570" s="2"/>
      <c r="AB1570" s="2"/>
    </row>
    <row r="1571" spans="2:28" x14ac:dyDescent="0.2">
      <c r="B1571" s="2"/>
      <c r="C1571" s="2"/>
      <c r="D1571" s="2"/>
      <c r="E1571" s="2"/>
      <c r="F1571" s="2"/>
      <c r="G1571" s="2"/>
      <c r="H1571" s="2"/>
      <c r="I1571" s="2"/>
      <c r="J1571" s="2"/>
      <c r="K1571" s="2"/>
      <c r="L1571" s="2"/>
      <c r="M1571" s="2"/>
      <c r="N1571" s="2"/>
      <c r="O1571" s="2"/>
      <c r="P1571" s="2"/>
      <c r="Q1571" s="2"/>
      <c r="R1571" s="2"/>
      <c r="S1571" s="2"/>
      <c r="T1571" s="2"/>
      <c r="U1571" s="2"/>
      <c r="V1571" s="2"/>
      <c r="W1571" s="2"/>
      <c r="X1571" s="2"/>
      <c r="Y1571" s="2"/>
      <c r="Z1571" s="2"/>
      <c r="AA1571" s="2"/>
      <c r="AB1571" s="2"/>
    </row>
    <row r="1572" spans="2:28" x14ac:dyDescent="0.2">
      <c r="B1572" s="2"/>
      <c r="C1572" s="2"/>
      <c r="D1572" s="2"/>
      <c r="E1572" s="2"/>
      <c r="F1572" s="2"/>
      <c r="G1572" s="2"/>
      <c r="H1572" s="2"/>
      <c r="I1572" s="2"/>
      <c r="J1572" s="2"/>
      <c r="K1572" s="2"/>
      <c r="L1572" s="2"/>
      <c r="M1572" s="2"/>
      <c r="N1572" s="2"/>
      <c r="O1572" s="2"/>
      <c r="P1572" s="2"/>
      <c r="Q1572" s="2"/>
      <c r="R1572" s="2"/>
      <c r="S1572" s="2"/>
      <c r="T1572" s="2"/>
      <c r="U1572" s="2"/>
      <c r="V1572" s="2"/>
      <c r="W1572" s="2"/>
      <c r="X1572" s="2"/>
      <c r="Y1572" s="2"/>
      <c r="Z1572" s="2"/>
      <c r="AA1572" s="2"/>
      <c r="AB1572" s="2"/>
    </row>
    <row r="1573" spans="2:28" x14ac:dyDescent="0.2">
      <c r="B1573" s="2"/>
      <c r="C1573" s="2"/>
      <c r="D1573" s="2"/>
      <c r="E1573" s="2"/>
      <c r="F1573" s="2"/>
      <c r="G1573" s="2"/>
      <c r="H1573" s="2"/>
      <c r="I1573" s="2"/>
      <c r="J1573" s="2"/>
      <c r="K1573" s="2"/>
      <c r="L1573" s="2"/>
      <c r="M1573" s="2"/>
      <c r="N1573" s="2"/>
      <c r="O1573" s="2"/>
      <c r="P1573" s="2"/>
      <c r="Q1573" s="2"/>
      <c r="R1573" s="2"/>
      <c r="S1573" s="2"/>
      <c r="T1573" s="2"/>
      <c r="U1573" s="2"/>
      <c r="V1573" s="2"/>
      <c r="W1573" s="2"/>
      <c r="X1573" s="2"/>
      <c r="Y1573" s="2"/>
      <c r="Z1573" s="2"/>
      <c r="AA1573" s="2"/>
      <c r="AB1573" s="2"/>
    </row>
    <row r="1574" spans="2:28" x14ac:dyDescent="0.2">
      <c r="B1574" s="2"/>
      <c r="C1574" s="2"/>
      <c r="D1574" s="2"/>
      <c r="E1574" s="2"/>
      <c r="F1574" s="2"/>
      <c r="G1574" s="2"/>
      <c r="H1574" s="2"/>
      <c r="I1574" s="2"/>
      <c r="J1574" s="2"/>
      <c r="K1574" s="2"/>
      <c r="L1574" s="2"/>
      <c r="M1574" s="2"/>
      <c r="N1574" s="2"/>
      <c r="O1574" s="2"/>
      <c r="P1574" s="2"/>
      <c r="Q1574" s="2"/>
      <c r="R1574" s="2"/>
      <c r="S1574" s="2"/>
      <c r="T1574" s="2"/>
      <c r="U1574" s="2"/>
      <c r="V1574" s="2"/>
      <c r="W1574" s="2"/>
      <c r="X1574" s="2"/>
      <c r="Y1574" s="2"/>
      <c r="Z1574" s="2"/>
      <c r="AA1574" s="2"/>
      <c r="AB1574" s="2"/>
    </row>
    <row r="1575" spans="2:28" x14ac:dyDescent="0.2">
      <c r="B1575" s="2"/>
      <c r="C1575" s="2"/>
      <c r="D1575" s="2"/>
      <c r="E1575" s="2"/>
      <c r="F1575" s="2"/>
      <c r="G1575" s="2"/>
      <c r="H1575" s="2"/>
      <c r="I1575" s="2"/>
      <c r="J1575" s="2"/>
      <c r="K1575" s="2"/>
      <c r="L1575" s="2"/>
      <c r="M1575" s="2"/>
      <c r="N1575" s="2"/>
      <c r="O1575" s="2"/>
      <c r="P1575" s="2"/>
      <c r="Q1575" s="2"/>
      <c r="R1575" s="2"/>
      <c r="S1575" s="2"/>
      <c r="T1575" s="2"/>
      <c r="U1575" s="2"/>
      <c r="V1575" s="2"/>
      <c r="W1575" s="2"/>
      <c r="X1575" s="2"/>
      <c r="Y1575" s="2"/>
      <c r="Z1575" s="2"/>
      <c r="AA1575" s="2"/>
      <c r="AB1575" s="2"/>
    </row>
    <row r="1576" spans="2:28" x14ac:dyDescent="0.2">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2"/>
      <c r="AA1576" s="2"/>
      <c r="AB1576" s="2"/>
    </row>
    <row r="1577" spans="2:28" x14ac:dyDescent="0.2">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2"/>
      <c r="AA1577" s="2"/>
      <c r="AB1577" s="2"/>
    </row>
    <row r="1578" spans="2:28" x14ac:dyDescent="0.2">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2"/>
      <c r="AA1578" s="2"/>
      <c r="AB1578" s="2"/>
    </row>
    <row r="1579" spans="2:28" x14ac:dyDescent="0.2">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2"/>
      <c r="AA1579" s="2"/>
      <c r="AB1579" s="2"/>
    </row>
    <row r="1580" spans="2:28" x14ac:dyDescent="0.2">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2"/>
      <c r="AA1580" s="2"/>
      <c r="AB1580" s="2"/>
    </row>
    <row r="1581" spans="2:28" x14ac:dyDescent="0.2">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c r="AA1581" s="2"/>
      <c r="AB1581" s="2"/>
    </row>
    <row r="1582" spans="2:28" x14ac:dyDescent="0.2">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c r="AA1582" s="2"/>
      <c r="AB1582" s="2"/>
    </row>
    <row r="1583" spans="2:28" x14ac:dyDescent="0.2">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c r="AA1583" s="2"/>
      <c r="AB1583" s="2"/>
    </row>
    <row r="1584" spans="2:28" x14ac:dyDescent="0.2">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c r="AA1584" s="2"/>
      <c r="AB1584" s="2"/>
    </row>
    <row r="1585" spans="2:28" x14ac:dyDescent="0.2">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c r="AA1585" s="2"/>
      <c r="AB1585" s="2"/>
    </row>
    <row r="1586" spans="2:28" x14ac:dyDescent="0.2">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c r="AA1586" s="2"/>
      <c r="AB1586" s="2"/>
    </row>
    <row r="1587" spans="2:28" x14ac:dyDescent="0.2">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row>
    <row r="1588" spans="2:28" x14ac:dyDescent="0.2">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row>
    <row r="1589" spans="2:28" x14ac:dyDescent="0.2">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row>
    <row r="1590" spans="2:28" x14ac:dyDescent="0.2">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row>
    <row r="1591" spans="2:28" x14ac:dyDescent="0.2">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c r="AA1591" s="2"/>
      <c r="AB1591" s="2"/>
    </row>
    <row r="1592" spans="2:28" x14ac:dyDescent="0.2">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row>
    <row r="1593" spans="2:28" x14ac:dyDescent="0.2">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row>
    <row r="1594" spans="2:28" x14ac:dyDescent="0.2">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row>
    <row r="1595" spans="2:28" x14ac:dyDescent="0.2">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row>
    <row r="1596" spans="2:28" x14ac:dyDescent="0.2">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row>
    <row r="1597" spans="2:28" x14ac:dyDescent="0.2">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row>
    <row r="1598" spans="2:28" x14ac:dyDescent="0.2">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c r="AA1598" s="2"/>
      <c r="AB1598" s="2"/>
    </row>
  </sheetData>
  <mergeCells count="3">
    <mergeCell ref="B8:M8"/>
    <mergeCell ref="B29:M29"/>
    <mergeCell ref="B48:M48"/>
  </mergeCells>
  <phoneticPr fontId="14" type="noConversion"/>
  <printOptions horizontalCentered="1"/>
  <pageMargins left="1" right="1" top="1" bottom="0.5" header="0.5" footer="0.5"/>
  <pageSetup scale="87"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38"/>
  <sheetViews>
    <sheetView workbookViewId="0"/>
  </sheetViews>
  <sheetFormatPr defaultColWidth="9.77734375" defaultRowHeight="15" x14ac:dyDescent="0.2"/>
  <cols>
    <col min="1" max="1" width="5.77734375" style="14" customWidth="1"/>
    <col min="2" max="2" width="11.21875" style="14" customWidth="1"/>
    <col min="3" max="3" width="3.5546875" style="14" customWidth="1"/>
    <col min="4" max="4" width="9.77734375" style="14" customWidth="1"/>
    <col min="5" max="5" width="3.5546875" style="14" customWidth="1"/>
    <col min="6" max="6" width="9.77734375" style="14" customWidth="1"/>
    <col min="7" max="7" width="3.5546875" style="14" customWidth="1"/>
    <col min="8" max="8" width="9.77734375" style="14" customWidth="1"/>
    <col min="9" max="9" width="3.5546875" style="14" customWidth="1"/>
    <col min="10" max="16384" width="9.77734375" style="14"/>
  </cols>
  <sheetData>
    <row r="1" spans="1:10" s="551" customFormat="1" x14ac:dyDescent="0.2">
      <c r="A1" s="15" t="s">
        <v>386</v>
      </c>
      <c r="B1" s="13"/>
      <c r="C1" s="13"/>
      <c r="D1" s="13"/>
      <c r="E1" s="13"/>
      <c r="F1" s="13"/>
      <c r="G1" s="13"/>
      <c r="H1" s="13"/>
      <c r="I1" s="13"/>
      <c r="J1" s="13"/>
    </row>
    <row r="2" spans="1:10" s="551" customFormat="1" x14ac:dyDescent="0.2">
      <c r="A2" s="15"/>
      <c r="B2" s="13"/>
      <c r="C2" s="13"/>
      <c r="D2" s="13"/>
      <c r="E2" s="13"/>
      <c r="F2" s="13"/>
      <c r="G2" s="13"/>
      <c r="H2" s="13"/>
      <c r="I2" s="13"/>
      <c r="J2" s="13"/>
    </row>
    <row r="3" spans="1:10" s="551" customFormat="1" x14ac:dyDescent="0.2">
      <c r="A3" s="457" t="s">
        <v>95</v>
      </c>
      <c r="B3" s="457"/>
      <c r="C3" s="457"/>
      <c r="D3" s="457"/>
      <c r="E3" s="457"/>
      <c r="F3" s="457"/>
      <c r="G3" s="457"/>
      <c r="H3" s="457"/>
      <c r="I3" s="457"/>
      <c r="J3" s="457"/>
    </row>
    <row r="4" spans="1:10" s="551" customFormat="1" x14ac:dyDescent="0.2">
      <c r="A4" s="458"/>
      <c r="B4" s="458"/>
      <c r="C4" s="458"/>
      <c r="D4" s="458"/>
      <c r="E4" s="458"/>
      <c r="F4" s="458"/>
      <c r="G4" s="458"/>
      <c r="H4" s="458"/>
      <c r="I4" s="458"/>
      <c r="J4" s="458"/>
    </row>
    <row r="5" spans="1:10" s="551" customFormat="1" x14ac:dyDescent="0.2">
      <c r="A5" s="458" t="s">
        <v>80</v>
      </c>
      <c r="B5" s="458"/>
      <c r="C5" s="458"/>
      <c r="D5" s="458"/>
      <c r="E5" s="458"/>
      <c r="F5" s="458"/>
      <c r="G5" s="458"/>
      <c r="H5" s="458"/>
      <c r="I5" s="458"/>
      <c r="J5" s="458"/>
    </row>
    <row r="6" spans="1:10" s="551" customFormat="1" x14ac:dyDescent="0.2">
      <c r="A6" s="458" t="s">
        <v>96</v>
      </c>
      <c r="B6" s="458"/>
      <c r="C6" s="458"/>
      <c r="D6" s="458"/>
      <c r="E6" s="458"/>
      <c r="F6" s="458"/>
      <c r="G6" s="458"/>
      <c r="H6" s="458"/>
      <c r="I6" s="458"/>
      <c r="J6" s="458"/>
    </row>
    <row r="7" spans="1:10" s="551" customFormat="1" x14ac:dyDescent="0.2">
      <c r="A7" s="458"/>
      <c r="B7" s="458"/>
      <c r="C7" s="458"/>
      <c r="D7" s="458"/>
      <c r="E7" s="458"/>
      <c r="F7" s="458"/>
      <c r="G7" s="458"/>
      <c r="H7" s="458"/>
      <c r="I7" s="458"/>
      <c r="J7" s="458"/>
    </row>
    <row r="8" spans="1:10" s="551" customFormat="1" x14ac:dyDescent="0.2">
      <c r="A8" s="458"/>
      <c r="B8" s="458"/>
      <c r="C8" s="458"/>
      <c r="D8" s="458"/>
      <c r="E8" s="458"/>
      <c r="F8" s="457" t="s">
        <v>97</v>
      </c>
      <c r="G8" s="457"/>
      <c r="H8" s="457"/>
      <c r="I8" s="457"/>
      <c r="J8" s="457"/>
    </row>
    <row r="9" spans="1:10" s="551" customFormat="1" x14ac:dyDescent="0.2">
      <c r="A9" s="458"/>
      <c r="B9" s="458"/>
      <c r="C9" s="458"/>
      <c r="D9" s="459" t="s">
        <v>64</v>
      </c>
      <c r="E9" s="459"/>
      <c r="F9" s="460"/>
      <c r="G9" s="460"/>
      <c r="H9" s="460" t="s">
        <v>98</v>
      </c>
      <c r="I9" s="460"/>
      <c r="J9" s="460"/>
    </row>
    <row r="10" spans="1:10" s="551" customFormat="1" x14ac:dyDescent="0.2">
      <c r="A10" s="457" t="s">
        <v>65</v>
      </c>
      <c r="B10" s="457"/>
      <c r="C10" s="458"/>
      <c r="D10" s="459" t="s">
        <v>66</v>
      </c>
      <c r="E10" s="459"/>
      <c r="F10" s="459"/>
      <c r="G10" s="459"/>
      <c r="H10" s="459" t="s">
        <v>318</v>
      </c>
      <c r="I10" s="459"/>
      <c r="J10" s="459" t="s">
        <v>67</v>
      </c>
    </row>
    <row r="11" spans="1:10" s="551" customFormat="1" x14ac:dyDescent="0.2">
      <c r="A11" s="457" t="s">
        <v>68</v>
      </c>
      <c r="B11" s="457"/>
      <c r="C11" s="458"/>
      <c r="D11" s="459" t="s">
        <v>318</v>
      </c>
      <c r="E11" s="459"/>
      <c r="F11" s="459" t="s">
        <v>99</v>
      </c>
      <c r="G11" s="459"/>
      <c r="H11" s="459" t="s">
        <v>100</v>
      </c>
      <c r="I11" s="459"/>
      <c r="J11" s="459" t="s">
        <v>69</v>
      </c>
    </row>
    <row r="12" spans="1:10" s="551" customFormat="1" x14ac:dyDescent="0.2">
      <c r="A12" s="461" t="s">
        <v>70</v>
      </c>
      <c r="B12" s="461"/>
      <c r="C12" s="458"/>
      <c r="D12" s="460" t="s">
        <v>88</v>
      </c>
      <c r="E12" s="458"/>
      <c r="F12" s="460" t="s">
        <v>72</v>
      </c>
      <c r="G12" s="458"/>
      <c r="H12" s="460" t="s">
        <v>101</v>
      </c>
      <c r="I12" s="458"/>
      <c r="J12" s="460" t="s">
        <v>102</v>
      </c>
    </row>
    <row r="13" spans="1:10" s="551" customFormat="1" x14ac:dyDescent="0.2">
      <c r="A13" s="458"/>
      <c r="B13" s="458"/>
      <c r="C13" s="458"/>
      <c r="D13" s="458"/>
      <c r="E13" s="458"/>
      <c r="F13" s="458"/>
      <c r="G13" s="458"/>
      <c r="H13" s="458"/>
      <c r="I13" s="458"/>
      <c r="J13" s="458"/>
    </row>
    <row r="14" spans="1:10" s="551" customFormat="1" x14ac:dyDescent="0.2">
      <c r="A14" s="458" t="s">
        <v>73</v>
      </c>
      <c r="B14" s="458"/>
      <c r="C14" s="458"/>
      <c r="D14" s="462">
        <f>'F 1-2'!$G$15</f>
        <v>630.70000000000005</v>
      </c>
      <c r="E14" s="458"/>
      <c r="F14" s="522">
        <v>2.2000000000000002</v>
      </c>
      <c r="G14" s="458"/>
      <c r="H14" s="462">
        <f>ROUND(+D14*F14,0)</f>
        <v>1388</v>
      </c>
      <c r="I14" s="458"/>
      <c r="J14" s="463">
        <f>ROUND(H14/H$20,4)</f>
        <v>0.67579999999999996</v>
      </c>
    </row>
    <row r="15" spans="1:10" s="551" customFormat="1" x14ac:dyDescent="0.2">
      <c r="A15" s="458" t="s">
        <v>543</v>
      </c>
      <c r="B15" s="458"/>
      <c r="C15" s="458"/>
      <c r="D15" s="462">
        <f>'F 1-2'!$G$16</f>
        <v>353.3</v>
      </c>
      <c r="E15" s="458"/>
      <c r="F15" s="522">
        <v>1.5</v>
      </c>
      <c r="G15" s="458"/>
      <c r="H15" s="462">
        <f>ROUND(+D15*F15,0)</f>
        <v>530</v>
      </c>
      <c r="I15" s="458"/>
      <c r="J15" s="463">
        <f>ROUND(H15/H$20,4)</f>
        <v>0.25800000000000001</v>
      </c>
    </row>
    <row r="16" spans="1:10" s="551" customFormat="1" x14ac:dyDescent="0.2">
      <c r="A16" s="458" t="s">
        <v>75</v>
      </c>
      <c r="B16" s="458"/>
      <c r="C16" s="458"/>
      <c r="D16" s="462">
        <f>'F 1-2'!$G$17</f>
        <v>135.80000000000001</v>
      </c>
      <c r="E16" s="458"/>
      <c r="F16" s="522">
        <v>1</v>
      </c>
      <c r="G16" s="458"/>
      <c r="H16" s="462">
        <f>ROUND(+D16*F16,0)</f>
        <v>136</v>
      </c>
      <c r="I16" s="458"/>
      <c r="J16" s="463">
        <f>ROUND(H16/H$20,4)</f>
        <v>6.6199999999999995E-2</v>
      </c>
    </row>
    <row r="17" spans="1:13" s="551" customFormat="1" hidden="1" x14ac:dyDescent="0.2">
      <c r="A17" s="458" t="s">
        <v>76</v>
      </c>
      <c r="B17" s="458"/>
      <c r="C17" s="458"/>
      <c r="D17" s="462">
        <f>'F 1-2'!$G$18</f>
        <v>0</v>
      </c>
      <c r="E17" s="458"/>
      <c r="F17" s="522"/>
      <c r="G17" s="458"/>
      <c r="H17" s="462">
        <f>ROUND(+D17*F17,0)</f>
        <v>0</v>
      </c>
      <c r="I17" s="458"/>
      <c r="J17" s="463">
        <f>ROUND(H17/H$20,4)</f>
        <v>0</v>
      </c>
    </row>
    <row r="18" spans="1:13" s="551" customFormat="1" hidden="1" x14ac:dyDescent="0.2">
      <c r="A18" s="458" t="s">
        <v>179</v>
      </c>
      <c r="B18" s="458"/>
      <c r="C18" s="458"/>
      <c r="D18" s="462">
        <f>'F 1-2'!$G$19</f>
        <v>0</v>
      </c>
      <c r="E18" s="458"/>
      <c r="F18" s="522"/>
      <c r="G18" s="458"/>
      <c r="H18" s="462">
        <f>ROUND(+D18*F18,0)</f>
        <v>0</v>
      </c>
      <c r="I18" s="458"/>
      <c r="J18" s="463">
        <f>ROUND(H18/H$20,4)</f>
        <v>0</v>
      </c>
    </row>
    <row r="19" spans="1:13" s="551" customFormat="1" x14ac:dyDescent="0.2">
      <c r="A19" s="458"/>
      <c r="B19" s="458"/>
      <c r="C19" s="458"/>
      <c r="D19" s="464"/>
      <c r="E19" s="458"/>
      <c r="F19" s="465"/>
      <c r="G19" s="458"/>
      <c r="H19" s="464"/>
      <c r="I19" s="458"/>
      <c r="J19" s="466"/>
    </row>
    <row r="20" spans="1:13" s="551" customFormat="1" ht="15.75" thickBot="1" x14ac:dyDescent="0.25">
      <c r="A20" s="458" t="s">
        <v>79</v>
      </c>
      <c r="B20" s="458"/>
      <c r="C20" s="458"/>
      <c r="D20" s="462">
        <f>SUM(D14:D18)</f>
        <v>1119.8</v>
      </c>
      <c r="E20" s="458"/>
      <c r="F20" s="465"/>
      <c r="G20" s="458"/>
      <c r="H20" s="467">
        <f>SUM(H14:H18)</f>
        <v>2054</v>
      </c>
      <c r="I20" s="458"/>
      <c r="J20" s="463">
        <f>SUM(J14:J19)</f>
        <v>1</v>
      </c>
      <c r="L20" s="552"/>
      <c r="M20" s="553"/>
    </row>
    <row r="21" spans="1:13" s="551" customFormat="1" ht="15.75" thickTop="1" x14ac:dyDescent="0.2">
      <c r="A21" s="458"/>
      <c r="B21" s="458"/>
      <c r="C21" s="458"/>
      <c r="D21" s="468"/>
      <c r="E21" s="458"/>
      <c r="F21" s="465"/>
      <c r="G21" s="458"/>
      <c r="H21" s="469"/>
      <c r="I21" s="458"/>
      <c r="J21" s="470"/>
      <c r="M21" s="554"/>
    </row>
    <row r="22" spans="1:13" x14ac:dyDescent="0.2">
      <c r="A22" s="458"/>
      <c r="B22" s="458"/>
      <c r="C22" s="458"/>
      <c r="D22" s="471"/>
      <c r="E22" s="458"/>
      <c r="F22" s="458"/>
      <c r="G22" s="458"/>
      <c r="H22" s="465"/>
      <c r="I22" s="458"/>
      <c r="J22" s="458"/>
    </row>
    <row r="23" spans="1:13" ht="30.6" customHeight="1" x14ac:dyDescent="0.2">
      <c r="A23" s="701" t="s">
        <v>423</v>
      </c>
      <c r="B23" s="701"/>
      <c r="C23" s="701"/>
      <c r="D23" s="701"/>
      <c r="E23" s="701"/>
      <c r="F23" s="701"/>
      <c r="G23" s="701"/>
      <c r="H23" s="701"/>
      <c r="I23" s="701"/>
      <c r="J23" s="701"/>
    </row>
    <row r="24" spans="1:13" x14ac:dyDescent="0.2">
      <c r="A24" s="458"/>
      <c r="B24" s="458"/>
      <c r="C24" s="458"/>
      <c r="D24" s="458"/>
      <c r="E24" s="458"/>
      <c r="F24" s="458"/>
      <c r="G24" s="458"/>
      <c r="H24" s="458"/>
      <c r="I24" s="458"/>
      <c r="J24" s="458"/>
    </row>
    <row r="25" spans="1:13" x14ac:dyDescent="0.2">
      <c r="A25" s="458"/>
      <c r="B25" s="472"/>
      <c r="C25" s="472"/>
      <c r="D25" s="458"/>
      <c r="E25" s="458"/>
      <c r="F25" s="459" t="s">
        <v>103</v>
      </c>
      <c r="G25" s="459"/>
      <c r="H25" s="459"/>
      <c r="I25" s="458"/>
      <c r="J25" s="458"/>
    </row>
    <row r="26" spans="1:13" x14ac:dyDescent="0.2">
      <c r="A26" s="458"/>
      <c r="B26" s="472"/>
      <c r="C26" s="472"/>
      <c r="D26" s="458"/>
      <c r="E26" s="458"/>
      <c r="F26" s="459" t="s">
        <v>104</v>
      </c>
      <c r="G26" s="459"/>
      <c r="H26" s="459"/>
      <c r="I26" s="458"/>
      <c r="J26" s="458"/>
    </row>
    <row r="27" spans="1:13" x14ac:dyDescent="0.2">
      <c r="A27" s="458"/>
      <c r="B27" s="472"/>
      <c r="C27" s="472"/>
      <c r="D27" s="458"/>
      <c r="E27" s="458"/>
      <c r="F27" s="459" t="s">
        <v>105</v>
      </c>
      <c r="G27" s="459"/>
      <c r="H27" s="459" t="s">
        <v>106</v>
      </c>
      <c r="I27" s="458"/>
      <c r="J27" s="458"/>
    </row>
    <row r="28" spans="1:13" ht="10.15" customHeight="1" x14ac:dyDescent="0.2">
      <c r="A28" s="458"/>
      <c r="B28" s="472"/>
      <c r="C28" s="472"/>
      <c r="D28" s="458"/>
      <c r="E28" s="458"/>
      <c r="F28" s="473"/>
      <c r="G28" s="458"/>
      <c r="H28" s="473"/>
      <c r="I28" s="458"/>
      <c r="J28" s="458"/>
    </row>
    <row r="29" spans="1:13" x14ac:dyDescent="0.2">
      <c r="A29" s="458"/>
      <c r="B29" s="472"/>
      <c r="C29" s="472"/>
      <c r="D29" s="458" t="s">
        <v>107</v>
      </c>
      <c r="E29" s="472"/>
      <c r="F29" s="474">
        <v>1</v>
      </c>
      <c r="G29" s="458"/>
      <c r="H29" s="463">
        <f>ROUND(F29/F33,4)</f>
        <v>0.52629999999999999</v>
      </c>
      <c r="I29" s="458"/>
      <c r="J29" s="458"/>
    </row>
    <row r="30" spans="1:13" x14ac:dyDescent="0.2">
      <c r="A30" s="458"/>
      <c r="B30" s="472"/>
      <c r="C30" s="472"/>
      <c r="D30" s="458" t="s">
        <v>83</v>
      </c>
      <c r="E30" s="472"/>
      <c r="F30" s="474"/>
      <c r="G30" s="458"/>
      <c r="H30" s="458"/>
      <c r="I30" s="458"/>
      <c r="J30" s="458"/>
    </row>
    <row r="31" spans="1:13" x14ac:dyDescent="0.2">
      <c r="A31" s="458"/>
      <c r="B31" s="472"/>
      <c r="C31" s="472"/>
      <c r="D31" s="458" t="s">
        <v>48</v>
      </c>
      <c r="E31" s="472"/>
      <c r="F31" s="522">
        <v>0.9</v>
      </c>
      <c r="G31" s="458"/>
      <c r="H31" s="463">
        <f>ROUND(F31/F33,4)</f>
        <v>0.47370000000000001</v>
      </c>
      <c r="I31" s="458"/>
      <c r="J31" s="458"/>
    </row>
    <row r="32" spans="1:13" ht="10.9" customHeight="1" x14ac:dyDescent="0.2">
      <c r="A32" s="458"/>
      <c r="B32" s="472"/>
      <c r="C32" s="472"/>
      <c r="D32" s="458"/>
      <c r="E32" s="472"/>
      <c r="F32" s="475"/>
      <c r="G32" s="458"/>
      <c r="H32" s="473"/>
      <c r="I32" s="458"/>
      <c r="J32" s="458"/>
    </row>
    <row r="33" spans="1:10" ht="15.75" thickBot="1" x14ac:dyDescent="0.25">
      <c r="A33" s="458"/>
      <c r="B33" s="472"/>
      <c r="C33" s="472"/>
      <c r="D33" s="458" t="s">
        <v>109</v>
      </c>
      <c r="E33" s="472"/>
      <c r="F33" s="476">
        <f>SUM(F29:F32)</f>
        <v>1.9</v>
      </c>
      <c r="G33" s="458"/>
      <c r="H33" s="463">
        <f>SUM(H29:H32)</f>
        <v>1</v>
      </c>
      <c r="I33" s="458"/>
      <c r="J33" s="458"/>
    </row>
    <row r="34" spans="1:10" ht="15.75" thickTop="1" x14ac:dyDescent="0.2">
      <c r="A34" s="458"/>
      <c r="B34" s="472"/>
      <c r="C34" s="472"/>
      <c r="D34" s="458"/>
      <c r="E34" s="458"/>
      <c r="F34" s="477"/>
      <c r="G34" s="458"/>
      <c r="H34" s="478"/>
      <c r="I34" s="458"/>
      <c r="J34" s="458"/>
    </row>
    <row r="35" spans="1:10" x14ac:dyDescent="0.2">
      <c r="A35" s="458"/>
      <c r="B35" s="458"/>
      <c r="C35" s="458"/>
      <c r="D35" s="458"/>
      <c r="E35" s="474"/>
      <c r="F35" s="458"/>
      <c r="G35" s="458"/>
      <c r="H35" s="458"/>
      <c r="I35" s="458"/>
      <c r="J35" s="458"/>
    </row>
    <row r="36" spans="1:10" x14ac:dyDescent="0.2">
      <c r="A36" s="458"/>
      <c r="B36" s="458"/>
      <c r="C36" s="458"/>
      <c r="D36" s="458"/>
      <c r="E36" s="458"/>
      <c r="F36" s="458"/>
      <c r="G36" s="458"/>
      <c r="H36" s="458"/>
      <c r="I36" s="458"/>
      <c r="J36" s="458"/>
    </row>
    <row r="37" spans="1:10" x14ac:dyDescent="0.2">
      <c r="A37" s="473" t="s">
        <v>110</v>
      </c>
      <c r="B37" s="473"/>
      <c r="C37" s="458"/>
      <c r="D37" s="458"/>
      <c r="E37" s="458"/>
      <c r="F37" s="458"/>
      <c r="G37" s="458"/>
      <c r="H37" s="458"/>
      <c r="I37" s="458"/>
      <c r="J37" s="458"/>
    </row>
    <row r="38" spans="1:10" x14ac:dyDescent="0.2">
      <c r="A38" s="472"/>
      <c r="B38" s="472"/>
      <c r="C38" s="472"/>
      <c r="D38" s="472"/>
      <c r="E38" s="472"/>
      <c r="F38" s="472"/>
      <c r="G38" s="472"/>
      <c r="H38" s="472"/>
      <c r="I38" s="472"/>
      <c r="J38" s="472"/>
    </row>
  </sheetData>
  <mergeCells count="1">
    <mergeCell ref="A23:J23"/>
  </mergeCells>
  <phoneticPr fontId="14" type="noConversion"/>
  <printOptions horizontalCentered="1"/>
  <pageMargins left="0.75" right="1" top="1" bottom="0.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O214"/>
  <sheetViews>
    <sheetView workbookViewId="0"/>
  </sheetViews>
  <sheetFormatPr defaultColWidth="9.77734375" defaultRowHeight="15" x14ac:dyDescent="0.2"/>
  <cols>
    <col min="1" max="1" width="7.77734375" style="16" customWidth="1"/>
    <col min="2" max="2" width="7.88671875" style="16" customWidth="1"/>
    <col min="3" max="3" width="2.109375" style="16" customWidth="1"/>
    <col min="4" max="4" width="7.77734375" style="16" customWidth="1"/>
    <col min="5" max="5" width="2.109375" style="16" customWidth="1"/>
    <col min="6" max="6" width="7.77734375" style="16" customWidth="1"/>
    <col min="7" max="7" width="2.109375" style="16" customWidth="1"/>
    <col min="8" max="8" width="7.77734375" style="16" customWidth="1"/>
    <col min="9" max="9" width="2.109375" style="16" customWidth="1"/>
    <col min="10" max="10" width="7.77734375" style="16" customWidth="1"/>
    <col min="11" max="11" width="2.109375" style="16" customWidth="1"/>
    <col min="12" max="12" width="7.77734375" style="16" customWidth="1"/>
    <col min="13" max="13" width="2.109375" style="16" customWidth="1"/>
    <col min="14" max="14" width="7.77734375" style="16" customWidth="1"/>
    <col min="15" max="15" width="2.109375" style="16" customWidth="1"/>
    <col min="16" max="16" width="10.77734375" style="16" customWidth="1"/>
    <col min="17" max="17" width="2.109375" style="16" customWidth="1"/>
    <col min="18" max="18" width="11" style="16" customWidth="1"/>
    <col min="19" max="19" width="7.77734375" style="16" customWidth="1"/>
    <col min="20" max="20" width="3.77734375" style="16" customWidth="1"/>
    <col min="21" max="21" width="7.77734375" style="16" customWidth="1"/>
    <col min="22" max="22" width="2.77734375" style="16" customWidth="1"/>
    <col min="23" max="23" width="7.77734375" style="16" customWidth="1"/>
    <col min="24" max="24" width="2.77734375" style="16" customWidth="1"/>
    <col min="25" max="25" width="12.5546875" style="16" customWidth="1"/>
    <col min="26" max="26" width="2.77734375" style="16" customWidth="1"/>
    <col min="27" max="27" width="10.44140625" style="16" customWidth="1"/>
    <col min="28" max="28" width="2.77734375" style="16" customWidth="1"/>
    <col min="29" max="29" width="10" style="16" bestFit="1" customWidth="1"/>
    <col min="30" max="30" width="2.77734375" style="16" customWidth="1"/>
    <col min="31" max="31" width="13.5546875" style="16" bestFit="1" customWidth="1"/>
    <col min="32" max="32" width="2.77734375" style="16" customWidth="1"/>
    <col min="33" max="33" width="12.44140625" style="16" bestFit="1" customWidth="1"/>
    <col min="34" max="34" width="2.77734375" style="16" customWidth="1"/>
    <col min="35" max="35" width="12" style="16" bestFit="1" customWidth="1"/>
    <col min="36" max="38" width="9.77734375" style="16" customWidth="1"/>
    <col min="39" max="39" width="12.44140625" style="16" bestFit="1" customWidth="1"/>
    <col min="40" max="40" width="6.77734375" style="16" customWidth="1"/>
    <col min="41" max="41" width="4.77734375" style="16" customWidth="1"/>
    <col min="42" max="42" width="6.77734375" style="16" customWidth="1"/>
    <col min="43" max="43" width="9.77734375" style="16" customWidth="1"/>
    <col min="44" max="44" width="3.77734375" style="16" customWidth="1"/>
    <col min="45" max="45" width="6.77734375" style="16" customWidth="1"/>
    <col min="46" max="46" width="3.77734375" style="16" customWidth="1"/>
    <col min="47" max="47" width="8.77734375" style="16" customWidth="1"/>
    <col min="48" max="48" width="3.77734375" style="16" customWidth="1"/>
    <col min="49" max="49" width="7.77734375" style="16" customWidth="1"/>
    <col min="50" max="50" width="3.77734375" style="16" customWidth="1"/>
    <col min="51" max="51" width="9.77734375" style="16" customWidth="1"/>
    <col min="52" max="52" width="6.77734375" style="16" customWidth="1"/>
    <col min="53" max="53" width="2.77734375" style="16" customWidth="1"/>
    <col min="54" max="54" width="4.77734375" style="16" customWidth="1"/>
    <col min="55" max="55" width="2.77734375" style="16" customWidth="1"/>
    <col min="56" max="56" width="11.77734375" style="16" customWidth="1"/>
    <col min="57" max="57" width="3.77734375" style="16" customWidth="1"/>
    <col min="58" max="58" width="7.77734375" style="16" customWidth="1"/>
    <col min="59" max="59" width="3.77734375" style="16" customWidth="1"/>
    <col min="60" max="60" width="7.77734375" style="16" customWidth="1"/>
    <col min="61" max="61" width="3.77734375" style="16" customWidth="1"/>
    <col min="62" max="62" width="7.77734375" style="16" customWidth="1"/>
    <col min="63" max="63" width="3.77734375" style="16" customWidth="1"/>
    <col min="64" max="64" width="7.77734375" style="16" customWidth="1"/>
    <col min="65" max="16384" width="9.77734375" style="16"/>
  </cols>
  <sheetData>
    <row r="1" spans="1:18" x14ac:dyDescent="0.2">
      <c r="A1" s="15" t="s">
        <v>386</v>
      </c>
      <c r="B1" s="15"/>
      <c r="C1" s="15"/>
      <c r="D1" s="15"/>
      <c r="E1" s="15"/>
      <c r="F1" s="15"/>
      <c r="G1" s="15"/>
      <c r="H1" s="15"/>
      <c r="I1" s="15"/>
      <c r="J1" s="15"/>
      <c r="K1" s="15"/>
      <c r="L1" s="15"/>
      <c r="M1" s="15"/>
      <c r="N1" s="15"/>
      <c r="O1" s="15"/>
      <c r="P1" s="15"/>
    </row>
    <row r="2" spans="1:18" x14ac:dyDescent="0.2">
      <c r="A2" s="15"/>
      <c r="B2" s="15"/>
      <c r="C2" s="15"/>
      <c r="D2" s="15"/>
      <c r="E2" s="15"/>
      <c r="F2" s="15"/>
      <c r="G2" s="15"/>
      <c r="H2" s="15"/>
      <c r="I2" s="15"/>
      <c r="J2" s="15"/>
      <c r="K2" s="15"/>
      <c r="L2" s="15"/>
      <c r="M2" s="15"/>
      <c r="N2" s="15"/>
      <c r="O2" s="15"/>
      <c r="P2" s="15"/>
    </row>
    <row r="3" spans="1:18" x14ac:dyDescent="0.2">
      <c r="A3" s="333" t="s">
        <v>95</v>
      </c>
      <c r="B3" s="333"/>
      <c r="C3" s="333"/>
      <c r="D3" s="333"/>
      <c r="E3" s="333"/>
      <c r="F3" s="333"/>
      <c r="G3" s="333"/>
      <c r="H3" s="333"/>
      <c r="I3" s="333"/>
      <c r="J3" s="333"/>
      <c r="K3" s="333"/>
      <c r="L3" s="333"/>
      <c r="M3" s="333"/>
      <c r="N3" s="333"/>
      <c r="O3" s="333"/>
      <c r="P3" s="333"/>
      <c r="Q3" s="338"/>
      <c r="R3" s="338"/>
    </row>
    <row r="4" spans="1:18" x14ac:dyDescent="0.2">
      <c r="A4" s="338"/>
      <c r="B4" s="338"/>
      <c r="C4" s="338"/>
      <c r="D4" s="338"/>
      <c r="E4" s="338"/>
      <c r="F4" s="338"/>
      <c r="G4" s="338"/>
      <c r="H4" s="338"/>
      <c r="I4" s="338"/>
      <c r="J4" s="338"/>
      <c r="K4" s="338"/>
      <c r="L4" s="338"/>
      <c r="M4" s="338"/>
      <c r="N4" s="338"/>
      <c r="O4" s="338"/>
      <c r="P4" s="338"/>
      <c r="Q4" s="338"/>
      <c r="R4" s="338"/>
    </row>
    <row r="5" spans="1:18" x14ac:dyDescent="0.2">
      <c r="A5" s="334" t="s">
        <v>374</v>
      </c>
      <c r="B5" s="334"/>
      <c r="C5" s="334"/>
      <c r="D5" s="334"/>
      <c r="E5" s="334"/>
      <c r="F5" s="334"/>
      <c r="G5" s="334"/>
      <c r="H5" s="334"/>
      <c r="I5" s="334"/>
      <c r="J5" s="334"/>
      <c r="K5" s="334"/>
      <c r="L5" s="334"/>
      <c r="M5" s="334"/>
      <c r="N5" s="334"/>
      <c r="O5" s="334"/>
      <c r="P5" s="334"/>
      <c r="Q5" s="334"/>
      <c r="R5" s="334"/>
    </row>
    <row r="6" spans="1:18" x14ac:dyDescent="0.2">
      <c r="A6" s="334" t="s">
        <v>375</v>
      </c>
      <c r="B6" s="334"/>
      <c r="C6" s="334"/>
      <c r="D6" s="334"/>
      <c r="E6" s="334"/>
      <c r="F6" s="334"/>
      <c r="G6" s="334"/>
      <c r="H6" s="334"/>
      <c r="I6" s="334"/>
      <c r="J6" s="334"/>
      <c r="K6" s="334"/>
      <c r="L6" s="334"/>
      <c r="M6" s="334"/>
      <c r="N6" s="334"/>
      <c r="O6" s="334"/>
      <c r="P6" s="334"/>
      <c r="Q6" s="334"/>
      <c r="R6" s="334"/>
    </row>
    <row r="7" spans="1:18" x14ac:dyDescent="0.2">
      <c r="A7" s="334"/>
      <c r="B7" s="334"/>
      <c r="C7" s="334"/>
      <c r="D7" s="334"/>
      <c r="E7" s="334"/>
      <c r="F7" s="334"/>
      <c r="G7" s="334"/>
      <c r="H7" s="334"/>
      <c r="I7" s="334"/>
      <c r="J7" s="334"/>
      <c r="K7" s="334"/>
      <c r="L7" s="334"/>
      <c r="M7" s="334"/>
      <c r="N7" s="334"/>
      <c r="O7" s="334"/>
      <c r="P7" s="334"/>
      <c r="Q7" s="334"/>
      <c r="R7" s="334"/>
    </row>
    <row r="8" spans="1:18" ht="29.85" customHeight="1" x14ac:dyDescent="0.2">
      <c r="A8" s="699" t="s">
        <v>111</v>
      </c>
      <c r="B8" s="699"/>
      <c r="C8" s="699"/>
      <c r="D8" s="699"/>
      <c r="E8" s="699"/>
      <c r="F8" s="699"/>
      <c r="G8" s="699"/>
      <c r="H8" s="699"/>
      <c r="I8" s="699"/>
      <c r="J8" s="699"/>
      <c r="K8" s="699"/>
      <c r="L8" s="699"/>
      <c r="M8" s="699"/>
      <c r="N8" s="699"/>
      <c r="O8" s="699"/>
      <c r="P8" s="699"/>
      <c r="Q8" s="334"/>
      <c r="R8" s="334"/>
    </row>
    <row r="9" spans="1:18" x14ac:dyDescent="0.2">
      <c r="A9" s="334"/>
      <c r="B9" s="334"/>
      <c r="C9" s="334"/>
      <c r="D9" s="334"/>
      <c r="E9" s="334"/>
      <c r="F9" s="334"/>
      <c r="G9" s="334"/>
      <c r="H9" s="334"/>
      <c r="I9" s="334"/>
      <c r="J9" s="334"/>
      <c r="K9" s="334"/>
      <c r="L9" s="334"/>
      <c r="M9" s="334"/>
      <c r="N9" s="334"/>
      <c r="O9" s="334"/>
      <c r="P9" s="334"/>
      <c r="Q9" s="334"/>
      <c r="R9" s="334"/>
    </row>
    <row r="10" spans="1:18" x14ac:dyDescent="0.2">
      <c r="A10" s="334"/>
      <c r="B10" s="334"/>
      <c r="C10" s="334"/>
      <c r="D10" s="333" t="s">
        <v>64</v>
      </c>
      <c r="E10" s="333"/>
      <c r="F10" s="333"/>
      <c r="G10" s="334"/>
      <c r="H10" s="333" t="s">
        <v>83</v>
      </c>
      <c r="I10" s="333"/>
      <c r="J10" s="333"/>
      <c r="K10" s="334"/>
      <c r="L10" s="334"/>
      <c r="M10" s="334"/>
      <c r="N10" s="334"/>
      <c r="O10" s="334"/>
      <c r="P10" s="334"/>
      <c r="Q10" s="334"/>
      <c r="R10" s="334"/>
    </row>
    <row r="11" spans="1:18" x14ac:dyDescent="0.2">
      <c r="A11" s="334"/>
      <c r="B11" s="334"/>
      <c r="C11" s="334"/>
      <c r="D11" s="333" t="s">
        <v>84</v>
      </c>
      <c r="E11" s="333"/>
      <c r="F11" s="333"/>
      <c r="G11" s="334"/>
      <c r="H11" s="333" t="s">
        <v>85</v>
      </c>
      <c r="I11" s="333"/>
      <c r="J11" s="333"/>
      <c r="K11" s="334"/>
      <c r="L11" s="333" t="s">
        <v>112</v>
      </c>
      <c r="M11" s="333"/>
      <c r="N11" s="333"/>
      <c r="O11" s="334"/>
      <c r="P11" s="334"/>
      <c r="Q11" s="334"/>
      <c r="R11" s="334"/>
    </row>
    <row r="12" spans="1:18" x14ac:dyDescent="0.2">
      <c r="A12" s="333" t="s">
        <v>113</v>
      </c>
      <c r="B12" s="333"/>
      <c r="C12" s="334"/>
      <c r="D12" s="337" t="s">
        <v>67</v>
      </c>
      <c r="E12" s="337"/>
      <c r="F12" s="337" t="s">
        <v>86</v>
      </c>
      <c r="G12" s="372"/>
      <c r="H12" s="337" t="s">
        <v>67</v>
      </c>
      <c r="I12" s="337"/>
      <c r="J12" s="337" t="s">
        <v>86</v>
      </c>
      <c r="K12" s="372"/>
      <c r="L12" s="337" t="s">
        <v>67</v>
      </c>
      <c r="M12" s="337"/>
      <c r="N12" s="337" t="s">
        <v>86</v>
      </c>
      <c r="O12" s="372"/>
      <c r="P12" s="372" t="s">
        <v>67</v>
      </c>
      <c r="Q12" s="372"/>
      <c r="R12" s="338"/>
    </row>
    <row r="13" spans="1:18" x14ac:dyDescent="0.2">
      <c r="A13" s="333" t="s">
        <v>68</v>
      </c>
      <c r="B13" s="333"/>
      <c r="C13" s="334"/>
      <c r="D13" s="372" t="s">
        <v>69</v>
      </c>
      <c r="E13" s="372"/>
      <c r="F13" s="372" t="s">
        <v>69</v>
      </c>
      <c r="G13" s="372"/>
      <c r="H13" s="372" t="s">
        <v>69</v>
      </c>
      <c r="I13" s="372"/>
      <c r="J13" s="372" t="s">
        <v>69</v>
      </c>
      <c r="K13" s="372"/>
      <c r="L13" s="372" t="s">
        <v>69</v>
      </c>
      <c r="M13" s="372"/>
      <c r="N13" s="372" t="s">
        <v>69</v>
      </c>
      <c r="O13" s="372"/>
      <c r="P13" s="372" t="s">
        <v>69</v>
      </c>
      <c r="Q13" s="372"/>
      <c r="R13" s="338"/>
    </row>
    <row r="14" spans="1:18" x14ac:dyDescent="0.2">
      <c r="A14" s="336" t="s">
        <v>70</v>
      </c>
      <c r="B14" s="336"/>
      <c r="C14" s="334"/>
      <c r="D14" s="337" t="s">
        <v>88</v>
      </c>
      <c r="E14" s="334"/>
      <c r="F14" s="447" t="s">
        <v>114</v>
      </c>
      <c r="G14" s="334"/>
      <c r="H14" s="337" t="s">
        <v>90</v>
      </c>
      <c r="I14" s="334"/>
      <c r="J14" s="447" t="s">
        <v>115</v>
      </c>
      <c r="K14" s="334"/>
      <c r="L14" s="337" t="s">
        <v>116</v>
      </c>
      <c r="M14" s="334"/>
      <c r="N14" s="447" t="s">
        <v>117</v>
      </c>
      <c r="O14" s="334"/>
      <c r="P14" s="337" t="s">
        <v>118</v>
      </c>
      <c r="Q14" s="334"/>
      <c r="R14" s="338"/>
    </row>
    <row r="15" spans="1:18" x14ac:dyDescent="0.2">
      <c r="A15" s="338"/>
      <c r="B15" s="338"/>
      <c r="C15" s="338"/>
      <c r="D15" s="448"/>
      <c r="E15" s="448"/>
      <c r="F15" s="448">
        <f>'F 3B 4B'!$I$13</f>
        <v>0.50029999999999997</v>
      </c>
      <c r="G15" s="448"/>
      <c r="H15" s="448"/>
      <c r="I15" s="448"/>
      <c r="J15" s="448">
        <f>'F 3B 4B'!$I$15</f>
        <v>0.45040000000000002</v>
      </c>
      <c r="K15" s="448"/>
      <c r="L15" s="448"/>
      <c r="M15" s="448"/>
      <c r="N15" s="448">
        <f>'F 3B 4B'!$I$19</f>
        <v>4.9299999999999997E-2</v>
      </c>
      <c r="O15" s="448"/>
      <c r="P15" s="448"/>
      <c r="Q15" s="338"/>
      <c r="R15" s="338"/>
    </row>
    <row r="16" spans="1:18" x14ac:dyDescent="0.2">
      <c r="A16" s="338"/>
      <c r="B16" s="338"/>
      <c r="C16" s="338"/>
      <c r="D16" s="448"/>
      <c r="E16" s="448"/>
      <c r="F16" s="448"/>
      <c r="G16" s="448"/>
      <c r="H16" s="448"/>
      <c r="I16" s="448"/>
      <c r="J16" s="448"/>
      <c r="K16" s="448"/>
      <c r="L16" s="448"/>
      <c r="M16" s="448"/>
      <c r="N16" s="448"/>
      <c r="O16" s="448"/>
      <c r="P16" s="448"/>
      <c r="Q16" s="338"/>
      <c r="R16" s="338"/>
    </row>
    <row r="17" spans="1:67" x14ac:dyDescent="0.2">
      <c r="A17" s="334" t="s">
        <v>73</v>
      </c>
      <c r="B17" s="338"/>
      <c r="C17" s="338"/>
      <c r="D17" s="448">
        <f>'F 1-2'!$K$15</f>
        <v>0.56030000000000002</v>
      </c>
      <c r="E17" s="448"/>
      <c r="F17" s="448">
        <f>ROUND($F$15*D17,4)</f>
        <v>0.28029999999999999</v>
      </c>
      <c r="G17" s="448"/>
      <c r="H17" s="448">
        <f>'F 2 B'!J14</f>
        <v>0.67579999999999996</v>
      </c>
      <c r="I17" s="448"/>
      <c r="J17" s="448">
        <f>ROUND($J$15*H17,4)</f>
        <v>0.3044</v>
      </c>
      <c r="K17" s="448"/>
      <c r="L17" s="448"/>
      <c r="M17" s="448"/>
      <c r="N17" s="448"/>
      <c r="O17" s="448"/>
      <c r="P17" s="448">
        <f t="shared" ref="P17:P23" si="0">N17+J17+F17</f>
        <v>0.5847</v>
      </c>
      <c r="Q17" s="338"/>
      <c r="R17" s="338"/>
    </row>
    <row r="18" spans="1:67" x14ac:dyDescent="0.2">
      <c r="A18" s="334" t="s">
        <v>543</v>
      </c>
      <c r="B18" s="338"/>
      <c r="C18" s="338"/>
      <c r="D18" s="448">
        <f>'F 1-2'!$K$16</f>
        <v>0.31380000000000002</v>
      </c>
      <c r="E18" s="448"/>
      <c r="F18" s="448">
        <f t="shared" ref="F18:F23" si="1">ROUND($F$15*D18,4)</f>
        <v>0.157</v>
      </c>
      <c r="G18" s="448"/>
      <c r="H18" s="448">
        <f>'F 2 B'!J15</f>
        <v>0.25800000000000001</v>
      </c>
      <c r="I18" s="448"/>
      <c r="J18" s="448">
        <f>ROUND($J$15*H18,4)</f>
        <v>0.1162</v>
      </c>
      <c r="K18" s="448"/>
      <c r="L18" s="448"/>
      <c r="M18" s="448"/>
      <c r="N18" s="448"/>
      <c r="O18" s="448"/>
      <c r="P18" s="448">
        <f t="shared" si="0"/>
        <v>0.2732</v>
      </c>
      <c r="Q18" s="338"/>
      <c r="R18" s="338"/>
    </row>
    <row r="19" spans="1:67" x14ac:dyDescent="0.2">
      <c r="A19" s="334" t="s">
        <v>75</v>
      </c>
      <c r="B19" s="338"/>
      <c r="C19" s="338"/>
      <c r="D19" s="448">
        <f>'F 1-2'!$K$17</f>
        <v>0.1206</v>
      </c>
      <c r="E19" s="448"/>
      <c r="F19" s="448">
        <f>ROUND($F$15*D19,4)</f>
        <v>6.0299999999999999E-2</v>
      </c>
      <c r="G19" s="448"/>
      <c r="H19" s="448">
        <f>'F 2 B'!J16</f>
        <v>6.6199999999999995E-2</v>
      </c>
      <c r="I19" s="448"/>
      <c r="J19" s="448">
        <f>ROUND($J$15*H19,4)</f>
        <v>2.98E-2</v>
      </c>
      <c r="K19" s="448"/>
      <c r="L19" s="448"/>
      <c r="M19" s="448"/>
      <c r="N19" s="448"/>
      <c r="O19" s="448"/>
      <c r="P19" s="448">
        <f t="shared" si="0"/>
        <v>9.01E-2</v>
      </c>
      <c r="Q19" s="338"/>
      <c r="R19" s="338"/>
    </row>
    <row r="20" spans="1:67" hidden="1" x14ac:dyDescent="0.2">
      <c r="A20" s="334" t="s">
        <v>76</v>
      </c>
      <c r="B20" s="338"/>
      <c r="C20" s="338"/>
      <c r="D20" s="448">
        <f>'F 1-2'!$K$18</f>
        <v>0</v>
      </c>
      <c r="E20" s="448"/>
      <c r="F20" s="449">
        <f t="shared" si="1"/>
        <v>0</v>
      </c>
      <c r="G20" s="448"/>
      <c r="H20" s="448">
        <f>'F 2 B'!$J$17</f>
        <v>0</v>
      </c>
      <c r="I20" s="448"/>
      <c r="J20" s="448">
        <f>ROUND($J$15*H20,4)</f>
        <v>0</v>
      </c>
      <c r="K20" s="448"/>
      <c r="L20" s="448"/>
      <c r="M20" s="448"/>
      <c r="N20" s="448"/>
      <c r="O20" s="448"/>
      <c r="P20" s="448">
        <f t="shared" si="0"/>
        <v>0</v>
      </c>
      <c r="Q20" s="338"/>
      <c r="R20" s="338"/>
    </row>
    <row r="21" spans="1:67" hidden="1" x14ac:dyDescent="0.2">
      <c r="A21" s="334" t="s">
        <v>179</v>
      </c>
      <c r="B21" s="338"/>
      <c r="C21" s="338"/>
      <c r="D21" s="448">
        <f>'F 1-2'!$K$19</f>
        <v>0</v>
      </c>
      <c r="E21" s="448"/>
      <c r="F21" s="448">
        <f>ROUND($F$15*D21,4)</f>
        <v>0</v>
      </c>
      <c r="G21" s="448"/>
      <c r="H21" s="448">
        <f>'F 2 B'!$J$18</f>
        <v>0</v>
      </c>
      <c r="I21" s="448"/>
      <c r="J21" s="448">
        <f>ROUND($J$15*H21,4)</f>
        <v>0</v>
      </c>
      <c r="K21" s="448"/>
      <c r="L21" s="448"/>
      <c r="M21" s="448"/>
      <c r="N21" s="448"/>
      <c r="O21" s="448"/>
      <c r="P21" s="448">
        <f t="shared" si="0"/>
        <v>0</v>
      </c>
      <c r="Q21" s="338"/>
      <c r="R21" s="338"/>
    </row>
    <row r="22" spans="1:67" x14ac:dyDescent="0.2">
      <c r="A22" s="334" t="s">
        <v>77</v>
      </c>
      <c r="B22" s="338"/>
      <c r="C22" s="338"/>
      <c r="D22" s="448">
        <f>'F 1-2'!$K$20</f>
        <v>8.9999999999999998E-4</v>
      </c>
      <c r="E22" s="448"/>
      <c r="F22" s="448">
        <f t="shared" si="1"/>
        <v>5.0000000000000001E-4</v>
      </c>
      <c r="G22" s="448"/>
      <c r="H22" s="448"/>
      <c r="I22" s="448"/>
      <c r="J22" s="448"/>
      <c r="K22" s="448"/>
      <c r="L22" s="448">
        <f>'SCH-E'!$O$26</f>
        <v>0.23419999999999999</v>
      </c>
      <c r="M22" s="448"/>
      <c r="N22" s="448">
        <f>ROUND($N$15*L22,4)</f>
        <v>1.15E-2</v>
      </c>
      <c r="O22" s="448"/>
      <c r="P22" s="448">
        <f t="shared" si="0"/>
        <v>1.2E-2</v>
      </c>
      <c r="Q22" s="338"/>
      <c r="R22" s="338"/>
    </row>
    <row r="23" spans="1:67" x14ac:dyDescent="0.2">
      <c r="A23" s="334" t="s">
        <v>78</v>
      </c>
      <c r="B23" s="338"/>
      <c r="C23" s="338"/>
      <c r="D23" s="448">
        <f>'F 1-2'!$K$21</f>
        <v>4.4000000000000003E-3</v>
      </c>
      <c r="E23" s="448"/>
      <c r="F23" s="448">
        <f t="shared" si="1"/>
        <v>2.2000000000000001E-3</v>
      </c>
      <c r="G23" s="448"/>
      <c r="H23" s="448"/>
      <c r="I23" s="448"/>
      <c r="J23" s="448"/>
      <c r="K23" s="448"/>
      <c r="L23" s="448">
        <f>'SCH-E'!$O$33</f>
        <v>0.76580000000000004</v>
      </c>
      <c r="M23" s="448"/>
      <c r="N23" s="448">
        <f>ROUND($N$15*L23,4)</f>
        <v>3.78E-2</v>
      </c>
      <c r="O23" s="448"/>
      <c r="P23" s="448">
        <f t="shared" si="0"/>
        <v>0.04</v>
      </c>
      <c r="Q23" s="338"/>
      <c r="R23" s="338"/>
    </row>
    <row r="24" spans="1:67" x14ac:dyDescent="0.2">
      <c r="A24" s="334"/>
      <c r="B24" s="338"/>
      <c r="C24" s="338"/>
      <c r="D24" s="450"/>
      <c r="E24" s="448"/>
      <c r="F24" s="450"/>
      <c r="G24" s="448"/>
      <c r="H24" s="450"/>
      <c r="I24" s="448"/>
      <c r="J24" s="450"/>
      <c r="K24" s="448"/>
      <c r="L24" s="450"/>
      <c r="M24" s="448"/>
      <c r="N24" s="450"/>
      <c r="O24" s="448"/>
      <c r="P24" s="450"/>
      <c r="Q24" s="338"/>
      <c r="R24" s="338"/>
    </row>
    <row r="25" spans="1:67" x14ac:dyDescent="0.2">
      <c r="A25" s="334" t="s">
        <v>79</v>
      </c>
      <c r="B25" s="338"/>
      <c r="C25" s="338"/>
      <c r="D25" s="448">
        <f>SUM(D17:D23)</f>
        <v>1.0000000000000002</v>
      </c>
      <c r="E25" s="448"/>
      <c r="F25" s="448">
        <f>SUM(F17:F23)</f>
        <v>0.50030000000000008</v>
      </c>
      <c r="G25" s="448"/>
      <c r="H25" s="448">
        <f>SUM(H17:H23)</f>
        <v>1</v>
      </c>
      <c r="I25" s="448"/>
      <c r="J25" s="448">
        <f>SUM(J17:J23)</f>
        <v>0.45039999999999997</v>
      </c>
      <c r="K25" s="448"/>
      <c r="L25" s="448">
        <f>SUM(L17:L23)</f>
        <v>1</v>
      </c>
      <c r="M25" s="448"/>
      <c r="N25" s="448">
        <f>SUM(N17:N23)</f>
        <v>4.9299999999999997E-2</v>
      </c>
      <c r="O25" s="448"/>
      <c r="P25" s="448">
        <f>SUM(P17:P23)</f>
        <v>1</v>
      </c>
      <c r="Q25" s="338"/>
      <c r="R25" s="338"/>
    </row>
    <row r="26" spans="1:67" x14ac:dyDescent="0.2">
      <c r="A26" s="338"/>
      <c r="B26" s="338"/>
      <c r="C26" s="338"/>
      <c r="D26" s="451"/>
      <c r="E26" s="448"/>
      <c r="F26" s="451"/>
      <c r="G26" s="448"/>
      <c r="H26" s="451"/>
      <c r="I26" s="448"/>
      <c r="J26" s="451"/>
      <c r="K26" s="448"/>
      <c r="L26" s="451"/>
      <c r="M26" s="448"/>
      <c r="N26" s="451"/>
      <c r="O26" s="448"/>
      <c r="P26" s="451"/>
      <c r="Q26" s="338"/>
      <c r="R26" s="338"/>
    </row>
    <row r="27" spans="1:67" x14ac:dyDescent="0.2">
      <c r="A27" s="338"/>
      <c r="B27" s="338"/>
      <c r="C27" s="338"/>
      <c r="D27" s="338"/>
      <c r="E27" s="338"/>
      <c r="F27" s="338"/>
      <c r="G27" s="338"/>
      <c r="H27" s="338"/>
      <c r="I27" s="338"/>
      <c r="J27" s="338"/>
      <c r="K27" s="338"/>
      <c r="L27" s="338"/>
      <c r="M27" s="338"/>
      <c r="N27" s="338"/>
      <c r="O27" s="338"/>
      <c r="P27" s="338"/>
      <c r="Q27" s="338"/>
      <c r="R27" s="338"/>
    </row>
    <row r="28" spans="1:67" x14ac:dyDescent="0.2">
      <c r="A28" s="338"/>
      <c r="B28" s="338"/>
      <c r="C28" s="338"/>
      <c r="D28" s="338"/>
      <c r="E28" s="338"/>
      <c r="F28" s="338"/>
      <c r="G28" s="338"/>
      <c r="H28" s="338"/>
      <c r="I28" s="338"/>
      <c r="J28" s="338"/>
      <c r="K28" s="338"/>
      <c r="L28" s="338"/>
      <c r="M28" s="338"/>
      <c r="N28" s="338"/>
      <c r="O28" s="338"/>
      <c r="P28" s="338"/>
      <c r="Q28" s="338"/>
      <c r="R28" s="338"/>
    </row>
    <row r="29" spans="1:67" x14ac:dyDescent="0.2">
      <c r="A29" s="15" t="s">
        <v>386</v>
      </c>
      <c r="B29" s="333"/>
      <c r="C29" s="333"/>
      <c r="D29" s="333"/>
      <c r="E29" s="333"/>
      <c r="F29" s="333"/>
      <c r="G29" s="333"/>
      <c r="H29" s="333"/>
      <c r="I29" s="333"/>
      <c r="J29" s="333"/>
      <c r="K29" s="333"/>
      <c r="L29" s="333"/>
      <c r="M29" s="333"/>
      <c r="N29" s="333"/>
      <c r="O29" s="333"/>
      <c r="P29" s="333"/>
      <c r="Q29" s="333"/>
      <c r="R29" s="333"/>
      <c r="S29" s="2"/>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row>
    <row r="30" spans="1:67" x14ac:dyDescent="0.2">
      <c r="A30" s="333"/>
      <c r="B30" s="333"/>
      <c r="C30" s="333"/>
      <c r="D30" s="333"/>
      <c r="E30" s="333"/>
      <c r="F30" s="333"/>
      <c r="G30" s="333"/>
      <c r="H30" s="333"/>
      <c r="I30" s="333"/>
      <c r="J30" s="333"/>
      <c r="K30" s="333"/>
      <c r="L30" s="333"/>
      <c r="M30" s="333"/>
      <c r="N30" s="333"/>
      <c r="O30" s="333"/>
      <c r="P30" s="333"/>
      <c r="Q30" s="333"/>
      <c r="R30" s="333"/>
      <c r="S30" s="2"/>
    </row>
    <row r="31" spans="1:67" x14ac:dyDescent="0.2">
      <c r="A31" s="333" t="s">
        <v>95</v>
      </c>
      <c r="B31" s="333"/>
      <c r="C31" s="333"/>
      <c r="D31" s="333"/>
      <c r="E31" s="333"/>
      <c r="F31" s="333"/>
      <c r="G31" s="333"/>
      <c r="H31" s="333"/>
      <c r="I31" s="333"/>
      <c r="J31" s="333"/>
      <c r="K31" s="333"/>
      <c r="L31" s="333"/>
      <c r="M31" s="333"/>
      <c r="N31" s="333"/>
      <c r="O31" s="333"/>
      <c r="P31" s="333"/>
      <c r="Q31" s="333"/>
      <c r="R31" s="333"/>
      <c r="S31" s="2"/>
    </row>
    <row r="32" spans="1:67" x14ac:dyDescent="0.2">
      <c r="A32" s="334"/>
      <c r="B32" s="334"/>
      <c r="C32" s="334"/>
      <c r="D32" s="334"/>
      <c r="E32" s="334"/>
      <c r="F32" s="334"/>
      <c r="G32" s="334"/>
      <c r="H32" s="334"/>
      <c r="I32" s="334"/>
      <c r="J32" s="334"/>
      <c r="K32" s="334"/>
      <c r="L32" s="334"/>
      <c r="M32" s="334"/>
      <c r="N32" s="334"/>
      <c r="O32" s="334"/>
      <c r="P32" s="334"/>
      <c r="Q32" s="334"/>
      <c r="R32" s="334"/>
      <c r="S32" s="2"/>
    </row>
    <row r="33" spans="1:43" x14ac:dyDescent="0.2">
      <c r="A33" s="334" t="s">
        <v>383</v>
      </c>
      <c r="B33" s="334"/>
      <c r="C33" s="334"/>
      <c r="D33" s="334"/>
      <c r="E33" s="334"/>
      <c r="F33" s="334"/>
      <c r="G33" s="334"/>
      <c r="H33" s="334"/>
      <c r="I33" s="334"/>
      <c r="J33" s="334"/>
      <c r="K33" s="334"/>
      <c r="L33" s="334"/>
      <c r="M33" s="334"/>
      <c r="N33" s="334"/>
      <c r="O33" s="334"/>
      <c r="P33" s="334"/>
      <c r="Q33" s="334"/>
      <c r="R33" s="334"/>
      <c r="S33" s="2"/>
    </row>
    <row r="34" spans="1:43" x14ac:dyDescent="0.2">
      <c r="A34" s="334" t="s">
        <v>384</v>
      </c>
      <c r="B34" s="334"/>
      <c r="C34" s="334"/>
      <c r="D34" s="334"/>
      <c r="E34" s="334"/>
      <c r="F34" s="334"/>
      <c r="G34" s="334"/>
      <c r="H34" s="334"/>
      <c r="I34" s="334"/>
      <c r="J34" s="334"/>
      <c r="K34" s="334"/>
      <c r="L34" s="334"/>
      <c r="M34" s="334"/>
      <c r="N34" s="334"/>
      <c r="O34" s="334"/>
      <c r="P34" s="334"/>
      <c r="Q34" s="334"/>
      <c r="R34" s="334"/>
      <c r="S34" s="2"/>
      <c r="T34" s="2"/>
      <c r="U34" s="2"/>
      <c r="V34" s="2"/>
      <c r="W34" s="2"/>
      <c r="X34" s="2"/>
      <c r="Y34" s="2"/>
      <c r="Z34" s="2"/>
      <c r="AA34" s="2"/>
      <c r="AB34" s="2"/>
      <c r="AC34" s="2"/>
      <c r="AD34" s="2"/>
      <c r="AE34" s="2"/>
      <c r="AF34" s="2"/>
      <c r="AG34" s="2"/>
      <c r="AH34" s="2"/>
      <c r="AI34" s="2"/>
      <c r="AJ34" s="2"/>
    </row>
    <row r="35" spans="1:43" x14ac:dyDescent="0.2">
      <c r="A35" s="334"/>
      <c r="B35" s="334"/>
      <c r="C35" s="334"/>
      <c r="D35" s="334"/>
      <c r="E35" s="334"/>
      <c r="F35" s="334"/>
      <c r="G35" s="334"/>
      <c r="H35" s="334"/>
      <c r="I35" s="334"/>
      <c r="J35" s="334"/>
      <c r="K35" s="334"/>
      <c r="L35" s="334"/>
      <c r="M35" s="334"/>
      <c r="N35" s="334"/>
      <c r="O35" s="334"/>
      <c r="P35" s="334"/>
      <c r="Q35" s="334"/>
      <c r="R35" s="334"/>
      <c r="S35" s="2"/>
      <c r="T35" s="2"/>
      <c r="U35" s="2"/>
      <c r="V35" s="2"/>
      <c r="W35" s="2"/>
      <c r="X35" s="2"/>
      <c r="Y35" s="2"/>
      <c r="Z35" s="2"/>
      <c r="AA35" s="2"/>
      <c r="AB35" s="2"/>
      <c r="AC35" s="2"/>
      <c r="AD35" s="2"/>
      <c r="AE35" s="2"/>
      <c r="AF35" s="2"/>
      <c r="AG35" s="2"/>
      <c r="AH35" s="2"/>
      <c r="AI35" s="2"/>
      <c r="AJ35" s="2"/>
    </row>
    <row r="36" spans="1:43" ht="29.45" customHeight="1" x14ac:dyDescent="0.2">
      <c r="A36" s="699" t="s">
        <v>111</v>
      </c>
      <c r="B36" s="699"/>
      <c r="C36" s="699"/>
      <c r="D36" s="699"/>
      <c r="E36" s="699"/>
      <c r="F36" s="699"/>
      <c r="G36" s="699"/>
      <c r="H36" s="699"/>
      <c r="I36" s="699"/>
      <c r="J36" s="699"/>
      <c r="K36" s="699"/>
      <c r="L36" s="699"/>
      <c r="M36" s="699"/>
      <c r="N36" s="699"/>
      <c r="O36" s="699"/>
      <c r="P36" s="699"/>
      <c r="Q36" s="699"/>
      <c r="R36" s="699"/>
      <c r="S36" s="2"/>
    </row>
    <row r="37" spans="1:43" x14ac:dyDescent="0.2">
      <c r="A37" s="334"/>
      <c r="B37" s="334"/>
      <c r="C37" s="334"/>
      <c r="D37" s="334"/>
      <c r="E37" s="334"/>
      <c r="F37" s="334"/>
      <c r="G37" s="334"/>
      <c r="H37" s="334"/>
      <c r="I37" s="334"/>
      <c r="J37" s="334"/>
      <c r="K37" s="334"/>
      <c r="L37" s="334"/>
      <c r="M37" s="334"/>
      <c r="N37" s="334"/>
      <c r="O37" s="334"/>
      <c r="P37" s="334"/>
      <c r="Q37" s="334"/>
      <c r="R37" s="334"/>
      <c r="S37" s="2"/>
    </row>
    <row r="38" spans="1:43" x14ac:dyDescent="0.2">
      <c r="A38" s="334"/>
      <c r="B38" s="334"/>
      <c r="C38" s="334"/>
      <c r="D38" s="334"/>
      <c r="E38" s="334"/>
      <c r="F38" s="334"/>
      <c r="G38" s="334"/>
      <c r="H38" s="334"/>
      <c r="I38" s="334"/>
      <c r="J38" s="333" t="s">
        <v>119</v>
      </c>
      <c r="K38" s="333"/>
      <c r="L38" s="333"/>
      <c r="M38" s="334"/>
      <c r="N38" s="334"/>
      <c r="O38" s="334"/>
      <c r="P38" s="334"/>
      <c r="Q38" s="334"/>
      <c r="R38" s="334"/>
      <c r="S38" s="2"/>
    </row>
    <row r="39" spans="1:43" x14ac:dyDescent="0.2">
      <c r="A39" s="334"/>
      <c r="B39" s="334"/>
      <c r="C39" s="334"/>
      <c r="D39" s="333" t="s">
        <v>120</v>
      </c>
      <c r="E39" s="333"/>
      <c r="F39" s="333"/>
      <c r="G39" s="333"/>
      <c r="H39" s="333"/>
      <c r="I39" s="334"/>
      <c r="J39" s="333" t="s">
        <v>85</v>
      </c>
      <c r="K39" s="333"/>
      <c r="L39" s="333"/>
      <c r="M39" s="334"/>
      <c r="N39" s="333" t="s">
        <v>112</v>
      </c>
      <c r="O39" s="333"/>
      <c r="P39" s="333"/>
      <c r="Q39" s="334"/>
      <c r="R39" s="334"/>
      <c r="S39" s="2"/>
    </row>
    <row r="40" spans="1:43" x14ac:dyDescent="0.2">
      <c r="A40" s="333" t="s">
        <v>113</v>
      </c>
      <c r="B40" s="333"/>
      <c r="C40" s="334"/>
      <c r="D40" s="337" t="s">
        <v>319</v>
      </c>
      <c r="E40" s="337"/>
      <c r="F40" s="337" t="s">
        <v>67</v>
      </c>
      <c r="G40" s="337"/>
      <c r="H40" s="337" t="s">
        <v>86</v>
      </c>
      <c r="I40" s="372"/>
      <c r="J40" s="337" t="s">
        <v>67</v>
      </c>
      <c r="K40" s="337"/>
      <c r="L40" s="337" t="s">
        <v>86</v>
      </c>
      <c r="M40" s="372"/>
      <c r="N40" s="337" t="s">
        <v>67</v>
      </c>
      <c r="O40" s="337"/>
      <c r="P40" s="337" t="s">
        <v>86</v>
      </c>
      <c r="Q40" s="372"/>
      <c r="R40" s="372" t="s">
        <v>67</v>
      </c>
      <c r="S40" s="2"/>
    </row>
    <row r="41" spans="1:43" x14ac:dyDescent="0.2">
      <c r="A41" s="333" t="s">
        <v>68</v>
      </c>
      <c r="B41" s="333"/>
      <c r="C41" s="334"/>
      <c r="D41" s="372" t="s">
        <v>213</v>
      </c>
      <c r="E41" s="372"/>
      <c r="F41" s="372" t="s">
        <v>69</v>
      </c>
      <c r="G41" s="372"/>
      <c r="H41" s="372" t="s">
        <v>69</v>
      </c>
      <c r="I41" s="372"/>
      <c r="J41" s="372" t="s">
        <v>69</v>
      </c>
      <c r="K41" s="372"/>
      <c r="L41" s="372" t="s">
        <v>69</v>
      </c>
      <c r="M41" s="372"/>
      <c r="N41" s="372" t="s">
        <v>69</v>
      </c>
      <c r="O41" s="372"/>
      <c r="P41" s="372" t="s">
        <v>69</v>
      </c>
      <c r="Q41" s="372"/>
      <c r="R41" s="372" t="s">
        <v>69</v>
      </c>
      <c r="S41" s="2"/>
    </row>
    <row r="42" spans="1:43" x14ac:dyDescent="0.2">
      <c r="A42" s="336" t="s">
        <v>70</v>
      </c>
      <c r="B42" s="336"/>
      <c r="C42" s="334"/>
      <c r="D42" s="337" t="s">
        <v>88</v>
      </c>
      <c r="E42" s="334"/>
      <c r="F42" s="337" t="s">
        <v>72</v>
      </c>
      <c r="G42" s="334"/>
      <c r="H42" s="447" t="s">
        <v>121</v>
      </c>
      <c r="I42" s="334"/>
      <c r="J42" s="337" t="s">
        <v>102</v>
      </c>
      <c r="K42" s="334"/>
      <c r="L42" s="447" t="s">
        <v>122</v>
      </c>
      <c r="M42" s="334"/>
      <c r="N42" s="337" t="s">
        <v>123</v>
      </c>
      <c r="O42" s="334"/>
      <c r="P42" s="447" t="s">
        <v>124</v>
      </c>
      <c r="Q42" s="334"/>
      <c r="R42" s="337" t="s">
        <v>125</v>
      </c>
      <c r="S42" s="2"/>
    </row>
    <row r="43" spans="1:43" x14ac:dyDescent="0.2">
      <c r="A43" s="334"/>
      <c r="B43" s="334"/>
      <c r="C43" s="334"/>
      <c r="D43" s="334"/>
      <c r="E43" s="334"/>
      <c r="F43" s="334"/>
      <c r="G43" s="334"/>
      <c r="H43" s="340">
        <f>'F 3B 4B'!$I$40</f>
        <v>0.2392</v>
      </c>
      <c r="I43" s="340"/>
      <c r="J43" s="340"/>
      <c r="K43" s="340"/>
      <c r="L43" s="340">
        <f>'F 3B 4B'!$I$42</f>
        <v>0.47839999999999999</v>
      </c>
      <c r="M43" s="340"/>
      <c r="N43" s="340"/>
      <c r="O43" s="340"/>
      <c r="P43" s="340">
        <f>'F 3B 4B'!$I$46</f>
        <v>0.28239999999999998</v>
      </c>
      <c r="Q43" s="334"/>
      <c r="R43" s="452"/>
      <c r="S43" s="2"/>
    </row>
    <row r="44" spans="1:43" x14ac:dyDescent="0.2">
      <c r="A44" s="334"/>
      <c r="B44" s="334"/>
      <c r="C44" s="334"/>
      <c r="D44" s="334"/>
      <c r="E44" s="334"/>
      <c r="F44" s="334"/>
      <c r="G44" s="334"/>
      <c r="H44" s="334"/>
      <c r="I44" s="334"/>
      <c r="J44" s="334"/>
      <c r="K44" s="334"/>
      <c r="L44" s="334"/>
      <c r="M44" s="334"/>
      <c r="N44" s="334"/>
      <c r="O44" s="334"/>
      <c r="P44" s="334"/>
      <c r="Q44" s="334"/>
      <c r="R44" s="334"/>
      <c r="S44" s="2"/>
    </row>
    <row r="45" spans="1:43" x14ac:dyDescent="0.2">
      <c r="A45" s="334" t="s">
        <v>73</v>
      </c>
      <c r="B45" s="334"/>
      <c r="C45" s="334"/>
      <c r="D45" s="648">
        <f>ROUND(('F 1-2'!G15/24),3)</f>
        <v>26.279</v>
      </c>
      <c r="E45" s="334"/>
      <c r="F45" s="340">
        <f>ROUND(+D45/$D$53,4)+0.0001</f>
        <v>0.56030000000000002</v>
      </c>
      <c r="G45" s="334"/>
      <c r="H45" s="340">
        <f>ROUND(F45*$H$43,4)</f>
        <v>0.13400000000000001</v>
      </c>
      <c r="I45" s="334"/>
      <c r="J45" s="340">
        <f>'F 3B 4B'!$K$58</f>
        <v>0.69879999999999998</v>
      </c>
      <c r="K45" s="334"/>
      <c r="L45" s="340">
        <f>ROUND(J45*$L$43,4)</f>
        <v>0.33429999999999999</v>
      </c>
      <c r="M45" s="334"/>
      <c r="N45" s="340"/>
      <c r="O45" s="334"/>
      <c r="P45" s="340"/>
      <c r="Q45" s="334"/>
      <c r="R45" s="340">
        <f t="shared" ref="R45:R51" si="2">H45+L45+P45</f>
        <v>0.46829999999999999</v>
      </c>
      <c r="S45" s="2"/>
      <c r="W45" s="211"/>
      <c r="X45" s="211"/>
      <c r="Y45" s="211"/>
      <c r="Z45" s="211"/>
      <c r="AA45" s="211"/>
      <c r="AB45" s="211"/>
      <c r="AC45" s="211"/>
      <c r="AD45" s="211"/>
      <c r="AE45" s="211"/>
      <c r="AF45" s="211"/>
      <c r="AG45" s="196"/>
      <c r="AH45" s="211"/>
      <c r="AI45" s="211"/>
      <c r="AJ45" s="211"/>
      <c r="AK45" s="211"/>
      <c r="AL45" s="211"/>
      <c r="AM45" s="211"/>
      <c r="AN45" s="211"/>
      <c r="AO45" s="211"/>
      <c r="AP45" s="211"/>
      <c r="AQ45" s="211"/>
    </row>
    <row r="46" spans="1:43" x14ac:dyDescent="0.2">
      <c r="A46" s="334" t="s">
        <v>543</v>
      </c>
      <c r="B46" s="334"/>
      <c r="C46" s="334"/>
      <c r="D46" s="648">
        <f>ROUND(('F 1-2'!G16/24),4)</f>
        <v>14.720800000000001</v>
      </c>
      <c r="E46" s="334"/>
      <c r="F46" s="340">
        <f t="shared" ref="F46:F51" si="3">ROUND(+D46/$D$53,4)</f>
        <v>0.31380000000000002</v>
      </c>
      <c r="G46" s="334"/>
      <c r="H46" s="340">
        <f t="shared" ref="H46:H51" si="4">ROUND(F46*$H$43,4)</f>
        <v>7.51E-2</v>
      </c>
      <c r="I46" s="334"/>
      <c r="J46" s="340">
        <f>'F 3B 4B'!$K$59</f>
        <v>0.2447</v>
      </c>
      <c r="K46" s="334"/>
      <c r="L46" s="340">
        <f>ROUND(J46*$L$43,4)</f>
        <v>0.1171</v>
      </c>
      <c r="M46" s="334"/>
      <c r="N46" s="334"/>
      <c r="O46" s="334"/>
      <c r="P46" s="334"/>
      <c r="Q46" s="334"/>
      <c r="R46" s="340">
        <f t="shared" si="2"/>
        <v>0.19219999999999998</v>
      </c>
      <c r="S46" s="2"/>
      <c r="U46" s="182"/>
      <c r="V46" s="182"/>
      <c r="W46" s="212"/>
      <c r="X46" s="212"/>
      <c r="Y46" s="213"/>
      <c r="Z46" s="213"/>
      <c r="AA46" s="213"/>
      <c r="AB46" s="211"/>
      <c r="AC46" s="214"/>
      <c r="AD46" s="212"/>
      <c r="AE46" s="214"/>
      <c r="AF46" s="211"/>
      <c r="AG46" s="196"/>
      <c r="AH46" s="211"/>
      <c r="AI46" s="196"/>
      <c r="AJ46" s="211"/>
      <c r="AK46" s="211"/>
      <c r="AL46" s="215"/>
      <c r="AM46" s="216"/>
      <c r="AN46" s="211"/>
      <c r="AO46" s="211"/>
      <c r="AP46" s="211"/>
      <c r="AQ46" s="211"/>
    </row>
    <row r="47" spans="1:43" s="179" customFormat="1" ht="15.75" x14ac:dyDescent="0.25">
      <c r="A47" s="334" t="s">
        <v>75</v>
      </c>
      <c r="B47" s="334"/>
      <c r="C47" s="334"/>
      <c r="D47" s="648">
        <f>ROUND(('F 1-2'!G17/24),4)</f>
        <v>5.6582999999999997</v>
      </c>
      <c r="E47" s="334"/>
      <c r="F47" s="340">
        <f t="shared" si="3"/>
        <v>0.1206</v>
      </c>
      <c r="G47" s="334"/>
      <c r="H47" s="340">
        <f t="shared" si="4"/>
        <v>2.8799999999999999E-2</v>
      </c>
      <c r="I47" s="334"/>
      <c r="J47" s="340">
        <f>'F 3B 4B'!$K$60</f>
        <v>5.6500000000000002E-2</v>
      </c>
      <c r="K47" s="334"/>
      <c r="L47" s="340">
        <f>ROUND(J47*$L$43,4)</f>
        <v>2.7E-2</v>
      </c>
      <c r="M47" s="334"/>
      <c r="N47" s="334"/>
      <c r="O47" s="334"/>
      <c r="P47" s="334"/>
      <c r="Q47" s="334"/>
      <c r="R47" s="340">
        <f t="shared" si="2"/>
        <v>5.5800000000000002E-2</v>
      </c>
      <c r="S47" s="56"/>
      <c r="T47" s="188"/>
      <c r="U47" s="182"/>
      <c r="V47" s="182"/>
      <c r="W47" s="212"/>
      <c r="X47" s="212"/>
      <c r="Y47" s="212"/>
      <c r="Z47" s="212"/>
      <c r="AA47" s="212"/>
      <c r="AB47" s="217"/>
      <c r="AC47" s="214"/>
      <c r="AD47" s="212"/>
      <c r="AE47" s="214"/>
      <c r="AF47" s="217"/>
      <c r="AG47" s="196"/>
      <c r="AH47" s="211"/>
      <c r="AI47" s="196"/>
      <c r="AJ47" s="211"/>
      <c r="AK47" s="217"/>
      <c r="AL47" s="218"/>
      <c r="AM47" s="218"/>
      <c r="AN47" s="217"/>
      <c r="AO47" s="217"/>
      <c r="AP47" s="217"/>
      <c r="AQ47" s="217"/>
    </row>
    <row r="48" spans="1:43" hidden="1" x14ac:dyDescent="0.2">
      <c r="A48" s="334" t="s">
        <v>76</v>
      </c>
      <c r="B48" s="334"/>
      <c r="C48" s="334"/>
      <c r="D48" s="648">
        <f>ROUND(('F 1-2'!G18/24),4)</f>
        <v>0</v>
      </c>
      <c r="E48" s="334"/>
      <c r="F48" s="340">
        <f t="shared" si="3"/>
        <v>0</v>
      </c>
      <c r="G48" s="334"/>
      <c r="H48" s="340">
        <f t="shared" si="4"/>
        <v>0</v>
      </c>
      <c r="I48" s="334"/>
      <c r="J48" s="340">
        <f>'F 3B 4B'!$K$61</f>
        <v>0</v>
      </c>
      <c r="K48" s="334"/>
      <c r="L48" s="453">
        <f>ROUND(J48*$L$43,4)</f>
        <v>0</v>
      </c>
      <c r="M48" s="334"/>
      <c r="N48" s="334"/>
      <c r="O48" s="334"/>
      <c r="P48" s="334"/>
      <c r="Q48" s="334"/>
      <c r="R48" s="340">
        <f t="shared" si="2"/>
        <v>0</v>
      </c>
      <c r="S48" s="2"/>
      <c r="U48" s="182"/>
      <c r="V48" s="182"/>
      <c r="W48" s="212"/>
      <c r="X48" s="212"/>
      <c r="Y48" s="219"/>
      <c r="Z48" s="212"/>
      <c r="AA48" s="212"/>
      <c r="AB48" s="216"/>
      <c r="AC48" s="220"/>
      <c r="AD48" s="212"/>
      <c r="AE48" s="220"/>
      <c r="AF48" s="211"/>
      <c r="AG48" s="216"/>
      <c r="AH48" s="211"/>
      <c r="AI48" s="216"/>
      <c r="AJ48" s="211"/>
      <c r="AK48" s="211"/>
      <c r="AL48" s="215"/>
      <c r="AM48" s="215"/>
      <c r="AN48" s="211"/>
      <c r="AO48" s="211"/>
      <c r="AP48" s="211"/>
      <c r="AQ48" s="211"/>
    </row>
    <row r="49" spans="1:43" hidden="1" x14ac:dyDescent="0.2">
      <c r="A49" s="334" t="s">
        <v>179</v>
      </c>
      <c r="B49" s="334"/>
      <c r="C49" s="334"/>
      <c r="D49" s="648">
        <f>ROUND(('F 1-2'!G19/24),4)</f>
        <v>0</v>
      </c>
      <c r="E49" s="334"/>
      <c r="F49" s="340">
        <f>ROUND(+D49/$D$53,4)</f>
        <v>0</v>
      </c>
      <c r="G49" s="334"/>
      <c r="H49" s="340">
        <f t="shared" si="4"/>
        <v>0</v>
      </c>
      <c r="I49" s="334"/>
      <c r="J49" s="340">
        <f>'F 3B 4B'!$K$62</f>
        <v>0</v>
      </c>
      <c r="K49" s="334"/>
      <c r="L49" s="340">
        <f>ROUND(J49*$L$43,4)</f>
        <v>0</v>
      </c>
      <c r="M49" s="334"/>
      <c r="N49" s="340"/>
      <c r="O49" s="334"/>
      <c r="P49" s="340"/>
      <c r="Q49" s="334"/>
      <c r="R49" s="340">
        <f t="shared" si="2"/>
        <v>0</v>
      </c>
      <c r="U49" s="287" t="s">
        <v>320</v>
      </c>
      <c r="V49" s="182"/>
      <c r="W49" s="212"/>
      <c r="X49" s="212"/>
      <c r="Y49" s="219"/>
      <c r="Z49" s="212"/>
      <c r="AA49" s="212"/>
      <c r="AB49" s="216"/>
      <c r="AC49" s="220"/>
      <c r="AD49" s="212"/>
      <c r="AE49" s="220"/>
      <c r="AF49" s="211"/>
      <c r="AG49" s="216"/>
      <c r="AH49" s="211"/>
      <c r="AI49" s="216"/>
      <c r="AJ49" s="211"/>
      <c r="AK49" s="211"/>
      <c r="AL49" s="215"/>
      <c r="AM49" s="216"/>
      <c r="AN49" s="211"/>
      <c r="AO49" s="211"/>
      <c r="AP49" s="211"/>
      <c r="AQ49" s="211"/>
    </row>
    <row r="50" spans="1:43" x14ac:dyDescent="0.2">
      <c r="A50" s="334" t="s">
        <v>77</v>
      </c>
      <c r="B50" s="334"/>
      <c r="C50" s="334"/>
      <c r="D50" s="648">
        <f>ROUND(('F 1-2'!G20/24),3)</f>
        <v>4.2000000000000003E-2</v>
      </c>
      <c r="E50" s="334"/>
      <c r="F50" s="340">
        <f t="shared" si="3"/>
        <v>8.9999999999999998E-4</v>
      </c>
      <c r="G50" s="334"/>
      <c r="H50" s="340">
        <f t="shared" si="4"/>
        <v>2.0000000000000001E-4</v>
      </c>
      <c r="I50" s="334"/>
      <c r="J50" s="340"/>
      <c r="K50" s="334"/>
      <c r="L50" s="340"/>
      <c r="M50" s="334"/>
      <c r="N50" s="340">
        <f>'SCH-E'!$O$26</f>
        <v>0.23419999999999999</v>
      </c>
      <c r="O50" s="334"/>
      <c r="P50" s="453">
        <f>ROUND(N50*$P$43,4)</f>
        <v>6.6100000000000006E-2</v>
      </c>
      <c r="Q50" s="334"/>
      <c r="R50" s="340">
        <f t="shared" si="2"/>
        <v>6.6300000000000012E-2</v>
      </c>
      <c r="S50" s="2"/>
      <c r="U50" s="182"/>
      <c r="V50" s="182"/>
      <c r="W50" s="212"/>
      <c r="X50" s="212"/>
      <c r="Y50" s="219"/>
      <c r="Z50" s="212"/>
      <c r="AA50" s="212"/>
      <c r="AB50" s="216"/>
      <c r="AC50" s="220"/>
      <c r="AD50" s="212"/>
      <c r="AE50" s="220"/>
      <c r="AF50" s="211"/>
      <c r="AG50" s="216"/>
      <c r="AH50" s="211"/>
      <c r="AI50" s="216"/>
      <c r="AJ50" s="211"/>
      <c r="AK50" s="211"/>
      <c r="AL50" s="215"/>
      <c r="AM50" s="216"/>
      <c r="AN50" s="211"/>
      <c r="AO50" s="211"/>
      <c r="AP50" s="211"/>
      <c r="AQ50" s="211"/>
    </row>
    <row r="51" spans="1:43" x14ac:dyDescent="0.2">
      <c r="A51" s="334" t="s">
        <v>78</v>
      </c>
      <c r="B51" s="334"/>
      <c r="C51" s="334"/>
      <c r="D51" s="648">
        <f>ROUND(('F 1-2'!G21/24),3)</f>
        <v>0.20799999999999999</v>
      </c>
      <c r="E51" s="334"/>
      <c r="F51" s="340">
        <f t="shared" si="3"/>
        <v>4.4000000000000003E-3</v>
      </c>
      <c r="G51" s="334"/>
      <c r="H51" s="340">
        <f t="shared" si="4"/>
        <v>1.1000000000000001E-3</v>
      </c>
      <c r="I51" s="334"/>
      <c r="J51" s="340"/>
      <c r="K51" s="334"/>
      <c r="L51" s="340"/>
      <c r="M51" s="334"/>
      <c r="N51" s="340">
        <f>'SCH-E'!$O$33</f>
        <v>0.76580000000000004</v>
      </c>
      <c r="O51" s="334"/>
      <c r="P51" s="340">
        <f>ROUND(N51*$P$43,4)</f>
        <v>0.21629999999999999</v>
      </c>
      <c r="Q51" s="334"/>
      <c r="R51" s="340">
        <f t="shared" si="2"/>
        <v>0.21739999999999998</v>
      </c>
      <c r="S51" s="2"/>
      <c r="U51" s="182"/>
      <c r="V51" s="182"/>
      <c r="W51" s="182"/>
      <c r="X51" s="182"/>
      <c r="Y51" s="183"/>
      <c r="Z51" s="182"/>
      <c r="AA51" s="182"/>
      <c r="AB51" s="145"/>
      <c r="AC51" s="186"/>
      <c r="AD51" s="182"/>
      <c r="AE51" s="186"/>
      <c r="AG51" s="145"/>
      <c r="AI51" s="145"/>
    </row>
    <row r="52" spans="1:43" x14ac:dyDescent="0.2">
      <c r="A52" s="334"/>
      <c r="B52" s="334"/>
      <c r="C52" s="334"/>
      <c r="D52" s="651"/>
      <c r="E52" s="334"/>
      <c r="F52" s="454"/>
      <c r="G52" s="334"/>
      <c r="H52" s="454"/>
      <c r="I52" s="334"/>
      <c r="J52" s="454"/>
      <c r="K52" s="334"/>
      <c r="L52" s="454"/>
      <c r="M52" s="334"/>
      <c r="N52" s="454"/>
      <c r="O52" s="334"/>
      <c r="P52" s="454"/>
      <c r="Q52" s="334"/>
      <c r="R52" s="454"/>
      <c r="S52" s="2"/>
      <c r="U52" s="182"/>
      <c r="V52" s="182"/>
      <c r="W52" s="182"/>
      <c r="X52" s="182"/>
      <c r="Y52" s="183"/>
      <c r="Z52" s="182"/>
      <c r="AA52" s="182"/>
      <c r="AB52" s="145"/>
      <c r="AC52" s="186"/>
      <c r="AD52" s="182"/>
      <c r="AE52" s="186"/>
      <c r="AG52" s="145"/>
      <c r="AI52" s="145"/>
      <c r="AK52" s="4"/>
    </row>
    <row r="53" spans="1:43" ht="15.75" thickBot="1" x14ac:dyDescent="0.25">
      <c r="A53" s="334" t="s">
        <v>79</v>
      </c>
      <c r="B53" s="334"/>
      <c r="C53" s="334"/>
      <c r="D53" s="648">
        <f>SUM(D45:D52)</f>
        <v>46.908099999999997</v>
      </c>
      <c r="E53" s="334"/>
      <c r="F53" s="340">
        <f>SUM(F45:F52)</f>
        <v>1.0000000000000002</v>
      </c>
      <c r="G53" s="334"/>
      <c r="H53" s="340">
        <f>SUM(H45:H52)</f>
        <v>0.2392</v>
      </c>
      <c r="I53" s="334"/>
      <c r="J53" s="340">
        <f>SUM(J45:J52)</f>
        <v>1</v>
      </c>
      <c r="K53" s="334"/>
      <c r="L53" s="340">
        <f>SUM(L45:L52)</f>
        <v>0.47839999999999999</v>
      </c>
      <c r="M53" s="334"/>
      <c r="N53" s="359">
        <f>SUM(N45:N52)</f>
        <v>1</v>
      </c>
      <c r="O53" s="334"/>
      <c r="P53" s="340">
        <f>SUM(P45:P52)</f>
        <v>0.28239999999999998</v>
      </c>
      <c r="Q53" s="334"/>
      <c r="R53" s="340">
        <f>SUM(R45:R52)</f>
        <v>1</v>
      </c>
      <c r="S53" s="2"/>
      <c r="U53" s="182"/>
      <c r="V53" s="182"/>
      <c r="W53" s="182"/>
      <c r="X53" s="182"/>
      <c r="Y53" s="183"/>
      <c r="Z53" s="182"/>
      <c r="AA53" s="182"/>
      <c r="AB53" s="145"/>
      <c r="AC53" s="186"/>
      <c r="AE53" s="186"/>
      <c r="AG53" s="145"/>
      <c r="AI53" s="145"/>
      <c r="AK53" s="4"/>
    </row>
    <row r="54" spans="1:43" ht="15.75" thickTop="1" x14ac:dyDescent="0.2">
      <c r="A54" s="334"/>
      <c r="B54" s="334"/>
      <c r="C54" s="334"/>
      <c r="D54" s="360"/>
      <c r="E54" s="334"/>
      <c r="F54" s="455"/>
      <c r="G54" s="334"/>
      <c r="H54" s="455"/>
      <c r="I54" s="334"/>
      <c r="J54" s="455"/>
      <c r="K54" s="334"/>
      <c r="L54" s="455"/>
      <c r="M54" s="334"/>
      <c r="N54" s="456"/>
      <c r="O54" s="334"/>
      <c r="P54" s="455"/>
      <c r="Q54" s="334"/>
      <c r="R54" s="455"/>
      <c r="S54" s="2"/>
      <c r="U54" s="182"/>
      <c r="V54" s="182"/>
      <c r="W54" s="182"/>
      <c r="X54" s="182"/>
      <c r="Y54" s="182"/>
      <c r="Z54" s="182"/>
      <c r="AA54" s="182"/>
      <c r="AB54" s="145"/>
      <c r="AC54" s="145"/>
      <c r="AG54" s="145"/>
      <c r="AK54" s="4"/>
    </row>
    <row r="55" spans="1:43" x14ac:dyDescent="0.2">
      <c r="A55" s="705" t="s">
        <v>1</v>
      </c>
      <c r="B55" s="705"/>
      <c r="C55" s="705"/>
      <c r="D55" s="705"/>
      <c r="E55" s="705"/>
      <c r="F55" s="705"/>
      <c r="G55" s="705"/>
      <c r="H55" s="705"/>
      <c r="I55" s="705"/>
      <c r="J55" s="705"/>
      <c r="K55" s="705"/>
      <c r="L55" s="705"/>
      <c r="M55" s="705"/>
      <c r="N55" s="705"/>
      <c r="O55" s="705"/>
      <c r="P55" s="705"/>
      <c r="Q55" s="705"/>
      <c r="R55" s="705"/>
      <c r="S55" s="2"/>
      <c r="U55" s="182"/>
      <c r="V55" s="182"/>
      <c r="W55" s="182"/>
      <c r="X55" s="182"/>
      <c r="Y55" s="183"/>
      <c r="Z55" s="182"/>
      <c r="AA55" s="183"/>
      <c r="AB55" s="145"/>
      <c r="AC55" s="145"/>
      <c r="AE55" s="186"/>
      <c r="AF55" s="145"/>
      <c r="AG55" s="145"/>
      <c r="AI55" s="145"/>
      <c r="AK55" s="4"/>
    </row>
    <row r="56" spans="1:43" x14ac:dyDescent="0.2">
      <c r="U56" s="182"/>
      <c r="V56" s="182"/>
      <c r="W56" s="182"/>
      <c r="X56" s="182"/>
      <c r="Y56" s="186"/>
      <c r="Z56" s="186"/>
      <c r="AA56" s="186"/>
      <c r="AB56" s="145"/>
      <c r="AC56" s="145"/>
      <c r="AD56" s="145"/>
      <c r="AE56" s="145"/>
      <c r="AF56" s="145"/>
      <c r="AG56" s="145"/>
      <c r="AH56" s="145"/>
      <c r="AI56" s="145"/>
      <c r="AK56" s="4"/>
    </row>
    <row r="57" spans="1:43" x14ac:dyDescent="0.2">
      <c r="U57" s="182"/>
      <c r="V57" s="182"/>
      <c r="W57" s="182"/>
      <c r="X57" s="182"/>
      <c r="Y57" s="186"/>
      <c r="Z57" s="186"/>
      <c r="AA57" s="186"/>
      <c r="AB57" s="145"/>
      <c r="AC57" s="145"/>
      <c r="AD57" s="145"/>
      <c r="AE57" s="186"/>
      <c r="AF57" s="145"/>
      <c r="AG57" s="186"/>
      <c r="AH57" s="145"/>
      <c r="AI57" s="186"/>
      <c r="AK57" s="4"/>
    </row>
    <row r="58" spans="1:43" x14ac:dyDescent="0.2">
      <c r="A58" s="15"/>
      <c r="B58" s="1"/>
      <c r="C58" s="1"/>
      <c r="D58" s="1"/>
      <c r="E58" s="1"/>
      <c r="F58" s="1"/>
      <c r="G58" s="15"/>
      <c r="H58" s="1"/>
      <c r="I58" s="1"/>
      <c r="J58" s="1"/>
      <c r="K58" s="1"/>
      <c r="L58" s="1"/>
      <c r="M58" s="1"/>
      <c r="N58" s="1"/>
      <c r="O58" s="1"/>
      <c r="P58" s="1"/>
      <c r="Q58" s="1"/>
      <c r="R58" s="1"/>
      <c r="Y58" s="187"/>
      <c r="AK58" s="4"/>
    </row>
    <row r="59" spans="1:43" x14ac:dyDescent="0.2">
      <c r="A59" s="15"/>
      <c r="B59" s="1"/>
      <c r="C59" s="1"/>
      <c r="E59" s="1"/>
      <c r="F59" s="1"/>
      <c r="G59" s="15"/>
      <c r="H59" s="1"/>
      <c r="I59" s="1"/>
      <c r="J59" s="1"/>
      <c r="K59" s="1"/>
      <c r="L59" s="1"/>
      <c r="M59" s="1"/>
      <c r="N59" s="1"/>
      <c r="O59" s="1"/>
      <c r="P59" s="1"/>
      <c r="Q59" s="1"/>
      <c r="R59" s="1"/>
    </row>
    <row r="60" spans="1:43" x14ac:dyDescent="0.2">
      <c r="A60" s="1"/>
      <c r="B60" s="1"/>
      <c r="C60" s="1"/>
      <c r="D60" s="203"/>
      <c r="E60" s="1"/>
      <c r="F60" s="1"/>
      <c r="G60" s="1"/>
      <c r="H60" s="1"/>
      <c r="I60" s="1"/>
      <c r="J60" s="1"/>
      <c r="K60" s="1"/>
      <c r="L60" s="1"/>
      <c r="M60" s="1"/>
      <c r="N60" s="1"/>
      <c r="O60" s="1"/>
      <c r="P60" s="1"/>
      <c r="Q60" s="1"/>
      <c r="R60" s="1"/>
    </row>
    <row r="61" spans="1:43" x14ac:dyDescent="0.2">
      <c r="A61" s="1"/>
      <c r="B61" s="1"/>
      <c r="C61" s="1"/>
      <c r="D61" s="54"/>
      <c r="E61" s="1"/>
      <c r="F61" s="1"/>
      <c r="G61" s="1"/>
      <c r="H61" s="1"/>
      <c r="I61" s="1"/>
      <c r="J61" s="1"/>
      <c r="K61" s="1"/>
      <c r="L61" s="1"/>
      <c r="M61" s="1"/>
      <c r="N61" s="1"/>
      <c r="O61" s="1"/>
      <c r="P61" s="1"/>
      <c r="Q61" s="1"/>
      <c r="R61" s="1"/>
    </row>
    <row r="62" spans="1:43" x14ac:dyDescent="0.2">
      <c r="A62" s="2"/>
      <c r="B62" s="2"/>
      <c r="C62" s="2"/>
      <c r="D62" s="2"/>
      <c r="E62" s="2"/>
      <c r="F62" s="2"/>
      <c r="G62" s="2"/>
      <c r="H62" s="2"/>
      <c r="I62" s="2"/>
      <c r="J62" s="2"/>
      <c r="K62" s="2"/>
      <c r="L62" s="2"/>
      <c r="M62" s="2"/>
      <c r="N62" s="2"/>
      <c r="O62" s="2"/>
      <c r="P62" s="2"/>
      <c r="Q62" s="2"/>
      <c r="R62" s="2"/>
    </row>
    <row r="63" spans="1:43" x14ac:dyDescent="0.2">
      <c r="A63" s="2"/>
      <c r="B63" s="2"/>
      <c r="C63" s="2"/>
      <c r="D63" s="2"/>
      <c r="E63" s="2"/>
      <c r="F63" s="2"/>
      <c r="G63" s="2"/>
      <c r="H63" s="2"/>
      <c r="I63" s="2"/>
      <c r="J63" s="2"/>
      <c r="K63" s="2"/>
      <c r="L63" s="2"/>
      <c r="M63" s="2"/>
      <c r="N63" s="2"/>
      <c r="O63" s="2"/>
      <c r="P63" s="2"/>
      <c r="Q63" s="2"/>
      <c r="R63" s="2"/>
    </row>
    <row r="64" spans="1:43" ht="15" customHeight="1" x14ac:dyDescent="0.2">
      <c r="A64" s="704"/>
      <c r="B64" s="704"/>
      <c r="C64" s="704"/>
      <c r="D64" s="704"/>
      <c r="E64" s="704"/>
      <c r="F64" s="704"/>
      <c r="G64" s="704"/>
      <c r="H64" s="704"/>
      <c r="I64" s="704"/>
      <c r="J64" s="704"/>
      <c r="K64" s="704"/>
      <c r="L64" s="704"/>
      <c r="M64" s="704"/>
      <c r="N64" s="704"/>
      <c r="O64" s="704"/>
      <c r="P64" s="704"/>
      <c r="Q64" s="704"/>
      <c r="R64" s="704"/>
      <c r="Y64" s="2"/>
    </row>
    <row r="65" spans="1:18" x14ac:dyDescent="0.2">
      <c r="A65" s="2"/>
      <c r="B65" s="2"/>
      <c r="C65" s="2"/>
      <c r="D65" s="2"/>
      <c r="E65" s="2"/>
      <c r="F65" s="2"/>
      <c r="G65" s="2"/>
      <c r="H65" s="2"/>
      <c r="I65" s="2"/>
      <c r="J65" s="2"/>
      <c r="K65" s="2"/>
      <c r="L65" s="2"/>
      <c r="M65" s="2"/>
      <c r="N65" s="2"/>
      <c r="O65" s="2"/>
      <c r="P65" s="2"/>
      <c r="Q65" s="2"/>
      <c r="R65" s="2"/>
    </row>
    <row r="66" spans="1:18" x14ac:dyDescent="0.2">
      <c r="A66" s="2"/>
      <c r="B66" s="2"/>
      <c r="C66" s="2"/>
      <c r="D66" s="2"/>
      <c r="E66" s="2"/>
      <c r="F66" s="2"/>
      <c r="G66" s="2"/>
      <c r="H66" s="2"/>
      <c r="I66" s="2"/>
      <c r="J66" s="2"/>
      <c r="K66" s="2"/>
      <c r="L66" s="2"/>
      <c r="M66" s="2"/>
      <c r="N66" s="2"/>
      <c r="O66" s="2"/>
      <c r="P66" s="2"/>
      <c r="Q66" s="2"/>
      <c r="R66" s="2"/>
    </row>
    <row r="67" spans="1:18" ht="27.6" customHeight="1" x14ac:dyDescent="0.2">
      <c r="A67" s="702"/>
      <c r="B67" s="702"/>
      <c r="C67" s="702"/>
      <c r="D67" s="702"/>
      <c r="E67" s="702"/>
      <c r="F67" s="702"/>
      <c r="G67" s="702"/>
      <c r="H67" s="702"/>
      <c r="I67" s="702"/>
      <c r="J67" s="702"/>
      <c r="K67" s="702"/>
      <c r="L67" s="702"/>
      <c r="M67" s="702"/>
      <c r="N67" s="702"/>
      <c r="O67" s="702"/>
      <c r="P67" s="702"/>
      <c r="Q67" s="702"/>
      <c r="R67" s="702"/>
    </row>
    <row r="68" spans="1:18" x14ac:dyDescent="0.2">
      <c r="A68" s="2"/>
      <c r="B68" s="2"/>
      <c r="C68" s="2"/>
      <c r="D68" s="2"/>
      <c r="E68" s="2"/>
      <c r="F68" s="2"/>
      <c r="G68" s="2"/>
      <c r="H68" s="2"/>
      <c r="I68" s="2"/>
      <c r="J68" s="2"/>
      <c r="K68" s="2"/>
      <c r="L68" s="2"/>
      <c r="M68" s="2"/>
      <c r="N68" s="2"/>
      <c r="O68" s="2"/>
      <c r="P68" s="2"/>
      <c r="Q68" s="2"/>
      <c r="R68" s="2"/>
    </row>
    <row r="69" spans="1:18" x14ac:dyDescent="0.2">
      <c r="A69" s="2"/>
      <c r="B69" s="2"/>
      <c r="C69" s="2"/>
      <c r="D69" s="2"/>
      <c r="E69" s="2"/>
      <c r="F69" s="2"/>
      <c r="G69" s="2"/>
      <c r="H69" s="2"/>
      <c r="I69" s="2"/>
      <c r="J69" s="1"/>
      <c r="K69" s="1"/>
      <c r="L69" s="1"/>
      <c r="M69" s="2"/>
      <c r="N69" s="2"/>
      <c r="O69" s="2"/>
      <c r="P69" s="2"/>
      <c r="Q69" s="2"/>
      <c r="R69" s="2"/>
    </row>
    <row r="70" spans="1:18" x14ac:dyDescent="0.2">
      <c r="A70" s="2"/>
      <c r="B70" s="2"/>
      <c r="C70" s="2"/>
      <c r="D70" s="1"/>
      <c r="E70" s="1"/>
      <c r="F70" s="1"/>
      <c r="G70" s="1"/>
      <c r="H70" s="1"/>
      <c r="I70" s="2"/>
      <c r="J70" s="1"/>
      <c r="K70" s="1"/>
      <c r="L70" s="1"/>
      <c r="M70" s="2"/>
      <c r="N70" s="1"/>
      <c r="O70" s="1"/>
      <c r="P70" s="1"/>
      <c r="Q70" s="2"/>
      <c r="R70" s="2"/>
    </row>
    <row r="71" spans="1:18" x14ac:dyDescent="0.2">
      <c r="A71" s="1"/>
      <c r="B71" s="1"/>
      <c r="C71" s="2"/>
      <c r="D71" s="8"/>
      <c r="E71" s="8"/>
      <c r="F71" s="8"/>
      <c r="G71" s="8"/>
      <c r="H71" s="8"/>
      <c r="I71" s="9"/>
      <c r="J71" s="8"/>
      <c r="K71" s="8"/>
      <c r="L71" s="8"/>
      <c r="M71" s="9"/>
      <c r="N71" s="8"/>
      <c r="O71" s="8"/>
      <c r="P71" s="8"/>
      <c r="Q71" s="9"/>
      <c r="R71" s="9"/>
    </row>
    <row r="72" spans="1:18" x14ac:dyDescent="0.2">
      <c r="A72" s="1"/>
      <c r="B72" s="1"/>
      <c r="C72" s="2"/>
      <c r="D72" s="9"/>
      <c r="E72" s="9"/>
      <c r="F72" s="9"/>
      <c r="G72" s="9"/>
      <c r="H72" s="9"/>
      <c r="I72" s="9"/>
      <c r="J72" s="9"/>
      <c r="K72" s="9"/>
      <c r="L72" s="9"/>
      <c r="M72" s="9"/>
      <c r="N72" s="9"/>
      <c r="O72" s="9"/>
      <c r="P72" s="9"/>
      <c r="Q72" s="9"/>
      <c r="R72" s="9"/>
    </row>
    <row r="73" spans="1:18" x14ac:dyDescent="0.2">
      <c r="A73" s="3"/>
      <c r="B73" s="3"/>
      <c r="C73" s="2"/>
      <c r="D73" s="8"/>
      <c r="E73" s="2"/>
      <c r="F73" s="8"/>
      <c r="G73" s="2"/>
      <c r="H73" s="10"/>
      <c r="I73" s="2"/>
      <c r="J73" s="8"/>
      <c r="K73" s="2"/>
      <c r="L73" s="10"/>
      <c r="M73" s="2"/>
      <c r="N73" s="8"/>
      <c r="O73" s="2"/>
      <c r="P73" s="10"/>
      <c r="Q73" s="2"/>
      <c r="R73" s="8"/>
    </row>
    <row r="74" spans="1:18" x14ac:dyDescent="0.2">
      <c r="A74" s="2"/>
      <c r="B74" s="2"/>
      <c r="C74" s="2"/>
      <c r="D74" s="2"/>
      <c r="E74" s="2"/>
      <c r="F74" s="2"/>
      <c r="G74" s="2"/>
      <c r="H74" s="4"/>
      <c r="I74" s="4"/>
      <c r="J74" s="4"/>
      <c r="K74" s="4"/>
      <c r="L74" s="4"/>
      <c r="M74" s="4"/>
      <c r="N74" s="4"/>
      <c r="O74" s="4"/>
      <c r="P74" s="4"/>
      <c r="Q74" s="2"/>
      <c r="R74" s="17"/>
    </row>
    <row r="75" spans="1:18" x14ac:dyDescent="0.2">
      <c r="A75" s="2"/>
      <c r="B75" s="2"/>
      <c r="C75" s="2"/>
      <c r="D75" s="2"/>
      <c r="E75" s="2"/>
      <c r="F75" s="2"/>
      <c r="G75" s="2"/>
      <c r="H75" s="2"/>
      <c r="I75" s="2"/>
      <c r="J75" s="2"/>
      <c r="K75" s="2"/>
      <c r="L75" s="2"/>
      <c r="M75" s="2"/>
      <c r="N75" s="2"/>
      <c r="O75" s="2"/>
      <c r="P75" s="2"/>
      <c r="Q75" s="2"/>
      <c r="R75" s="2"/>
    </row>
    <row r="76" spans="1:18" x14ac:dyDescent="0.2">
      <c r="A76" s="2"/>
      <c r="B76" s="2"/>
      <c r="C76" s="2"/>
      <c r="D76" s="94"/>
      <c r="E76" s="2"/>
      <c r="F76" s="4"/>
      <c r="G76" s="2"/>
      <c r="H76" s="4"/>
      <c r="I76" s="2"/>
      <c r="J76" s="4"/>
      <c r="K76" s="2"/>
      <c r="L76" s="4"/>
      <c r="M76" s="2"/>
      <c r="N76" s="4"/>
      <c r="O76" s="2"/>
      <c r="P76" s="4"/>
      <c r="Q76" s="2"/>
      <c r="R76" s="4"/>
    </row>
    <row r="77" spans="1:18" x14ac:dyDescent="0.2">
      <c r="A77" s="2"/>
      <c r="B77" s="2"/>
      <c r="C77" s="2"/>
      <c r="D77" s="94"/>
      <c r="E77" s="2"/>
      <c r="F77" s="4"/>
      <c r="G77" s="2"/>
      <c r="H77" s="4"/>
      <c r="I77" s="2"/>
      <c r="J77" s="4"/>
      <c r="K77" s="2"/>
      <c r="L77" s="4"/>
      <c r="M77" s="2"/>
      <c r="N77" s="2"/>
      <c r="O77" s="2"/>
      <c r="P77" s="2"/>
      <c r="Q77" s="2"/>
      <c r="R77" s="4"/>
    </row>
    <row r="78" spans="1:18" x14ac:dyDescent="0.2">
      <c r="A78" s="2"/>
      <c r="B78" s="2"/>
      <c r="C78" s="2"/>
      <c r="D78" s="94"/>
      <c r="E78" s="2"/>
      <c r="F78" s="4"/>
      <c r="G78" s="2"/>
      <c r="H78" s="4"/>
      <c r="I78" s="2"/>
      <c r="J78" s="4"/>
      <c r="K78" s="2"/>
      <c r="L78" s="4"/>
      <c r="M78" s="2"/>
      <c r="N78" s="2"/>
      <c r="O78" s="2"/>
      <c r="P78" s="2"/>
      <c r="Q78" s="2"/>
      <c r="R78" s="4"/>
    </row>
    <row r="79" spans="1:18" x14ac:dyDescent="0.2">
      <c r="A79" s="2"/>
      <c r="B79" s="2"/>
      <c r="C79" s="2"/>
      <c r="D79" s="94"/>
      <c r="E79" s="2"/>
      <c r="F79" s="4"/>
      <c r="G79" s="2"/>
      <c r="H79" s="4"/>
      <c r="I79" s="2"/>
      <c r="J79" s="4"/>
      <c r="K79" s="2"/>
      <c r="L79" s="4"/>
      <c r="M79" s="2"/>
      <c r="N79" s="4"/>
      <c r="O79" s="2"/>
      <c r="P79" s="176"/>
      <c r="Q79" s="2"/>
      <c r="R79" s="4"/>
    </row>
    <row r="80" spans="1:18" x14ac:dyDescent="0.2">
      <c r="A80" s="2"/>
      <c r="B80" s="2"/>
      <c r="C80" s="2"/>
      <c r="D80" s="94"/>
      <c r="E80" s="2"/>
      <c r="F80" s="4"/>
      <c r="G80" s="2"/>
      <c r="H80" s="4"/>
      <c r="I80" s="2"/>
      <c r="J80" s="4"/>
      <c r="K80" s="2"/>
      <c r="L80" s="4"/>
      <c r="M80" s="2"/>
      <c r="N80" s="4"/>
      <c r="O80" s="2"/>
      <c r="P80" s="4"/>
      <c r="Q80" s="2"/>
      <c r="R80" s="4"/>
    </row>
    <row r="81" spans="1:18" x14ac:dyDescent="0.2">
      <c r="A81" s="2"/>
      <c r="B81" s="2"/>
      <c r="C81" s="2"/>
      <c r="D81" s="89"/>
      <c r="E81" s="2"/>
      <c r="F81" s="18"/>
      <c r="G81" s="2"/>
      <c r="H81" s="18"/>
      <c r="I81" s="2"/>
      <c r="J81" s="18"/>
      <c r="K81" s="2"/>
      <c r="L81" s="18"/>
      <c r="M81" s="2"/>
      <c r="N81" s="18"/>
      <c r="O81" s="2"/>
      <c r="P81" s="18"/>
      <c r="Q81" s="2"/>
      <c r="R81" s="18"/>
    </row>
    <row r="82" spans="1:18" ht="15.75" thickBot="1" x14ac:dyDescent="0.25">
      <c r="A82" s="2"/>
      <c r="B82" s="2"/>
      <c r="C82" s="2"/>
      <c r="D82" s="94"/>
      <c r="E82" s="2"/>
      <c r="F82" s="4"/>
      <c r="G82" s="2"/>
      <c r="H82" s="4"/>
      <c r="I82" s="2"/>
      <c r="J82" s="4"/>
      <c r="K82" s="2"/>
      <c r="L82" s="4"/>
      <c r="M82" s="2"/>
      <c r="N82" s="84"/>
      <c r="O82" s="2"/>
      <c r="P82" s="4"/>
      <c r="Q82" s="2"/>
      <c r="R82" s="4"/>
    </row>
    <row r="83" spans="1:18" ht="15.75" thickTop="1" x14ac:dyDescent="0.2">
      <c r="A83" s="2"/>
      <c r="B83" s="2"/>
      <c r="C83" s="2"/>
      <c r="D83" s="5"/>
      <c r="E83" s="2"/>
      <c r="F83" s="19"/>
      <c r="G83" s="2"/>
      <c r="H83" s="19"/>
      <c r="I83" s="2"/>
      <c r="J83" s="19"/>
      <c r="K83" s="2"/>
      <c r="L83" s="19"/>
      <c r="M83" s="2"/>
      <c r="N83" s="90"/>
      <c r="O83" s="2"/>
      <c r="P83" s="19"/>
      <c r="Q83" s="2"/>
      <c r="R83" s="19"/>
    </row>
    <row r="84" spans="1:18" x14ac:dyDescent="0.2">
      <c r="A84" s="703"/>
      <c r="B84" s="703"/>
      <c r="C84" s="703"/>
      <c r="D84" s="703"/>
      <c r="E84" s="703"/>
      <c r="F84" s="703"/>
      <c r="G84" s="703"/>
      <c r="H84" s="703"/>
      <c r="I84" s="703"/>
      <c r="J84" s="703"/>
      <c r="K84" s="703"/>
      <c r="L84" s="703"/>
      <c r="M84" s="703"/>
      <c r="N84" s="703"/>
      <c r="O84" s="703"/>
      <c r="P84" s="703"/>
      <c r="Q84" s="703"/>
      <c r="R84" s="703"/>
    </row>
    <row r="109" ht="13.35" customHeight="1" x14ac:dyDescent="0.2"/>
    <row r="110" ht="13.35" customHeight="1" x14ac:dyDescent="0.2"/>
    <row r="111" ht="13.35" customHeight="1" x14ac:dyDescent="0.2"/>
    <row r="112" ht="13.35" customHeight="1" x14ac:dyDescent="0.2"/>
    <row r="113" spans="47:47" ht="13.35" customHeight="1" x14ac:dyDescent="0.2"/>
    <row r="114" spans="47:47" ht="13.35" customHeight="1" x14ac:dyDescent="0.2"/>
    <row r="115" spans="47:47" ht="13.35" customHeight="1" x14ac:dyDescent="0.2"/>
    <row r="116" spans="47:47" ht="13.35" customHeight="1" x14ac:dyDescent="0.2"/>
    <row r="117" spans="47:47" ht="13.35" customHeight="1" x14ac:dyDescent="0.2"/>
    <row r="118" spans="47:47" ht="13.35" customHeight="1" x14ac:dyDescent="0.2"/>
    <row r="119" spans="47:47" ht="13.35" customHeight="1" x14ac:dyDescent="0.2"/>
    <row r="120" spans="47:47" ht="12.75" customHeight="1" x14ac:dyDescent="0.2"/>
    <row r="121" spans="47:47" ht="13.35" customHeight="1" x14ac:dyDescent="0.2"/>
    <row r="122" spans="47:47" ht="13.35" customHeight="1" x14ac:dyDescent="0.2"/>
    <row r="123" spans="47:47" ht="13.35" customHeight="1" x14ac:dyDescent="0.2">
      <c r="AU123" s="177"/>
    </row>
    <row r="124" spans="47:47" ht="13.35" customHeight="1" x14ac:dyDescent="0.2"/>
    <row r="125" spans="47:47" ht="13.35" customHeight="1" x14ac:dyDescent="0.2"/>
    <row r="126" spans="47:47" ht="13.35" customHeight="1" x14ac:dyDescent="0.2"/>
    <row r="127" spans="47:47" ht="13.35" customHeight="1" x14ac:dyDescent="0.2"/>
    <row r="128" spans="47:47" ht="13.35" customHeight="1" x14ac:dyDescent="0.2"/>
    <row r="129" ht="13.35" customHeight="1" x14ac:dyDescent="0.2"/>
    <row r="130" ht="13.35" customHeight="1" x14ac:dyDescent="0.2"/>
    <row r="131" ht="13.35" customHeight="1" x14ac:dyDescent="0.2"/>
    <row r="132" ht="13.35" customHeight="1" x14ac:dyDescent="0.2"/>
    <row r="133" ht="13.35" customHeight="1" x14ac:dyDescent="0.2"/>
    <row r="134" ht="13.35" customHeight="1" x14ac:dyDescent="0.2"/>
    <row r="135" ht="13.35" customHeight="1" x14ac:dyDescent="0.2"/>
    <row r="136" ht="13.35" customHeight="1" x14ac:dyDescent="0.2"/>
    <row r="137" ht="13.35" customHeight="1" x14ac:dyDescent="0.2"/>
    <row r="138" ht="13.35" customHeight="1" x14ac:dyDescent="0.2"/>
    <row r="139" ht="12.75" customHeight="1" x14ac:dyDescent="0.2"/>
    <row r="140" ht="13.35" customHeight="1" x14ac:dyDescent="0.2"/>
    <row r="141" ht="13.35" customHeight="1" x14ac:dyDescent="0.2"/>
    <row r="142" ht="13.35" customHeight="1" x14ac:dyDescent="0.2"/>
    <row r="143" ht="13.35" customHeight="1" x14ac:dyDescent="0.2"/>
    <row r="144" ht="13.35" customHeight="1" x14ac:dyDescent="0.2"/>
    <row r="145" ht="13.35" customHeight="1" x14ac:dyDescent="0.2"/>
    <row r="146" ht="13.35" customHeight="1" x14ac:dyDescent="0.2"/>
    <row r="147" ht="13.35" customHeight="1" x14ac:dyDescent="0.2"/>
    <row r="148" ht="12.75" customHeight="1" x14ac:dyDescent="0.2"/>
    <row r="149" ht="13.35" customHeight="1" x14ac:dyDescent="0.2"/>
    <row r="150" ht="13.35" customHeight="1" x14ac:dyDescent="0.2"/>
    <row r="151" ht="13.35" customHeight="1" x14ac:dyDescent="0.2"/>
    <row r="152" ht="13.35" customHeight="1" x14ac:dyDescent="0.2"/>
    <row r="153" ht="13.35" customHeight="1" x14ac:dyDescent="0.2"/>
    <row r="154" ht="13.35" customHeight="1" x14ac:dyDescent="0.2"/>
    <row r="155" ht="13.35" customHeight="1" x14ac:dyDescent="0.2"/>
    <row r="171" spans="66:67" x14ac:dyDescent="0.2">
      <c r="BN171" s="1"/>
      <c r="BO171" s="1"/>
    </row>
    <row r="172" spans="66:67" x14ac:dyDescent="0.2">
      <c r="BN172" s="1"/>
      <c r="BO172" s="1"/>
    </row>
    <row r="173" spans="66:67" ht="12.75" customHeight="1" x14ac:dyDescent="0.2"/>
    <row r="174" spans="66:67" x14ac:dyDescent="0.2">
      <c r="BN174" s="9"/>
      <c r="BO174" s="9"/>
    </row>
    <row r="175" spans="66:67" ht="12.75" customHeight="1" x14ac:dyDescent="0.2">
      <c r="BN175" s="2"/>
      <c r="BO175" s="2"/>
    </row>
    <row r="176" spans="66:67" ht="13.35" customHeight="1" x14ac:dyDescent="0.2">
      <c r="BN176" s="7"/>
      <c r="BO176" s="7"/>
    </row>
    <row r="177" spans="66:67" ht="13.35" customHeight="1" x14ac:dyDescent="0.2">
      <c r="BN177" s="7"/>
      <c r="BO177" s="7"/>
    </row>
    <row r="178" spans="66:67" ht="13.35" customHeight="1" x14ac:dyDescent="0.2">
      <c r="BN178" s="7"/>
      <c r="BO178" s="7"/>
    </row>
    <row r="179" spans="66:67" ht="13.35" customHeight="1" x14ac:dyDescent="0.2">
      <c r="BN179" s="7"/>
      <c r="BO179" s="7"/>
    </row>
    <row r="180" spans="66:67" ht="12.75" customHeight="1" x14ac:dyDescent="0.2">
      <c r="BN180" s="2"/>
      <c r="BO180" s="2"/>
    </row>
    <row r="181" spans="66:67" x14ac:dyDescent="0.2">
      <c r="BN181" s="180"/>
      <c r="BO181" s="180"/>
    </row>
    <row r="183" spans="66:67" ht="12.75" customHeight="1" x14ac:dyDescent="0.2"/>
    <row r="185" spans="66:67" ht="13.35" customHeight="1" x14ac:dyDescent="0.2"/>
    <row r="186" spans="66:67" ht="13.35" customHeight="1" x14ac:dyDescent="0.2"/>
    <row r="187" spans="66:67" ht="13.35" customHeight="1" x14ac:dyDescent="0.2"/>
    <row r="188" spans="66:67" ht="13.35" customHeight="1" x14ac:dyDescent="0.2"/>
    <row r="198" ht="12.75" customHeight="1" x14ac:dyDescent="0.2"/>
    <row r="200" ht="12.75" customHeight="1" x14ac:dyDescent="0.2"/>
    <row r="204" ht="12.75" customHeight="1" x14ac:dyDescent="0.2"/>
    <row r="206" ht="13.35" customHeight="1" x14ac:dyDescent="0.2"/>
    <row r="207" ht="13.35" customHeight="1" x14ac:dyDescent="0.2"/>
    <row r="208" ht="13.35" customHeight="1" x14ac:dyDescent="0.2"/>
    <row r="209" ht="13.35" customHeight="1" x14ac:dyDescent="0.2"/>
    <row r="210" ht="13.35" customHeight="1" x14ac:dyDescent="0.2"/>
    <row r="211" ht="13.35" customHeight="1" x14ac:dyDescent="0.2"/>
    <row r="212" ht="12.75" customHeight="1" x14ac:dyDescent="0.2"/>
    <row r="214" ht="12.75" customHeight="1" x14ac:dyDescent="0.2"/>
  </sheetData>
  <mergeCells count="6">
    <mergeCell ref="A8:P8"/>
    <mergeCell ref="A67:R67"/>
    <mergeCell ref="A84:R84"/>
    <mergeCell ref="A64:R64"/>
    <mergeCell ref="A36:R36"/>
    <mergeCell ref="A55:R55"/>
  </mergeCells>
  <phoneticPr fontId="14" type="noConversion"/>
  <printOptions horizontalCentered="1"/>
  <pageMargins left="0.5" right="0.5" top="1" bottom="0.5" header="0.5" footer="0.5"/>
  <pageSetup scale="95" orientation="landscape" r:id="rId1"/>
  <headerFooter alignWithMargins="0"/>
  <rowBreaks count="1" manualBreakCount="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69"/>
  <sheetViews>
    <sheetView workbookViewId="0"/>
  </sheetViews>
  <sheetFormatPr defaultColWidth="9.77734375" defaultRowHeight="15" x14ac:dyDescent="0.2"/>
  <cols>
    <col min="1" max="1" width="5.21875" style="108" customWidth="1"/>
    <col min="2" max="2" width="10.5546875" style="108" customWidth="1"/>
    <col min="3" max="3" width="4.109375" style="108" customWidth="1"/>
    <col min="4" max="4" width="4.21875" style="108" customWidth="1"/>
    <col min="5" max="5" width="9.77734375" style="108" customWidth="1"/>
    <col min="6" max="6" width="3.44140625" style="108" customWidth="1"/>
    <col min="7" max="7" width="10.109375" style="108" customWidth="1"/>
    <col min="8" max="8" width="4.88671875" style="108" customWidth="1"/>
    <col min="9" max="9" width="9.77734375" style="108" customWidth="1"/>
    <col min="10" max="10" width="5.33203125" style="108" customWidth="1"/>
    <col min="11" max="11" width="9.33203125" style="108" customWidth="1"/>
    <col min="12" max="13" width="9.77734375" style="108" customWidth="1"/>
    <col min="14" max="14" width="1.77734375" style="108" customWidth="1"/>
    <col min="15" max="15" width="7.77734375" style="108" customWidth="1"/>
    <col min="16" max="16" width="16" style="108" bestFit="1" customWidth="1"/>
    <col min="17" max="17" width="11" style="108" bestFit="1" customWidth="1"/>
    <col min="18" max="16384" width="9.77734375" style="108"/>
  </cols>
  <sheetData>
    <row r="1" spans="1:17" x14ac:dyDescent="0.2">
      <c r="A1" s="15" t="s">
        <v>386</v>
      </c>
      <c r="B1" s="20"/>
      <c r="C1" s="20"/>
      <c r="D1" s="20"/>
      <c r="E1" s="20"/>
      <c r="F1" s="20"/>
      <c r="G1" s="20"/>
      <c r="H1" s="20"/>
      <c r="I1" s="20"/>
      <c r="J1" s="20"/>
      <c r="K1" s="20"/>
    </row>
    <row r="2" spans="1:17" x14ac:dyDescent="0.2">
      <c r="A2" s="15"/>
      <c r="B2" s="20"/>
      <c r="C2" s="20"/>
      <c r="D2" s="20"/>
      <c r="E2" s="20"/>
      <c r="F2" s="20"/>
      <c r="G2" s="20"/>
      <c r="H2" s="20"/>
      <c r="I2" s="20"/>
      <c r="J2" s="20"/>
      <c r="K2" s="20"/>
    </row>
    <row r="3" spans="1:17" x14ac:dyDescent="0.2">
      <c r="A3" s="706" t="s">
        <v>95</v>
      </c>
      <c r="B3" s="706"/>
      <c r="C3" s="706"/>
      <c r="D3" s="706"/>
      <c r="E3" s="706"/>
      <c r="F3" s="706"/>
      <c r="G3" s="706"/>
      <c r="H3" s="706"/>
      <c r="I3" s="706"/>
      <c r="J3" s="706"/>
      <c r="K3" s="706"/>
      <c r="L3" s="21"/>
    </row>
    <row r="4" spans="1:17" x14ac:dyDescent="0.2">
      <c r="A4" s="388"/>
      <c r="B4" s="388"/>
      <c r="C4" s="388"/>
      <c r="D4" s="388"/>
      <c r="E4" s="388"/>
      <c r="F4" s="388"/>
      <c r="G4" s="388"/>
      <c r="H4" s="388"/>
      <c r="I4" s="388"/>
      <c r="J4" s="388"/>
      <c r="K4" s="388"/>
      <c r="L4" s="22"/>
    </row>
    <row r="5" spans="1:17" x14ac:dyDescent="0.2">
      <c r="A5" s="388" t="s">
        <v>381</v>
      </c>
      <c r="B5" s="388"/>
      <c r="C5" s="388"/>
      <c r="D5" s="388"/>
      <c r="E5" s="388"/>
      <c r="F5" s="388"/>
      <c r="G5" s="388"/>
      <c r="H5" s="388"/>
      <c r="I5" s="388"/>
      <c r="J5" s="388"/>
      <c r="K5" s="388"/>
      <c r="L5" s="22"/>
    </row>
    <row r="6" spans="1:17" x14ac:dyDescent="0.2">
      <c r="A6" s="388" t="s">
        <v>382</v>
      </c>
      <c r="B6" s="388"/>
      <c r="C6" s="388"/>
      <c r="D6" s="388"/>
      <c r="E6" s="388"/>
      <c r="F6" s="388"/>
      <c r="G6" s="388"/>
      <c r="H6" s="388"/>
      <c r="I6" s="388"/>
      <c r="J6" s="388"/>
      <c r="K6" s="388"/>
      <c r="L6" s="22"/>
    </row>
    <row r="7" spans="1:17" x14ac:dyDescent="0.2">
      <c r="A7" s="388"/>
      <c r="B7" s="388"/>
      <c r="C7" s="388"/>
      <c r="D7" s="388"/>
      <c r="E7" s="388"/>
      <c r="F7" s="388"/>
      <c r="G7" s="388"/>
      <c r="H7" s="388"/>
      <c r="I7" s="388"/>
      <c r="J7" s="388"/>
      <c r="K7" s="388"/>
      <c r="L7" s="22"/>
    </row>
    <row r="8" spans="1:17" ht="54.75" customHeight="1" x14ac:dyDescent="0.2">
      <c r="A8" s="707" t="s">
        <v>535</v>
      </c>
      <c r="B8" s="707"/>
      <c r="C8" s="707"/>
      <c r="D8" s="707"/>
      <c r="E8" s="707"/>
      <c r="F8" s="707"/>
      <c r="G8" s="707"/>
      <c r="H8" s="707"/>
      <c r="I8" s="707"/>
      <c r="J8" s="707"/>
      <c r="K8" s="707"/>
      <c r="L8" s="22"/>
    </row>
    <row r="9" spans="1:17" x14ac:dyDescent="0.2">
      <c r="A9" s="388"/>
      <c r="B9" s="388"/>
      <c r="C9" s="388"/>
      <c r="D9" s="388"/>
      <c r="E9" s="388"/>
      <c r="F9" s="388"/>
      <c r="G9" s="388"/>
      <c r="H9" s="388"/>
      <c r="I9" s="388"/>
      <c r="J9" s="388"/>
      <c r="K9" s="388"/>
      <c r="L9" s="22"/>
    </row>
    <row r="10" spans="1:17" x14ac:dyDescent="0.2">
      <c r="A10" s="388"/>
      <c r="B10" s="388"/>
      <c r="C10" s="388"/>
      <c r="D10" s="388"/>
      <c r="E10" s="390"/>
      <c r="F10" s="388"/>
      <c r="G10" s="528" t="s">
        <v>98</v>
      </c>
      <c r="H10" s="388"/>
      <c r="I10" s="390"/>
      <c r="J10" s="388"/>
      <c r="K10" s="388"/>
      <c r="L10" s="22"/>
    </row>
    <row r="11" spans="1:17" x14ac:dyDescent="0.2">
      <c r="A11" s="388"/>
      <c r="B11" s="388"/>
      <c r="C11" s="390"/>
      <c r="D11" s="388"/>
      <c r="E11" s="528" t="s">
        <v>105</v>
      </c>
      <c r="F11" s="388"/>
      <c r="G11" s="528" t="s">
        <v>126</v>
      </c>
      <c r="H11" s="388"/>
      <c r="I11" s="528" t="s">
        <v>106</v>
      </c>
      <c r="J11" s="388"/>
      <c r="K11" s="390"/>
      <c r="L11" s="22"/>
    </row>
    <row r="12" spans="1:17" x14ac:dyDescent="0.2">
      <c r="A12" s="388"/>
      <c r="B12" s="388"/>
      <c r="C12" s="390"/>
      <c r="D12" s="388"/>
      <c r="E12" s="399"/>
      <c r="F12" s="388"/>
      <c r="G12" s="399"/>
      <c r="H12" s="388"/>
      <c r="I12" s="399"/>
      <c r="J12" s="388"/>
      <c r="K12" s="390"/>
      <c r="L12" s="22"/>
      <c r="P12" s="195"/>
      <c r="Q12" s="195"/>
    </row>
    <row r="13" spans="1:17" x14ac:dyDescent="0.2">
      <c r="A13" s="390"/>
      <c r="B13" s="388" t="s">
        <v>107</v>
      </c>
      <c r="C13" s="390"/>
      <c r="D13" s="388"/>
      <c r="E13" s="433">
        <v>1</v>
      </c>
      <c r="F13" s="388"/>
      <c r="G13" s="434">
        <v>1219150.6849315099</v>
      </c>
      <c r="H13" s="388"/>
      <c r="I13" s="396">
        <f>ROUND(+G13/G$21,4)-0.0001</f>
        <v>0.50029999999999997</v>
      </c>
      <c r="J13" s="388"/>
      <c r="K13" s="390"/>
      <c r="L13" s="22"/>
    </row>
    <row r="14" spans="1:17" x14ac:dyDescent="0.2">
      <c r="A14" s="390"/>
      <c r="B14" s="388" t="s">
        <v>83</v>
      </c>
      <c r="C14" s="390"/>
      <c r="D14" s="388"/>
      <c r="E14" s="433"/>
      <c r="F14" s="388"/>
      <c r="G14" s="434"/>
      <c r="H14" s="388"/>
      <c r="I14" s="396"/>
      <c r="J14" s="388"/>
      <c r="K14" s="390"/>
      <c r="L14" s="22"/>
      <c r="P14" s="195"/>
    </row>
    <row r="15" spans="1:17" x14ac:dyDescent="0.2">
      <c r="A15" s="390"/>
      <c r="B15" s="388" t="s">
        <v>108</v>
      </c>
      <c r="C15" s="390"/>
      <c r="D15" s="388"/>
      <c r="E15" s="433">
        <f>+'F 2 B'!F31</f>
        <v>0.9</v>
      </c>
      <c r="F15" s="434"/>
      <c r="G15" s="434">
        <f>ROUND(+G13*E15,0)</f>
        <v>1097236</v>
      </c>
      <c r="H15" s="396"/>
      <c r="I15" s="396">
        <f>ROUND(+G15/G$21,4)</f>
        <v>0.45040000000000002</v>
      </c>
      <c r="J15" s="388"/>
      <c r="K15" s="390"/>
      <c r="L15" s="22"/>
    </row>
    <row r="16" spans="1:17" x14ac:dyDescent="0.2">
      <c r="A16" s="390"/>
      <c r="B16" s="388"/>
      <c r="C16" s="390"/>
      <c r="D16" s="388"/>
      <c r="E16" s="435"/>
      <c r="F16" s="434"/>
      <c r="G16" s="436"/>
      <c r="H16" s="396"/>
      <c r="I16" s="437"/>
      <c r="J16" s="388"/>
      <c r="K16" s="390"/>
      <c r="L16" s="22"/>
    </row>
    <row r="17" spans="1:17" ht="15.75" thickBot="1" x14ac:dyDescent="0.25">
      <c r="A17" s="390"/>
      <c r="B17" s="388" t="s">
        <v>128</v>
      </c>
      <c r="C17" s="390"/>
      <c r="D17" s="388"/>
      <c r="E17" s="438">
        <f>SUM(E13:E16)</f>
        <v>1.9</v>
      </c>
      <c r="F17" s="434"/>
      <c r="G17" s="434">
        <f>SUM(G13:G16)</f>
        <v>2316386.6849315101</v>
      </c>
      <c r="H17" s="396"/>
      <c r="I17" s="396">
        <f>SUM(I13:I16)</f>
        <v>0.95069999999999999</v>
      </c>
      <c r="J17" s="388"/>
      <c r="K17" s="390"/>
      <c r="L17" s="22"/>
    </row>
    <row r="18" spans="1:17" ht="15.75" thickTop="1" x14ac:dyDescent="0.2">
      <c r="A18" s="390"/>
      <c r="B18" s="388"/>
      <c r="C18" s="390"/>
      <c r="D18" s="388"/>
      <c r="E18" s="439"/>
      <c r="F18" s="434"/>
      <c r="G18" s="434"/>
      <c r="H18" s="395"/>
      <c r="I18" s="396"/>
      <c r="J18" s="388"/>
      <c r="K18" s="390"/>
      <c r="L18" s="22"/>
      <c r="P18" s="181"/>
    </row>
    <row r="19" spans="1:17" x14ac:dyDescent="0.2">
      <c r="A19" s="390"/>
      <c r="B19" s="388" t="s">
        <v>112</v>
      </c>
      <c r="C19" s="388"/>
      <c r="D19" s="388"/>
      <c r="E19" s="390"/>
      <c r="F19" s="388"/>
      <c r="G19" s="440">
        <f>+G46*60*2</f>
        <v>120000</v>
      </c>
      <c r="H19" s="388"/>
      <c r="I19" s="396">
        <f>ROUND(+G19/G$21,4)</f>
        <v>4.9299999999999997E-2</v>
      </c>
      <c r="J19" s="388"/>
      <c r="K19" s="390"/>
      <c r="L19" s="22"/>
      <c r="P19" s="181"/>
      <c r="Q19" s="181"/>
    </row>
    <row r="20" spans="1:17" x14ac:dyDescent="0.2">
      <c r="A20" s="390"/>
      <c r="B20" s="388"/>
      <c r="C20" s="388"/>
      <c r="D20" s="388"/>
      <c r="E20" s="390"/>
      <c r="F20" s="388"/>
      <c r="G20" s="399"/>
      <c r="H20" s="388"/>
      <c r="I20" s="437"/>
      <c r="J20" s="388"/>
      <c r="K20" s="390"/>
      <c r="L20" s="22"/>
      <c r="P20" s="181"/>
      <c r="Q20" s="181"/>
    </row>
    <row r="21" spans="1:17" ht="15.75" thickBot="1" x14ac:dyDescent="0.25">
      <c r="A21" s="390"/>
      <c r="B21" s="388" t="s">
        <v>109</v>
      </c>
      <c r="C21" s="388"/>
      <c r="D21" s="388"/>
      <c r="E21" s="390"/>
      <c r="F21" s="388"/>
      <c r="G21" s="441">
        <f>SUM(G17:G19)</f>
        <v>2436386.6849315101</v>
      </c>
      <c r="H21" s="388"/>
      <c r="I21" s="396">
        <f>SUM(I17:I19)</f>
        <v>1</v>
      </c>
      <c r="J21" s="388"/>
      <c r="K21" s="390"/>
      <c r="L21" s="22"/>
    </row>
    <row r="22" spans="1:17" ht="15.75" thickTop="1" x14ac:dyDescent="0.2">
      <c r="A22" s="390"/>
      <c r="B22" s="388"/>
      <c r="C22" s="388"/>
      <c r="D22" s="388"/>
      <c r="E22" s="388"/>
      <c r="F22" s="388"/>
      <c r="G22" s="439"/>
      <c r="H22" s="388"/>
      <c r="I22" s="442"/>
      <c r="J22" s="388"/>
      <c r="K22" s="390"/>
      <c r="L22" s="22"/>
    </row>
    <row r="23" spans="1:17" s="542" customFormat="1" x14ac:dyDescent="0.2">
      <c r="A23" s="388"/>
      <c r="B23" s="388"/>
      <c r="C23" s="388"/>
      <c r="D23" s="388"/>
      <c r="E23" s="388"/>
      <c r="F23" s="388"/>
      <c r="G23" s="388"/>
      <c r="H23" s="388"/>
      <c r="I23" s="388"/>
      <c r="J23" s="388"/>
      <c r="K23" s="388"/>
      <c r="L23" s="22"/>
      <c r="M23" s="108"/>
    </row>
    <row r="24" spans="1:17" ht="30.6" customHeight="1" x14ac:dyDescent="0.2">
      <c r="A24" s="707" t="s">
        <v>51</v>
      </c>
      <c r="B24" s="707"/>
      <c r="C24" s="707"/>
      <c r="D24" s="707"/>
      <c r="E24" s="707"/>
      <c r="F24" s="707"/>
      <c r="G24" s="707"/>
      <c r="H24" s="707"/>
      <c r="I24" s="707"/>
      <c r="J24" s="707"/>
      <c r="K24" s="707"/>
      <c r="L24" s="22"/>
    </row>
    <row r="25" spans="1:17" s="542" customFormat="1" x14ac:dyDescent="0.2">
      <c r="A25" s="388"/>
      <c r="B25" s="388"/>
      <c r="C25" s="388"/>
      <c r="D25" s="388"/>
      <c r="E25" s="388"/>
      <c r="F25" s="388"/>
      <c r="G25" s="388"/>
      <c r="H25" s="388"/>
      <c r="I25" s="388"/>
      <c r="J25" s="388"/>
      <c r="K25" s="388"/>
      <c r="L25" s="22"/>
      <c r="M25" s="108"/>
    </row>
    <row r="26" spans="1:17" s="542" customFormat="1" x14ac:dyDescent="0.2">
      <c r="A26" s="388"/>
      <c r="B26" s="388"/>
      <c r="C26" s="388"/>
      <c r="D26" s="388"/>
      <c r="E26" s="388"/>
      <c r="F26" s="388"/>
      <c r="G26" s="388"/>
      <c r="H26" s="388"/>
      <c r="I26" s="388"/>
      <c r="J26" s="388"/>
      <c r="K26" s="388"/>
      <c r="L26" s="22"/>
      <c r="M26" s="108"/>
    </row>
    <row r="27" spans="1:17" s="542" customFormat="1" x14ac:dyDescent="0.2">
      <c r="A27" s="388"/>
      <c r="B27" s="388"/>
      <c r="C27" s="388"/>
      <c r="D27" s="388"/>
      <c r="E27" s="388"/>
      <c r="F27" s="388"/>
      <c r="G27" s="388"/>
      <c r="H27" s="388"/>
      <c r="I27" s="388"/>
      <c r="J27" s="388"/>
      <c r="K27" s="388"/>
      <c r="L27" s="22"/>
      <c r="M27" s="108"/>
    </row>
    <row r="28" spans="1:17" s="542" customFormat="1" x14ac:dyDescent="0.2">
      <c r="A28" s="15" t="s">
        <v>386</v>
      </c>
      <c r="B28" s="391"/>
      <c r="C28" s="391"/>
      <c r="D28" s="391"/>
      <c r="E28" s="391"/>
      <c r="F28" s="391"/>
      <c r="G28" s="391"/>
      <c r="H28" s="391"/>
      <c r="I28" s="391"/>
      <c r="J28" s="391"/>
      <c r="K28" s="391"/>
      <c r="L28" s="108"/>
      <c r="M28" s="108"/>
    </row>
    <row r="29" spans="1:17" s="542" customFormat="1" x14ac:dyDescent="0.2">
      <c r="A29" s="333"/>
      <c r="B29" s="391"/>
      <c r="C29" s="391"/>
      <c r="D29" s="391"/>
      <c r="E29" s="391"/>
      <c r="F29" s="391"/>
      <c r="G29" s="391"/>
      <c r="H29" s="391"/>
      <c r="I29" s="391"/>
      <c r="J29" s="391"/>
      <c r="K29" s="391"/>
      <c r="L29" s="108"/>
      <c r="M29" s="108"/>
    </row>
    <row r="30" spans="1:17" s="542" customFormat="1" x14ac:dyDescent="0.2">
      <c r="A30" s="391" t="s">
        <v>95</v>
      </c>
      <c r="B30" s="391"/>
      <c r="C30" s="391"/>
      <c r="D30" s="391"/>
      <c r="E30" s="391"/>
      <c r="F30" s="391"/>
      <c r="G30" s="391"/>
      <c r="H30" s="391"/>
      <c r="I30" s="391"/>
      <c r="J30" s="391"/>
      <c r="K30" s="391"/>
      <c r="L30" s="108"/>
      <c r="M30" s="108"/>
    </row>
    <row r="31" spans="1:17" s="542" customFormat="1" x14ac:dyDescent="0.2">
      <c r="A31" s="390"/>
      <c r="B31" s="390"/>
      <c r="C31" s="390"/>
      <c r="D31" s="390"/>
      <c r="E31" s="390"/>
      <c r="F31" s="390"/>
      <c r="G31" s="390"/>
      <c r="H31" s="390"/>
      <c r="I31" s="390"/>
      <c r="J31" s="390"/>
      <c r="K31" s="390"/>
      <c r="L31" s="108"/>
      <c r="M31" s="108"/>
    </row>
    <row r="32" spans="1:17" s="542" customFormat="1" x14ac:dyDescent="0.2">
      <c r="A32" s="388" t="s">
        <v>129</v>
      </c>
      <c r="B32" s="388"/>
      <c r="C32" s="388"/>
      <c r="D32" s="388"/>
      <c r="E32" s="388"/>
      <c r="F32" s="388"/>
      <c r="G32" s="388"/>
      <c r="H32" s="388"/>
      <c r="I32" s="388"/>
      <c r="J32" s="388"/>
      <c r="K32" s="388"/>
      <c r="L32" s="22"/>
      <c r="M32" s="108"/>
    </row>
    <row r="33" spans="1:15" s="542" customFormat="1" x14ac:dyDescent="0.2">
      <c r="A33" s="388" t="s">
        <v>130</v>
      </c>
      <c r="B33" s="388"/>
      <c r="C33" s="388"/>
      <c r="D33" s="388"/>
      <c r="E33" s="388"/>
      <c r="F33" s="388"/>
      <c r="G33" s="388"/>
      <c r="H33" s="388"/>
      <c r="I33" s="388"/>
      <c r="J33" s="388"/>
      <c r="K33" s="388"/>
      <c r="L33" s="22"/>
      <c r="M33" s="108"/>
    </row>
    <row r="34" spans="1:15" s="542" customFormat="1" ht="11.25" customHeight="1" x14ac:dyDescent="0.2">
      <c r="A34" s="388"/>
      <c r="B34" s="388"/>
      <c r="C34" s="388"/>
      <c r="D34" s="388"/>
      <c r="E34" s="388"/>
      <c r="F34" s="388"/>
      <c r="G34" s="388"/>
      <c r="H34" s="388"/>
      <c r="I34" s="388"/>
      <c r="J34" s="388"/>
      <c r="K34" s="388"/>
      <c r="L34" s="22"/>
      <c r="M34" s="108"/>
    </row>
    <row r="35" spans="1:15" s="542" customFormat="1" ht="57" customHeight="1" x14ac:dyDescent="0.2">
      <c r="A35" s="707" t="s">
        <v>536</v>
      </c>
      <c r="B35" s="707"/>
      <c r="C35" s="707"/>
      <c r="D35" s="707"/>
      <c r="E35" s="707"/>
      <c r="F35" s="707"/>
      <c r="G35" s="707"/>
      <c r="H35" s="707"/>
      <c r="I35" s="707"/>
      <c r="J35" s="707"/>
      <c r="K35" s="707"/>
      <c r="L35" s="22"/>
      <c r="M35" s="108"/>
    </row>
    <row r="36" spans="1:15" s="542" customFormat="1" ht="8.25" customHeight="1" x14ac:dyDescent="0.2">
      <c r="A36" s="388"/>
      <c r="B36" s="388"/>
      <c r="C36" s="388"/>
      <c r="D36" s="388"/>
      <c r="E36" s="388"/>
      <c r="F36" s="388"/>
      <c r="G36" s="388"/>
      <c r="H36" s="388"/>
      <c r="I36" s="388"/>
      <c r="J36" s="388"/>
      <c r="K36" s="388"/>
      <c r="L36" s="22"/>
      <c r="M36" s="108"/>
    </row>
    <row r="37" spans="1:15" s="542" customFormat="1" x14ac:dyDescent="0.2">
      <c r="A37" s="388"/>
      <c r="B37" s="388"/>
      <c r="C37" s="388"/>
      <c r="D37" s="388"/>
      <c r="E37" s="390"/>
      <c r="F37" s="388"/>
      <c r="G37" s="528" t="s">
        <v>98</v>
      </c>
      <c r="H37" s="388"/>
      <c r="I37" s="388"/>
      <c r="J37" s="388"/>
      <c r="K37" s="388"/>
      <c r="L37" s="22"/>
      <c r="M37" s="108"/>
    </row>
    <row r="38" spans="1:15" s="542" customFormat="1" x14ac:dyDescent="0.2">
      <c r="A38" s="388"/>
      <c r="B38" s="388"/>
      <c r="C38" s="390"/>
      <c r="D38" s="388"/>
      <c r="E38" s="528" t="s">
        <v>105</v>
      </c>
      <c r="F38" s="388"/>
      <c r="G38" s="528" t="s">
        <v>131</v>
      </c>
      <c r="H38" s="388"/>
      <c r="I38" s="528" t="s">
        <v>106</v>
      </c>
      <c r="J38" s="388"/>
      <c r="K38" s="388"/>
      <c r="L38" s="22"/>
      <c r="M38" s="108"/>
    </row>
    <row r="39" spans="1:15" s="542" customFormat="1" ht="9.75" customHeight="1" x14ac:dyDescent="0.2">
      <c r="A39" s="388"/>
      <c r="B39" s="388"/>
      <c r="C39" s="390"/>
      <c r="D39" s="388"/>
      <c r="E39" s="399"/>
      <c r="F39" s="388"/>
      <c r="G39" s="399"/>
      <c r="H39" s="388"/>
      <c r="I39" s="399"/>
      <c r="J39" s="388"/>
      <c r="K39" s="388"/>
      <c r="L39" s="22"/>
      <c r="M39" s="108"/>
    </row>
    <row r="40" spans="1:15" s="542" customFormat="1" x14ac:dyDescent="0.2">
      <c r="A40" s="390"/>
      <c r="B40" s="388" t="s">
        <v>127</v>
      </c>
      <c r="C40" s="390"/>
      <c r="D40" s="388"/>
      <c r="E40" s="433">
        <v>1</v>
      </c>
      <c r="F40" s="388"/>
      <c r="G40" s="434">
        <f>ROUND(G13/24/60,0)</f>
        <v>847</v>
      </c>
      <c r="H40" s="388"/>
      <c r="I40" s="396">
        <f>ROUND(+G40/G$48,4)</f>
        <v>0.2392</v>
      </c>
      <c r="J40" s="388"/>
      <c r="K40" s="388"/>
      <c r="L40" s="22"/>
      <c r="M40" s="24"/>
    </row>
    <row r="41" spans="1:15" s="542" customFormat="1" x14ac:dyDescent="0.2">
      <c r="A41" s="390"/>
      <c r="B41" s="388" t="s">
        <v>119</v>
      </c>
      <c r="C41" s="390"/>
      <c r="D41" s="388"/>
      <c r="E41" s="433"/>
      <c r="F41" s="388"/>
      <c r="G41" s="434"/>
      <c r="H41" s="388"/>
      <c r="I41" s="396"/>
      <c r="J41" s="388"/>
      <c r="K41" s="388"/>
      <c r="L41" s="22"/>
      <c r="M41" s="24"/>
    </row>
    <row r="42" spans="1:15" s="542" customFormat="1" x14ac:dyDescent="0.2">
      <c r="A42" s="390"/>
      <c r="B42" s="388" t="s">
        <v>108</v>
      </c>
      <c r="C42" s="390"/>
      <c r="D42" s="388"/>
      <c r="E42" s="433">
        <v>2</v>
      </c>
      <c r="F42" s="434"/>
      <c r="G42" s="434">
        <f>ROUND(+G40*E42,0)</f>
        <v>1694</v>
      </c>
      <c r="H42" s="396"/>
      <c r="I42" s="443">
        <f>ROUND(+G42/G$48,4)</f>
        <v>0.47839999999999999</v>
      </c>
      <c r="J42" s="388"/>
      <c r="K42" s="388"/>
      <c r="L42" s="22"/>
      <c r="M42" s="24"/>
    </row>
    <row r="43" spans="1:15" s="542" customFormat="1" x14ac:dyDescent="0.2">
      <c r="A43" s="390"/>
      <c r="B43" s="388"/>
      <c r="C43" s="390"/>
      <c r="D43" s="388"/>
      <c r="E43" s="435"/>
      <c r="F43" s="434"/>
      <c r="G43" s="436"/>
      <c r="H43" s="396"/>
      <c r="I43" s="437"/>
      <c r="J43" s="388"/>
      <c r="K43" s="388"/>
      <c r="L43" s="22"/>
      <c r="M43" s="24"/>
    </row>
    <row r="44" spans="1:15" s="542" customFormat="1" ht="15.75" thickBot="1" x14ac:dyDescent="0.25">
      <c r="A44" s="390"/>
      <c r="B44" s="388" t="s">
        <v>128</v>
      </c>
      <c r="C44" s="390"/>
      <c r="D44" s="388"/>
      <c r="E44" s="438">
        <f>SUM(E40:E43)</f>
        <v>3</v>
      </c>
      <c r="F44" s="434"/>
      <c r="G44" s="434">
        <f>SUM(G40:G43)</f>
        <v>2541</v>
      </c>
      <c r="H44" s="396"/>
      <c r="I44" s="396">
        <f>SUM(I40:I43)</f>
        <v>0.71760000000000002</v>
      </c>
      <c r="J44" s="388"/>
      <c r="K44" s="388"/>
      <c r="L44" s="22"/>
      <c r="M44" s="24"/>
    </row>
    <row r="45" spans="1:15" ht="9.75" customHeight="1" thickTop="1" x14ac:dyDescent="0.2">
      <c r="A45" s="390"/>
      <c r="B45" s="388"/>
      <c r="C45" s="390"/>
      <c r="D45" s="388"/>
      <c r="E45" s="439"/>
      <c r="F45" s="434"/>
      <c r="G45" s="434"/>
      <c r="H45" s="395"/>
      <c r="I45" s="396"/>
      <c r="J45" s="388"/>
      <c r="K45" s="388"/>
      <c r="L45" s="22"/>
      <c r="M45" s="24"/>
    </row>
    <row r="46" spans="1:15" x14ac:dyDescent="0.2">
      <c r="A46" s="390"/>
      <c r="B46" s="388" t="s">
        <v>112</v>
      </c>
      <c r="C46" s="388"/>
      <c r="D46" s="388"/>
      <c r="E46" s="390"/>
      <c r="F46" s="388"/>
      <c r="G46" s="434">
        <v>1000</v>
      </c>
      <c r="H46" s="388"/>
      <c r="I46" s="396">
        <f>ROUND(+G46/G$48,4)</f>
        <v>0.28239999999999998</v>
      </c>
      <c r="J46" s="388"/>
      <c r="K46" s="388"/>
      <c r="L46" s="22"/>
      <c r="M46" s="108">
        <f>+E44/E17</f>
        <v>1.5789473684210527</v>
      </c>
      <c r="O46" s="550">
        <f>+E44/'F 2 B'!F33</f>
        <v>1.5789473684210527</v>
      </c>
    </row>
    <row r="47" spans="1:15" x14ac:dyDescent="0.2">
      <c r="A47" s="390"/>
      <c r="B47" s="388"/>
      <c r="C47" s="388"/>
      <c r="D47" s="388"/>
      <c r="E47" s="390"/>
      <c r="F47" s="388"/>
      <c r="G47" s="399"/>
      <c r="H47" s="388"/>
      <c r="I47" s="437"/>
      <c r="J47" s="388"/>
      <c r="K47" s="388"/>
      <c r="L47" s="22"/>
      <c r="O47" s="107"/>
    </row>
    <row r="48" spans="1:15" ht="15.75" thickBot="1" x14ac:dyDescent="0.25">
      <c r="A48" s="390"/>
      <c r="B48" s="388" t="s">
        <v>109</v>
      </c>
      <c r="C48" s="388"/>
      <c r="D48" s="388"/>
      <c r="E48" s="390"/>
      <c r="F48" s="388"/>
      <c r="G48" s="441">
        <f>SUM(G44:G46)</f>
        <v>3541</v>
      </c>
      <c r="H48" s="388"/>
      <c r="I48" s="396">
        <f>SUM(I44:I46)</f>
        <v>1</v>
      </c>
      <c r="J48" s="388"/>
      <c r="K48" s="388"/>
      <c r="L48" s="22"/>
      <c r="M48" s="24"/>
    </row>
    <row r="49" spans="1:17" ht="12.6" customHeight="1" thickTop="1" x14ac:dyDescent="0.2">
      <c r="A49" s="388"/>
      <c r="B49" s="388"/>
      <c r="C49" s="388"/>
      <c r="D49" s="388"/>
      <c r="E49" s="434"/>
      <c r="F49" s="388"/>
      <c r="G49" s="439"/>
      <c r="H49" s="388"/>
      <c r="I49" s="444"/>
      <c r="J49" s="388"/>
      <c r="K49" s="388"/>
      <c r="L49" s="22"/>
    </row>
    <row r="50" spans="1:17" ht="25.9" customHeight="1" x14ac:dyDescent="0.2">
      <c r="A50" s="707" t="s">
        <v>132</v>
      </c>
      <c r="B50" s="707"/>
      <c r="C50" s="707"/>
      <c r="D50" s="707"/>
      <c r="E50" s="707"/>
      <c r="F50" s="707"/>
      <c r="G50" s="707"/>
      <c r="H50" s="707"/>
      <c r="I50" s="707"/>
      <c r="J50" s="707"/>
      <c r="K50" s="707"/>
      <c r="L50" s="22"/>
    </row>
    <row r="51" spans="1:17" ht="10.15" customHeight="1" x14ac:dyDescent="0.2">
      <c r="A51" s="388"/>
      <c r="B51" s="388"/>
      <c r="C51" s="388"/>
      <c r="D51" s="388"/>
      <c r="E51" s="388"/>
      <c r="F51" s="388"/>
      <c r="G51" s="388"/>
      <c r="H51" s="388"/>
      <c r="I51" s="388"/>
      <c r="J51" s="388"/>
      <c r="K51" s="388"/>
      <c r="L51" s="22"/>
    </row>
    <row r="52" spans="1:17" x14ac:dyDescent="0.2">
      <c r="A52" s="388"/>
      <c r="B52" s="388"/>
      <c r="C52" s="388"/>
      <c r="D52" s="388"/>
      <c r="E52" s="528" t="s">
        <v>133</v>
      </c>
      <c r="F52" s="388"/>
      <c r="G52" s="390"/>
      <c r="H52" s="388"/>
      <c r="I52" s="388"/>
      <c r="J52" s="388"/>
      <c r="K52" s="388"/>
      <c r="L52" s="22"/>
    </row>
    <row r="53" spans="1:17" x14ac:dyDescent="0.2">
      <c r="A53" s="388"/>
      <c r="B53" s="388"/>
      <c r="C53" s="388"/>
      <c r="D53" s="388"/>
      <c r="E53" s="528" t="s">
        <v>134</v>
      </c>
      <c r="F53" s="388"/>
      <c r="G53" s="391" t="s">
        <v>135</v>
      </c>
      <c r="H53" s="391"/>
      <c r="I53" s="391"/>
      <c r="J53" s="391"/>
      <c r="K53" s="391"/>
      <c r="L53" s="22"/>
    </row>
    <row r="54" spans="1:17" x14ac:dyDescent="0.2">
      <c r="A54" s="391" t="s">
        <v>113</v>
      </c>
      <c r="B54" s="391"/>
      <c r="C54" s="391"/>
      <c r="D54" s="388"/>
      <c r="E54" s="528" t="s">
        <v>84</v>
      </c>
      <c r="F54" s="388"/>
      <c r="G54" s="392"/>
      <c r="H54" s="392"/>
      <c r="I54" s="392" t="s">
        <v>279</v>
      </c>
      <c r="J54" s="392"/>
      <c r="K54" s="392" t="s">
        <v>67</v>
      </c>
      <c r="L54" s="22"/>
    </row>
    <row r="55" spans="1:17" x14ac:dyDescent="0.2">
      <c r="A55" s="391" t="s">
        <v>68</v>
      </c>
      <c r="B55" s="391"/>
      <c r="C55" s="391"/>
      <c r="D55" s="388"/>
      <c r="E55" s="528" t="s">
        <v>318</v>
      </c>
      <c r="F55" s="388"/>
      <c r="G55" s="528" t="s">
        <v>99</v>
      </c>
      <c r="H55" s="528"/>
      <c r="I55" s="528" t="s">
        <v>136</v>
      </c>
      <c r="J55" s="528"/>
      <c r="K55" s="528" t="s">
        <v>69</v>
      </c>
      <c r="L55" s="22"/>
    </row>
    <row r="56" spans="1:17" s="542" customFormat="1" x14ac:dyDescent="0.2">
      <c r="A56" s="393" t="s">
        <v>70</v>
      </c>
      <c r="B56" s="393"/>
      <c r="C56" s="393"/>
      <c r="D56" s="388"/>
      <c r="E56" s="392" t="s">
        <v>88</v>
      </c>
      <c r="F56" s="388"/>
      <c r="G56" s="392" t="s">
        <v>72</v>
      </c>
      <c r="H56" s="528"/>
      <c r="I56" s="392" t="s">
        <v>101</v>
      </c>
      <c r="J56" s="528"/>
      <c r="K56" s="392" t="s">
        <v>102</v>
      </c>
      <c r="L56" s="22"/>
      <c r="M56" s="108"/>
      <c r="O56" s="544"/>
      <c r="P56" s="544"/>
      <c r="Q56" s="544"/>
    </row>
    <row r="57" spans="1:17" s="542" customFormat="1" ht="10.7" customHeight="1" x14ac:dyDescent="0.2">
      <c r="A57" s="390"/>
      <c r="B57" s="390"/>
      <c r="C57" s="388"/>
      <c r="D57" s="388"/>
      <c r="E57" s="388"/>
      <c r="F57" s="388"/>
      <c r="G57" s="388"/>
      <c r="H57" s="388"/>
      <c r="I57" s="388"/>
      <c r="J57" s="388"/>
      <c r="K57" s="388"/>
      <c r="L57" s="22"/>
      <c r="M57" s="108"/>
      <c r="O57" s="544"/>
      <c r="P57" s="544"/>
      <c r="Q57" s="544"/>
    </row>
    <row r="58" spans="1:17" s="542" customFormat="1" x14ac:dyDescent="0.2">
      <c r="A58" s="334" t="s">
        <v>73</v>
      </c>
      <c r="B58" s="388"/>
      <c r="C58" s="388"/>
      <c r="D58" s="388"/>
      <c r="E58" s="394">
        <f>'F 3-4'!$D$45</f>
        <v>26.279</v>
      </c>
      <c r="F58" s="388"/>
      <c r="G58" s="523">
        <v>4</v>
      </c>
      <c r="H58" s="388"/>
      <c r="I58" s="395">
        <f>ROUND(E58*G58,1)</f>
        <v>105.1</v>
      </c>
      <c r="J58" s="388"/>
      <c r="K58" s="396">
        <f>ROUND(+I58/I$64,4)</f>
        <v>0.69879999999999998</v>
      </c>
      <c r="L58" s="23"/>
      <c r="M58" s="327"/>
      <c r="O58" s="545"/>
      <c r="P58" s="544"/>
      <c r="Q58" s="546"/>
    </row>
    <row r="59" spans="1:17" s="542" customFormat="1" x14ac:dyDescent="0.2">
      <c r="A59" s="334" t="s">
        <v>543</v>
      </c>
      <c r="B59" s="388"/>
      <c r="C59" s="388"/>
      <c r="D59" s="388"/>
      <c r="E59" s="394">
        <f>'F 3-4'!$D$46</f>
        <v>14.720800000000001</v>
      </c>
      <c r="F59" s="388"/>
      <c r="G59" s="523">
        <v>2.5</v>
      </c>
      <c r="H59" s="388"/>
      <c r="I59" s="395">
        <f>ROUND(E59*G59,1)</f>
        <v>36.799999999999997</v>
      </c>
      <c r="J59" s="388"/>
      <c r="K59" s="396">
        <f>ROUND(+I59/I$64,4)</f>
        <v>0.2447</v>
      </c>
      <c r="L59" s="23"/>
      <c r="M59" s="327"/>
      <c r="O59" s="545"/>
      <c r="P59" s="544"/>
      <c r="Q59" s="546"/>
    </row>
    <row r="60" spans="1:17" s="542" customFormat="1" x14ac:dyDescent="0.2">
      <c r="A60" s="334" t="s">
        <v>75</v>
      </c>
      <c r="B60" s="388"/>
      <c r="C60" s="388"/>
      <c r="D60" s="388"/>
      <c r="E60" s="394">
        <f>'F 3-4'!$D$47</f>
        <v>5.6582999999999997</v>
      </c>
      <c r="F60" s="388"/>
      <c r="G60" s="523">
        <v>1.5</v>
      </c>
      <c r="H60" s="388"/>
      <c r="I60" s="395">
        <f>ROUND(E60*G60,1)</f>
        <v>8.5</v>
      </c>
      <c r="J60" s="388"/>
      <c r="K60" s="396">
        <f>ROUND(+I60/I$64,4)</f>
        <v>5.6500000000000002E-2</v>
      </c>
      <c r="L60" s="23"/>
      <c r="M60" s="327"/>
      <c r="O60" s="545"/>
      <c r="P60" s="544"/>
      <c r="Q60" s="546"/>
    </row>
    <row r="61" spans="1:17" s="542" customFormat="1" hidden="1" x14ac:dyDescent="0.2">
      <c r="A61" s="388" t="s">
        <v>76</v>
      </c>
      <c r="B61" s="388"/>
      <c r="C61" s="388"/>
      <c r="D61" s="388"/>
      <c r="E61" s="394">
        <f>'F 3-4'!D48</f>
        <v>0</v>
      </c>
      <c r="F61" s="388"/>
      <c r="G61" s="523">
        <v>0</v>
      </c>
      <c r="H61" s="388"/>
      <c r="I61" s="395">
        <f>ROUND(E61*G61,1)</f>
        <v>0</v>
      </c>
      <c r="J61" s="388"/>
      <c r="K61" s="396">
        <f>ROUND(+I61/I$64,4)</f>
        <v>0</v>
      </c>
      <c r="L61" s="23"/>
      <c r="M61" s="327"/>
      <c r="O61" s="545"/>
      <c r="P61" s="544"/>
      <c r="Q61" s="546"/>
    </row>
    <row r="62" spans="1:17" s="542" customFormat="1" hidden="1" x14ac:dyDescent="0.2">
      <c r="A62" s="388" t="s">
        <v>179</v>
      </c>
      <c r="B62" s="388"/>
      <c r="C62" s="388"/>
      <c r="D62" s="388"/>
      <c r="E62" s="394">
        <f>'F 3-4'!D49</f>
        <v>0</v>
      </c>
      <c r="F62" s="388"/>
      <c r="G62" s="523">
        <v>0</v>
      </c>
      <c r="H62" s="388"/>
      <c r="I62" s="395">
        <f>ROUND(E62*G62,1)</f>
        <v>0</v>
      </c>
      <c r="J62" s="388"/>
      <c r="K62" s="396">
        <f>ROUND(+I62/I$64,4)</f>
        <v>0</v>
      </c>
      <c r="L62" s="23"/>
      <c r="M62" s="327"/>
      <c r="O62" s="545"/>
      <c r="P62" s="544"/>
      <c r="Q62" s="546"/>
    </row>
    <row r="63" spans="1:17" s="542" customFormat="1" ht="9.1999999999999993" customHeight="1" x14ac:dyDescent="0.2">
      <c r="A63" s="388"/>
      <c r="B63" s="388"/>
      <c r="C63" s="388"/>
      <c r="D63" s="388"/>
      <c r="E63" s="397"/>
      <c r="F63" s="388"/>
      <c r="G63" s="524"/>
      <c r="H63" s="388"/>
      <c r="I63" s="398"/>
      <c r="J63" s="388"/>
      <c r="K63" s="399"/>
      <c r="L63" s="22"/>
      <c r="M63" s="108"/>
      <c r="O63" s="544"/>
      <c r="P63" s="544"/>
      <c r="Q63" s="547"/>
    </row>
    <row r="64" spans="1:17" s="542" customFormat="1" ht="15.75" thickBot="1" x14ac:dyDescent="0.25">
      <c r="A64" s="388" t="s">
        <v>137</v>
      </c>
      <c r="B64" s="388"/>
      <c r="C64" s="388"/>
      <c r="D64" s="388"/>
      <c r="E64" s="394">
        <f>SUM(E58:E63)</f>
        <v>46.658099999999997</v>
      </c>
      <c r="F64" s="395"/>
      <c r="G64" s="395"/>
      <c r="H64" s="395"/>
      <c r="I64" s="394">
        <f>SUM(I58:I63)</f>
        <v>150.39999999999998</v>
      </c>
      <c r="J64" s="388"/>
      <c r="K64" s="401">
        <f>SUM(K58:K63)</f>
        <v>1</v>
      </c>
      <c r="L64" s="147"/>
      <c r="M64" s="483">
        <f>+I64+E64</f>
        <v>197.05809999999997</v>
      </c>
      <c r="O64" s="548"/>
      <c r="P64" s="544"/>
      <c r="Q64" s="546"/>
    </row>
    <row r="65" spans="1:17" ht="15.75" thickTop="1" x14ac:dyDescent="0.2">
      <c r="A65" s="445"/>
      <c r="B65" s="445"/>
      <c r="C65" s="445"/>
      <c r="D65" s="388"/>
      <c r="E65" s="446"/>
      <c r="F65" s="388"/>
      <c r="G65" s="388"/>
      <c r="H65" s="388"/>
      <c r="I65" s="442"/>
      <c r="J65" s="388"/>
      <c r="K65" s="439"/>
      <c r="L65" s="22"/>
      <c r="M65" s="108">
        <f>+M64/E64</f>
        <v>4.223448875972232</v>
      </c>
      <c r="O65" s="221"/>
      <c r="P65" s="221"/>
      <c r="Q65" s="221"/>
    </row>
    <row r="66" spans="1:17" x14ac:dyDescent="0.2">
      <c r="A66" s="388" t="s">
        <v>138</v>
      </c>
      <c r="B66" s="388"/>
      <c r="C66" s="388"/>
      <c r="D66" s="388"/>
      <c r="E66" s="388"/>
      <c r="F66" s="388"/>
      <c r="G66" s="388"/>
      <c r="H66" s="388"/>
      <c r="I66" s="388"/>
      <c r="J66" s="388"/>
      <c r="K66" s="388"/>
      <c r="L66" s="22"/>
      <c r="M66" s="108">
        <f>+M65/E44</f>
        <v>1.407816291990744</v>
      </c>
    </row>
    <row r="67" spans="1:17" ht="11.25" customHeight="1" x14ac:dyDescent="0.2">
      <c r="A67" s="388"/>
      <c r="B67" s="388"/>
      <c r="C67" s="388"/>
      <c r="D67" s="388"/>
      <c r="E67" s="388"/>
      <c r="F67" s="388"/>
      <c r="G67" s="388"/>
      <c r="H67" s="388"/>
      <c r="I67" s="388"/>
      <c r="J67" s="388"/>
      <c r="K67" s="388"/>
      <c r="L67" s="22"/>
    </row>
    <row r="68" spans="1:17" ht="29.25" customHeight="1" x14ac:dyDescent="0.2">
      <c r="A68" s="707" t="s">
        <v>50</v>
      </c>
      <c r="B68" s="707"/>
      <c r="C68" s="707"/>
      <c r="D68" s="707"/>
      <c r="E68" s="707"/>
      <c r="F68" s="707"/>
      <c r="G68" s="707"/>
      <c r="H68" s="707"/>
      <c r="I68" s="707"/>
      <c r="J68" s="707"/>
      <c r="K68" s="707"/>
      <c r="L68" s="22"/>
    </row>
    <row r="69" spans="1:17" x14ac:dyDescent="0.2">
      <c r="A69" s="388"/>
      <c r="B69" s="388"/>
      <c r="C69" s="388"/>
      <c r="D69" s="388"/>
      <c r="E69" s="388"/>
      <c r="F69" s="388"/>
      <c r="G69" s="388"/>
      <c r="H69" s="388"/>
      <c r="I69" s="388"/>
      <c r="J69" s="388"/>
      <c r="K69" s="388"/>
      <c r="L69" s="22"/>
    </row>
  </sheetData>
  <mergeCells count="6">
    <mergeCell ref="A3:K3"/>
    <mergeCell ref="A68:K68"/>
    <mergeCell ref="A8:K8"/>
    <mergeCell ref="A24:K24"/>
    <mergeCell ref="A35:K35"/>
    <mergeCell ref="A50:K50"/>
  </mergeCells>
  <phoneticPr fontId="14" type="noConversion"/>
  <printOptions horizontalCentered="1"/>
  <pageMargins left="1" right="1" top="1" bottom="0.5" header="0.5" footer="0.5"/>
  <pageSetup scale="90" orientation="portrait" r:id="rId1"/>
  <headerFooter alignWithMargins="0"/>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31</vt:i4>
      </vt:variant>
    </vt:vector>
  </HeadingPairs>
  <TitlesOfParts>
    <vt:vector size="51" baseType="lpstr">
      <vt:lpstr>checks</vt:lpstr>
      <vt:lpstr>Linkin</vt:lpstr>
      <vt:lpstr>RB</vt:lpstr>
      <vt:lpstr>SCH-A</vt:lpstr>
      <vt:lpstr>COS 1</vt:lpstr>
      <vt:lpstr>F 1-2</vt:lpstr>
      <vt:lpstr>F 2 B</vt:lpstr>
      <vt:lpstr>F 3-4</vt:lpstr>
      <vt:lpstr>F 3B 4B</vt:lpstr>
      <vt:lpstr>F 5</vt:lpstr>
      <vt:lpstr>F 5B</vt:lpstr>
      <vt:lpstr>F6</vt:lpstr>
      <vt:lpstr>F7-9</vt:lpstr>
      <vt:lpstr>Meters &amp; Services</vt:lpstr>
      <vt:lpstr>F10-11</vt:lpstr>
      <vt:lpstr>F 12-17</vt:lpstr>
      <vt:lpstr>SCH-D</vt:lpstr>
      <vt:lpstr>SCH-E</vt:lpstr>
      <vt:lpstr>SCH-F</vt:lpstr>
      <vt:lpstr>SCH-G</vt:lpstr>
      <vt:lpstr>ALLOCATION_TABLE</vt:lpstr>
      <vt:lpstr>comp</vt:lpstr>
      <vt:lpstr>CUST</vt:lpstr>
      <vt:lpstr>'F 3-4'!FACT3</vt:lpstr>
      <vt:lpstr>'F 1-2'!FACT3A</vt:lpstr>
      <vt:lpstr>'F 2 B'!FACT3A</vt:lpstr>
      <vt:lpstr>'F 3-4'!FACT3A</vt:lpstr>
      <vt:lpstr>factor</vt:lpstr>
      <vt:lpstr>Factors</vt:lpstr>
      <vt:lpstr>'F 1-2'!FIRE</vt:lpstr>
      <vt:lpstr>'F 2 B'!FIRE</vt:lpstr>
      <vt:lpstr>'F 3-4'!FIRE</vt:lpstr>
      <vt:lpstr>func</vt:lpstr>
      <vt:lpstr>'COS 1'!Print_Area</vt:lpstr>
      <vt:lpstr>'F 1-2'!Print_Area</vt:lpstr>
      <vt:lpstr>'F 12-17'!Print_Area</vt:lpstr>
      <vt:lpstr>'F 2 B'!Print_Area</vt:lpstr>
      <vt:lpstr>'F 3-4'!Print_Area</vt:lpstr>
      <vt:lpstr>'F 3B 4B'!Print_Area</vt:lpstr>
      <vt:lpstr>'F 5'!Print_Area</vt:lpstr>
      <vt:lpstr>'F 5B'!Print_Area</vt:lpstr>
      <vt:lpstr>'F10-11'!Print_Area</vt:lpstr>
      <vt:lpstr>'F6'!Print_Area</vt:lpstr>
      <vt:lpstr>'F7-9'!Print_Area</vt:lpstr>
      <vt:lpstr>'Meters &amp; Services'!Print_Area</vt:lpstr>
      <vt:lpstr>'SCH-A'!Print_Area</vt:lpstr>
      <vt:lpstr>'SCH-D'!Print_Area</vt:lpstr>
      <vt:lpstr>'SCH-E'!Print_Area</vt:lpstr>
      <vt:lpstr>'SCH-F'!Print_Area</vt:lpstr>
      <vt:lpstr>'SCH-G'!Print_Area</vt:lpstr>
      <vt:lpstr>'COS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Heppenstall, Constance E.</dc:creator>
  <cp:lastModifiedBy>Perry Brown</cp:lastModifiedBy>
  <cp:lastPrinted>2018-07-02T20:22:19Z</cp:lastPrinted>
  <dcterms:created xsi:type="dcterms:W3CDTF">2000-03-27T20:18:41Z</dcterms:created>
  <dcterms:modified xsi:type="dcterms:W3CDTF">2018-07-27T15:57:51Z</dcterms:modified>
</cp:coreProperties>
</file>