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40" yWindow="540" windowWidth="17520" windowHeight="11760" tabRatio="870" activeTab="10"/>
  </bookViews>
  <sheets>
    <sheet name=" Summary" sheetId="2" r:id="rId1"/>
    <sheet name="Sch 1.0" sheetId="3" r:id="rId2"/>
    <sheet name="Sch 1.1" sheetId="4" r:id="rId3"/>
    <sheet name="Sch 1.2" sheetId="5" r:id="rId4"/>
    <sheet name="Sch 2.0" sheetId="7" r:id="rId5"/>
    <sheet name="Sch 2.1" sheetId="8" r:id="rId6"/>
    <sheet name="Sch 2.2" sheetId="9" r:id="rId7"/>
    <sheet name="Sch 2.3" sheetId="13" r:id="rId8"/>
    <sheet name="Sch 2.4" sheetId="11" r:id="rId9"/>
    <sheet name="Sch 3.0" sheetId="10" r:id="rId10"/>
    <sheet name="Sch 4.1" sheetId="14" r:id="rId11"/>
    <sheet name="Sch 4.2" sheetId="15" r:id="rId12"/>
    <sheet name="Sch 4.3" sheetId="16" r:id="rId13"/>
    <sheet name="Sch 4.4" sheetId="17" r:id="rId14"/>
    <sheet name="Sch 4.5" sheetId="18" r:id="rId15"/>
    <sheet name="Sch 4.6" sheetId="19" r:id="rId16"/>
    <sheet name="Sch 4.7" sheetId="20" r:id="rId17"/>
  </sheets>
  <definedNames>
    <definedName name="_xlnm.Print_Area" localSheetId="0">' Summary'!$A$1:$J$28</definedName>
  </definedNames>
  <calcPr calcId="145621"/>
</workbook>
</file>

<file path=xl/calcChain.xml><?xml version="1.0" encoding="utf-8"?>
<calcChain xmlns="http://schemas.openxmlformats.org/spreadsheetml/2006/main">
  <c r="F15" i="14" l="1"/>
  <c r="F14" i="14"/>
  <c r="F19" i="17" l="1"/>
  <c r="R19" i="8" l="1"/>
  <c r="Q19" i="8"/>
  <c r="P19" i="8"/>
  <c r="O19" i="8"/>
  <c r="L19" i="8"/>
  <c r="K19" i="8"/>
  <c r="J19" i="8"/>
  <c r="G19" i="8"/>
  <c r="F19" i="8"/>
  <c r="F15" i="8"/>
  <c r="G15" i="8"/>
  <c r="S26" i="8" l="1"/>
  <c r="G26" i="17" l="1"/>
  <c r="F22" i="17"/>
  <c r="F15" i="17"/>
  <c r="F11" i="17"/>
  <c r="G22" i="17"/>
  <c r="G11" i="17"/>
  <c r="G15" i="17" s="1"/>
  <c r="G19" i="17" s="1"/>
  <c r="G14" i="17" l="1"/>
  <c r="G18" i="17" s="1"/>
  <c r="G20" i="17" s="1"/>
  <c r="G24" i="17" s="1"/>
  <c r="G27" i="17" s="1"/>
  <c r="G30" i="17" l="1"/>
  <c r="G29" i="17"/>
  <c r="A29" i="17"/>
  <c r="H26" i="17"/>
  <c r="H15" i="17"/>
  <c r="F14" i="17"/>
  <c r="H11" i="17"/>
  <c r="R40" i="16"/>
  <c r="G31" i="17" l="1"/>
  <c r="H18" i="17"/>
  <c r="H14" i="17"/>
  <c r="H19" i="17"/>
  <c r="Q26" i="8"/>
  <c r="R26" i="8" s="1"/>
  <c r="M26" i="8"/>
  <c r="F20" i="17" l="1"/>
  <c r="H20" i="17" l="1"/>
  <c r="F24" i="17"/>
  <c r="R15" i="8"/>
  <c r="H24" i="17" l="1"/>
  <c r="F27" i="17"/>
  <c r="H27" i="17" l="1"/>
  <c r="F29" i="17"/>
  <c r="F30" i="17"/>
  <c r="H30" i="17" s="1"/>
  <c r="G31" i="7"/>
  <c r="L15" i="8"/>
  <c r="K15" i="8"/>
  <c r="J15" i="8"/>
  <c r="O15" i="8"/>
  <c r="P15" i="8"/>
  <c r="Q15" i="8"/>
  <c r="F31" i="17" l="1"/>
  <c r="H29" i="17"/>
  <c r="H31" i="17" s="1"/>
  <c r="G36" i="7" l="1"/>
  <c r="F36" i="7"/>
  <c r="R18" i="8" l="1"/>
  <c r="G22" i="8" l="1"/>
  <c r="L22" i="8" l="1"/>
  <c r="Q11" i="8"/>
  <c r="K11" i="8"/>
  <c r="M11" i="8" s="1"/>
  <c r="P11" i="8" l="1"/>
  <c r="O11" i="8"/>
  <c r="S15" i="8"/>
  <c r="R11" i="8" l="1"/>
  <c r="P20" i="8"/>
  <c r="P24" i="8" s="1"/>
  <c r="P27" i="8" s="1"/>
  <c r="P31" i="8" s="1"/>
  <c r="O20" i="8"/>
  <c r="S19" i="8" l="1"/>
  <c r="S11" i="8"/>
  <c r="S14" i="8"/>
  <c r="O24" i="8"/>
  <c r="Q20" i="8" l="1"/>
  <c r="R20" i="8"/>
  <c r="S18" i="8"/>
  <c r="O27" i="8"/>
  <c r="Q24" i="8" l="1"/>
  <c r="S20" i="8"/>
  <c r="O31" i="8"/>
  <c r="Q27" i="8" l="1"/>
  <c r="S24" i="8"/>
  <c r="Q31" i="8" l="1"/>
  <c r="E12" i="7" l="1"/>
  <c r="H31" i="7" s="1"/>
  <c r="H33" i="7" s="1"/>
  <c r="E23" i="7"/>
  <c r="K31" i="7"/>
  <c r="K33" i="7" s="1"/>
  <c r="O31" i="7"/>
  <c r="F32" i="7"/>
  <c r="G32" i="7"/>
  <c r="H32" i="7"/>
  <c r="I32" i="7"/>
  <c r="J32" i="7"/>
  <c r="K32" i="7"/>
  <c r="L32" i="7"/>
  <c r="M32" i="7"/>
  <c r="N32" i="7"/>
  <c r="O32" i="7"/>
  <c r="P32" i="7"/>
  <c r="Q32" i="7"/>
  <c r="O33" i="7"/>
  <c r="G33" i="7" l="1"/>
  <c r="F31" i="7"/>
  <c r="F33" i="7" s="1"/>
  <c r="N31" i="7"/>
  <c r="N33" i="7" s="1"/>
  <c r="J31" i="7"/>
  <c r="J33" i="7" s="1"/>
  <c r="Q31" i="7"/>
  <c r="Q33" i="7" s="1"/>
  <c r="M31" i="7"/>
  <c r="M33" i="7" s="1"/>
  <c r="I31" i="7"/>
  <c r="I33" i="7" s="1"/>
  <c r="P31" i="7"/>
  <c r="P33" i="7" s="1"/>
  <c r="L31" i="7"/>
  <c r="L33" i="7" s="1"/>
  <c r="R31" i="8" l="1"/>
  <c r="I14" i="18"/>
  <c r="E14" i="18"/>
  <c r="S31" i="8" l="1"/>
  <c r="F19" i="14"/>
  <c r="F12" i="5" l="1"/>
  <c r="E10" i="5" l="1"/>
  <c r="D22" i="8" l="1"/>
  <c r="Q22" i="16" l="1"/>
  <c r="P22" i="16"/>
  <c r="O22" i="16"/>
  <c r="N22" i="16"/>
  <c r="M22" i="16"/>
  <c r="L22" i="16"/>
  <c r="K22" i="16"/>
  <c r="J22" i="16"/>
  <c r="I22" i="16"/>
  <c r="H22" i="16"/>
  <c r="G22" i="16"/>
  <c r="F22" i="16"/>
  <c r="I15" i="18" l="1"/>
  <c r="I16" i="18" s="1"/>
  <c r="I17" i="18" s="1"/>
  <c r="I18" i="18" s="1"/>
  <c r="I19" i="18" s="1"/>
  <c r="I20" i="18" s="1"/>
  <c r="I21" i="18" s="1"/>
  <c r="I22" i="18" s="1"/>
  <c r="I23" i="18" s="1"/>
  <c r="I24" i="18" s="1"/>
  <c r="I25" i="18" s="1"/>
  <c r="I26" i="18" s="1"/>
  <c r="I15" i="9"/>
  <c r="F22" i="7" s="1"/>
  <c r="F23" i="7" s="1"/>
  <c r="I27" i="18" l="1"/>
  <c r="I29" i="18" s="1"/>
  <c r="A2" i="17"/>
  <c r="A2" i="15"/>
  <c r="A3" i="20"/>
  <c r="A2" i="20"/>
  <c r="A3" i="19"/>
  <c r="A2" i="19"/>
  <c r="A3" i="18"/>
  <c r="A2" i="18"/>
  <c r="A3" i="17"/>
  <c r="A2" i="16"/>
  <c r="A3" i="15"/>
  <c r="A3" i="14"/>
  <c r="A2" i="14"/>
  <c r="D26" i="20" l="1"/>
  <c r="F26" i="14" s="1"/>
  <c r="A15" i="20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D26" i="19"/>
  <c r="F25" i="14" s="1"/>
  <c r="A20" i="19"/>
  <c r="A21" i="19" s="1"/>
  <c r="A22" i="19" s="1"/>
  <c r="A23" i="19" s="1"/>
  <c r="A24" i="19" s="1"/>
  <c r="A25" i="19" s="1"/>
  <c r="A16" i="19"/>
  <c r="A17" i="19" s="1"/>
  <c r="A18" i="19" s="1"/>
  <c r="A19" i="19" s="1"/>
  <c r="A15" i="19"/>
  <c r="C16" i="18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8" i="18" s="1"/>
  <c r="A29" i="18" s="1"/>
  <c r="G15" i="18"/>
  <c r="G16" i="18" s="1"/>
  <c r="G17" i="18" s="1"/>
  <c r="G18" i="18" s="1"/>
  <c r="G19" i="18" s="1"/>
  <c r="G20" i="18" s="1"/>
  <c r="G21" i="18" s="1"/>
  <c r="G22" i="18" s="1"/>
  <c r="G23" i="18" s="1"/>
  <c r="G24" i="18" s="1"/>
  <c r="G25" i="18" s="1"/>
  <c r="G26" i="18" s="1"/>
  <c r="E15" i="18"/>
  <c r="E16" i="18" s="1"/>
  <c r="A15" i="18"/>
  <c r="A20" i="17"/>
  <c r="A22" i="17" s="1"/>
  <c r="A24" i="17" s="1"/>
  <c r="A26" i="17" s="1"/>
  <c r="A27" i="17" s="1"/>
  <c r="A19" i="17"/>
  <c r="A15" i="17"/>
  <c r="E38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A37" i="16"/>
  <c r="A38" i="16" s="1"/>
  <c r="E33" i="16"/>
  <c r="E40" i="16" s="1"/>
  <c r="Q32" i="16"/>
  <c r="P32" i="16"/>
  <c r="O32" i="16"/>
  <c r="N32" i="16"/>
  <c r="M32" i="16"/>
  <c r="L32" i="16"/>
  <c r="K32" i="16"/>
  <c r="J32" i="16"/>
  <c r="I32" i="16"/>
  <c r="H32" i="16"/>
  <c r="G32" i="16"/>
  <c r="F32" i="16"/>
  <c r="E23" i="16"/>
  <c r="A23" i="16"/>
  <c r="A31" i="16" s="1"/>
  <c r="A32" i="16" s="1"/>
  <c r="A33" i="16" s="1"/>
  <c r="Q23" i="16"/>
  <c r="P23" i="16"/>
  <c r="O23" i="16"/>
  <c r="N23" i="16"/>
  <c r="M23" i="16"/>
  <c r="L23" i="16"/>
  <c r="K23" i="16"/>
  <c r="J23" i="16"/>
  <c r="I23" i="16"/>
  <c r="H23" i="16"/>
  <c r="G23" i="16"/>
  <c r="F23" i="16"/>
  <c r="E22" i="16"/>
  <c r="R18" i="16"/>
  <c r="A18" i="16"/>
  <c r="A19" i="16" s="1"/>
  <c r="Q17" i="16"/>
  <c r="Q19" i="16" s="1"/>
  <c r="P17" i="16"/>
  <c r="P19" i="16" s="1"/>
  <c r="O17" i="16"/>
  <c r="O19" i="16" s="1"/>
  <c r="N17" i="16"/>
  <c r="N19" i="16" s="1"/>
  <c r="M17" i="16"/>
  <c r="M19" i="16" s="1"/>
  <c r="L17" i="16"/>
  <c r="L19" i="16" s="1"/>
  <c r="K17" i="16"/>
  <c r="K19" i="16" s="1"/>
  <c r="J17" i="16"/>
  <c r="J19" i="16" s="1"/>
  <c r="I17" i="16"/>
  <c r="I19" i="16" s="1"/>
  <c r="H17" i="16"/>
  <c r="H19" i="16" s="1"/>
  <c r="G17" i="16"/>
  <c r="F17" i="16"/>
  <c r="F19" i="16" s="1"/>
  <c r="E17" i="16"/>
  <c r="R13" i="16"/>
  <c r="A13" i="16"/>
  <c r="A14" i="16" s="1"/>
  <c r="Q12" i="16"/>
  <c r="Q14" i="16" s="1"/>
  <c r="P12" i="16"/>
  <c r="P14" i="16" s="1"/>
  <c r="O12" i="16"/>
  <c r="O14" i="16" s="1"/>
  <c r="N12" i="16"/>
  <c r="N14" i="16" s="1"/>
  <c r="M12" i="16"/>
  <c r="M14" i="16" s="1"/>
  <c r="L12" i="16"/>
  <c r="L14" i="16" s="1"/>
  <c r="K12" i="16"/>
  <c r="K14" i="16" s="1"/>
  <c r="J12" i="16"/>
  <c r="J14" i="16" s="1"/>
  <c r="I12" i="16"/>
  <c r="I14" i="16" s="1"/>
  <c r="H12" i="16"/>
  <c r="H14" i="16" s="1"/>
  <c r="G12" i="16"/>
  <c r="G14" i="16" s="1"/>
  <c r="F12" i="16"/>
  <c r="E12" i="16"/>
  <c r="E14" i="16" s="1"/>
  <c r="C13" i="15"/>
  <c r="F12" i="15"/>
  <c r="E12" i="15"/>
  <c r="E11" i="15"/>
  <c r="F11" i="15" s="1"/>
  <c r="A11" i="15"/>
  <c r="A12" i="15" s="1"/>
  <c r="A13" i="15" s="1"/>
  <c r="E10" i="15"/>
  <c r="A14" i="14"/>
  <c r="A15" i="14" s="1"/>
  <c r="A16" i="14" s="1"/>
  <c r="A17" i="14" s="1"/>
  <c r="A18" i="14" s="1"/>
  <c r="A19" i="14" s="1"/>
  <c r="A20" i="14" s="1"/>
  <c r="A23" i="14" s="1"/>
  <c r="A24" i="14" s="1"/>
  <c r="A25" i="14" s="1"/>
  <c r="A26" i="14" s="1"/>
  <c r="A27" i="14" s="1"/>
  <c r="A28" i="14" s="1"/>
  <c r="A30" i="14" s="1"/>
  <c r="R23" i="16" l="1"/>
  <c r="R17" i="16"/>
  <c r="R19" i="16" s="1"/>
  <c r="R12" i="16"/>
  <c r="R14" i="16" s="1"/>
  <c r="O36" i="16"/>
  <c r="O38" i="16" s="1"/>
  <c r="N31" i="16"/>
  <c r="N33" i="16" s="1"/>
  <c r="O31" i="16"/>
  <c r="O33" i="16" s="1"/>
  <c r="R22" i="16"/>
  <c r="G31" i="16"/>
  <c r="G33" i="16" s="1"/>
  <c r="H36" i="16"/>
  <c r="H38" i="16" s="1"/>
  <c r="L36" i="16"/>
  <c r="L38" i="16" s="1"/>
  <c r="E13" i="15"/>
  <c r="F10" i="15"/>
  <c r="F13" i="15" s="1"/>
  <c r="M36" i="16"/>
  <c r="M38" i="16" s="1"/>
  <c r="Q36" i="16"/>
  <c r="Q38" i="16" s="1"/>
  <c r="I36" i="16"/>
  <c r="I38" i="16" s="1"/>
  <c r="G19" i="16"/>
  <c r="P36" i="16"/>
  <c r="P38" i="16" s="1"/>
  <c r="E17" i="18"/>
  <c r="E18" i="18" s="1"/>
  <c r="E19" i="18" s="1"/>
  <c r="E20" i="18" s="1"/>
  <c r="E21" i="18" s="1"/>
  <c r="E22" i="18" s="1"/>
  <c r="E23" i="18" s="1"/>
  <c r="E24" i="18" s="1"/>
  <c r="E25" i="18" s="1"/>
  <c r="E26" i="18" s="1"/>
  <c r="P31" i="16"/>
  <c r="P33" i="16" s="1"/>
  <c r="H31" i="16"/>
  <c r="H33" i="16" s="1"/>
  <c r="F14" i="16"/>
  <c r="L31" i="16"/>
  <c r="L33" i="16" s="1"/>
  <c r="K31" i="16"/>
  <c r="K33" i="16" s="1"/>
  <c r="G27" i="18"/>
  <c r="G29" i="18" s="1"/>
  <c r="I31" i="16"/>
  <c r="I33" i="16" s="1"/>
  <c r="M31" i="16"/>
  <c r="M33" i="16" s="1"/>
  <c r="Q31" i="16"/>
  <c r="Q33" i="16" s="1"/>
  <c r="F36" i="16"/>
  <c r="F38" i="16" s="1"/>
  <c r="J36" i="16"/>
  <c r="J38" i="16" s="1"/>
  <c r="N36" i="16"/>
  <c r="N38" i="16" s="1"/>
  <c r="E19" i="16"/>
  <c r="F31" i="16"/>
  <c r="F33" i="16" s="1"/>
  <c r="J31" i="16"/>
  <c r="J33" i="16" s="1"/>
  <c r="G36" i="16"/>
  <c r="G38" i="16" s="1"/>
  <c r="K36" i="16"/>
  <c r="K38" i="16" s="1"/>
  <c r="E27" i="18" l="1"/>
  <c r="E29" i="18" s="1"/>
  <c r="F12" i="14" s="1"/>
  <c r="F23" i="14"/>
  <c r="F40" i="16"/>
  <c r="D15" i="17" l="1"/>
  <c r="D19" i="17" s="1"/>
  <c r="G40" i="16"/>
  <c r="I16" i="9"/>
  <c r="G22" i="7" s="1"/>
  <c r="G23" i="7" l="1"/>
  <c r="D14" i="17"/>
  <c r="D18" i="17" s="1"/>
  <c r="D20" i="17" s="1"/>
  <c r="I17" i="9"/>
  <c r="H22" i="7" s="1"/>
  <c r="H23" i="7" s="1"/>
  <c r="H40" i="16"/>
  <c r="M15" i="8"/>
  <c r="I18" i="9" l="1"/>
  <c r="I40" i="16"/>
  <c r="J40" i="16" s="1"/>
  <c r="K40" i="16" s="1"/>
  <c r="L40" i="16" s="1"/>
  <c r="M40" i="16" s="1"/>
  <c r="N40" i="16" s="1"/>
  <c r="O40" i="16" s="1"/>
  <c r="P40" i="16" s="1"/>
  <c r="Q40" i="16" s="1"/>
  <c r="A6" i="2"/>
  <c r="A5" i="2"/>
  <c r="I19" i="9" l="1"/>
  <c r="I22" i="7"/>
  <c r="F16" i="14"/>
  <c r="F24" i="14" s="1"/>
  <c r="A3" i="10"/>
  <c r="A2" i="10"/>
  <c r="A3" i="11"/>
  <c r="A2" i="11"/>
  <c r="A3" i="13"/>
  <c r="A2" i="13"/>
  <c r="A3" i="9"/>
  <c r="A2" i="9"/>
  <c r="A3" i="8"/>
  <c r="A2" i="8"/>
  <c r="A2" i="7"/>
  <c r="A3" i="5"/>
  <c r="A2" i="5"/>
  <c r="A3" i="4"/>
  <c r="A2" i="4"/>
  <c r="I23" i="7" l="1"/>
  <c r="I20" i="9"/>
  <c r="J22" i="7"/>
  <c r="J23" i="7" s="1"/>
  <c r="D24" i="17"/>
  <c r="D27" i="17" s="1"/>
  <c r="J20" i="8"/>
  <c r="K20" i="8"/>
  <c r="K24" i="8" s="1"/>
  <c r="Q17" i="7"/>
  <c r="P17" i="7"/>
  <c r="O17" i="7"/>
  <c r="N17" i="7"/>
  <c r="M17" i="7"/>
  <c r="L17" i="7"/>
  <c r="K17" i="7"/>
  <c r="J17" i="7"/>
  <c r="I17" i="7"/>
  <c r="H17" i="7"/>
  <c r="G17" i="7"/>
  <c r="F17" i="7"/>
  <c r="F19" i="7" s="1"/>
  <c r="Q12" i="7"/>
  <c r="P12" i="7"/>
  <c r="O12" i="7"/>
  <c r="N12" i="7"/>
  <c r="M12" i="7"/>
  <c r="L12" i="7"/>
  <c r="K12" i="7"/>
  <c r="J12" i="7"/>
  <c r="I12" i="7"/>
  <c r="H12" i="7"/>
  <c r="G12" i="7"/>
  <c r="F12" i="7"/>
  <c r="E17" i="7"/>
  <c r="D30" i="17" l="1"/>
  <c r="H35" i="17" s="1"/>
  <c r="D29" i="17"/>
  <c r="I21" i="9"/>
  <c r="K22" i="7"/>
  <c r="K27" i="8"/>
  <c r="K31" i="8" s="1"/>
  <c r="J24" i="8"/>
  <c r="D31" i="17" l="1"/>
  <c r="H33" i="17"/>
  <c r="F17" i="14" s="1"/>
  <c r="F18" i="14" s="1"/>
  <c r="F20" i="14" s="1"/>
  <c r="K23" i="7"/>
  <c r="I22" i="9"/>
  <c r="L22" i="7"/>
  <c r="L23" i="7" s="1"/>
  <c r="J27" i="8"/>
  <c r="A37" i="7"/>
  <c r="A38" i="7" s="1"/>
  <c r="A23" i="7"/>
  <c r="A31" i="7" s="1"/>
  <c r="A32" i="7" s="1"/>
  <c r="A33" i="7" s="1"/>
  <c r="A18" i="7"/>
  <c r="A19" i="7" s="1"/>
  <c r="A14" i="7"/>
  <c r="A13" i="7"/>
  <c r="A25" i="4"/>
  <c r="A26" i="4" s="1"/>
  <c r="A27" i="4" s="1"/>
  <c r="A28" i="4" s="1"/>
  <c r="A24" i="4"/>
  <c r="A23" i="4"/>
  <c r="F27" i="14" l="1"/>
  <c r="F28" i="14" s="1"/>
  <c r="F30" i="14" s="1"/>
  <c r="F33" i="14" s="1"/>
  <c r="F36" i="14" s="1"/>
  <c r="F16" i="3" s="1"/>
  <c r="I23" i="9"/>
  <c r="M22" i="7"/>
  <c r="J31" i="8"/>
  <c r="F13" i="3" l="1"/>
  <c r="F12" i="3"/>
  <c r="F14" i="3"/>
  <c r="F15" i="3"/>
  <c r="M23" i="7"/>
  <c r="I24" i="9"/>
  <c r="N22" i="7"/>
  <c r="N23" i="7" s="1"/>
  <c r="R18" i="7"/>
  <c r="R17" i="7"/>
  <c r="R19" i="7" s="1"/>
  <c r="R13" i="7"/>
  <c r="R12" i="7"/>
  <c r="I25" i="9" l="1"/>
  <c r="O22" i="7"/>
  <c r="R14" i="7"/>
  <c r="O23" i="7" l="1"/>
  <c r="R22" i="7"/>
  <c r="I26" i="9"/>
  <c r="Q22" i="7" s="1"/>
  <c r="Q23" i="7" s="1"/>
  <c r="P22" i="7"/>
  <c r="P23" i="7" s="1"/>
  <c r="I27" i="9"/>
  <c r="E38" i="7"/>
  <c r="E33" i="7"/>
  <c r="R23" i="7" l="1"/>
  <c r="H26" i="8"/>
  <c r="E40" i="7"/>
  <c r="H36" i="7" l="1"/>
  <c r="I36" i="7"/>
  <c r="J36" i="7"/>
  <c r="K36" i="7"/>
  <c r="L36" i="7"/>
  <c r="M36" i="7"/>
  <c r="N36" i="7"/>
  <c r="O36" i="7"/>
  <c r="P36" i="7"/>
  <c r="Q36" i="7"/>
  <c r="G37" i="7"/>
  <c r="F37" i="7"/>
  <c r="H37" i="7" l="1"/>
  <c r="I37" i="7"/>
  <c r="I38" i="7" s="1"/>
  <c r="J37" i="7"/>
  <c r="K37" i="7"/>
  <c r="K38" i="7" s="1"/>
  <c r="L37" i="7"/>
  <c r="M37" i="7"/>
  <c r="M38" i="7" s="1"/>
  <c r="N37" i="7"/>
  <c r="O37" i="7"/>
  <c r="O38" i="7" s="1"/>
  <c r="P37" i="7"/>
  <c r="Q37" i="7"/>
  <c r="Q38" i="7" s="1"/>
  <c r="Q19" i="7"/>
  <c r="P19" i="7"/>
  <c r="O19" i="7"/>
  <c r="N19" i="7"/>
  <c r="M19" i="7"/>
  <c r="L19" i="7"/>
  <c r="K19" i="7"/>
  <c r="J19" i="7"/>
  <c r="I19" i="7"/>
  <c r="H19" i="7"/>
  <c r="G19" i="7"/>
  <c r="E19" i="7"/>
  <c r="F14" i="7"/>
  <c r="G14" i="7"/>
  <c r="H14" i="7"/>
  <c r="I14" i="7"/>
  <c r="J14" i="7"/>
  <c r="K14" i="7"/>
  <c r="L14" i="7"/>
  <c r="M14" i="7"/>
  <c r="N14" i="7"/>
  <c r="O14" i="7"/>
  <c r="P14" i="7"/>
  <c r="Q14" i="7"/>
  <c r="E14" i="7"/>
  <c r="F38" i="7"/>
  <c r="S22" i="8" s="1"/>
  <c r="R22" i="8" s="1"/>
  <c r="R24" i="8" s="1"/>
  <c r="R27" i="8" s="1"/>
  <c r="S27" i="8" s="1"/>
  <c r="F40" i="7" l="1"/>
  <c r="P38" i="7"/>
  <c r="L38" i="7"/>
  <c r="H38" i="7"/>
  <c r="N38" i="7"/>
  <c r="J38" i="7"/>
  <c r="G38" i="7"/>
  <c r="G40" i="7" l="1"/>
  <c r="H40" i="7" s="1"/>
  <c r="I40" i="7" s="1"/>
  <c r="J40" i="7" s="1"/>
  <c r="K40" i="7" s="1"/>
  <c r="L40" i="7" s="1"/>
  <c r="M40" i="7" s="1"/>
  <c r="N40" i="7" s="1"/>
  <c r="O40" i="7" s="1"/>
  <c r="P40" i="7" s="1"/>
  <c r="Q40" i="7" s="1"/>
  <c r="F23" i="4"/>
  <c r="R40" i="7" l="1"/>
  <c r="F15" i="4" s="1"/>
  <c r="G15" i="9" l="1"/>
  <c r="E15" i="9"/>
  <c r="G16" i="9" l="1"/>
  <c r="E16" i="9"/>
  <c r="G17" i="9" l="1"/>
  <c r="E17" i="9"/>
  <c r="G18" i="9" l="1"/>
  <c r="E18" i="9"/>
  <c r="G19" i="9" l="1"/>
  <c r="E19" i="9"/>
  <c r="G20" i="9" l="1"/>
  <c r="E20" i="9"/>
  <c r="G21" i="9" l="1"/>
  <c r="E21" i="9"/>
  <c r="G22" i="9" l="1"/>
  <c r="E22" i="9"/>
  <c r="O16" i="10"/>
  <c r="O15" i="10"/>
  <c r="O14" i="10"/>
  <c r="O13" i="10"/>
  <c r="G23" i="9" l="1"/>
  <c r="E23" i="9"/>
  <c r="G24" i="9" l="1"/>
  <c r="E24" i="9"/>
  <c r="A15" i="9"/>
  <c r="G25" i="9" l="1"/>
  <c r="E25" i="9"/>
  <c r="D26" i="13"/>
  <c r="F25" i="4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G26" i="9" l="1"/>
  <c r="G27" i="9" s="1"/>
  <c r="G29" i="9" s="1"/>
  <c r="E26" i="9"/>
  <c r="E27" i="9" s="1"/>
  <c r="E29" i="9" s="1"/>
  <c r="F20" i="8"/>
  <c r="F24" i="8" s="1"/>
  <c r="F27" i="8" l="1"/>
  <c r="F12" i="4"/>
  <c r="E12" i="5"/>
  <c r="E11" i="5"/>
  <c r="F31" i="8" l="1"/>
  <c r="M19" i="8"/>
  <c r="M14" i="8"/>
  <c r="M18" i="8" l="1"/>
  <c r="L20" i="8"/>
  <c r="D26" i="11"/>
  <c r="F26" i="4" s="1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14" i="4"/>
  <c r="M20" i="8" l="1"/>
  <c r="L24" i="8"/>
  <c r="H13" i="3"/>
  <c r="H14" i="3"/>
  <c r="H15" i="3"/>
  <c r="H12" i="3"/>
  <c r="M24" i="8" l="1"/>
  <c r="L27" i="8"/>
  <c r="A14" i="10"/>
  <c r="A15" i="10" s="1"/>
  <c r="A16" i="10" s="1"/>
  <c r="C16" i="9"/>
  <c r="A16" i="9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8" i="9" s="1"/>
  <c r="A29" i="9" s="1"/>
  <c r="A15" i="8"/>
  <c r="A19" i="8" s="1"/>
  <c r="A20" i="8" s="1"/>
  <c r="M27" i="8" l="1"/>
  <c r="I29" i="9"/>
  <c r="C17" i="9"/>
  <c r="D14" i="8"/>
  <c r="D18" i="8" s="1"/>
  <c r="D15" i="8"/>
  <c r="D19" i="8" s="1"/>
  <c r="A22" i="8"/>
  <c r="A24" i="8" s="1"/>
  <c r="F11" i="5"/>
  <c r="F10" i="5"/>
  <c r="E13" i="5"/>
  <c r="C13" i="5"/>
  <c r="A12" i="5"/>
  <c r="A13" i="5" s="1"/>
  <c r="A11" i="5"/>
  <c r="A15" i="4"/>
  <c r="A16" i="4" s="1"/>
  <c r="A17" i="4" s="1"/>
  <c r="A18" i="4" s="1"/>
  <c r="A19" i="4" s="1"/>
  <c r="A20" i="4" s="1"/>
  <c r="D16" i="3"/>
  <c r="A14" i="3"/>
  <c r="A15" i="3" s="1"/>
  <c r="A16" i="3" s="1"/>
  <c r="A13" i="3"/>
  <c r="M31" i="8" l="1"/>
  <c r="L31" i="8"/>
  <c r="A30" i="4"/>
  <c r="F14" i="4"/>
  <c r="C18" i="9"/>
  <c r="D20" i="8"/>
  <c r="D24" i="8" s="1"/>
  <c r="D27" i="8" s="1"/>
  <c r="F13" i="5"/>
  <c r="F19" i="4" s="1"/>
  <c r="A26" i="8"/>
  <c r="A27" i="8" s="1"/>
  <c r="A29" i="8" s="1"/>
  <c r="C19" i="9" l="1"/>
  <c r="D31" i="8" l="1"/>
  <c r="C20" i="9"/>
  <c r="C21" i="9" l="1"/>
  <c r="C22" i="9" l="1"/>
  <c r="C23" i="9" l="1"/>
  <c r="C24" i="9" l="1"/>
  <c r="C25" i="9" l="1"/>
  <c r="C26" i="9" l="1"/>
  <c r="H11" i="8" l="1"/>
  <c r="G14" i="8"/>
  <c r="H14" i="8" l="1"/>
  <c r="H19" i="8"/>
  <c r="H15" i="8"/>
  <c r="G18" i="8"/>
  <c r="F16" i="4" l="1"/>
  <c r="F24" i="4" s="1"/>
  <c r="H18" i="8"/>
  <c r="G20" i="8"/>
  <c r="G24" i="8" s="1"/>
  <c r="G27" i="8" s="1"/>
  <c r="H27" i="8" s="1"/>
  <c r="S35" i="8" l="1"/>
  <c r="H24" i="8"/>
  <c r="H20" i="8"/>
  <c r="G31" i="8" l="1"/>
  <c r="S33" i="8" l="1"/>
  <c r="F17" i="4" s="1"/>
  <c r="F18" i="4" s="1"/>
  <c r="F20" i="4" s="1"/>
  <c r="H31" i="8"/>
  <c r="F27" i="4" l="1"/>
  <c r="F28" i="4" s="1"/>
  <c r="F30" i="4" s="1"/>
  <c r="E16" i="3" s="1"/>
  <c r="E14" i="3" l="1"/>
  <c r="G14" i="3" s="1"/>
  <c r="I14" i="3" s="1"/>
  <c r="E12" i="3"/>
  <c r="G12" i="3" s="1"/>
  <c r="I12" i="3" s="1"/>
  <c r="E15" i="3"/>
  <c r="G15" i="3" s="1"/>
  <c r="I15" i="3" s="1"/>
  <c r="G16" i="3"/>
  <c r="E13" i="3"/>
  <c r="G13" i="3" s="1"/>
  <c r="I13" i="3" s="1"/>
</calcChain>
</file>

<file path=xl/comments1.xml><?xml version="1.0" encoding="utf-8"?>
<comments xmlns="http://schemas.openxmlformats.org/spreadsheetml/2006/main">
  <authors>
    <author>Gordon, Matt - Tax</author>
  </authors>
  <commentList>
    <comment ref="R29" authorId="0">
      <text>
        <r>
          <rPr>
            <b/>
            <sz val="9"/>
            <color indexed="81"/>
            <rFont val="Tahoma"/>
            <family val="2"/>
          </rPr>
          <t>Gordon, Matt - Tax:</t>
        </r>
        <r>
          <rPr>
            <sz val="9"/>
            <color indexed="81"/>
            <rFont val="Tahoma"/>
            <family val="2"/>
          </rPr>
          <t xml:space="preserve">
Using the Proration Method for Future Addis/Rets.  2019 Tax Year Adds/Rets ONLY</t>
        </r>
      </text>
    </comment>
  </commentList>
</comments>
</file>

<file path=xl/comments2.xml><?xml version="1.0" encoding="utf-8"?>
<comments xmlns="http://schemas.openxmlformats.org/spreadsheetml/2006/main">
  <authors>
    <author>Steinkuhl, Lisa D</author>
  </authors>
  <commentList>
    <comment ref="G14" authorId="0">
      <text>
        <r>
          <rPr>
            <b/>
            <sz val="9"/>
            <color indexed="81"/>
            <rFont val="Tahoma"/>
            <family val="2"/>
          </rPr>
          <t>Steinkuhl, Lisa D:</t>
        </r>
        <r>
          <rPr>
            <sz val="9"/>
            <color indexed="81"/>
            <rFont val="Tahoma"/>
            <family val="2"/>
          </rPr>
          <t xml:space="preserve">
Need 2016 Retirments</t>
        </r>
      </text>
    </comment>
  </commentList>
</comments>
</file>

<file path=xl/sharedStrings.xml><?xml version="1.0" encoding="utf-8"?>
<sst xmlns="http://schemas.openxmlformats.org/spreadsheetml/2006/main" count="570" uniqueCount="230">
  <si>
    <t>Duke Energy Kentucky</t>
  </si>
  <si>
    <t>Table of Contents</t>
  </si>
  <si>
    <t>1.0</t>
  </si>
  <si>
    <t>1.1</t>
  </si>
  <si>
    <t>1.2</t>
  </si>
  <si>
    <t>2.0</t>
  </si>
  <si>
    <t>2.1</t>
  </si>
  <si>
    <t>2.2</t>
  </si>
  <si>
    <t>3.0</t>
  </si>
  <si>
    <t>Description</t>
  </si>
  <si>
    <t>ASRP Rates by Rate Schedule</t>
  </si>
  <si>
    <t>Revenue Requirement</t>
  </si>
  <si>
    <t>Cost of Capital</t>
  </si>
  <si>
    <t>Plant Additions and Depreciation</t>
  </si>
  <si>
    <t>Tax Depreciation</t>
  </si>
  <si>
    <t>Billing Determinants</t>
  </si>
  <si>
    <t>ASRP Rider by Rate Schedule</t>
  </si>
  <si>
    <t>Line No.</t>
  </si>
  <si>
    <t>Rate Schedule</t>
  </si>
  <si>
    <t>Approved PSC</t>
  </si>
  <si>
    <t>Revenue</t>
  </si>
  <si>
    <t>Requirement</t>
  </si>
  <si>
    <t>Billing</t>
  </si>
  <si>
    <t>Determinants</t>
  </si>
  <si>
    <t>Monthly</t>
  </si>
  <si>
    <t>ASRP</t>
  </si>
  <si>
    <t>Rider</t>
  </si>
  <si>
    <t>Total</t>
  </si>
  <si>
    <t>ASRP Investment</t>
  </si>
  <si>
    <t>Reference</t>
  </si>
  <si>
    <t>Return on Investment</t>
  </si>
  <si>
    <t>Rate Base</t>
  </si>
  <si>
    <t>Net ASRP Investment  - Property, Plant and Equipment</t>
  </si>
  <si>
    <t>Cost of Removal</t>
  </si>
  <si>
    <t>Accumulated Reserve for Depreciation</t>
  </si>
  <si>
    <t>Net PP&amp;E</t>
  </si>
  <si>
    <t>Deferred Taxes on Liberalized Depreciation</t>
  </si>
  <si>
    <t>Net Rate Base</t>
  </si>
  <si>
    <t>Authorized Rate of Return, Adjusted for Income Taxes</t>
  </si>
  <si>
    <t>Required Return on ASRP Related Investment</t>
  </si>
  <si>
    <t>Operating Expenses</t>
  </si>
  <si>
    <t>Depreciation</t>
  </si>
  <si>
    <t>Property Tax</t>
  </si>
  <si>
    <t>PSC Assessment</t>
  </si>
  <si>
    <t>Total Operating Expenses</t>
  </si>
  <si>
    <t>Total Annual Revenue Requirement</t>
  </si>
  <si>
    <t>Form 2.0</t>
  </si>
  <si>
    <t>Form 2.1</t>
  </si>
  <si>
    <t>Line 4 + Line 5</t>
  </si>
  <si>
    <t>Form 1.2</t>
  </si>
  <si>
    <t>Line 6 * Line 7</t>
  </si>
  <si>
    <t>Sum Lines 9 thru 11</t>
  </si>
  <si>
    <t>Line 8 + Line 12</t>
  </si>
  <si>
    <t>Notes:</t>
  </si>
  <si>
    <t>Capital Structure</t>
  </si>
  <si>
    <t>Ratio</t>
  </si>
  <si>
    <t>Cost</t>
  </si>
  <si>
    <t xml:space="preserve">Weighted </t>
  </si>
  <si>
    <t>Pre-Tax @ Effect.</t>
  </si>
  <si>
    <t>Short term Debt</t>
  </si>
  <si>
    <t>Long term Debt</t>
  </si>
  <si>
    <t>Equity</t>
  </si>
  <si>
    <t>Acct</t>
  </si>
  <si>
    <t>Number</t>
  </si>
  <si>
    <t>Additions</t>
  </si>
  <si>
    <t>Service Lines</t>
  </si>
  <si>
    <t>Meter Installations</t>
  </si>
  <si>
    <t>Total Additions</t>
  </si>
  <si>
    <t>380</t>
  </si>
  <si>
    <t>382</t>
  </si>
  <si>
    <t>Retirements</t>
  </si>
  <si>
    <t>Total Retirements</t>
  </si>
  <si>
    <t>Total Cost of removal</t>
  </si>
  <si>
    <t>Total ASRP Plant Additions</t>
  </si>
  <si>
    <t>Month</t>
  </si>
  <si>
    <t xml:space="preserve">Number of </t>
  </si>
  <si>
    <t>Months</t>
  </si>
  <si>
    <t>ASRP Rider Billing Determinants by Rate Schedule</t>
  </si>
  <si>
    <t>RS- Residential</t>
  </si>
  <si>
    <t>IT - Interruptible Transportation</t>
  </si>
  <si>
    <t>GS - General Service</t>
  </si>
  <si>
    <t>(A)</t>
  </si>
  <si>
    <t>(B)</t>
  </si>
  <si>
    <t>Thirteen Month Average Additions and Retirements</t>
  </si>
  <si>
    <t>(C)</t>
  </si>
  <si>
    <t>Case No. 2009-202</t>
  </si>
  <si>
    <t>FT - Firm Transportation (Includes DGS)</t>
  </si>
  <si>
    <t>Tax Rate of 38.47%</t>
  </si>
  <si>
    <t>O&amp;M related to relocation of meters</t>
  </si>
  <si>
    <t>Form 2.3</t>
  </si>
  <si>
    <t>ASRP Additions and Retirements</t>
  </si>
  <si>
    <t>2.3</t>
  </si>
  <si>
    <t>Meter Relocation O&amp;M</t>
  </si>
  <si>
    <t xml:space="preserve"> O&amp;M Meter Relocation</t>
  </si>
  <si>
    <t>Tax Base In-service subject to :</t>
  </si>
  <si>
    <t>MACRS on Balance</t>
  </si>
  <si>
    <t>Tax Year 2016</t>
  </si>
  <si>
    <t>Vintage</t>
  </si>
  <si>
    <t xml:space="preserve">Total Tax Depreciation </t>
  </si>
  <si>
    <t>Book Depreciation</t>
  </si>
  <si>
    <t>Tax Depreciation in Excess of Book Depreciation</t>
  </si>
  <si>
    <t>Deferred Taxes @</t>
  </si>
  <si>
    <t>Total Difference</t>
  </si>
  <si>
    <t>Schedule</t>
  </si>
  <si>
    <t xml:space="preserve">MACRS </t>
  </si>
  <si>
    <t>RS- Residential (Number of Customers)</t>
  </si>
  <si>
    <t>GS - General Service (Number of Customers)</t>
  </si>
  <si>
    <t>FT - Firm Transportation (CCF)</t>
  </si>
  <si>
    <t>IT - Interruptible Transportation (CCF)</t>
  </si>
  <si>
    <t>Per CCF</t>
  </si>
  <si>
    <t>Per Customer</t>
  </si>
  <si>
    <t>O&amp;M related to reconnaissance fees</t>
  </si>
  <si>
    <t>Form 2.4</t>
  </si>
  <si>
    <t xml:space="preserve"> O&amp;M - Reconnaissance</t>
  </si>
  <si>
    <t>2.4</t>
  </si>
  <si>
    <t>Reconnaissance O&amp;M</t>
  </si>
  <si>
    <t>Capital structure and cost of debt as approved in Case No. 2009-202</t>
  </si>
  <si>
    <t>Line 4 *</t>
  </si>
  <si>
    <t>Tax Year 2017</t>
  </si>
  <si>
    <t>TOTAL</t>
  </si>
  <si>
    <t>ASRP Capex</t>
  </si>
  <si>
    <t>By Month</t>
  </si>
  <si>
    <t>(D)</t>
  </si>
  <si>
    <t>( F)</t>
  </si>
  <si>
    <t>( G)</t>
  </si>
  <si>
    <t>Cumulative</t>
  </si>
  <si>
    <t>Number of months</t>
  </si>
  <si>
    <t>13 Month Average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</si>
  <si>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</si>
  <si>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</si>
  <si>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</si>
  <si>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</si>
  <si>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</si>
  <si>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</si>
  <si>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</si>
  <si>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</si>
  <si>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</si>
  <si>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</si>
  <si>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</si>
  <si>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</si>
  <si>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EOY</t>
  </si>
  <si>
    <t>Form 2.2</t>
  </si>
  <si>
    <t xml:space="preserve"> </t>
  </si>
  <si>
    <t>Rate</t>
  </si>
  <si>
    <t>Annual</t>
  </si>
  <si>
    <t>13 month</t>
  </si>
  <si>
    <t>Average</t>
  </si>
  <si>
    <t>Total Accumulated Depreciation Reserve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</si>
  <si>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</si>
  <si>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</si>
  <si>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</si>
  <si>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</si>
  <si>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</si>
  <si>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</si>
  <si>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</si>
  <si>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</si>
  <si>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</si>
  <si>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</si>
  <si>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</si>
  <si>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</si>
  <si>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Accumulated Depreciation Reserve</t>
  </si>
  <si>
    <t>(Q)</t>
  </si>
  <si>
    <t>Return on equity as approved in settlement in Case No. 2015-210</t>
  </si>
  <si>
    <t># of Bills / CCF</t>
  </si>
  <si>
    <t>Annual Adjustment to the Accelerated Service Line Replacement Program ("ASRP")</t>
  </si>
  <si>
    <t>(2) PSC Assessment using Fiscal Year 2017 rate of 0.1941%</t>
  </si>
  <si>
    <r>
      <t xml:space="preserve">Gas Plant Investments </t>
    </r>
    <r>
      <rPr>
        <b/>
        <u/>
        <vertAlign val="superscript"/>
        <sz val="11"/>
        <color theme="1"/>
        <rFont val="Calibri"/>
        <family val="2"/>
        <scheme val="minor"/>
      </rPr>
      <t>(1)</t>
    </r>
  </si>
  <si>
    <t>( E)</t>
  </si>
  <si>
    <t>Tax Year 2018</t>
  </si>
  <si>
    <t>( H)</t>
  </si>
  <si>
    <t>Accumlated Deferred Income Tax</t>
  </si>
  <si>
    <t>Bonus Depreciation</t>
  </si>
  <si>
    <t>4.1</t>
  </si>
  <si>
    <t>4.2</t>
  </si>
  <si>
    <t>Customers- Services</t>
  </si>
  <si>
    <t>Collections/(Refunds) for prior years</t>
  </si>
  <si>
    <t>Adjusted Revenue Requirement</t>
  </si>
  <si>
    <t>Total (Over)/Under Collections</t>
  </si>
  <si>
    <t>Bonus Depreciation- 50%</t>
  </si>
  <si>
    <t>4.3</t>
  </si>
  <si>
    <t>4.4</t>
  </si>
  <si>
    <t>Revenue Requirement - True Up</t>
  </si>
  <si>
    <t>Cost of Captial - True Up</t>
  </si>
  <si>
    <t>Plant Additions and Depreciation - True Up</t>
  </si>
  <si>
    <t>Tax Depreciation - True Up</t>
  </si>
  <si>
    <t>ASRP Additions and Retirements - True Up</t>
  </si>
  <si>
    <t>Reconnaissance O&amp;M - True Up</t>
  </si>
  <si>
    <t>Meter Relocation O&amp;M - True Up</t>
  </si>
  <si>
    <t>Sum Lines 9 thru 13</t>
  </si>
  <si>
    <t>Line 8 + Line 14</t>
  </si>
  <si>
    <t>Form 4.5</t>
  </si>
  <si>
    <t>Form 4.3</t>
  </si>
  <si>
    <t>Form 4.4</t>
  </si>
  <si>
    <t>Form 4.2</t>
  </si>
  <si>
    <t>Form 4.6</t>
  </si>
  <si>
    <t>(Sum Line 8 thru 12) * (0.1941% / (1-0.1941%))</t>
  </si>
  <si>
    <t>Form 4.7</t>
  </si>
  <si>
    <t>Forecasted Period Ending December 31, 2019</t>
  </si>
  <si>
    <t>2019 Projected</t>
  </si>
  <si>
    <t>2017 True Up</t>
  </si>
  <si>
    <t>Residential  charge per customer is under the $4 cap for calendar year 2019</t>
  </si>
  <si>
    <t>Forecasted ASRP Revenue Requirement for 2019</t>
  </si>
  <si>
    <t>December 31, 2019</t>
  </si>
  <si>
    <t>(1) See Form 2.2 for detail of 2018 ASRP eligible additions.</t>
  </si>
  <si>
    <t>Test Year 12/31/19 ASRP Investment Summary</t>
  </si>
  <si>
    <t>Balance @ 12/31/2018</t>
  </si>
  <si>
    <t>Test Year 12/31/19 Reconnaissance  O&amp;M</t>
  </si>
  <si>
    <t>ASRP O&amp;M 2019</t>
  </si>
  <si>
    <t>Test Year 12/31/19 ASRP Meter Relocation O&amp;M</t>
  </si>
  <si>
    <t>for the Twelve Month Ending April 30, 2018</t>
  </si>
  <si>
    <t>Tax Rate of 24.925%</t>
  </si>
  <si>
    <t>(1) Property taxes estimated using an effective rate of 1.427%</t>
  </si>
  <si>
    <t>Actual 2017 Additions</t>
  </si>
  <si>
    <t>Actual 2017 Depreciation Expense</t>
  </si>
  <si>
    <t>Test Year 12/31/17 ASRP Investment Summary</t>
  </si>
  <si>
    <t>Balance @ 12/31/2016</t>
  </si>
  <si>
    <t>Test Year 12/31/17 Reconnaissance  O&amp;M</t>
  </si>
  <si>
    <t>ASRP O&amp;M 2017</t>
  </si>
  <si>
    <t>Test Year 12/31/17 ASRP Meter Relocation O&amp;M</t>
  </si>
  <si>
    <t>Projected 2019 Additions</t>
  </si>
  <si>
    <t>Tax Year 2019</t>
  </si>
  <si>
    <t>Projected 2019 Depreciation Expense</t>
  </si>
  <si>
    <t>Excess Deferred Income Taxes (EDIT)</t>
  </si>
  <si>
    <t>ASRP Revenue Requirement for 2017</t>
  </si>
  <si>
    <t>2017 Billed Revenues</t>
  </si>
  <si>
    <t>(2) PSC Assessment using Fiscal Year 2017 rate of 0.2000%</t>
  </si>
  <si>
    <t>December 31, 2017</t>
  </si>
  <si>
    <t>(Sum Line 8 thru 12) * (0.2000% / (1-0.2000%))</t>
  </si>
  <si>
    <t>(1) Property taxes estimated using an effective rate of 1.220%</t>
  </si>
  <si>
    <t>Accumulated Deferred Income Taxes/Excess Deferred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</si>
</sst>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[$-409]mmm\-yy;@"/>
    <numFmt numFmtId="168" formatCode="_(&quot;$&quot;* #,##0.00000_);_(&quot;$&quot;* \(#,##0.00000\);_(&quot;$&quot;* &quot;-&quot;?????_);_(@_)"/>
    <numFmt numFmtId="169" formatCode="_(&quot;$&quot;* #,##0.0_);_(&quot;$&quot;* \(#,##0.0\);_(&quot;$&quot;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rgb="FF0070C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A1CC2"/>
      <name val="Arial"/>
      <family val="2"/>
    </font>
    <font>
      <b/>
      <sz val="11"/>
      <name val="Calibri"/>
      <family val="2"/>
      <scheme val="minor"/>
    </font>
    <font>
      <b/>
      <u/>
      <vertAlign val="superscript"/>
      <sz val="11"/>
      <color theme="1"/>
      <name val="Calibri"/>
      <family val="2"/>
      <scheme val="minor"/>
    </font>
    <font>
      <sz val="11"/>
      <color rgb="FF0A1CC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192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44" fontId="0" fillId="0" borderId="0" xfId="2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2" xfId="1" applyNumberFormat="1" applyFont="1" applyBorder="1"/>
    <xf numFmtId="165" fontId="0" fillId="0" borderId="0" xfId="3" applyNumberFormat="1" applyFont="1"/>
    <xf numFmtId="165" fontId="0" fillId="0" borderId="2" xfId="3" applyNumberFormat="1" applyFont="1" applyBorder="1"/>
    <xf numFmtId="10" fontId="0" fillId="0" borderId="0" xfId="0" applyNumberFormat="1"/>
    <xf numFmtId="0" fontId="0" fillId="0" borderId="0" xfId="0" quotePrefix="1"/>
    <xf numFmtId="0" fontId="2" fillId="0" borderId="0" xfId="0" quotePrefix="1" applyFont="1" applyAlignment="1">
      <alignment horizontal="center"/>
    </xf>
    <xf numFmtId="165" fontId="0" fillId="0" borderId="0" xfId="3" quotePrefix="1" applyNumberFormat="1" applyFont="1"/>
    <xf numFmtId="164" fontId="0" fillId="0" borderId="0" xfId="1" applyNumberFormat="1" applyFont="1" applyBorder="1"/>
    <xf numFmtId="164" fontId="7" fillId="0" borderId="0" xfId="1" applyNumberFormat="1" applyFont="1" applyBorder="1"/>
    <xf numFmtId="0" fontId="0" fillId="0" borderId="0" xfId="0" applyFont="1"/>
    <xf numFmtId="0" fontId="0" fillId="0" borderId="0" xfId="0" applyBorder="1"/>
    <xf numFmtId="164" fontId="0" fillId="0" borderId="0" xfId="0" applyNumberFormat="1" applyBorder="1"/>
    <xf numFmtId="164" fontId="6" fillId="0" borderId="0" xfId="1" applyNumberFormat="1" applyFont="1"/>
    <xf numFmtId="0" fontId="2" fillId="0" borderId="0" xfId="0" applyFont="1" applyAlignment="1">
      <alignment horizontal="left"/>
    </xf>
    <xf numFmtId="167" fontId="0" fillId="0" borderId="0" xfId="0" applyNumberFormat="1"/>
    <xf numFmtId="10" fontId="4" fillId="0" borderId="0" xfId="3" applyNumberFormat="1" applyFont="1" applyBorder="1"/>
    <xf numFmtId="164" fontId="0" fillId="0" borderId="0" xfId="1" quotePrefix="1" applyNumberFormat="1" applyFont="1"/>
    <xf numFmtId="166" fontId="5" fillId="0" borderId="0" xfId="2" applyNumberFormat="1" applyFont="1"/>
    <xf numFmtId="164" fontId="5" fillId="0" borderId="0" xfId="1" applyNumberFormat="1" applyFont="1"/>
    <xf numFmtId="1" fontId="0" fillId="0" borderId="0" xfId="3" quotePrefix="1" applyNumberFormat="1" applyFont="1"/>
    <xf numFmtId="1" fontId="0" fillId="0" borderId="0" xfId="3" applyNumberFormat="1" applyFont="1" applyBorder="1"/>
    <xf numFmtId="164" fontId="5" fillId="0" borderId="0" xfId="1" applyNumberFormat="1" applyFont="1" applyBorder="1"/>
    <xf numFmtId="0" fontId="8" fillId="0" borderId="0" xfId="0" applyFont="1"/>
    <xf numFmtId="3" fontId="0" fillId="0" borderId="0" xfId="3" applyNumberFormat="1" applyFont="1" applyBorder="1"/>
    <xf numFmtId="3" fontId="0" fillId="0" borderId="2" xfId="0" applyNumberFormat="1" applyBorder="1"/>
    <xf numFmtId="3" fontId="0" fillId="0" borderId="0" xfId="0" applyNumberFormat="1"/>
    <xf numFmtId="3" fontId="4" fillId="0" borderId="0" xfId="3" applyNumberFormat="1" applyFont="1"/>
    <xf numFmtId="3" fontId="0" fillId="0" borderId="0" xfId="0" applyNumberFormat="1" applyBorder="1"/>
    <xf numFmtId="3" fontId="0" fillId="0" borderId="4" xfId="0" applyNumberFormat="1" applyBorder="1"/>
    <xf numFmtId="0" fontId="0" fillId="0" borderId="0" xfId="0" applyFill="1"/>
    <xf numFmtId="167" fontId="0" fillId="0" borderId="0" xfId="0" applyNumberFormat="1" applyAlignment="1">
      <alignment wrapText="1"/>
    </xf>
    <xf numFmtId="168" fontId="0" fillId="0" borderId="0" xfId="2" applyNumberFormat="1" applyFont="1" applyAlignment="1">
      <alignment horizontal="center"/>
    </xf>
    <xf numFmtId="165" fontId="0" fillId="0" borderId="0" xfId="0" applyNumberFormat="1"/>
    <xf numFmtId="0" fontId="0" fillId="0" borderId="0" xfId="0" applyFill="1" applyBorder="1"/>
    <xf numFmtId="37" fontId="0" fillId="0" borderId="0" xfId="0" applyNumberFormat="1"/>
    <xf numFmtId="164" fontId="5" fillId="0" borderId="2" xfId="1" applyNumberFormat="1" applyFont="1" applyBorder="1"/>
    <xf numFmtId="165" fontId="0" fillId="0" borderId="0" xfId="3" quotePrefix="1" applyNumberFormat="1" applyFont="1" applyAlignment="1">
      <alignment horizontal="center"/>
    </xf>
    <xf numFmtId="165" fontId="0" fillId="0" borderId="0" xfId="3" applyNumberFormat="1" applyFont="1" applyBorder="1" applyAlignment="1">
      <alignment horizontal="center"/>
    </xf>
    <xf numFmtId="43" fontId="0" fillId="0" borderId="0" xfId="0" applyNumberFormat="1"/>
    <xf numFmtId="167" fontId="0" fillId="0" borderId="0" xfId="0" applyNumberFormat="1" applyAlignment="1">
      <alignment horizontal="left"/>
    </xf>
    <xf numFmtId="1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Font="1" applyAlignment="1">
      <alignment horizontal="left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164" fontId="0" fillId="0" borderId="2" xfId="1" applyNumberFormat="1" applyFont="1" applyFill="1" applyBorder="1"/>
    <xf numFmtId="0" fontId="0" fillId="0" borderId="0" xfId="0" applyBorder="1" applyAlignment="1">
      <alignment horizontal="center"/>
    </xf>
    <xf numFmtId="164" fontId="0" fillId="0" borderId="2" xfId="0" applyNumberFormat="1" applyBorder="1"/>
    <xf numFmtId="164" fontId="5" fillId="0" borderId="2" xfId="1" applyNumberFormat="1" applyFont="1" applyFill="1" applyBorder="1"/>
    <xf numFmtId="0" fontId="5" fillId="0" borderId="0" xfId="0" applyFont="1" applyFill="1"/>
    <xf numFmtId="164" fontId="1" fillId="0" borderId="0" xfId="1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37" fontId="5" fillId="0" borderId="0" xfId="3" applyNumberFormat="1" applyFont="1" applyFill="1" applyBorder="1"/>
    <xf numFmtId="42" fontId="0" fillId="0" borderId="0" xfId="1" applyNumberFormat="1" applyFont="1" applyAlignment="1">
      <alignment horizontal="center"/>
    </xf>
    <xf numFmtId="42" fontId="0" fillId="0" borderId="1" xfId="1" applyNumberFormat="1" applyFont="1" applyBorder="1"/>
    <xf numFmtId="42" fontId="0" fillId="0" borderId="2" xfId="1" applyNumberFormat="1" applyFont="1" applyBorder="1"/>
    <xf numFmtId="42" fontId="0" fillId="0" borderId="0" xfId="1" applyNumberFormat="1" applyFont="1"/>
    <xf numFmtId="42" fontId="0" fillId="0" borderId="3" xfId="0" applyNumberFormat="1" applyBorder="1"/>
    <xf numFmtId="0" fontId="2" fillId="0" borderId="0" xfId="0" applyFont="1" applyAlignment="1">
      <alignment horizontal="center"/>
    </xf>
    <xf numFmtId="42" fontId="0" fillId="0" borderId="0" xfId="0" applyNumberFormat="1" applyBorder="1"/>
    <xf numFmtId="42" fontId="0" fillId="0" borderId="0" xfId="1" applyNumberFormat="1" applyFont="1" applyBorder="1"/>
    <xf numFmtId="42" fontId="0" fillId="0" borderId="2" xfId="0" applyNumberFormat="1" applyBorder="1"/>
    <xf numFmtId="42" fontId="0" fillId="0" borderId="0" xfId="1" applyNumberFormat="1" applyFont="1" applyFill="1"/>
    <xf numFmtId="42" fontId="0" fillId="0" borderId="1" xfId="0" applyNumberFormat="1" applyBorder="1"/>
    <xf numFmtId="42" fontId="0" fillId="0" borderId="4" xfId="0" applyNumberFormat="1" applyBorder="1"/>
    <xf numFmtId="42" fontId="0" fillId="0" borderId="0" xfId="0" applyNumberFormat="1"/>
    <xf numFmtId="42" fontId="4" fillId="0" borderId="0" xfId="1" applyNumberFormat="1" applyFont="1" applyBorder="1"/>
    <xf numFmtId="42" fontId="0" fillId="0" borderId="1" xfId="0" applyNumberFormat="1" applyFill="1" applyBorder="1"/>
    <xf numFmtId="42" fontId="0" fillId="0" borderId="0" xfId="0" applyNumberFormat="1" applyFill="1" applyBorder="1"/>
    <xf numFmtId="42" fontId="0" fillId="0" borderId="0" xfId="0" applyNumberFormat="1" applyFill="1"/>
    <xf numFmtId="0" fontId="0" fillId="0" borderId="0" xfId="0" applyAlignment="1">
      <alignment horizontal="center"/>
    </xf>
    <xf numFmtId="165" fontId="5" fillId="0" borderId="0" xfId="3" applyNumberFormat="1" applyFont="1"/>
    <xf numFmtId="0" fontId="5" fillId="0" borderId="0" xfId="0" applyFont="1"/>
    <xf numFmtId="165" fontId="13" fillId="0" borderId="2" xfId="0" applyNumberFormat="1" applyFont="1" applyBorder="1"/>
    <xf numFmtId="165" fontId="13" fillId="0" borderId="0" xfId="3" applyNumberFormat="1" applyFont="1"/>
    <xf numFmtId="165" fontId="13" fillId="0" borderId="2" xfId="3" applyNumberFormat="1" applyFont="1" applyBorder="1"/>
    <xf numFmtId="165" fontId="13" fillId="0" borderId="0" xfId="3" applyNumberFormat="1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42" fontId="13" fillId="0" borderId="0" xfId="0" applyNumberFormat="1" applyFont="1" applyFill="1" applyBorder="1"/>
    <xf numFmtId="164" fontId="6" fillId="0" borderId="0" xfId="1" applyNumberFormat="1" applyFont="1" applyFill="1"/>
    <xf numFmtId="10" fontId="4" fillId="0" borderId="0" xfId="3" applyNumberFormat="1" applyFont="1" applyFill="1" applyBorder="1"/>
    <xf numFmtId="3" fontId="0" fillId="0" borderId="0" xfId="3" applyNumberFormat="1" applyFont="1" applyFill="1" applyBorder="1"/>
    <xf numFmtId="164" fontId="5" fillId="0" borderId="0" xfId="1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/>
    <xf numFmtId="3" fontId="4" fillId="0" borderId="0" xfId="3" applyNumberFormat="1" applyFont="1" applyFill="1"/>
    <xf numFmtId="3" fontId="0" fillId="0" borderId="4" xfId="0" applyNumberFormat="1" applyFill="1" applyBorder="1"/>
    <xf numFmtId="3" fontId="13" fillId="0" borderId="0" xfId="0" applyNumberFormat="1" applyFont="1" applyFill="1" applyBorder="1"/>
    <xf numFmtId="3" fontId="0" fillId="0" borderId="0" xfId="0" applyNumberFormat="1" applyFill="1" applyBorder="1"/>
    <xf numFmtId="42" fontId="0" fillId="0" borderId="4" xfId="0" applyNumberFormat="1" applyFill="1" applyBorder="1"/>
    <xf numFmtId="42" fontId="5" fillId="0" borderId="4" xfId="1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42" fontId="4" fillId="0" borderId="0" xfId="1" applyNumberFormat="1" applyFont="1" applyFill="1" applyBorder="1"/>
    <xf numFmtId="37" fontId="5" fillId="0" borderId="0" xfId="1" applyNumberFormat="1" applyFont="1" applyFill="1" applyBorder="1"/>
    <xf numFmtId="37" fontId="5" fillId="0" borderId="2" xfId="1" applyNumberFormat="1" applyFont="1" applyFill="1" applyBorder="1"/>
    <xf numFmtId="44" fontId="0" fillId="0" borderId="0" xfId="0" applyNumberForma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13" fillId="0" borderId="0" xfId="1" applyNumberFormat="1" applyFont="1"/>
    <xf numFmtId="165" fontId="13" fillId="0" borderId="2" xfId="1" applyNumberFormat="1" applyFont="1" applyBorder="1"/>
    <xf numFmtId="165" fontId="13" fillId="0" borderId="1" xfId="1" applyNumberFormat="1" applyFont="1" applyBorder="1"/>
    <xf numFmtId="15" fontId="3" fillId="0" borderId="0" xfId="0" quotePrefix="1" applyNumberFormat="1" applyFont="1" applyAlignment="1">
      <alignment horizontal="center"/>
    </xf>
    <xf numFmtId="164" fontId="4" fillId="0" borderId="2" xfId="1" applyNumberFormat="1" applyFont="1" applyBorder="1"/>
    <xf numFmtId="165" fontId="4" fillId="0" borderId="0" xfId="3" applyNumberFormat="1" applyFont="1"/>
    <xf numFmtId="0" fontId="0" fillId="0" borderId="2" xfId="0" applyBorder="1"/>
    <xf numFmtId="37" fontId="0" fillId="0" borderId="2" xfId="0" applyNumberFormat="1" applyBorder="1"/>
    <xf numFmtId="165" fontId="0" fillId="0" borderId="0" xfId="3" applyNumberFormat="1" applyFont="1" applyFill="1"/>
    <xf numFmtId="0" fontId="0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44" fontId="0" fillId="0" borderId="0" xfId="0" applyNumberFormat="1"/>
    <xf numFmtId="167" fontId="0" fillId="0" borderId="0" xfId="0" applyNumberFormat="1" applyAlignment="1">
      <alignment horizontal="right"/>
    </xf>
    <xf numFmtId="164" fontId="4" fillId="0" borderId="0" xfId="1" applyNumberFormat="1" applyFont="1" applyFill="1" applyBorder="1"/>
    <xf numFmtId="37" fontId="4" fillId="0" borderId="0" xfId="3" applyNumberFormat="1" applyFont="1" applyBorder="1"/>
    <xf numFmtId="42" fontId="5" fillId="0" borderId="1" xfId="1" applyNumberFormat="1" applyFont="1" applyBorder="1"/>
    <xf numFmtId="41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41" fontId="4" fillId="0" borderId="0" xfId="1" applyNumberFormat="1" applyFont="1" applyFill="1" applyBorder="1"/>
    <xf numFmtId="42" fontId="1" fillId="0" borderId="0" xfId="1" applyNumberFormat="1" applyFont="1" applyBorder="1"/>
    <xf numFmtId="37" fontId="1" fillId="0" borderId="0" xfId="1" applyNumberFormat="1" applyFont="1" applyBorder="1"/>
    <xf numFmtId="37" fontId="1" fillId="0" borderId="0" xfId="3" applyNumberFormat="1" applyFont="1" applyBorder="1"/>
    <xf numFmtId="37" fontId="1" fillId="0" borderId="2" xfId="1" applyNumberFormat="1" applyFont="1" applyBorder="1"/>
    <xf numFmtId="41" fontId="1" fillId="0" borderId="0" xfId="1" applyNumberFormat="1" applyFont="1" applyBorder="1"/>
    <xf numFmtId="41" fontId="1" fillId="0" borderId="2" xfId="1" applyNumberFormat="1" applyFont="1" applyBorder="1"/>
    <xf numFmtId="15" fontId="3" fillId="0" borderId="0" xfId="0" quotePrefix="1" applyNumberFormat="1" applyFont="1" applyFill="1" applyAlignment="1">
      <alignment horizontal="center"/>
    </xf>
    <xf numFmtId="42" fontId="13" fillId="0" borderId="0" xfId="1" applyNumberFormat="1" applyFont="1" applyFill="1"/>
    <xf numFmtId="0" fontId="0" fillId="0" borderId="0" xfId="0" quotePrefix="1" applyFill="1"/>
    <xf numFmtId="42" fontId="5" fillId="0" borderId="0" xfId="1" applyNumberFormat="1" applyFont="1" applyFill="1"/>
    <xf numFmtId="167" fontId="0" fillId="0" borderId="0" xfId="0" applyNumberFormat="1" applyFill="1" applyAlignment="1">
      <alignment horizontal="right"/>
    </xf>
    <xf numFmtId="167" fontId="0" fillId="0" borderId="0" xfId="0" applyNumberFormat="1" applyFill="1"/>
    <xf numFmtId="0" fontId="2" fillId="0" borderId="0" xfId="0" applyFont="1" applyFill="1" applyAlignment="1">
      <alignment horizontal="left"/>
    </xf>
    <xf numFmtId="37" fontId="4" fillId="0" borderId="0" xfId="3" applyNumberFormat="1" applyFont="1" applyFill="1" applyBorder="1"/>
    <xf numFmtId="41" fontId="4" fillId="0" borderId="2" xfId="1" applyNumberFormat="1" applyFont="1" applyFill="1" applyBorder="1"/>
    <xf numFmtId="17" fontId="3" fillId="0" borderId="0" xfId="0" applyNumberFormat="1" applyFont="1" applyFill="1" applyAlignment="1">
      <alignment horizontal="center"/>
    </xf>
    <xf numFmtId="3" fontId="10" fillId="0" borderId="0" xfId="4" applyNumberFormat="1" applyFont="1" applyFill="1" applyBorder="1"/>
    <xf numFmtId="165" fontId="0" fillId="0" borderId="2" xfId="0" applyNumberFormat="1" applyFill="1" applyBorder="1"/>
    <xf numFmtId="164" fontId="4" fillId="0" borderId="2" xfId="1" applyNumberFormat="1" applyFont="1" applyFill="1" applyBorder="1"/>
    <xf numFmtId="42" fontId="5" fillId="0" borderId="0" xfId="1" applyNumberFormat="1" applyFont="1" applyFill="1" applyBorder="1"/>
    <xf numFmtId="42" fontId="5" fillId="0" borderId="0" xfId="0" applyNumberFormat="1" applyFont="1" applyFill="1"/>
    <xf numFmtId="42" fontId="0" fillId="0" borderId="0" xfId="1" applyNumberFormat="1" applyFont="1" applyFill="1" applyBorder="1"/>
    <xf numFmtId="42" fontId="0" fillId="0" borderId="5" xfId="1" applyNumberFormat="1" applyFont="1" applyFill="1" applyBorder="1"/>
    <xf numFmtId="0" fontId="2" fillId="0" borderId="0" xfId="0" applyFont="1" applyFill="1" applyAlignment="1">
      <alignment horizontal="center"/>
    </xf>
    <xf numFmtId="3" fontId="1" fillId="0" borderId="0" xfId="3" applyNumberFormat="1" applyFont="1" applyFill="1" applyBorder="1"/>
    <xf numFmtId="164" fontId="1" fillId="0" borderId="0" xfId="1" applyNumberFormat="1" applyFon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5" xfId="0" applyNumberFormat="1" applyBorder="1"/>
    <xf numFmtId="169" fontId="0" fillId="0" borderId="0" xfId="0" applyNumberFormat="1"/>
    <xf numFmtId="166" fontId="5" fillId="0" borderId="0" xfId="1" applyNumberFormat="1" applyFont="1" applyBorder="1"/>
    <xf numFmtId="3" fontId="5" fillId="0" borderId="0" xfId="0" applyNumberFormat="1" applyFont="1" applyFill="1" applyBorder="1"/>
    <xf numFmtId="42" fontId="5" fillId="0" borderId="0" xfId="0" applyNumberFormat="1" applyFont="1" applyFill="1" applyBorder="1"/>
    <xf numFmtId="10" fontId="0" fillId="0" borderId="0" xfId="3" quotePrefix="1" applyNumberFormat="1" applyFont="1" applyFill="1"/>
    <xf numFmtId="0" fontId="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/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colors>
    <mruColors>
      <color rgb="FF0000FF"/>
      <color rgb="FF0A1CC2"/>
      <color rgb="FF0070C0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7"/>
  <sheetViews>
    <sheetView view="pageLayout" topLeftCell="A4" zoomScaleNormal="100" workbookViewId="0">
      <selection activeCell="A11" sqref="A11"/>
    </sheetView>
  </sheetViews>
  <sheetFormatPr defaultRowHeight="15" x14ac:dyDescent="0.25"/>
  <cols>
    <col min="4" max="4" width="2.5703125" customWidth="1"/>
    <col min="5" max="5" width="30.28515625" customWidth="1"/>
  </cols>
  <sheetData>
    <row r="5" spans="1:11" x14ac:dyDescent="0.25">
      <c r="A5" s="180" t="str">
        <f>'Sch 1.0'!A2:M2</f>
        <v>Duke Energy Kentucky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1" x14ac:dyDescent="0.25">
      <c r="A6" s="180" t="str">
        <f>'Sch 1.0'!A3:M3</f>
        <v>Annual Adjustment to the Accelerated Service Line Replacement Program ("ASRP")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x14ac:dyDescent="0.25">
      <c r="A7" s="181" t="s">
        <v>197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x14ac:dyDescent="0.25">
      <c r="A8" s="180" t="s">
        <v>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11" spans="1:11" x14ac:dyDescent="0.25">
      <c r="C11" s="9" t="s">
        <v>103</v>
      </c>
      <c r="D11" s="10"/>
      <c r="E11" s="11" t="s">
        <v>9</v>
      </c>
      <c r="F11" s="10"/>
    </row>
    <row r="12" spans="1:11" x14ac:dyDescent="0.25">
      <c r="C12" s="6" t="s">
        <v>2</v>
      </c>
      <c r="E12" s="7" t="s">
        <v>10</v>
      </c>
    </row>
    <row r="13" spans="1:11" x14ac:dyDescent="0.25">
      <c r="C13" s="6" t="s">
        <v>3</v>
      </c>
      <c r="E13" s="7" t="s">
        <v>11</v>
      </c>
    </row>
    <row r="14" spans="1:11" x14ac:dyDescent="0.25">
      <c r="C14" s="6" t="s">
        <v>4</v>
      </c>
      <c r="E14" s="7" t="s">
        <v>12</v>
      </c>
    </row>
    <row r="15" spans="1:11" x14ac:dyDescent="0.25">
      <c r="C15" s="6" t="s">
        <v>5</v>
      </c>
      <c r="E15" s="7" t="s">
        <v>13</v>
      </c>
    </row>
    <row r="16" spans="1:11" x14ac:dyDescent="0.25">
      <c r="C16" s="6" t="s">
        <v>6</v>
      </c>
      <c r="E16" s="7" t="s">
        <v>14</v>
      </c>
    </row>
    <row r="17" spans="3:5" x14ac:dyDescent="0.25">
      <c r="C17" s="6" t="s">
        <v>7</v>
      </c>
      <c r="E17" s="7" t="s">
        <v>90</v>
      </c>
    </row>
    <row r="18" spans="3:5" x14ac:dyDescent="0.25">
      <c r="C18" s="6" t="s">
        <v>91</v>
      </c>
      <c r="E18" s="7" t="s">
        <v>115</v>
      </c>
    </row>
    <row r="19" spans="3:5" x14ac:dyDescent="0.25">
      <c r="C19" s="6" t="s">
        <v>114</v>
      </c>
      <c r="E19" s="7" t="s">
        <v>92</v>
      </c>
    </row>
    <row r="20" spans="3:5" x14ac:dyDescent="0.25">
      <c r="C20" s="6" t="s">
        <v>8</v>
      </c>
      <c r="E20" s="7" t="s">
        <v>15</v>
      </c>
    </row>
    <row r="21" spans="3:5" x14ac:dyDescent="0.25">
      <c r="C21" s="6" t="s">
        <v>172</v>
      </c>
      <c r="E21" s="7" t="s">
        <v>181</v>
      </c>
    </row>
    <row r="22" spans="3:5" x14ac:dyDescent="0.25">
      <c r="C22" s="6" t="s">
        <v>173</v>
      </c>
      <c r="E22" s="7" t="s">
        <v>182</v>
      </c>
    </row>
    <row r="23" spans="3:5" x14ac:dyDescent="0.25">
      <c r="C23" s="6" t="s">
        <v>179</v>
      </c>
      <c r="E23" s="7" t="s">
        <v>183</v>
      </c>
    </row>
    <row r="24" spans="3:5" x14ac:dyDescent="0.25">
      <c r="C24" s="6" t="s">
        <v>180</v>
      </c>
      <c r="E24" s="7" t="s">
        <v>184</v>
      </c>
    </row>
    <row r="25" spans="3:5" x14ac:dyDescent="0.25">
      <c r="C25" s="6">
        <v>4.5</v>
      </c>
      <c r="E25" s="7" t="s">
        <v>185</v>
      </c>
    </row>
    <row r="26" spans="3:5" x14ac:dyDescent="0.25">
      <c r="C26" s="6">
        <v>4.5999999999999996</v>
      </c>
      <c r="E26" s="7" t="s">
        <v>186</v>
      </c>
    </row>
    <row r="27" spans="3:5" x14ac:dyDescent="0.25">
      <c r="C27" s="6">
        <v>4.7</v>
      </c>
      <c r="E27" s="7" t="s">
        <v>187</v>
      </c>
    </row>
  </sheetData>
  <mergeCells count="4">
    <mergeCell ref="A5:K5"/>
    <mergeCell ref="A6:K6"/>
    <mergeCell ref="A7:K7"/>
    <mergeCell ref="A8:K8"/>
  </mergeCells>
  <pageMargins left="0.7" right="0.7" top="0.75" bottom="0.75" header="0.3" footer="0.3"/>
  <pageSetup orientation="landscape" r:id="rId1"/>
  <headerFooter>
    <oddHeader xml:space="preserve">&amp;R&amp;"Times New Roman,Bold"&amp;10EXHIBIT 1
Summary
Page &amp;P of &amp;N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view="pageLayout" topLeftCell="B2" zoomScaleNormal="100" workbookViewId="0">
      <selection activeCell="A4" sqref="A4:O4"/>
    </sheetView>
  </sheetViews>
  <sheetFormatPr defaultRowHeight="15" x14ac:dyDescent="0.25"/>
  <cols>
    <col min="1" max="1" width="8.28515625" bestFit="1" customWidth="1"/>
    <col min="2" max="2" width="34.140625" customWidth="1"/>
    <col min="3" max="15" width="12.7109375" customWidth="1"/>
    <col min="16" max="19" width="15.5703125" customWidth="1"/>
    <col min="20" max="20" width="14" customWidth="1"/>
  </cols>
  <sheetData>
    <row r="1" spans="1:16" x14ac:dyDescent="0.25">
      <c r="A1" s="5"/>
      <c r="E1" s="5"/>
      <c r="F1" s="5"/>
      <c r="G1" s="5"/>
    </row>
    <row r="2" spans="1:16" x14ac:dyDescent="0.25">
      <c r="A2" s="180" t="str">
        <f>'Sch 1.0'!A2</f>
        <v>Duke Energy Kentucky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6" x14ac:dyDescent="0.25">
      <c r="A3" s="180" t="str">
        <f>'Sch 1.0'!A3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6" x14ac:dyDescent="0.25">
      <c r="A4" s="180" t="s">
        <v>77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6" x14ac:dyDescent="0.25">
      <c r="A5" s="183" t="s">
        <v>209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6" x14ac:dyDescent="0.25">
      <c r="A6" s="5"/>
      <c r="E6" s="5"/>
      <c r="F6" s="5"/>
      <c r="G6" s="5"/>
    </row>
    <row r="7" spans="1:16" x14ac:dyDescent="0.25">
      <c r="A7" s="27"/>
      <c r="E7" s="5"/>
      <c r="F7" s="5"/>
      <c r="G7" s="5"/>
    </row>
    <row r="8" spans="1:16" x14ac:dyDescent="0.25">
      <c r="A8" s="5"/>
      <c r="E8" s="5"/>
      <c r="F8" s="5"/>
      <c r="G8" s="5"/>
    </row>
    <row r="9" spans="1:16" x14ac:dyDescent="0.25">
      <c r="A9" s="4"/>
      <c r="B9" s="4"/>
      <c r="C9" s="4"/>
      <c r="D9" s="4"/>
      <c r="E9" s="4"/>
      <c r="F9" s="4"/>
      <c r="G9" s="4"/>
    </row>
    <row r="10" spans="1:16" x14ac:dyDescent="0.25">
      <c r="A10" s="9" t="s">
        <v>17</v>
      </c>
      <c r="B10" s="9" t="s">
        <v>18</v>
      </c>
      <c r="C10" s="158">
        <v>42856</v>
      </c>
      <c r="D10" s="158">
        <v>42887</v>
      </c>
      <c r="E10" s="158">
        <v>42917</v>
      </c>
      <c r="F10" s="158">
        <v>42948</v>
      </c>
      <c r="G10" s="158">
        <v>42979</v>
      </c>
      <c r="H10" s="158">
        <v>43009</v>
      </c>
      <c r="I10" s="158">
        <v>43040</v>
      </c>
      <c r="J10" s="158">
        <v>43070</v>
      </c>
      <c r="K10" s="158">
        <v>43101</v>
      </c>
      <c r="L10" s="158">
        <v>43132</v>
      </c>
      <c r="M10" s="158">
        <v>43160</v>
      </c>
      <c r="N10" s="158">
        <v>43191</v>
      </c>
      <c r="O10" s="9" t="s">
        <v>27</v>
      </c>
    </row>
    <row r="11" spans="1:16" x14ac:dyDescent="0.25">
      <c r="B11" s="19" t="s">
        <v>81</v>
      </c>
      <c r="C11" s="19" t="s">
        <v>82</v>
      </c>
      <c r="D11" s="19" t="s">
        <v>84</v>
      </c>
      <c r="E11" s="19" t="s">
        <v>122</v>
      </c>
      <c r="F11" s="19" t="s">
        <v>148</v>
      </c>
      <c r="G11" s="19" t="s">
        <v>149</v>
      </c>
      <c r="H11" s="19" t="s">
        <v>150</v>
      </c>
      <c r="I11" s="19" t="s">
        <v>151</v>
      </c>
      <c r="J11" s="19" t="s">
        <v>152</v>
      </c>
      <c r="K11" s="19" t="s">
        <v>153</v>
      </c>
      <c r="L11" s="19" t="s">
        <v>154</v>
      </c>
      <c r="M11" s="19" t="s">
        <v>155</v>
      </c>
      <c r="N11" s="19" t="s">
        <v>156</v>
      </c>
      <c r="O11" s="19" t="s">
        <v>157</v>
      </c>
      <c r="P11" s="19"/>
    </row>
    <row r="12" spans="1:16" x14ac:dyDescent="0.25"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6" ht="30" x14ac:dyDescent="0.25">
      <c r="A13" s="68">
        <v>1</v>
      </c>
      <c r="B13" s="44" t="s">
        <v>105</v>
      </c>
      <c r="C13" s="159">
        <v>91459</v>
      </c>
      <c r="D13" s="159">
        <v>91333</v>
      </c>
      <c r="E13" s="159">
        <v>90983</v>
      </c>
      <c r="F13" s="159">
        <v>90848</v>
      </c>
      <c r="G13" s="159">
        <v>90731</v>
      </c>
      <c r="H13" s="159">
        <v>91107</v>
      </c>
      <c r="I13" s="159">
        <v>91660</v>
      </c>
      <c r="J13" s="159">
        <v>92302</v>
      </c>
      <c r="K13" s="159">
        <v>92634</v>
      </c>
      <c r="L13" s="159">
        <v>92706</v>
      </c>
      <c r="M13" s="159">
        <v>92559</v>
      </c>
      <c r="N13" s="159">
        <v>92579</v>
      </c>
      <c r="O13" s="2">
        <f>SUM(C13:N13)</f>
        <v>1100901</v>
      </c>
    </row>
    <row r="14" spans="1:16" ht="30" x14ac:dyDescent="0.25">
      <c r="A14" s="68">
        <f>A13+1</f>
        <v>2</v>
      </c>
      <c r="B14" s="44" t="s">
        <v>106</v>
      </c>
      <c r="C14" s="159">
        <v>6908</v>
      </c>
      <c r="D14" s="159">
        <v>6826</v>
      </c>
      <c r="E14" s="159">
        <v>6750</v>
      </c>
      <c r="F14" s="159">
        <v>6736</v>
      </c>
      <c r="G14" s="159">
        <v>6704</v>
      </c>
      <c r="H14" s="159">
        <v>6756</v>
      </c>
      <c r="I14" s="159">
        <v>6961</v>
      </c>
      <c r="J14" s="159">
        <v>7101</v>
      </c>
      <c r="K14" s="159">
        <v>7148</v>
      </c>
      <c r="L14" s="159">
        <v>7175</v>
      </c>
      <c r="M14" s="159">
        <v>7184</v>
      </c>
      <c r="N14" s="159">
        <v>7115</v>
      </c>
      <c r="O14" s="2">
        <f>SUM(C14:N14)</f>
        <v>83364</v>
      </c>
    </row>
    <row r="15" spans="1:16" x14ac:dyDescent="0.25">
      <c r="A15" s="68">
        <f t="shared" ref="A15:A16" si="0">A14+1</f>
        <v>3</v>
      </c>
      <c r="B15" s="28" t="s">
        <v>107</v>
      </c>
      <c r="C15" s="159">
        <v>1501140</v>
      </c>
      <c r="D15" s="159">
        <v>1445250</v>
      </c>
      <c r="E15" s="159">
        <v>1281230</v>
      </c>
      <c r="F15" s="159">
        <v>1131370</v>
      </c>
      <c r="G15" s="159">
        <v>1324240</v>
      </c>
      <c r="H15" s="159">
        <v>1263070</v>
      </c>
      <c r="I15" s="159">
        <v>1542200</v>
      </c>
      <c r="J15" s="159">
        <v>2096660</v>
      </c>
      <c r="K15" s="159">
        <v>2727180</v>
      </c>
      <c r="L15" s="159">
        <v>3083060</v>
      </c>
      <c r="M15" s="159">
        <v>2456190</v>
      </c>
      <c r="N15" s="159">
        <v>2662440</v>
      </c>
      <c r="O15" s="2">
        <f>SUM(C15:N15)</f>
        <v>22514030</v>
      </c>
    </row>
    <row r="16" spans="1:16" x14ac:dyDescent="0.25">
      <c r="A16" s="68">
        <f t="shared" si="0"/>
        <v>4</v>
      </c>
      <c r="B16" s="28" t="s">
        <v>108</v>
      </c>
      <c r="C16" s="159">
        <v>1152930</v>
      </c>
      <c r="D16" s="159">
        <v>1265600</v>
      </c>
      <c r="E16" s="159">
        <v>1306260</v>
      </c>
      <c r="F16" s="159">
        <v>1246780</v>
      </c>
      <c r="G16" s="159">
        <v>1332640</v>
      </c>
      <c r="H16" s="159">
        <v>1120020</v>
      </c>
      <c r="I16" s="159">
        <v>1426800</v>
      </c>
      <c r="J16" s="159">
        <v>1407960</v>
      </c>
      <c r="K16" s="159">
        <v>1430880</v>
      </c>
      <c r="L16" s="159">
        <v>1518030</v>
      </c>
      <c r="M16" s="159">
        <v>1250740</v>
      </c>
      <c r="N16" s="159">
        <v>1391670</v>
      </c>
      <c r="O16" s="2">
        <f>SUM(C16:N16)</f>
        <v>15850310</v>
      </c>
    </row>
    <row r="17" spans="1:20" x14ac:dyDescent="0.25">
      <c r="C17" s="43"/>
      <c r="D17" s="43"/>
      <c r="E17" s="43"/>
      <c r="F17" s="43"/>
      <c r="G17" s="43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20" x14ac:dyDescent="0.25">
      <c r="A18" s="18"/>
    </row>
    <row r="19" spans="1:20" x14ac:dyDescent="0.25">
      <c r="T19" s="39"/>
    </row>
    <row r="20" spans="1:20" x14ac:dyDescent="0.25">
      <c r="T20" s="39"/>
    </row>
    <row r="21" spans="1:20" x14ac:dyDescent="0.25">
      <c r="T21" s="39"/>
    </row>
    <row r="22" spans="1:20" x14ac:dyDescent="0.25">
      <c r="T22" s="39"/>
    </row>
  </sheetData>
  <mergeCells count="4">
    <mergeCell ref="A2:O2"/>
    <mergeCell ref="A3:O3"/>
    <mergeCell ref="A4:O4"/>
    <mergeCell ref="A5:O5"/>
  </mergeCells>
  <pageMargins left="0.45" right="0.45" top="0.75" bottom="0.75" header="0.3" footer="0.3"/>
  <pageSetup scale="62" orientation="landscape" r:id="rId1"/>
  <headerFooter>
    <oddHeader xml:space="preserve">&amp;R&amp;"Times New Roman,Bold"&amp;10EXHIBIT 1
Schedule 3.0
Page &amp;P of &amp;N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zoomScaleNormal="100" workbookViewId="0">
      <selection activeCell="C17" sqref="C17"/>
    </sheetView>
  </sheetViews>
  <sheetFormatPr defaultRowHeight="15" x14ac:dyDescent="0.25"/>
  <cols>
    <col min="1" max="1" width="8.28515625" bestFit="1" customWidth="1"/>
    <col min="2" max="2" width="4.5703125" customWidth="1"/>
    <col min="3" max="3" width="6.5703125" customWidth="1"/>
    <col min="4" max="4" width="54.5703125" customWidth="1"/>
    <col min="5" max="5" width="7.5703125" customWidth="1"/>
    <col min="6" max="6" width="24.140625" customWidth="1"/>
    <col min="7" max="7" width="10.7109375" customWidth="1"/>
  </cols>
  <sheetData>
    <row r="1" spans="1:11" x14ac:dyDescent="0.25">
      <c r="A1" s="120"/>
      <c r="E1" s="120"/>
      <c r="F1" s="120"/>
      <c r="G1" s="120"/>
      <c r="H1" s="120"/>
    </row>
    <row r="2" spans="1:11" x14ac:dyDescent="0.25">
      <c r="A2" s="180" t="str">
        <f>'Sch 1.0'!A2:M2</f>
        <v>Duke Energy Kentucky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1" x14ac:dyDescent="0.25">
      <c r="A3" s="180" t="str">
        <f>'Sch 1.0'!A3:M3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1" x14ac:dyDescent="0.25">
      <c r="A4" s="180" t="s">
        <v>223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1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x14ac:dyDescent="0.25">
      <c r="A6" s="119"/>
      <c r="B6" s="8"/>
      <c r="C6" s="8"/>
      <c r="F6" s="119" t="s">
        <v>28</v>
      </c>
      <c r="G6" s="119"/>
      <c r="H6" s="120"/>
    </row>
    <row r="7" spans="1:11" x14ac:dyDescent="0.25">
      <c r="A7" s="10" t="s">
        <v>17</v>
      </c>
      <c r="B7" s="10"/>
      <c r="C7" s="10"/>
      <c r="F7" s="126" t="s">
        <v>226</v>
      </c>
      <c r="G7" s="9" t="s">
        <v>29</v>
      </c>
    </row>
    <row r="8" spans="1:11" x14ac:dyDescent="0.25">
      <c r="A8" s="10"/>
      <c r="B8" s="184" t="s">
        <v>81</v>
      </c>
      <c r="C8" s="184"/>
      <c r="D8" s="184"/>
      <c r="F8" s="119" t="s">
        <v>82</v>
      </c>
      <c r="G8" s="119" t="s">
        <v>84</v>
      </c>
    </row>
    <row r="10" spans="1:11" x14ac:dyDescent="0.25">
      <c r="B10" s="8" t="s">
        <v>30</v>
      </c>
    </row>
    <row r="11" spans="1:11" x14ac:dyDescent="0.25">
      <c r="B11" s="10" t="s">
        <v>31</v>
      </c>
    </row>
    <row r="12" spans="1:11" x14ac:dyDescent="0.25">
      <c r="A12" s="120">
        <v>1</v>
      </c>
      <c r="C12" t="s">
        <v>32</v>
      </c>
      <c r="F12" s="31">
        <f>'Sch 4.5'!E29+'Sch 4.5'!G29</f>
        <v>9200219</v>
      </c>
      <c r="G12" t="s">
        <v>190</v>
      </c>
    </row>
    <row r="13" spans="1:11" x14ac:dyDescent="0.25">
      <c r="A13" s="120"/>
      <c r="F13" s="31"/>
    </row>
    <row r="14" spans="1:11" x14ac:dyDescent="0.25">
      <c r="A14" s="120">
        <f>A12+1</f>
        <v>2</v>
      </c>
      <c r="C14" t="s">
        <v>33</v>
      </c>
      <c r="F14" s="32">
        <f>'Sch 4.5'!I29</f>
        <v>74973</v>
      </c>
      <c r="G14" t="s">
        <v>190</v>
      </c>
    </row>
    <row r="15" spans="1:11" x14ac:dyDescent="0.25">
      <c r="A15" s="120">
        <f t="shared" ref="A15:A16" si="0">A14+1</f>
        <v>3</v>
      </c>
      <c r="C15" t="s">
        <v>34</v>
      </c>
      <c r="F15" s="64">
        <f>-'Sch 4.3'!R40</f>
        <v>-113066</v>
      </c>
      <c r="G15" s="65" t="s">
        <v>191</v>
      </c>
    </row>
    <row r="16" spans="1:11" x14ac:dyDescent="0.25">
      <c r="A16" s="120">
        <f t="shared" si="0"/>
        <v>4</v>
      </c>
      <c r="D16" t="s">
        <v>35</v>
      </c>
      <c r="F16" s="1">
        <f>SUM(F12:F15)</f>
        <v>9162126</v>
      </c>
    </row>
    <row r="17" spans="1:10" x14ac:dyDescent="0.25">
      <c r="A17" s="120">
        <f>A16+1</f>
        <v>5</v>
      </c>
      <c r="C17" t="s">
        <v>229</v>
      </c>
      <c r="F17" s="127">
        <f>-'Sch 4.4'!H33-'Sch 4.4'!H35</f>
        <v>-2120443</v>
      </c>
      <c r="G17" t="s">
        <v>192</v>
      </c>
    </row>
    <row r="18" spans="1:10" x14ac:dyDescent="0.25">
      <c r="A18" s="120">
        <f>A17+1</f>
        <v>6</v>
      </c>
      <c r="D18" t="s">
        <v>37</v>
      </c>
      <c r="F18" s="1">
        <f>SUM(F16:F17)</f>
        <v>7041683</v>
      </c>
      <c r="G18" t="s">
        <v>48</v>
      </c>
    </row>
    <row r="19" spans="1:10" x14ac:dyDescent="0.25">
      <c r="A19" s="120">
        <f>A18+1</f>
        <v>7</v>
      </c>
      <c r="C19" t="s">
        <v>38</v>
      </c>
      <c r="F19" s="128">
        <f>'Sch 4.2'!F13</f>
        <v>0.10116900000000001</v>
      </c>
      <c r="G19" t="s">
        <v>193</v>
      </c>
    </row>
    <row r="20" spans="1:10" x14ac:dyDescent="0.25">
      <c r="A20" s="120">
        <f>A19+1</f>
        <v>8</v>
      </c>
      <c r="C20" t="s">
        <v>39</v>
      </c>
      <c r="F20" s="72">
        <f>ROUND(F18*F19,0)</f>
        <v>712400</v>
      </c>
      <c r="G20" t="s">
        <v>50</v>
      </c>
    </row>
    <row r="22" spans="1:10" x14ac:dyDescent="0.25">
      <c r="B22" s="10" t="s">
        <v>40</v>
      </c>
    </row>
    <row r="23" spans="1:10" x14ac:dyDescent="0.25">
      <c r="A23" s="120">
        <f>A20+1</f>
        <v>9</v>
      </c>
      <c r="C23" t="s">
        <v>41</v>
      </c>
      <c r="F23" s="73">
        <f>SUM('Sch 4.3'!F33:Q33)+SUM('Sch 4.3'!F38:Q38)</f>
        <v>240124</v>
      </c>
      <c r="G23" t="s">
        <v>191</v>
      </c>
    </row>
    <row r="24" spans="1:10" x14ac:dyDescent="0.25">
      <c r="A24" s="120">
        <f>A23+1</f>
        <v>10</v>
      </c>
      <c r="C24" t="s">
        <v>42</v>
      </c>
      <c r="F24" s="1">
        <f>ROUND(F16*H24,0)</f>
        <v>111778</v>
      </c>
      <c r="G24" t="s">
        <v>117</v>
      </c>
      <c r="H24" s="131">
        <v>1.2200000000000001E-2</v>
      </c>
    </row>
    <row r="25" spans="1:10" x14ac:dyDescent="0.25">
      <c r="A25" s="120">
        <f t="shared" ref="A25:A28" si="1">A24+1</f>
        <v>11</v>
      </c>
      <c r="C25" t="s">
        <v>111</v>
      </c>
      <c r="F25" s="21">
        <f>+'Sch 4.6'!D26</f>
        <v>304478.57</v>
      </c>
      <c r="G25" t="s">
        <v>194</v>
      </c>
    </row>
    <row r="26" spans="1:10" x14ac:dyDescent="0.25">
      <c r="A26" s="120">
        <f t="shared" si="1"/>
        <v>12</v>
      </c>
      <c r="C26" t="s">
        <v>88</v>
      </c>
      <c r="F26" s="66">
        <f>+'Sch 4.7'!D26</f>
        <v>0</v>
      </c>
      <c r="G26" t="s">
        <v>196</v>
      </c>
    </row>
    <row r="27" spans="1:10" x14ac:dyDescent="0.25">
      <c r="A27" s="120">
        <f t="shared" si="1"/>
        <v>13</v>
      </c>
      <c r="C27" t="s">
        <v>43</v>
      </c>
      <c r="F27" s="61">
        <f>ROUND(SUM(F20:F26)*(0.001941/(1-0.001941)),0)</f>
        <v>2662</v>
      </c>
      <c r="G27" s="43" t="s">
        <v>195</v>
      </c>
      <c r="H27" s="43"/>
      <c r="I27" s="43"/>
      <c r="J27" s="43"/>
    </row>
    <row r="28" spans="1:10" x14ac:dyDescent="0.25">
      <c r="A28" s="120">
        <f t="shared" si="1"/>
        <v>14</v>
      </c>
      <c r="C28" t="s">
        <v>44</v>
      </c>
      <c r="F28" s="2">
        <f>SUM(F23:F27)</f>
        <v>659042.57000000007</v>
      </c>
      <c r="G28" t="s">
        <v>51</v>
      </c>
    </row>
    <row r="30" spans="1:10" ht="15.75" thickBot="1" x14ac:dyDescent="0.3">
      <c r="A30" s="120">
        <f>A28+1</f>
        <v>15</v>
      </c>
      <c r="B30" s="10" t="s">
        <v>45</v>
      </c>
      <c r="F30" s="74">
        <f>F20+F28</f>
        <v>1371442.57</v>
      </c>
      <c r="G30" t="s">
        <v>52</v>
      </c>
    </row>
    <row r="32" spans="1:10" x14ac:dyDescent="0.25">
      <c r="D32" t="s">
        <v>175</v>
      </c>
      <c r="F32" s="129">
        <v>0</v>
      </c>
    </row>
    <row r="33" spans="1:6" x14ac:dyDescent="0.25">
      <c r="D33" t="s">
        <v>176</v>
      </c>
      <c r="F33" s="76">
        <f>F30-F32</f>
        <v>1371442.57</v>
      </c>
    </row>
    <row r="35" spans="1:6" x14ac:dyDescent="0.25">
      <c r="D35" t="s">
        <v>224</v>
      </c>
      <c r="F35" s="130">
        <v>931753</v>
      </c>
    </row>
    <row r="36" spans="1:6" ht="15.75" thickBot="1" x14ac:dyDescent="0.3">
      <c r="D36" t="s">
        <v>177</v>
      </c>
      <c r="F36" s="80">
        <f>F33-F35</f>
        <v>439689.57000000007</v>
      </c>
    </row>
    <row r="37" spans="1:6" ht="15.75" thickTop="1" x14ac:dyDescent="0.25"/>
    <row r="38" spans="1:6" x14ac:dyDescent="0.25">
      <c r="A38" s="120" t="s">
        <v>53</v>
      </c>
    </row>
    <row r="39" spans="1:6" x14ac:dyDescent="0.25">
      <c r="A39" t="s">
        <v>228</v>
      </c>
    </row>
    <row r="40" spans="1:6" x14ac:dyDescent="0.25">
      <c r="A40" s="43" t="s">
        <v>165</v>
      </c>
    </row>
  </sheetData>
  <mergeCells count="5">
    <mergeCell ref="A2:J2"/>
    <mergeCell ref="A3:J3"/>
    <mergeCell ref="A4:J4"/>
    <mergeCell ref="A5:K5"/>
    <mergeCell ref="B8:D8"/>
  </mergeCells>
  <pageMargins left="0.7" right="0.7" top="0.75" bottom="0.75" header="0.3" footer="0.3"/>
  <pageSetup scale="80" orientation="landscape" r:id="rId1"/>
  <headerFooter>
    <oddHeader xml:space="preserve">&amp;R&amp;"Times New Roman,Bold"&amp;10EXHIBIT 1
Schedule 4.1
Page &amp;P of &amp;N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Layout" topLeftCell="A2" zoomScaleNormal="100" workbookViewId="0">
      <selection activeCell="J7" sqref="J7"/>
    </sheetView>
  </sheetViews>
  <sheetFormatPr defaultRowHeight="15" x14ac:dyDescent="0.25"/>
  <cols>
    <col min="1" max="1" width="8.28515625" bestFit="1" customWidth="1"/>
    <col min="2" max="2" width="19.7109375" customWidth="1"/>
    <col min="3" max="3" width="13.5703125" customWidth="1"/>
    <col min="4" max="4" width="17.42578125" customWidth="1"/>
    <col min="5" max="5" width="16.7109375" customWidth="1"/>
    <col min="6" max="6" width="17.7109375" customWidth="1"/>
  </cols>
  <sheetData>
    <row r="1" spans="1:11" x14ac:dyDescent="0.25">
      <c r="A1" s="120"/>
      <c r="E1" s="120"/>
      <c r="F1" s="120"/>
      <c r="G1" s="120"/>
      <c r="H1" s="120"/>
    </row>
    <row r="2" spans="1:11" x14ac:dyDescent="0.25">
      <c r="A2" s="180" t="str">
        <f>'Sch 1.0'!A2:M2</f>
        <v>Duke Energy Kentucky</v>
      </c>
      <c r="B2" s="180"/>
      <c r="C2" s="180"/>
      <c r="D2" s="180"/>
      <c r="E2" s="180"/>
      <c r="F2" s="180"/>
      <c r="G2" s="180"/>
      <c r="H2" s="180"/>
      <c r="I2" s="180"/>
    </row>
    <row r="3" spans="1:11" x14ac:dyDescent="0.25">
      <c r="A3" s="180" t="str">
        <f>'Sch 1.0'!A4:M4</f>
        <v>ASRP Rider by Rate Schedule</v>
      </c>
      <c r="B3" s="180"/>
      <c r="C3" s="180"/>
      <c r="D3" s="180"/>
      <c r="E3" s="180"/>
      <c r="F3" s="180"/>
      <c r="G3" s="180"/>
      <c r="H3" s="180"/>
      <c r="I3" s="180"/>
    </row>
    <row r="4" spans="1:11" x14ac:dyDescent="0.25">
      <c r="A4" s="180" t="s">
        <v>12</v>
      </c>
      <c r="B4" s="180"/>
      <c r="C4" s="180"/>
      <c r="D4" s="180"/>
      <c r="E4" s="180"/>
      <c r="F4" s="180"/>
      <c r="G4" s="180"/>
      <c r="H4" s="180"/>
      <c r="I4" s="180"/>
    </row>
    <row r="5" spans="1:11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x14ac:dyDescent="0.25">
      <c r="A6" s="119"/>
      <c r="B6" s="119"/>
      <c r="C6" s="119"/>
      <c r="D6" s="119"/>
      <c r="E6" s="119" t="s">
        <v>57</v>
      </c>
      <c r="F6" s="119" t="s">
        <v>58</v>
      </c>
    </row>
    <row r="7" spans="1:11" x14ac:dyDescent="0.25">
      <c r="A7" s="9" t="s">
        <v>17</v>
      </c>
      <c r="B7" s="9" t="s">
        <v>54</v>
      </c>
      <c r="C7" s="9" t="s">
        <v>55</v>
      </c>
      <c r="D7" s="9" t="s">
        <v>56</v>
      </c>
      <c r="E7" s="9" t="s">
        <v>56</v>
      </c>
      <c r="F7" s="95" t="s">
        <v>87</v>
      </c>
    </row>
    <row r="8" spans="1:11" x14ac:dyDescent="0.25">
      <c r="A8" s="9"/>
      <c r="B8" s="121" t="s">
        <v>81</v>
      </c>
      <c r="C8" s="119" t="s">
        <v>82</v>
      </c>
      <c r="D8" s="119" t="s">
        <v>84</v>
      </c>
      <c r="E8" s="119" t="s">
        <v>122</v>
      </c>
      <c r="F8" s="119" t="s">
        <v>148</v>
      </c>
    </row>
    <row r="10" spans="1:11" x14ac:dyDescent="0.25">
      <c r="A10">
        <v>1</v>
      </c>
      <c r="B10" t="s">
        <v>59</v>
      </c>
      <c r="C10" s="15">
        <v>5.6090000000000001E-2</v>
      </c>
      <c r="D10" s="15">
        <v>1.009E-2</v>
      </c>
      <c r="E10" s="15">
        <f>ROUND(C10*D10,6)</f>
        <v>5.6599999999999999E-4</v>
      </c>
      <c r="F10" s="46">
        <f>E10</f>
        <v>5.6599999999999999E-4</v>
      </c>
    </row>
    <row r="11" spans="1:11" x14ac:dyDescent="0.25">
      <c r="A11">
        <f>A10+1</f>
        <v>2</v>
      </c>
      <c r="B11" t="s">
        <v>60</v>
      </c>
      <c r="C11" s="15">
        <v>0.43595</v>
      </c>
      <c r="D11" s="15">
        <v>4.7030000000000002E-2</v>
      </c>
      <c r="E11" s="15">
        <f t="shared" ref="E11:E12" si="0">ROUND(C11*D11,6)</f>
        <v>2.0503E-2</v>
      </c>
      <c r="F11" s="46">
        <f>E11</f>
        <v>2.0503E-2</v>
      </c>
    </row>
    <row r="12" spans="1:11" x14ac:dyDescent="0.25">
      <c r="A12">
        <f t="shared" ref="A12:A13" si="1">A11+1</f>
        <v>3</v>
      </c>
      <c r="B12" t="s">
        <v>61</v>
      </c>
      <c r="C12" s="16">
        <v>0.50795999999999997</v>
      </c>
      <c r="D12" s="131">
        <v>9.7000000000000003E-2</v>
      </c>
      <c r="E12" s="16">
        <f t="shared" si="0"/>
        <v>4.9272000000000003E-2</v>
      </c>
      <c r="F12" s="160">
        <f>ROUND(+E12/(1-0.3847),4)</f>
        <v>8.0100000000000005E-2</v>
      </c>
    </row>
    <row r="13" spans="1:11" x14ac:dyDescent="0.25">
      <c r="A13">
        <f t="shared" si="1"/>
        <v>4</v>
      </c>
      <c r="B13" t="s">
        <v>27</v>
      </c>
      <c r="C13" s="15">
        <f>SUM(C10:C12)</f>
        <v>1</v>
      </c>
      <c r="E13" s="46">
        <f>SUM(E10:E12)</f>
        <v>7.0341000000000001E-2</v>
      </c>
      <c r="F13" s="46">
        <f>SUM(F10:F12)</f>
        <v>0.10116900000000001</v>
      </c>
    </row>
    <row r="18" spans="2:2" x14ac:dyDescent="0.25">
      <c r="B18" t="s">
        <v>116</v>
      </c>
    </row>
    <row r="19" spans="2:2" x14ac:dyDescent="0.25">
      <c r="B19" t="s">
        <v>162</v>
      </c>
    </row>
  </sheetData>
  <mergeCells count="4">
    <mergeCell ref="A2:I2"/>
    <mergeCell ref="A3:I3"/>
    <mergeCell ref="A4:I4"/>
    <mergeCell ref="A5:K5"/>
  </mergeCells>
  <pageMargins left="0.7" right="0.7" top="0.75" bottom="0.75" header="0.3" footer="0.3"/>
  <pageSetup scale="88" orientation="landscape" r:id="rId1"/>
  <headerFooter>
    <oddHeader xml:space="preserve">&amp;R&amp;"Times New Roman,Bold"&amp;10EXHIBIT 1
Schedule 4.2
Page &amp;P of &amp;N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Layout" topLeftCell="A6" zoomScaleNormal="100" zoomScaleSheetLayoutView="93" workbookViewId="0">
      <selection activeCell="A3" sqref="A3:R3"/>
    </sheetView>
  </sheetViews>
  <sheetFormatPr defaultRowHeight="15" x14ac:dyDescent="0.25"/>
  <cols>
    <col min="1" max="1" width="8.28515625" bestFit="1" customWidth="1"/>
    <col min="2" max="2" width="19.7109375" customWidth="1"/>
    <col min="3" max="4" width="13.5703125" customWidth="1"/>
    <col min="5" max="5" width="13.140625" bestFit="1" customWidth="1"/>
    <col min="6" max="12" width="11.7109375" customWidth="1"/>
    <col min="13" max="14" width="12.28515625" bestFit="1" customWidth="1"/>
    <col min="15" max="17" width="11.7109375" customWidth="1"/>
    <col min="18" max="18" width="13" bestFit="1" customWidth="1"/>
    <col min="19" max="19" width="10.5703125" bestFit="1" customWidth="1"/>
  </cols>
  <sheetData>
    <row r="1" spans="1:18" x14ac:dyDescent="0.2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x14ac:dyDescent="0.25">
      <c r="A2" s="180" t="str">
        <f>'Sch 1.0'!A3:M3</f>
        <v>Annual Adjustment to the Accelerated Service Line Replacement Program ("ASRP")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x14ac:dyDescent="0.25">
      <c r="A3" s="180" t="s">
        <v>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18" x14ac:dyDescent="0.25">
      <c r="A4" s="120"/>
    </row>
    <row r="5" spans="1:18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R5" s="119"/>
    </row>
    <row r="6" spans="1:18" x14ac:dyDescent="0.25">
      <c r="A6" s="119"/>
      <c r="B6" s="119"/>
      <c r="C6" s="119" t="s">
        <v>62</v>
      </c>
      <c r="D6" s="119"/>
      <c r="E6" s="9" t="s">
        <v>140</v>
      </c>
      <c r="F6" s="190" t="s">
        <v>212</v>
      </c>
      <c r="G6" s="190"/>
      <c r="H6" s="190"/>
      <c r="I6" s="191"/>
      <c r="J6" s="191"/>
      <c r="K6" s="191"/>
      <c r="L6" s="191"/>
      <c r="M6" s="191"/>
      <c r="N6" s="191"/>
      <c r="O6" s="191"/>
      <c r="P6" s="191"/>
      <c r="Q6" s="191"/>
      <c r="R6" s="9" t="s">
        <v>140</v>
      </c>
    </row>
    <row r="7" spans="1:18" x14ac:dyDescent="0.25">
      <c r="A7" s="9" t="s">
        <v>17</v>
      </c>
      <c r="B7" s="9" t="s">
        <v>9</v>
      </c>
      <c r="C7" s="9" t="s">
        <v>63</v>
      </c>
      <c r="D7" s="9"/>
      <c r="E7" s="121">
        <v>2016</v>
      </c>
      <c r="F7" s="9" t="s">
        <v>129</v>
      </c>
      <c r="G7" s="9" t="s">
        <v>130</v>
      </c>
      <c r="H7" s="9" t="s">
        <v>131</v>
      </c>
      <c r="I7" s="9" t="s">
        <v>132</v>
      </c>
      <c r="J7" s="9" t="s">
        <v>133</v>
      </c>
      <c r="K7" s="9" t="s">
        <v>134</v>
      </c>
      <c r="L7" s="9" t="s">
        <v>135</v>
      </c>
      <c r="M7" s="9" t="s">
        <v>136</v>
      </c>
      <c r="N7" s="9" t="s">
        <v>137</v>
      </c>
      <c r="O7" s="9" t="s">
        <v>138</v>
      </c>
      <c r="P7" s="9" t="s">
        <v>139</v>
      </c>
      <c r="Q7" s="9" t="s">
        <v>128</v>
      </c>
      <c r="R7" s="121">
        <v>2017</v>
      </c>
    </row>
    <row r="8" spans="1:18" x14ac:dyDescent="0.25">
      <c r="B8" s="121" t="s">
        <v>81</v>
      </c>
      <c r="C8" s="121" t="s">
        <v>82</v>
      </c>
      <c r="D8" s="121" t="s">
        <v>84</v>
      </c>
      <c r="E8" s="121" t="s">
        <v>122</v>
      </c>
      <c r="F8" s="121" t="s">
        <v>148</v>
      </c>
      <c r="G8" s="121" t="s">
        <v>149</v>
      </c>
      <c r="H8" s="121" t="s">
        <v>150</v>
      </c>
      <c r="I8" s="121" t="s">
        <v>151</v>
      </c>
      <c r="J8" s="121" t="s">
        <v>152</v>
      </c>
      <c r="K8" s="121" t="s">
        <v>153</v>
      </c>
      <c r="L8" s="121" t="s">
        <v>154</v>
      </c>
      <c r="M8" s="121" t="s">
        <v>155</v>
      </c>
      <c r="N8" s="121" t="s">
        <v>156</v>
      </c>
      <c r="O8" s="121" t="s">
        <v>157</v>
      </c>
      <c r="P8" s="121" t="s">
        <v>158</v>
      </c>
      <c r="Q8" s="121" t="s">
        <v>159</v>
      </c>
      <c r="R8" s="121" t="s">
        <v>161</v>
      </c>
    </row>
    <row r="10" spans="1:18" ht="17.25" x14ac:dyDescent="0.25">
      <c r="B10" s="10" t="s">
        <v>166</v>
      </c>
    </row>
    <row r="11" spans="1:18" x14ac:dyDescent="0.25">
      <c r="B11" s="10" t="s">
        <v>64</v>
      </c>
      <c r="R11" s="24"/>
    </row>
    <row r="12" spans="1:18" x14ac:dyDescent="0.25">
      <c r="A12" s="120">
        <v>1</v>
      </c>
      <c r="B12" t="s">
        <v>65</v>
      </c>
      <c r="C12" s="50" t="s">
        <v>68</v>
      </c>
      <c r="D12" s="50"/>
      <c r="E12" s="73">
        <f>'Sch 4.5'!E14</f>
        <v>4339804</v>
      </c>
      <c r="F12" s="73">
        <f>'Sch 4.5'!D15</f>
        <v>376374.34999999969</v>
      </c>
      <c r="G12" s="73">
        <f>'Sch 4.5'!D16</f>
        <v>119000.76000000001</v>
      </c>
      <c r="H12" s="73">
        <f>'Sch 4.5'!D17</f>
        <v>70958.079999999973</v>
      </c>
      <c r="I12" s="73">
        <f>'Sch 4.5'!D18</f>
        <v>113289.14999999994</v>
      </c>
      <c r="J12" s="73">
        <f>'Sch 4.5'!D19</f>
        <v>125249.08999999997</v>
      </c>
      <c r="K12" s="73">
        <f>'Sch 4.5'!D20</f>
        <v>97088.550000000032</v>
      </c>
      <c r="L12" s="73">
        <f>'Sch 4.5'!D21</f>
        <v>7304391.5699999975</v>
      </c>
      <c r="M12" s="73">
        <f>'Sch 4.5'!D22</f>
        <v>575930.38000000047</v>
      </c>
      <c r="N12" s="73">
        <f>'Sch 4.5'!D23</f>
        <v>732785.87999999966</v>
      </c>
      <c r="O12" s="73">
        <f>'Sch 4.5'!D24</f>
        <v>1407953.7499999998</v>
      </c>
      <c r="P12" s="73">
        <f>'Sch 4.5'!D25</f>
        <v>1547882.0099999995</v>
      </c>
      <c r="Q12" s="73">
        <f>'Sch 4.5'!D26</f>
        <v>886396.65999999992</v>
      </c>
      <c r="R12" s="76">
        <f>SUM(E12:Q12)</f>
        <v>17697104.229999997</v>
      </c>
    </row>
    <row r="13" spans="1:18" x14ac:dyDescent="0.25">
      <c r="A13" s="120">
        <f>A12+1</f>
        <v>2</v>
      </c>
      <c r="B13" t="s">
        <v>66</v>
      </c>
      <c r="C13" s="50" t="s">
        <v>69</v>
      </c>
      <c r="D13" s="50"/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63">
        <f>SUM(E13:Q13)</f>
        <v>0</v>
      </c>
    </row>
    <row r="14" spans="1:18" x14ac:dyDescent="0.25">
      <c r="A14" s="120">
        <f>A13+1</f>
        <v>3</v>
      </c>
      <c r="B14" t="s">
        <v>67</v>
      </c>
      <c r="C14" s="51"/>
      <c r="D14" s="51"/>
      <c r="E14" s="73">
        <f>SUM(E12:E13)</f>
        <v>4339804</v>
      </c>
      <c r="F14" s="73">
        <f t="shared" ref="F14:Q14" si="0">SUM(F12:F13)</f>
        <v>376374.34999999969</v>
      </c>
      <c r="G14" s="73">
        <f t="shared" si="0"/>
        <v>119000.76000000001</v>
      </c>
      <c r="H14" s="73">
        <f t="shared" si="0"/>
        <v>70958.079999999973</v>
      </c>
      <c r="I14" s="73">
        <f t="shared" si="0"/>
        <v>113289.14999999994</v>
      </c>
      <c r="J14" s="73">
        <f t="shared" si="0"/>
        <v>125249.08999999997</v>
      </c>
      <c r="K14" s="73">
        <f t="shared" si="0"/>
        <v>97088.550000000032</v>
      </c>
      <c r="L14" s="73">
        <f t="shared" si="0"/>
        <v>7304391.5699999975</v>
      </c>
      <c r="M14" s="73">
        <f t="shared" si="0"/>
        <v>575930.38000000047</v>
      </c>
      <c r="N14" s="73">
        <f t="shared" si="0"/>
        <v>732785.87999999966</v>
      </c>
      <c r="O14" s="73">
        <f t="shared" si="0"/>
        <v>1407953.7499999998</v>
      </c>
      <c r="P14" s="73">
        <f t="shared" si="0"/>
        <v>1547882.0099999995</v>
      </c>
      <c r="Q14" s="73">
        <f t="shared" si="0"/>
        <v>886396.65999999992</v>
      </c>
      <c r="R14" s="77">
        <f>SUM(R12:R13)</f>
        <v>17697104.229999997</v>
      </c>
    </row>
    <row r="15" spans="1:18" x14ac:dyDescent="0.25">
      <c r="A15" s="120"/>
      <c r="C15" s="51"/>
      <c r="D15" s="5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1"/>
    </row>
    <row r="16" spans="1:18" x14ac:dyDescent="0.25">
      <c r="B16" s="10" t="s">
        <v>70</v>
      </c>
      <c r="C16" s="120"/>
      <c r="D16" s="120"/>
      <c r="E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62"/>
    </row>
    <row r="17" spans="1:19" x14ac:dyDescent="0.25">
      <c r="A17" s="120">
        <v>4</v>
      </c>
      <c r="B17" t="s">
        <v>65</v>
      </c>
      <c r="C17" s="50" t="s">
        <v>68</v>
      </c>
      <c r="D17" s="50"/>
      <c r="E17" s="73">
        <f>'Sch 4.5'!G14</f>
        <v>-48206</v>
      </c>
      <c r="F17" s="73">
        <f>'Sch 4.5'!F15</f>
        <v>0</v>
      </c>
      <c r="G17" s="73">
        <f>'Sch 4.5'!F16</f>
        <v>-3992.7900000000004</v>
      </c>
      <c r="H17" s="73">
        <f>'Sch 4.5'!F17</f>
        <v>-3790.150000000001</v>
      </c>
      <c r="I17" s="73">
        <f>'Sch 4.5'!F18</f>
        <v>0</v>
      </c>
      <c r="J17" s="73">
        <f>'Sch 4.5'!F19</f>
        <v>-83110.669999999969</v>
      </c>
      <c r="K17" s="73">
        <f>'Sch 4.5'!F20</f>
        <v>-48932.660000000033</v>
      </c>
      <c r="L17" s="73">
        <f>'Sch 4.5'!F21</f>
        <v>-22079.359999999997</v>
      </c>
      <c r="M17" s="73">
        <f>'Sch 4.5'!F22</f>
        <v>-85325.639999999985</v>
      </c>
      <c r="N17" s="73">
        <f>'Sch 4.5'!F23</f>
        <v>-79222.209999999992</v>
      </c>
      <c r="O17" s="73">
        <f>'Sch 4.5'!F24</f>
        <v>-64685.06</v>
      </c>
      <c r="P17" s="73">
        <f>'Sch 4.5'!F25</f>
        <v>-542342.25999999966</v>
      </c>
      <c r="Q17" s="73">
        <f>'Sch 4.5'!F26</f>
        <v>-23422.940000000002</v>
      </c>
      <c r="R17" s="76">
        <f>SUM(E17:Q17)</f>
        <v>-1005109.7399999995</v>
      </c>
    </row>
    <row r="18" spans="1:19" x14ac:dyDescent="0.25">
      <c r="A18" s="120">
        <f>A17+1</f>
        <v>5</v>
      </c>
      <c r="B18" t="s">
        <v>66</v>
      </c>
      <c r="C18" s="50" t="s">
        <v>69</v>
      </c>
      <c r="D18" s="50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63">
        <f>SUM(E18:Q18)</f>
        <v>0</v>
      </c>
    </row>
    <row r="19" spans="1:19" x14ac:dyDescent="0.25">
      <c r="A19" s="120">
        <f>A18+1</f>
        <v>6</v>
      </c>
      <c r="B19" t="s">
        <v>71</v>
      </c>
      <c r="C19" s="120"/>
      <c r="D19" s="120"/>
      <c r="E19" s="73">
        <f>SUM(E17:E18)</f>
        <v>-48206</v>
      </c>
      <c r="F19" s="73">
        <f t="shared" ref="F19:Q19" si="1">SUM(F17:F18)</f>
        <v>0</v>
      </c>
      <c r="G19" s="73">
        <f t="shared" si="1"/>
        <v>-3992.7900000000004</v>
      </c>
      <c r="H19" s="73">
        <f t="shared" si="1"/>
        <v>-3790.150000000001</v>
      </c>
      <c r="I19" s="73">
        <f t="shared" si="1"/>
        <v>0</v>
      </c>
      <c r="J19" s="73">
        <f t="shared" si="1"/>
        <v>-83110.669999999969</v>
      </c>
      <c r="K19" s="73">
        <f t="shared" si="1"/>
        <v>-48932.660000000033</v>
      </c>
      <c r="L19" s="73">
        <f t="shared" si="1"/>
        <v>-22079.359999999997</v>
      </c>
      <c r="M19" s="73">
        <f t="shared" si="1"/>
        <v>-85325.639999999985</v>
      </c>
      <c r="N19" s="73">
        <f t="shared" si="1"/>
        <v>-79222.209999999992</v>
      </c>
      <c r="O19" s="73">
        <f t="shared" si="1"/>
        <v>-64685.06</v>
      </c>
      <c r="P19" s="73">
        <f t="shared" si="1"/>
        <v>-542342.25999999966</v>
      </c>
      <c r="Q19" s="73">
        <f t="shared" si="1"/>
        <v>-23422.940000000002</v>
      </c>
      <c r="R19" s="77">
        <f>SUM(R17:R18)</f>
        <v>-1005109.7399999995</v>
      </c>
    </row>
    <row r="20" spans="1:19" x14ac:dyDescent="0.25">
      <c r="C20" s="120"/>
      <c r="D20" s="120"/>
      <c r="E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</row>
    <row r="21" spans="1:19" x14ac:dyDescent="0.25">
      <c r="B21" s="10" t="s">
        <v>33</v>
      </c>
      <c r="C21" s="120"/>
      <c r="D21" s="120"/>
      <c r="E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62"/>
      <c r="S21" s="24"/>
    </row>
    <row r="22" spans="1:19" x14ac:dyDescent="0.25">
      <c r="A22" s="120">
        <v>7</v>
      </c>
      <c r="B22" t="s">
        <v>65</v>
      </c>
      <c r="C22" s="50" t="s">
        <v>68</v>
      </c>
      <c r="D22" s="50"/>
      <c r="E22" s="72">
        <f>'Sch 4.5'!I14</f>
        <v>8798</v>
      </c>
      <c r="F22" s="72">
        <f>'Sch 4.5'!H15</f>
        <v>685.86</v>
      </c>
      <c r="G22" s="72">
        <f>'Sch 4.5'!H16</f>
        <v>2354.5499999999997</v>
      </c>
      <c r="H22" s="72">
        <f>'Sch 4.5'!H17</f>
        <v>1604.3400000000001</v>
      </c>
      <c r="I22" s="72">
        <f>'Sch 4.5'!H18</f>
        <v>0</v>
      </c>
      <c r="J22" s="72">
        <f>'Sch 4.5'!H19</f>
        <v>0</v>
      </c>
      <c r="K22" s="72">
        <f>'Sch 4.5'!H20</f>
        <v>0</v>
      </c>
      <c r="L22" s="72">
        <f>'Sch 4.5'!H21</f>
        <v>0</v>
      </c>
      <c r="M22" s="72">
        <f>'Sch 4.5'!H22</f>
        <v>43848.820000000007</v>
      </c>
      <c r="N22" s="72">
        <f>'Sch 4.5'!H23</f>
        <v>36521.709999999992</v>
      </c>
      <c r="O22" s="72">
        <f>'Sch 4.5'!H24</f>
        <v>74217.289999999979</v>
      </c>
      <c r="P22" s="72">
        <f>'Sch 4.5'!H25</f>
        <v>86163.030000000013</v>
      </c>
      <c r="Q22" s="72">
        <f>'Sch 4.5'!H26</f>
        <v>49794.590000000018</v>
      </c>
      <c r="R22" s="78">
        <f>SUM(E22:Q22)</f>
        <v>303988.19</v>
      </c>
      <c r="S22" s="24"/>
    </row>
    <row r="23" spans="1:19" x14ac:dyDescent="0.25">
      <c r="A23" s="120">
        <f>A22+1</f>
        <v>8</v>
      </c>
      <c r="B23" s="23" t="s">
        <v>72</v>
      </c>
      <c r="E23" s="73">
        <f>SUM(E21:E22)</f>
        <v>8798</v>
      </c>
      <c r="F23" s="73">
        <f t="shared" ref="F23:Q23" si="2">SUM(F21:F22)</f>
        <v>685.86</v>
      </c>
      <c r="G23" s="73">
        <f t="shared" si="2"/>
        <v>2354.5499999999997</v>
      </c>
      <c r="H23" s="73">
        <f t="shared" si="2"/>
        <v>1604.3400000000001</v>
      </c>
      <c r="I23" s="73">
        <f>SUM(I21:I22)</f>
        <v>0</v>
      </c>
      <c r="J23" s="73">
        <f t="shared" si="2"/>
        <v>0</v>
      </c>
      <c r="K23" s="73">
        <f t="shared" si="2"/>
        <v>0</v>
      </c>
      <c r="L23" s="73">
        <f t="shared" si="2"/>
        <v>0</v>
      </c>
      <c r="M23" s="73">
        <f t="shared" si="2"/>
        <v>43848.820000000007</v>
      </c>
      <c r="N23" s="73">
        <f t="shared" si="2"/>
        <v>36521.709999999992</v>
      </c>
      <c r="O23" s="73">
        <f t="shared" si="2"/>
        <v>74217.289999999979</v>
      </c>
      <c r="P23" s="73">
        <f t="shared" si="2"/>
        <v>86163.030000000013</v>
      </c>
      <c r="Q23" s="73">
        <f t="shared" si="2"/>
        <v>49794.590000000018</v>
      </c>
      <c r="R23" s="76">
        <f>SUM(E23:Q23)</f>
        <v>303988.19</v>
      </c>
      <c r="S23" s="24"/>
    </row>
    <row r="24" spans="1:19" x14ac:dyDescent="0.25">
      <c r="R24" s="24"/>
      <c r="S24" s="24"/>
    </row>
    <row r="25" spans="1:19" x14ac:dyDescent="0.25">
      <c r="B25" s="10"/>
      <c r="C25" s="54"/>
      <c r="D25" s="54"/>
      <c r="E25" s="13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1"/>
      <c r="S25" s="24"/>
    </row>
    <row r="26" spans="1:19" x14ac:dyDescent="0.25">
      <c r="A26" s="120"/>
      <c r="B26" s="53"/>
      <c r="C26" s="54"/>
      <c r="D26" s="54" t="s">
        <v>144</v>
      </c>
      <c r="E26" s="133"/>
      <c r="H26" s="56"/>
      <c r="I26" s="121"/>
      <c r="J26" s="121"/>
      <c r="K26" s="121"/>
      <c r="L26" s="121"/>
      <c r="M26" s="121"/>
      <c r="N26" s="121"/>
      <c r="O26" s="121"/>
      <c r="P26" s="121"/>
      <c r="Q26" s="121"/>
      <c r="R26" s="1"/>
    </row>
    <row r="27" spans="1:19" x14ac:dyDescent="0.25">
      <c r="A27" s="120"/>
      <c r="B27" s="53"/>
      <c r="D27" s="119" t="s">
        <v>41</v>
      </c>
      <c r="E27" s="119" t="s">
        <v>142</v>
      </c>
      <c r="R27" s="119" t="s">
        <v>145</v>
      </c>
    </row>
    <row r="28" spans="1:19" x14ac:dyDescent="0.25">
      <c r="A28" s="120"/>
      <c r="D28" s="119" t="s">
        <v>143</v>
      </c>
      <c r="E28" s="9" t="s">
        <v>140</v>
      </c>
      <c r="F28" s="189" t="s">
        <v>213</v>
      </c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22" t="s">
        <v>146</v>
      </c>
    </row>
    <row r="29" spans="1:19" x14ac:dyDescent="0.25">
      <c r="A29" s="120"/>
      <c r="B29" s="10" t="s">
        <v>160</v>
      </c>
      <c r="D29" s="119"/>
      <c r="E29" s="121">
        <v>2016</v>
      </c>
      <c r="F29" s="9" t="s">
        <v>129</v>
      </c>
      <c r="G29" s="9" t="s">
        <v>130</v>
      </c>
      <c r="H29" s="9" t="s">
        <v>131</v>
      </c>
      <c r="I29" s="9" t="s">
        <v>132</v>
      </c>
      <c r="J29" s="9" t="s">
        <v>133</v>
      </c>
      <c r="K29" s="9" t="s">
        <v>134</v>
      </c>
      <c r="L29" s="9" t="s">
        <v>135</v>
      </c>
      <c r="M29" s="9" t="s">
        <v>136</v>
      </c>
      <c r="N29" s="9" t="s">
        <v>137</v>
      </c>
      <c r="O29" s="9" t="s">
        <v>138</v>
      </c>
      <c r="P29" s="9" t="s">
        <v>139</v>
      </c>
      <c r="Q29" s="9" t="s">
        <v>128</v>
      </c>
    </row>
    <row r="30" spans="1:19" x14ac:dyDescent="0.25">
      <c r="A30" s="120"/>
      <c r="B30" s="10" t="s">
        <v>64</v>
      </c>
      <c r="D30" s="11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9" x14ac:dyDescent="0.25">
      <c r="A31" s="120">
        <f>A23+1</f>
        <v>9</v>
      </c>
      <c r="B31" t="s">
        <v>65</v>
      </c>
      <c r="C31" s="50" t="s">
        <v>68</v>
      </c>
      <c r="D31" s="54">
        <v>2.8000000000000001E-2</v>
      </c>
      <c r="E31" s="79">
        <v>24160</v>
      </c>
      <c r="F31" s="79">
        <f>ROUND(SUM($E$12:E12)*0.028/12,0)</f>
        <v>10126</v>
      </c>
      <c r="G31" s="79">
        <f>ROUND(SUM($E$12:F12)*0.028/12,0)</f>
        <v>11004</v>
      </c>
      <c r="H31" s="79">
        <f>ROUND(SUM($E$12:G12)*0.028/12,0)</f>
        <v>11282</v>
      </c>
      <c r="I31" s="79">
        <f>ROUND(SUM($E$12:H12)*0.028/12,0)</f>
        <v>11448</v>
      </c>
      <c r="J31" s="79">
        <f>ROUND(SUM($E$12:I12)*0.028/12,0)</f>
        <v>11712</v>
      </c>
      <c r="K31" s="79">
        <f>ROUND(SUM($E$12:J12)*0.028/12,0)</f>
        <v>12004</v>
      </c>
      <c r="L31" s="79">
        <f>ROUND(SUM($E$12:K12)*0.028/12,0)</f>
        <v>12231</v>
      </c>
      <c r="M31" s="79">
        <f>ROUND(SUM($E$12:L12)*0.028/12,0)</f>
        <v>29274</v>
      </c>
      <c r="N31" s="79">
        <f>ROUND(SUM($E$12:M12)*0.028/12,0)</f>
        <v>30618</v>
      </c>
      <c r="O31" s="79">
        <f>ROUND(SUM($E$12:N12)*0.028/12,0)</f>
        <v>32328</v>
      </c>
      <c r="P31" s="79">
        <f>ROUND(SUM($E$12:O12)*0.028/12,0)</f>
        <v>35613</v>
      </c>
      <c r="Q31" s="79">
        <f>ROUND(SUM($E$12:P12)*0.028/12,0)</f>
        <v>39225</v>
      </c>
      <c r="R31" s="21"/>
    </row>
    <row r="32" spans="1:19" x14ac:dyDescent="0.25">
      <c r="A32" s="120">
        <f>A31+1</f>
        <v>10</v>
      </c>
      <c r="B32" t="s">
        <v>66</v>
      </c>
      <c r="C32" s="50" t="s">
        <v>69</v>
      </c>
      <c r="D32" s="50"/>
      <c r="E32" s="14"/>
      <c r="F32" s="14">
        <f>ROUND(SUM($E$13:E13)*0.028/12,0)</f>
        <v>0</v>
      </c>
      <c r="G32" s="14">
        <f>ROUND(SUM($E$13:F13)*0.028/12,0)</f>
        <v>0</v>
      </c>
      <c r="H32" s="14">
        <f>ROUND(SUM($F$13:G13)*0.028/12,0)</f>
        <v>0</v>
      </c>
      <c r="I32" s="14">
        <f>ROUND(SUM($F$13:H13)*0.028/12,0)</f>
        <v>0</v>
      </c>
      <c r="J32" s="14">
        <f>ROUND(SUM($F$13:I13)*0.028/12,0)</f>
        <v>0</v>
      </c>
      <c r="K32" s="14">
        <f>ROUND(SUM($F$13:J13)*0.028/12,0)</f>
        <v>0</v>
      </c>
      <c r="L32" s="14">
        <f>ROUND(SUM($F$13:K13)*0.028/12,0)</f>
        <v>0</v>
      </c>
      <c r="M32" s="14">
        <f>ROUND(SUM($F$13:L13)*0.028/12,0)</f>
        <v>0</v>
      </c>
      <c r="N32" s="14">
        <f>ROUND(SUM($F$13:M13)*0.028/12,0)</f>
        <v>0</v>
      </c>
      <c r="O32" s="14">
        <f>ROUND(SUM($F$13:N13)*0.028/12,0)</f>
        <v>0</v>
      </c>
      <c r="P32" s="14">
        <f>ROUND(SUM($F$13:O13)*0.028/12,0)</f>
        <v>0</v>
      </c>
      <c r="Q32" s="14">
        <f>ROUND(SUM($F$13:P13)*0.028/12,0)</f>
        <v>0</v>
      </c>
      <c r="R32" s="21"/>
    </row>
    <row r="33" spans="1:18" x14ac:dyDescent="0.25">
      <c r="A33" s="120">
        <f>A32+1</f>
        <v>11</v>
      </c>
      <c r="B33" t="s">
        <v>67</v>
      </c>
      <c r="C33" s="51"/>
      <c r="D33" s="51"/>
      <c r="E33" s="79">
        <f t="shared" ref="E33:F33" si="3">SUM(E31:E32)</f>
        <v>24160</v>
      </c>
      <c r="F33" s="79">
        <f t="shared" si="3"/>
        <v>10126</v>
      </c>
      <c r="G33" s="73">
        <f t="shared" ref="G33:Q33" si="4">SUM(G31:G32)</f>
        <v>11004</v>
      </c>
      <c r="H33" s="73">
        <f t="shared" si="4"/>
        <v>11282</v>
      </c>
      <c r="I33" s="73">
        <f t="shared" si="4"/>
        <v>11448</v>
      </c>
      <c r="J33" s="73">
        <f t="shared" si="4"/>
        <v>11712</v>
      </c>
      <c r="K33" s="73">
        <f t="shared" si="4"/>
        <v>12004</v>
      </c>
      <c r="L33" s="73">
        <f t="shared" si="4"/>
        <v>12231</v>
      </c>
      <c r="M33" s="73">
        <f t="shared" si="4"/>
        <v>29274</v>
      </c>
      <c r="N33" s="73">
        <f t="shared" si="4"/>
        <v>30618</v>
      </c>
      <c r="O33" s="73">
        <f t="shared" si="4"/>
        <v>32328</v>
      </c>
      <c r="P33" s="73">
        <f t="shared" si="4"/>
        <v>35613</v>
      </c>
      <c r="Q33" s="73">
        <f t="shared" si="4"/>
        <v>39225</v>
      </c>
      <c r="R33" s="21"/>
    </row>
    <row r="34" spans="1:18" x14ac:dyDescent="0.25">
      <c r="A34" s="120"/>
      <c r="C34" s="51"/>
      <c r="D34" s="51"/>
      <c r="F34" s="1"/>
      <c r="R34" s="24"/>
    </row>
    <row r="35" spans="1:18" x14ac:dyDescent="0.25">
      <c r="A35" s="120"/>
      <c r="B35" s="10" t="s">
        <v>70</v>
      </c>
      <c r="C35" s="51"/>
      <c r="D35" s="51"/>
      <c r="F35" s="1"/>
      <c r="R35" s="24"/>
    </row>
    <row r="36" spans="1:18" x14ac:dyDescent="0.25">
      <c r="A36" s="120">
        <v>12</v>
      </c>
      <c r="B36" t="s">
        <v>65</v>
      </c>
      <c r="C36" s="50" t="s">
        <v>68</v>
      </c>
      <c r="D36" s="54">
        <v>2.8000000000000001E-2</v>
      </c>
      <c r="E36" s="79">
        <v>-532</v>
      </c>
      <c r="F36" s="79">
        <f>ROUND(SUM($E$17:E17)*0.028/12,0)</f>
        <v>-112</v>
      </c>
      <c r="G36" s="73">
        <f>ROUND(SUM($E$17:F17)*0.028/12,0)</f>
        <v>-112</v>
      </c>
      <c r="H36" s="73">
        <f>ROUND(SUM($E$17:G17)*0.028/12,0)</f>
        <v>-122</v>
      </c>
      <c r="I36" s="73">
        <f>ROUND(SUM($E$17:H17)*0.028/12,0)</f>
        <v>-131</v>
      </c>
      <c r="J36" s="73">
        <f>ROUND(SUM($E$17:I17)*0.028/12,0)</f>
        <v>-131</v>
      </c>
      <c r="K36" s="73">
        <f>ROUND(SUM($E$17:J17)*0.028/12,0)</f>
        <v>-325</v>
      </c>
      <c r="L36" s="73">
        <f>ROUND(SUM($E$17:K17)*0.028/12,0)</f>
        <v>-439</v>
      </c>
      <c r="M36" s="73">
        <f>ROUND(SUM($E$17:L17)*0.028/12,0)</f>
        <v>-490</v>
      </c>
      <c r="N36" s="73">
        <f>ROUND(SUM($E$17:M17)*0.028/12,0)</f>
        <v>-689</v>
      </c>
      <c r="O36" s="73">
        <f>ROUND(SUM($E$17:N17)*0.028/12,0)</f>
        <v>-874</v>
      </c>
      <c r="P36" s="73">
        <f>ROUND(SUM($E$17:O17)*0.028/12,0)</f>
        <v>-1025</v>
      </c>
      <c r="Q36" s="73">
        <f>ROUND(SUM($E$17:P17)*0.028/12,0)</f>
        <v>-2291</v>
      </c>
      <c r="R36" s="21"/>
    </row>
    <row r="37" spans="1:18" x14ac:dyDescent="0.25">
      <c r="A37" s="120">
        <f>A36+1</f>
        <v>13</v>
      </c>
      <c r="B37" t="s">
        <v>66</v>
      </c>
      <c r="C37" s="50" t="s">
        <v>69</v>
      </c>
      <c r="D37" s="50"/>
      <c r="E37" s="61"/>
      <c r="F37" s="61">
        <f>E18*0.028</f>
        <v>0</v>
      </c>
      <c r="G37" s="14">
        <f>ROUND(SUM($E$18:F18)*0.028/12,0)</f>
        <v>0</v>
      </c>
      <c r="H37" s="14">
        <f>ROUND(SUM($F$18:G18)*0.028/12,0)</f>
        <v>0</v>
      </c>
      <c r="I37" s="14">
        <f>ROUND(SUM($F$18:H18)*0.028/12,0)</f>
        <v>0</v>
      </c>
      <c r="J37" s="14">
        <f>ROUND(SUM($F$18:I18)*0.028/12,0)</f>
        <v>0</v>
      </c>
      <c r="K37" s="14">
        <f>ROUND(SUM($F$18:J18)*0.028/12,0)</f>
        <v>0</v>
      </c>
      <c r="L37" s="14">
        <f>ROUND(SUM($F$18:K18)*0.028/12,0)</f>
        <v>0</v>
      </c>
      <c r="M37" s="14">
        <f>ROUND(SUM($F$18:L18)*0.028/12,0)</f>
        <v>0</v>
      </c>
      <c r="N37" s="14">
        <f>ROUND(SUM($F$18:M18)*0.028/12,0)</f>
        <v>0</v>
      </c>
      <c r="O37" s="14">
        <f>ROUND(SUM($F$18:N18)*0.028/12,0)</f>
        <v>0</v>
      </c>
      <c r="P37" s="14">
        <f>ROUND(SUM($F$18:O18)*0.028/12,0)</f>
        <v>0</v>
      </c>
      <c r="Q37" s="14">
        <f>ROUND(SUM($F$18:P18)*0.028/12,0)</f>
        <v>0</v>
      </c>
      <c r="R37" s="21"/>
    </row>
    <row r="38" spans="1:18" x14ac:dyDescent="0.25">
      <c r="A38" s="120">
        <f>A37+1</f>
        <v>14</v>
      </c>
      <c r="B38" t="s">
        <v>71</v>
      </c>
      <c r="C38" s="120"/>
      <c r="D38" s="120"/>
      <c r="E38" s="79">
        <f t="shared" ref="E38:F38" si="5">SUM(E36:E37)</f>
        <v>-532</v>
      </c>
      <c r="F38" s="79">
        <f t="shared" si="5"/>
        <v>-112</v>
      </c>
      <c r="G38" s="73">
        <f t="shared" ref="G38:Q38" si="6">SUM(G36:G37)</f>
        <v>-112</v>
      </c>
      <c r="H38" s="73">
        <f t="shared" si="6"/>
        <v>-122</v>
      </c>
      <c r="I38" s="73">
        <f t="shared" si="6"/>
        <v>-131</v>
      </c>
      <c r="J38" s="73">
        <f t="shared" si="6"/>
        <v>-131</v>
      </c>
      <c r="K38" s="73">
        <f t="shared" si="6"/>
        <v>-325</v>
      </c>
      <c r="L38" s="73">
        <f t="shared" si="6"/>
        <v>-439</v>
      </c>
      <c r="M38" s="73">
        <f t="shared" si="6"/>
        <v>-490</v>
      </c>
      <c r="N38" s="73">
        <f t="shared" si="6"/>
        <v>-689</v>
      </c>
      <c r="O38" s="73">
        <f t="shared" si="6"/>
        <v>-874</v>
      </c>
      <c r="P38" s="73">
        <f t="shared" si="6"/>
        <v>-1025</v>
      </c>
      <c r="Q38" s="73">
        <f t="shared" si="6"/>
        <v>-2291</v>
      </c>
      <c r="R38" s="21"/>
    </row>
    <row r="39" spans="1:18" x14ac:dyDescent="0.25">
      <c r="A39" s="120" t="s">
        <v>142</v>
      </c>
      <c r="C39" s="120"/>
      <c r="D39" s="120"/>
      <c r="E39" s="60"/>
      <c r="F39" s="6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thickBot="1" x14ac:dyDescent="0.3">
      <c r="A40" s="120">
        <v>15</v>
      </c>
      <c r="B40" s="10" t="s">
        <v>147</v>
      </c>
      <c r="C40" s="120"/>
      <c r="D40" s="120"/>
      <c r="E40" s="80">
        <f>E33+E38</f>
        <v>23628</v>
      </c>
      <c r="F40" s="71">
        <f t="shared" ref="F40:L40" si="7">E40+F33+F38</f>
        <v>33642</v>
      </c>
      <c r="G40" s="71">
        <f t="shared" si="7"/>
        <v>44534</v>
      </c>
      <c r="H40" s="71">
        <f>G40+H33+H38</f>
        <v>55694</v>
      </c>
      <c r="I40" s="71">
        <f t="shared" si="7"/>
        <v>67011</v>
      </c>
      <c r="J40" s="71">
        <f t="shared" si="7"/>
        <v>78592</v>
      </c>
      <c r="K40" s="71">
        <f t="shared" si="7"/>
        <v>90271</v>
      </c>
      <c r="L40" s="71">
        <f t="shared" si="7"/>
        <v>102063</v>
      </c>
      <c r="M40" s="71">
        <f>L40+M33+M38</f>
        <v>130847</v>
      </c>
      <c r="N40" s="71">
        <f>M40+N33+N38</f>
        <v>160776</v>
      </c>
      <c r="O40" s="71">
        <f>N40+O33+O38</f>
        <v>192230</v>
      </c>
      <c r="P40" s="71">
        <f>O40+P33+P38</f>
        <v>226818</v>
      </c>
      <c r="Q40" s="71">
        <f>P40+Q33+Q38</f>
        <v>263752</v>
      </c>
      <c r="R40" s="80">
        <f>AVERAGE(E40:Q40)</f>
        <v>113066</v>
      </c>
    </row>
    <row r="41" spans="1:18" ht="15.75" thickTop="1" x14ac:dyDescent="0.25">
      <c r="A41" s="120"/>
      <c r="C41" s="120"/>
      <c r="D41" s="120"/>
      <c r="E41" s="60"/>
      <c r="F41" s="6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3" spans="1:18" x14ac:dyDescent="0.25">
      <c r="A43" t="s">
        <v>53</v>
      </c>
    </row>
    <row r="44" spans="1:18" x14ac:dyDescent="0.25">
      <c r="A44" s="18" t="s">
        <v>203</v>
      </c>
    </row>
  </sheetData>
  <mergeCells count="6">
    <mergeCell ref="F28:Q28"/>
    <mergeCell ref="A1:R1"/>
    <mergeCell ref="A2:R2"/>
    <mergeCell ref="A3:R3"/>
    <mergeCell ref="A5:K5"/>
    <mergeCell ref="F6:Q6"/>
  </mergeCells>
  <pageMargins left="0.7" right="0.7" top="0.75" bottom="0.75" header="0.3" footer="0.3"/>
  <pageSetup scale="55" orientation="landscape" r:id="rId1"/>
  <headerFooter>
    <oddHeader xml:space="preserve">&amp;R&amp;"Times New Roman,Bold"&amp;10EXHIBIT 1
Schedule 4.3
Page &amp;P of &amp;N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Layout" topLeftCell="A13" zoomScaleNormal="100" workbookViewId="0">
      <selection activeCell="H13" sqref="H13"/>
    </sheetView>
  </sheetViews>
  <sheetFormatPr defaultRowHeight="15" x14ac:dyDescent="0.25"/>
  <cols>
    <col min="1" max="1" width="8.28515625" bestFit="1" customWidth="1"/>
    <col min="2" max="2" width="35.85546875" customWidth="1"/>
    <col min="3" max="3" width="13.5703125" customWidth="1"/>
    <col min="4" max="4" width="13.140625" customWidth="1"/>
    <col min="5" max="5" width="3.7109375" customWidth="1"/>
    <col min="6" max="8" width="13.140625" customWidth="1"/>
  </cols>
  <sheetData>
    <row r="1" spans="1:8" x14ac:dyDescent="0.25">
      <c r="A1" s="120"/>
      <c r="B1" s="36"/>
      <c r="D1" s="120"/>
    </row>
    <row r="2" spans="1:8" x14ac:dyDescent="0.25">
      <c r="A2" s="180" t="str">
        <f>'Sch 1.0'!A2:M2</f>
        <v>Duke Energy Kentucky</v>
      </c>
      <c r="B2" s="180"/>
      <c r="C2" s="180"/>
      <c r="D2" s="180"/>
      <c r="E2" s="180"/>
      <c r="F2" s="180"/>
      <c r="G2" s="180"/>
      <c r="H2" s="180"/>
    </row>
    <row r="3" spans="1:8" x14ac:dyDescent="0.25">
      <c r="A3" s="180" t="str">
        <f>'Sch 1.0'!A3:M3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</row>
    <row r="4" spans="1:8" x14ac:dyDescent="0.25">
      <c r="A4" s="180" t="s">
        <v>36</v>
      </c>
      <c r="B4" s="180"/>
      <c r="C4" s="180"/>
      <c r="D4" s="180"/>
      <c r="E4" s="180"/>
      <c r="F4" s="180"/>
      <c r="G4" s="180"/>
      <c r="H4" s="180"/>
    </row>
    <row r="5" spans="1:8" x14ac:dyDescent="0.25">
      <c r="A5" s="182"/>
      <c r="B5" s="182"/>
      <c r="C5" s="182"/>
      <c r="D5" s="182"/>
      <c r="E5" s="182"/>
      <c r="F5" s="182"/>
      <c r="G5" s="182"/>
      <c r="H5" s="182"/>
    </row>
    <row r="6" spans="1:8" ht="15" customHeight="1" x14ac:dyDescent="0.25">
      <c r="A6" s="120"/>
      <c r="D6" s="57" t="s">
        <v>96</v>
      </c>
      <c r="F6" s="188" t="s">
        <v>118</v>
      </c>
      <c r="G6" s="188"/>
      <c r="H6" s="188"/>
    </row>
    <row r="7" spans="1:8" x14ac:dyDescent="0.25">
      <c r="A7" s="119"/>
      <c r="B7" s="119"/>
      <c r="C7" s="119"/>
      <c r="D7" s="119" t="s">
        <v>97</v>
      </c>
      <c r="F7" s="173"/>
      <c r="G7" s="173" t="s">
        <v>97</v>
      </c>
      <c r="H7" s="43"/>
    </row>
    <row r="8" spans="1:8" x14ac:dyDescent="0.25">
      <c r="A8" s="9" t="s">
        <v>17</v>
      </c>
      <c r="B8" s="9"/>
      <c r="C8" s="9"/>
      <c r="D8" s="9">
        <v>2016</v>
      </c>
      <c r="F8" s="95">
        <v>2016</v>
      </c>
      <c r="G8" s="95">
        <v>2017</v>
      </c>
      <c r="H8" s="95" t="s">
        <v>119</v>
      </c>
    </row>
    <row r="9" spans="1:8" x14ac:dyDescent="0.25">
      <c r="B9" s="121" t="s">
        <v>81</v>
      </c>
      <c r="C9" s="121" t="s">
        <v>82</v>
      </c>
      <c r="D9" s="121" t="s">
        <v>84</v>
      </c>
      <c r="F9" s="96" t="s">
        <v>122</v>
      </c>
      <c r="G9" s="96" t="s">
        <v>148</v>
      </c>
      <c r="H9" s="96" t="s">
        <v>149</v>
      </c>
    </row>
    <row r="10" spans="1:8" x14ac:dyDescent="0.25">
      <c r="A10" s="120"/>
      <c r="F10" s="43"/>
      <c r="G10" s="43"/>
      <c r="H10" s="43"/>
    </row>
    <row r="11" spans="1:8" x14ac:dyDescent="0.25">
      <c r="A11" s="120">
        <v>1</v>
      </c>
      <c r="B11" t="s">
        <v>73</v>
      </c>
      <c r="C11" s="20"/>
      <c r="D11" s="176">
        <v>1130362</v>
      </c>
      <c r="E11" s="134"/>
      <c r="F11" s="178">
        <f>D11</f>
        <v>1130362</v>
      </c>
      <c r="G11" s="176">
        <f>'Sch 4.5'!$E$29</f>
        <v>9499763</v>
      </c>
      <c r="H11" s="85">
        <f>SUM(F11:G11)</f>
        <v>10630125</v>
      </c>
    </row>
    <row r="12" spans="1:8" ht="17.25" x14ac:dyDescent="0.4">
      <c r="A12" s="120"/>
      <c r="C12" s="20"/>
      <c r="D12" s="26"/>
      <c r="F12" s="98"/>
      <c r="G12" s="26"/>
      <c r="H12" s="98"/>
    </row>
    <row r="13" spans="1:8" x14ac:dyDescent="0.25">
      <c r="A13" s="120"/>
      <c r="B13" t="s">
        <v>94</v>
      </c>
      <c r="C13" s="33"/>
      <c r="D13" s="29"/>
      <c r="F13" s="99"/>
      <c r="G13" s="29"/>
      <c r="H13" s="99"/>
    </row>
    <row r="14" spans="1:8" x14ac:dyDescent="0.25">
      <c r="A14" s="120">
        <v>2</v>
      </c>
      <c r="B14" t="s">
        <v>178</v>
      </c>
      <c r="C14" s="34"/>
      <c r="D14" s="37">
        <f>+D11</f>
        <v>1130362</v>
      </c>
      <c r="F14" s="100">
        <f>F11</f>
        <v>1130362</v>
      </c>
      <c r="G14" s="37">
        <f>+G11</f>
        <v>9499763</v>
      </c>
      <c r="H14" s="101">
        <f>SUM(F14:G14)</f>
        <v>10630125</v>
      </c>
    </row>
    <row r="15" spans="1:8" x14ac:dyDescent="0.25">
      <c r="A15" s="120">
        <f t="shared" ref="A15:A20" si="0">A14+1</f>
        <v>3</v>
      </c>
      <c r="B15" t="s">
        <v>104</v>
      </c>
      <c r="C15" s="34"/>
      <c r="D15" s="38">
        <f>ROUND(D11/2,0)</f>
        <v>565181</v>
      </c>
      <c r="F15" s="38">
        <f>ROUND(F11/2,0)</f>
        <v>565181</v>
      </c>
      <c r="G15" s="38">
        <f>ROUND(G11/2,0)</f>
        <v>4749882</v>
      </c>
      <c r="H15" s="102">
        <f>SUM(F15:G15)</f>
        <v>5315063</v>
      </c>
    </row>
    <row r="16" spans="1:8" x14ac:dyDescent="0.25">
      <c r="A16" s="120"/>
      <c r="B16" s="10"/>
      <c r="C16" s="34"/>
      <c r="D16" s="39"/>
      <c r="F16" s="103"/>
      <c r="G16" s="39"/>
      <c r="H16" s="103"/>
    </row>
    <row r="17" spans="1:8" x14ac:dyDescent="0.25">
      <c r="A17" s="120"/>
      <c r="B17" s="23" t="s">
        <v>14</v>
      </c>
      <c r="C17" s="20"/>
      <c r="D17" s="40"/>
      <c r="F17" s="104"/>
      <c r="G17" s="40"/>
      <c r="H17" s="104"/>
    </row>
    <row r="18" spans="1:8" x14ac:dyDescent="0.25">
      <c r="A18" s="120">
        <v>4</v>
      </c>
      <c r="B18" t="s">
        <v>178</v>
      </c>
      <c r="C18" s="34"/>
      <c r="D18" s="37">
        <f>ROUND(D14*0.5,0)</f>
        <v>565181</v>
      </c>
      <c r="F18" s="37">
        <v>0</v>
      </c>
      <c r="G18" s="37">
        <f>ROUND(G14*0.5,0)</f>
        <v>4749882</v>
      </c>
      <c r="H18" s="101">
        <f>SUM(F18:G18)</f>
        <v>4749882</v>
      </c>
    </row>
    <row r="19" spans="1:8" x14ac:dyDescent="0.25">
      <c r="A19" s="120">
        <f t="shared" si="0"/>
        <v>5</v>
      </c>
      <c r="B19" t="s">
        <v>95</v>
      </c>
      <c r="C19" s="34"/>
      <c r="D19" s="38">
        <f>ROUND(D15*0.0375,0)</f>
        <v>21194</v>
      </c>
      <c r="F19" s="38">
        <f>ROUND(F15*0.07219,0)</f>
        <v>40800</v>
      </c>
      <c r="G19" s="38">
        <f>ROUND(G15*0.0375,0)</f>
        <v>178121</v>
      </c>
      <c r="H19" s="101">
        <f>SUM(F19:G19)</f>
        <v>218921</v>
      </c>
    </row>
    <row r="20" spans="1:8" x14ac:dyDescent="0.25">
      <c r="A20" s="120">
        <f t="shared" si="0"/>
        <v>6</v>
      </c>
      <c r="B20" s="23" t="s">
        <v>98</v>
      </c>
      <c r="C20" s="34"/>
      <c r="D20" s="42">
        <f>+D18+D19</f>
        <v>586375</v>
      </c>
      <c r="F20" s="105">
        <f>+F18+F19</f>
        <v>40800</v>
      </c>
      <c r="G20" s="42">
        <f>+G18+G19</f>
        <v>4928003</v>
      </c>
      <c r="H20" s="105">
        <f>SUM(F20:G20)</f>
        <v>4968803</v>
      </c>
    </row>
    <row r="21" spans="1:8" x14ac:dyDescent="0.25">
      <c r="A21" s="120"/>
      <c r="B21" s="23"/>
      <c r="C21" s="34"/>
      <c r="D21" s="39"/>
      <c r="F21" s="103"/>
      <c r="G21" s="39"/>
      <c r="H21" s="103"/>
    </row>
    <row r="22" spans="1:8" x14ac:dyDescent="0.25">
      <c r="A22" s="120">
        <f>+A20+1</f>
        <v>7</v>
      </c>
      <c r="B22" s="23" t="s">
        <v>99</v>
      </c>
      <c r="D22" s="41">
        <v>4980</v>
      </c>
      <c r="F22" s="177">
        <f>D22</f>
        <v>4980</v>
      </c>
      <c r="G22" s="41">
        <f>'Sch 4.3'!$R$40</f>
        <v>113066</v>
      </c>
      <c r="H22" s="101">
        <v>240124</v>
      </c>
    </row>
    <row r="23" spans="1:8" x14ac:dyDescent="0.25">
      <c r="A23" s="120"/>
      <c r="B23" s="23"/>
      <c r="D23" s="41"/>
      <c r="F23" s="107"/>
      <c r="G23" s="41"/>
      <c r="H23" s="107"/>
    </row>
    <row r="24" spans="1:8" x14ac:dyDescent="0.25">
      <c r="A24" s="120">
        <f>A22+1</f>
        <v>8</v>
      </c>
      <c r="B24" s="23" t="s">
        <v>100</v>
      </c>
      <c r="D24" s="41">
        <f>+D20-D22</f>
        <v>581395</v>
      </c>
      <c r="F24" s="107">
        <f>+F20-F22</f>
        <v>35820</v>
      </c>
      <c r="G24" s="41">
        <f>+G20-G22</f>
        <v>4814937</v>
      </c>
      <c r="H24" s="101">
        <f>SUM(F24:G24)</f>
        <v>4850757</v>
      </c>
    </row>
    <row r="25" spans="1:8" x14ac:dyDescent="0.25">
      <c r="A25" s="120"/>
      <c r="B25" s="23"/>
      <c r="D25" s="41"/>
      <c r="F25" s="107"/>
      <c r="G25" s="41"/>
      <c r="H25" s="107"/>
    </row>
    <row r="26" spans="1:8" x14ac:dyDescent="0.25">
      <c r="A26" s="120">
        <f>+A24+1</f>
        <v>9</v>
      </c>
      <c r="B26" s="23" t="s">
        <v>33</v>
      </c>
      <c r="D26" s="41">
        <v>4187</v>
      </c>
      <c r="F26" s="107">
        <v>0</v>
      </c>
      <c r="G26" s="41">
        <f>'Sch 4.5'!$I$29</f>
        <v>74973</v>
      </c>
      <c r="H26" s="107">
        <f>SUM(F26:G26)</f>
        <v>74973</v>
      </c>
    </row>
    <row r="27" spans="1:8" x14ac:dyDescent="0.25">
      <c r="A27" s="120">
        <f>+A26+1</f>
        <v>10</v>
      </c>
      <c r="B27" s="23" t="s">
        <v>102</v>
      </c>
      <c r="D27" s="81">
        <f>+D24+D26</f>
        <v>585582</v>
      </c>
      <c r="E27" s="82"/>
      <c r="F27" s="108">
        <f>+F24+F26</f>
        <v>35820</v>
      </c>
      <c r="G27" s="81">
        <f>+G24+G26</f>
        <v>4889910</v>
      </c>
      <c r="H27" s="109">
        <f>SUM(F27:G27)</f>
        <v>4925730</v>
      </c>
    </row>
    <row r="28" spans="1:8" x14ac:dyDescent="0.25">
      <c r="A28" s="120"/>
      <c r="B28" s="23"/>
      <c r="D28" s="41"/>
      <c r="F28" s="107"/>
      <c r="G28" s="41"/>
      <c r="H28" s="107"/>
    </row>
    <row r="29" spans="1:8" x14ac:dyDescent="0.25">
      <c r="A29" s="172">
        <f>A27+1</f>
        <v>11</v>
      </c>
      <c r="B29" t="s">
        <v>101</v>
      </c>
      <c r="C29" s="179">
        <v>0.24925115</v>
      </c>
      <c r="D29" s="39">
        <f>ROUND(D27*$C$29,0)</f>
        <v>145957</v>
      </c>
      <c r="F29" s="103">
        <f>ROUND(F27*$C$29,0)</f>
        <v>8928</v>
      </c>
      <c r="G29" s="39">
        <f>ROUND(G27*$C$29,0)</f>
        <v>1218816</v>
      </c>
      <c r="H29" s="101">
        <f>SUM(F29:G29)</f>
        <v>1227744</v>
      </c>
    </row>
    <row r="30" spans="1:8" x14ac:dyDescent="0.25">
      <c r="A30" s="172">
        <v>12</v>
      </c>
      <c r="B30" t="s">
        <v>222</v>
      </c>
      <c r="C30" s="179">
        <v>0.13549266299999999</v>
      </c>
      <c r="D30" s="39">
        <f>ROUND(D27*$C$30,0)</f>
        <v>79342</v>
      </c>
      <c r="F30" s="39">
        <f>ROUND(F27*$C$30,0)</f>
        <v>4853</v>
      </c>
      <c r="G30" s="39">
        <f>ROUND(G27*$C$30,0)</f>
        <v>662547</v>
      </c>
      <c r="H30" s="101">
        <f>SUM(F30:G30)</f>
        <v>667400</v>
      </c>
    </row>
    <row r="31" spans="1:8" x14ac:dyDescent="0.25">
      <c r="A31" s="172"/>
      <c r="D31" s="42">
        <f>SUM(D29:D30)</f>
        <v>225299</v>
      </c>
      <c r="F31" s="42">
        <f t="shared" ref="F31:H31" si="1">SUM(F29:F30)</f>
        <v>13781</v>
      </c>
      <c r="G31" s="42">
        <f>SUM(G29:G30)</f>
        <v>1881363</v>
      </c>
      <c r="H31" s="42">
        <f t="shared" si="1"/>
        <v>1895144</v>
      </c>
    </row>
    <row r="32" spans="1:8" x14ac:dyDescent="0.25">
      <c r="A32" s="172"/>
    </row>
    <row r="33" spans="1:8" ht="15.75" thickBot="1" x14ac:dyDescent="0.3">
      <c r="A33" s="172">
        <v>13</v>
      </c>
      <c r="B33" t="s">
        <v>170</v>
      </c>
      <c r="H33" s="84">
        <f>D29+H29</f>
        <v>1373701</v>
      </c>
    </row>
    <row r="34" spans="1:8" ht="16.5" thickTop="1" thickBot="1" x14ac:dyDescent="0.3">
      <c r="A34" s="172"/>
      <c r="H34" s="84"/>
    </row>
    <row r="35" spans="1:8" ht="16.5" thickTop="1" thickBot="1" x14ac:dyDescent="0.3">
      <c r="A35" s="6">
        <v>14</v>
      </c>
      <c r="B35" t="s">
        <v>222</v>
      </c>
      <c r="H35" s="84">
        <f>D30+H30</f>
        <v>746742</v>
      </c>
    </row>
    <row r="36" spans="1:8" ht="15.75" thickTop="1" x14ac:dyDescent="0.25"/>
  </sheetData>
  <mergeCells count="5">
    <mergeCell ref="A2:H2"/>
    <mergeCell ref="A3:H3"/>
    <mergeCell ref="A4:H4"/>
    <mergeCell ref="A5:H5"/>
    <mergeCell ref="F6:H6"/>
  </mergeCells>
  <pageMargins left="0.7" right="0.7" top="0.75" bottom="0.75" header="0.3" footer="0.3"/>
  <pageSetup scale="98" orientation="landscape" r:id="rId1"/>
  <headerFooter>
    <oddHeader xml:space="preserve">&amp;R&amp;"Times New Roman,Bold"&amp;10EXHIBIT 1
Schedule 4.4
Page &amp;P of &amp;N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Layout" topLeftCell="A9" zoomScaleNormal="100" workbookViewId="0">
      <selection activeCell="I6" sqref="I6"/>
    </sheetView>
  </sheetViews>
  <sheetFormatPr defaultRowHeight="15" x14ac:dyDescent="0.25"/>
  <cols>
    <col min="1" max="1" width="8.28515625" bestFit="1" customWidth="1"/>
    <col min="2" max="2" width="22.140625" customWidth="1"/>
    <col min="3" max="4" width="13.5703125" customWidth="1"/>
    <col min="5" max="6" width="17.42578125" customWidth="1"/>
    <col min="7" max="8" width="16.7109375" customWidth="1"/>
    <col min="9" max="9" width="17.7109375" customWidth="1"/>
    <col min="10" max="10" width="4.28515625" customWidth="1"/>
  </cols>
  <sheetData>
    <row r="1" spans="1:12" x14ac:dyDescent="0.25">
      <c r="A1" s="120"/>
      <c r="G1" s="120"/>
      <c r="H1" s="140"/>
      <c r="I1" s="120"/>
      <c r="J1" s="120"/>
    </row>
    <row r="2" spans="1:12" x14ac:dyDescent="0.25">
      <c r="A2" s="180" t="str">
        <f>'Sch 1.0'!A2:M2</f>
        <v>Duke Energy Kentucky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x14ac:dyDescent="0.25">
      <c r="A3" s="180" t="str">
        <f>'Sch 1.0'!A3:M3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x14ac:dyDescent="0.25">
      <c r="A4" s="180" t="s">
        <v>83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x14ac:dyDescent="0.25">
      <c r="A6" s="120"/>
      <c r="G6" s="120"/>
      <c r="H6" s="140"/>
      <c r="I6" s="120"/>
      <c r="J6" s="120"/>
    </row>
    <row r="7" spans="1:12" x14ac:dyDescent="0.25">
      <c r="A7" s="27" t="s">
        <v>214</v>
      </c>
      <c r="G7" s="120"/>
      <c r="H7" s="140"/>
      <c r="I7" s="120"/>
      <c r="J7" s="120"/>
    </row>
    <row r="8" spans="1:12" x14ac:dyDescent="0.25">
      <c r="A8" s="120"/>
      <c r="G8" s="120"/>
      <c r="H8" s="140"/>
      <c r="I8" s="120"/>
      <c r="J8" s="120"/>
    </row>
    <row r="9" spans="1:12" x14ac:dyDescent="0.25">
      <c r="A9" s="119"/>
      <c r="B9" s="119"/>
      <c r="C9" s="119" t="s">
        <v>75</v>
      </c>
      <c r="D9" s="189" t="s">
        <v>120</v>
      </c>
      <c r="E9" s="189"/>
      <c r="F9" s="189" t="s">
        <v>70</v>
      </c>
      <c r="G9" s="189"/>
      <c r="H9" s="189" t="s">
        <v>33</v>
      </c>
      <c r="I9" s="189"/>
      <c r="J9" s="119"/>
    </row>
    <row r="10" spans="1:12" x14ac:dyDescent="0.25">
      <c r="A10" s="9" t="s">
        <v>17</v>
      </c>
      <c r="B10" s="9" t="s">
        <v>74</v>
      </c>
      <c r="C10" s="9" t="s">
        <v>76</v>
      </c>
      <c r="D10" s="9" t="s">
        <v>121</v>
      </c>
      <c r="E10" s="9" t="s">
        <v>125</v>
      </c>
      <c r="F10" s="9" t="s">
        <v>121</v>
      </c>
      <c r="G10" s="9" t="s">
        <v>125</v>
      </c>
      <c r="H10" s="9" t="s">
        <v>121</v>
      </c>
      <c r="I10" s="9" t="s">
        <v>125</v>
      </c>
      <c r="J10" s="9"/>
    </row>
    <row r="11" spans="1:12" x14ac:dyDescent="0.25">
      <c r="B11" s="121" t="s">
        <v>81</v>
      </c>
      <c r="C11" s="121" t="s">
        <v>82</v>
      </c>
      <c r="D11" s="121" t="s">
        <v>84</v>
      </c>
      <c r="E11" s="121" t="s">
        <v>122</v>
      </c>
      <c r="F11" s="141" t="s">
        <v>148</v>
      </c>
      <c r="G11" s="141" t="s">
        <v>149</v>
      </c>
      <c r="H11" s="141" t="s">
        <v>150</v>
      </c>
      <c r="I11" s="141" t="s">
        <v>151</v>
      </c>
      <c r="J11" s="121"/>
    </row>
    <row r="12" spans="1:12" x14ac:dyDescent="0.25">
      <c r="G12" s="48"/>
      <c r="H12" s="48"/>
    </row>
    <row r="13" spans="1:12" x14ac:dyDescent="0.25">
      <c r="F13" s="43"/>
      <c r="G13" s="48"/>
      <c r="H13" s="48"/>
    </row>
    <row r="14" spans="1:12" x14ac:dyDescent="0.25">
      <c r="A14" s="120">
        <v>1</v>
      </c>
      <c r="B14" s="135" t="s">
        <v>215</v>
      </c>
      <c r="C14" s="30">
        <v>13</v>
      </c>
      <c r="D14" s="115">
        <v>4339804</v>
      </c>
      <c r="E14" s="143">
        <f>D14</f>
        <v>4339804</v>
      </c>
      <c r="F14" s="115">
        <v>-48206</v>
      </c>
      <c r="G14" s="143">
        <v>-48206</v>
      </c>
      <c r="H14" s="83">
        <v>8798</v>
      </c>
      <c r="I14" s="143">
        <f>H14</f>
        <v>8798</v>
      </c>
    </row>
    <row r="15" spans="1:12" x14ac:dyDescent="0.25">
      <c r="A15" s="120">
        <f>+A14+1</f>
        <v>2</v>
      </c>
      <c r="B15" s="28">
        <v>42736</v>
      </c>
      <c r="C15" s="30">
        <v>12</v>
      </c>
      <c r="D15" s="136">
        <v>376374.34999999969</v>
      </c>
      <c r="E15" s="35">
        <f>E14+D15</f>
        <v>4716178.3499999996</v>
      </c>
      <c r="F15" s="142"/>
      <c r="G15" s="147">
        <f>G14+F15</f>
        <v>-48206</v>
      </c>
      <c r="H15" s="142">
        <v>685.86</v>
      </c>
      <c r="I15" s="147">
        <f>I14+H15</f>
        <v>9483.86</v>
      </c>
      <c r="J15" s="21"/>
    </row>
    <row r="16" spans="1:12" ht="17.25" x14ac:dyDescent="0.4">
      <c r="A16" s="120">
        <f>A15+1</f>
        <v>3</v>
      </c>
      <c r="B16" s="28">
        <v>42767</v>
      </c>
      <c r="C16" s="30">
        <f>C15-1</f>
        <v>11</v>
      </c>
      <c r="D16" s="136">
        <v>119000.76000000001</v>
      </c>
      <c r="E16" s="35">
        <f t="shared" ref="E16:E26" si="0">E15+D16</f>
        <v>4835179.1099999994</v>
      </c>
      <c r="F16" s="142">
        <v>-3992.7900000000004</v>
      </c>
      <c r="G16" s="147">
        <f t="shared" ref="G16:G26" si="1">G15+F16</f>
        <v>-52198.79</v>
      </c>
      <c r="H16" s="142">
        <v>2354.5499999999997</v>
      </c>
      <c r="I16" s="147">
        <f t="shared" ref="I16:I26" si="2">I15+H16</f>
        <v>11838.41</v>
      </c>
      <c r="J16" s="22"/>
    </row>
    <row r="17" spans="1:10" x14ac:dyDescent="0.25">
      <c r="A17" s="120">
        <f t="shared" ref="A17:A26" si="3">A16+1</f>
        <v>4</v>
      </c>
      <c r="B17" s="28">
        <v>42795</v>
      </c>
      <c r="C17" s="30">
        <f t="shared" ref="C17:C26" si="4">C16-1</f>
        <v>10</v>
      </c>
      <c r="D17" s="136">
        <v>70958.079999999973</v>
      </c>
      <c r="E17" s="35">
        <f t="shared" si="0"/>
        <v>4906137.1899999995</v>
      </c>
      <c r="F17" s="142">
        <v>-3790.150000000001</v>
      </c>
      <c r="G17" s="147">
        <f t="shared" si="1"/>
        <v>-55988.94</v>
      </c>
      <c r="H17" s="142">
        <v>1604.3400000000001</v>
      </c>
      <c r="I17" s="147">
        <f t="shared" si="2"/>
        <v>13442.75</v>
      </c>
      <c r="J17" s="21"/>
    </row>
    <row r="18" spans="1:10" x14ac:dyDescent="0.25">
      <c r="A18" s="120">
        <f t="shared" si="3"/>
        <v>5</v>
      </c>
      <c r="B18" s="28">
        <v>42826</v>
      </c>
      <c r="C18" s="30">
        <f t="shared" si="4"/>
        <v>9</v>
      </c>
      <c r="D18" s="136">
        <v>113289.14999999994</v>
      </c>
      <c r="E18" s="35">
        <f t="shared" si="0"/>
        <v>5019426.34</v>
      </c>
      <c r="F18" s="142">
        <v>0</v>
      </c>
      <c r="G18" s="147">
        <f t="shared" si="1"/>
        <v>-55988.94</v>
      </c>
      <c r="H18" s="137"/>
      <c r="I18" s="144">
        <f t="shared" si="2"/>
        <v>13442.75</v>
      </c>
      <c r="J18" s="17"/>
    </row>
    <row r="19" spans="1:10" x14ac:dyDescent="0.25">
      <c r="A19" s="120">
        <f t="shared" si="3"/>
        <v>6</v>
      </c>
      <c r="B19" s="28">
        <v>42856</v>
      </c>
      <c r="C19" s="30">
        <f t="shared" si="4"/>
        <v>8</v>
      </c>
      <c r="D19" s="136">
        <v>125249.08999999997</v>
      </c>
      <c r="E19" s="35">
        <f t="shared" si="0"/>
        <v>5144675.43</v>
      </c>
      <c r="F19" s="142">
        <v>-83110.669999999969</v>
      </c>
      <c r="G19" s="147">
        <f t="shared" si="1"/>
        <v>-139099.60999999999</v>
      </c>
      <c r="H19" s="142"/>
      <c r="I19" s="144">
        <f t="shared" si="2"/>
        <v>13442.75</v>
      </c>
    </row>
    <row r="20" spans="1:10" x14ac:dyDescent="0.25">
      <c r="A20" s="120">
        <f t="shared" si="3"/>
        <v>7</v>
      </c>
      <c r="B20" s="28">
        <v>42887</v>
      </c>
      <c r="C20" s="30">
        <f t="shared" si="4"/>
        <v>7</v>
      </c>
      <c r="D20" s="136">
        <v>97088.550000000032</v>
      </c>
      <c r="E20" s="35">
        <f t="shared" si="0"/>
        <v>5241763.9799999995</v>
      </c>
      <c r="F20" s="142">
        <v>-48932.660000000033</v>
      </c>
      <c r="G20" s="147">
        <f t="shared" si="1"/>
        <v>-188032.27000000002</v>
      </c>
      <c r="H20" s="137"/>
      <c r="I20" s="144">
        <f t="shared" si="2"/>
        <v>13442.75</v>
      </c>
      <c r="J20" s="1"/>
    </row>
    <row r="21" spans="1:10" ht="17.25" x14ac:dyDescent="0.4">
      <c r="A21" s="120">
        <f t="shared" si="3"/>
        <v>8</v>
      </c>
      <c r="B21" s="28">
        <v>42917</v>
      </c>
      <c r="C21" s="30">
        <f t="shared" si="4"/>
        <v>6</v>
      </c>
      <c r="D21" s="136">
        <v>7304391.5699999975</v>
      </c>
      <c r="E21" s="35">
        <f t="shared" si="0"/>
        <v>12546155.549999997</v>
      </c>
      <c r="F21" s="142">
        <v>-22079.359999999997</v>
      </c>
      <c r="G21" s="147">
        <f t="shared" si="1"/>
        <v>-210111.63</v>
      </c>
      <c r="H21" s="137"/>
      <c r="I21" s="144">
        <f t="shared" si="2"/>
        <v>13442.75</v>
      </c>
      <c r="J21" s="22"/>
    </row>
    <row r="22" spans="1:10" x14ac:dyDescent="0.25">
      <c r="A22" s="120">
        <f t="shared" si="3"/>
        <v>9</v>
      </c>
      <c r="B22" s="28">
        <v>42948</v>
      </c>
      <c r="C22" s="30">
        <f t="shared" si="4"/>
        <v>5</v>
      </c>
      <c r="D22" s="136">
        <v>575930.38000000047</v>
      </c>
      <c r="E22" s="35">
        <f t="shared" si="0"/>
        <v>13122085.929999998</v>
      </c>
      <c r="F22" s="142">
        <v>-85325.639999999985</v>
      </c>
      <c r="G22" s="147">
        <f t="shared" si="1"/>
        <v>-295437.27</v>
      </c>
      <c r="H22" s="142">
        <v>43848.820000000007</v>
      </c>
      <c r="I22" s="144">
        <f t="shared" si="2"/>
        <v>57291.570000000007</v>
      </c>
      <c r="J22" s="21"/>
    </row>
    <row r="23" spans="1:10" x14ac:dyDescent="0.25">
      <c r="A23" s="120">
        <f t="shared" si="3"/>
        <v>10</v>
      </c>
      <c r="B23" s="28">
        <v>42979</v>
      </c>
      <c r="C23" s="30">
        <f t="shared" si="4"/>
        <v>4</v>
      </c>
      <c r="D23" s="136">
        <v>732785.87999999966</v>
      </c>
      <c r="E23" s="35">
        <f t="shared" si="0"/>
        <v>13854871.809999997</v>
      </c>
      <c r="F23" s="142">
        <v>-79222.209999999992</v>
      </c>
      <c r="G23" s="147">
        <f t="shared" si="1"/>
        <v>-374659.48</v>
      </c>
      <c r="H23" s="142">
        <v>36521.709999999992</v>
      </c>
      <c r="I23" s="144">
        <f t="shared" si="2"/>
        <v>93813.28</v>
      </c>
      <c r="J23" s="24"/>
    </row>
    <row r="24" spans="1:10" x14ac:dyDescent="0.25">
      <c r="A24" s="120">
        <f t="shared" si="3"/>
        <v>11</v>
      </c>
      <c r="B24" s="28">
        <v>43009</v>
      </c>
      <c r="C24" s="30">
        <f t="shared" si="4"/>
        <v>3</v>
      </c>
      <c r="D24" s="136">
        <v>1407953.7499999998</v>
      </c>
      <c r="E24" s="35">
        <f t="shared" si="0"/>
        <v>15262825.559999997</v>
      </c>
      <c r="F24" s="142">
        <v>-64685.06</v>
      </c>
      <c r="G24" s="147">
        <f t="shared" si="1"/>
        <v>-439344.54</v>
      </c>
      <c r="H24" s="142">
        <v>74217.289999999979</v>
      </c>
      <c r="I24" s="144">
        <f t="shared" si="2"/>
        <v>168030.56999999998</v>
      </c>
      <c r="J24" s="25"/>
    </row>
    <row r="25" spans="1:10" x14ac:dyDescent="0.25">
      <c r="A25" s="120">
        <f t="shared" si="3"/>
        <v>12</v>
      </c>
      <c r="B25" s="28">
        <v>43040</v>
      </c>
      <c r="C25" s="30">
        <f t="shared" si="4"/>
        <v>2</v>
      </c>
      <c r="D25" s="136">
        <v>1547882.0099999995</v>
      </c>
      <c r="E25" s="35">
        <f t="shared" si="0"/>
        <v>16810707.569999997</v>
      </c>
      <c r="F25" s="142">
        <v>-542342.25999999966</v>
      </c>
      <c r="G25" s="147">
        <f t="shared" si="1"/>
        <v>-981686.79999999958</v>
      </c>
      <c r="H25" s="137">
        <v>86163.030000000013</v>
      </c>
      <c r="I25" s="144">
        <f t="shared" si="2"/>
        <v>254193.59999999998</v>
      </c>
      <c r="J25" s="24"/>
    </row>
    <row r="26" spans="1:10" x14ac:dyDescent="0.25">
      <c r="A26" s="120">
        <f t="shared" si="3"/>
        <v>13</v>
      </c>
      <c r="B26" s="28">
        <v>43070</v>
      </c>
      <c r="C26" s="30">
        <f t="shared" si="4"/>
        <v>1</v>
      </c>
      <c r="D26" s="136">
        <v>886396.65999999992</v>
      </c>
      <c r="E26" s="49">
        <f t="shared" si="0"/>
        <v>17697104.229999997</v>
      </c>
      <c r="F26" s="142">
        <v>-23422.940000000002</v>
      </c>
      <c r="G26" s="148">
        <f t="shared" si="1"/>
        <v>-1005109.7399999995</v>
      </c>
      <c r="H26" s="137">
        <v>49794.590000000018</v>
      </c>
      <c r="I26" s="146">
        <f t="shared" si="2"/>
        <v>303988.19</v>
      </c>
      <c r="J26" s="24"/>
    </row>
    <row r="27" spans="1:10" x14ac:dyDescent="0.25">
      <c r="A27" s="120"/>
      <c r="E27" s="2">
        <f>SUM(E14:E26)</f>
        <v>123496915.04999998</v>
      </c>
      <c r="G27" s="2">
        <f>SUM(G14:G26)</f>
        <v>-3894070.0099999988</v>
      </c>
      <c r="H27" s="2"/>
      <c r="I27" s="145">
        <f>SUM(I14:I26)</f>
        <v>974651.23</v>
      </c>
      <c r="J27" s="2"/>
    </row>
    <row r="28" spans="1:10" x14ac:dyDescent="0.25">
      <c r="A28" s="120">
        <f>A26+1</f>
        <v>14</v>
      </c>
      <c r="B28" t="s">
        <v>126</v>
      </c>
      <c r="E28">
        <v>13</v>
      </c>
      <c r="G28">
        <v>13</v>
      </c>
      <c r="H28" s="24"/>
      <c r="I28" s="69">
        <v>13</v>
      </c>
    </row>
    <row r="29" spans="1:10" ht="15.75" thickBot="1" x14ac:dyDescent="0.3">
      <c r="A29" s="120">
        <f>A28+1</f>
        <v>15</v>
      </c>
      <c r="B29" t="s">
        <v>127</v>
      </c>
      <c r="E29" s="84">
        <f>ROUND(E27/E28,0)</f>
        <v>9499763</v>
      </c>
      <c r="F29" s="85"/>
      <c r="G29" s="84">
        <f>ROUND(G27/G28,0)</f>
        <v>-299544</v>
      </c>
      <c r="H29" s="85"/>
      <c r="I29" s="84">
        <f>ROUND(I27/I28,0)</f>
        <v>74973</v>
      </c>
    </row>
    <row r="30" spans="1:10" ht="15.75" thickTop="1" x14ac:dyDescent="0.25">
      <c r="H30" s="24"/>
    </row>
    <row r="31" spans="1:10" x14ac:dyDescent="0.25">
      <c r="A31" s="120"/>
      <c r="E31" s="48"/>
      <c r="G31" s="48"/>
      <c r="H31" s="48"/>
      <c r="I31" s="48"/>
    </row>
    <row r="32" spans="1:10" x14ac:dyDescent="0.25">
      <c r="F32" s="52"/>
    </row>
  </sheetData>
  <mergeCells count="7">
    <mergeCell ref="A2:L2"/>
    <mergeCell ref="A3:L3"/>
    <mergeCell ref="A4:L4"/>
    <mergeCell ref="A5:L5"/>
    <mergeCell ref="D9:E9"/>
    <mergeCell ref="F9:G9"/>
    <mergeCell ref="H9:I9"/>
  </mergeCells>
  <pageMargins left="0.7" right="0.7" top="0.75" bottom="0.75" header="0.3" footer="0.3"/>
  <pageSetup scale="74" orientation="landscape" r:id="rId1"/>
  <headerFooter>
    <oddHeader xml:space="preserve">&amp;R&amp;"Times New Roman,Bold"&amp;10EXHIBIT 1
Scheudle 4.5
Page &amp;P of &amp;N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view="pageLayout" topLeftCell="A5" zoomScaleNormal="100" workbookViewId="0">
      <selection activeCell="I9" sqref="I9"/>
    </sheetView>
  </sheetViews>
  <sheetFormatPr defaultRowHeight="15" x14ac:dyDescent="0.25"/>
  <cols>
    <col min="1" max="1" width="8.28515625" bestFit="1" customWidth="1"/>
    <col min="2" max="2" width="19.7109375" customWidth="1"/>
    <col min="3" max="3" width="13.5703125" customWidth="1"/>
    <col min="4" max="4" width="17.42578125" customWidth="1"/>
  </cols>
  <sheetData>
    <row r="2" spans="1:11" x14ac:dyDescent="0.25">
      <c r="A2" s="180" t="str">
        <f>'Sch 1.0'!A2:M2</f>
        <v>Duke Energy Kentucky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x14ac:dyDescent="0.25">
      <c r="A3" s="180" t="str">
        <f>'Sch 1.0'!A3:M3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x14ac:dyDescent="0.25">
      <c r="A4" s="180" t="s">
        <v>113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x14ac:dyDescent="0.25">
      <c r="A6" s="120"/>
    </row>
    <row r="7" spans="1:11" x14ac:dyDescent="0.25">
      <c r="A7" s="120"/>
    </row>
    <row r="8" spans="1:11" x14ac:dyDescent="0.25">
      <c r="A8" s="27" t="s">
        <v>216</v>
      </c>
    </row>
    <row r="9" spans="1:11" x14ac:dyDescent="0.25">
      <c r="A9" s="120"/>
    </row>
    <row r="10" spans="1:11" x14ac:dyDescent="0.25">
      <c r="A10" s="119"/>
      <c r="B10" s="119"/>
      <c r="C10" s="119"/>
      <c r="D10" s="119"/>
    </row>
    <row r="11" spans="1:11" x14ac:dyDescent="0.25">
      <c r="A11" s="9" t="s">
        <v>17</v>
      </c>
      <c r="B11" s="9" t="s">
        <v>74</v>
      </c>
      <c r="C11" s="9"/>
      <c r="D11" s="9" t="s">
        <v>217</v>
      </c>
    </row>
    <row r="12" spans="1:11" x14ac:dyDescent="0.25">
      <c r="B12" s="121" t="s">
        <v>81</v>
      </c>
      <c r="C12" s="121"/>
      <c r="D12" s="121" t="s">
        <v>82</v>
      </c>
    </row>
    <row r="13" spans="1:11" x14ac:dyDescent="0.25">
      <c r="D13" s="43"/>
      <c r="E13" s="43"/>
    </row>
    <row r="14" spans="1:11" x14ac:dyDescent="0.25">
      <c r="A14">
        <v>1</v>
      </c>
      <c r="B14" s="28">
        <v>42736</v>
      </c>
      <c r="C14" s="30"/>
      <c r="D14" s="115">
        <v>15124.759999999998</v>
      </c>
      <c r="E14" s="43"/>
    </row>
    <row r="15" spans="1:11" x14ac:dyDescent="0.25">
      <c r="A15">
        <f>A14+1</f>
        <v>2</v>
      </c>
      <c r="B15" s="28">
        <v>42767</v>
      </c>
      <c r="C15" s="30"/>
      <c r="D15" s="136">
        <v>7662.6600000000008</v>
      </c>
      <c r="E15" s="43"/>
    </row>
    <row r="16" spans="1:11" x14ac:dyDescent="0.25">
      <c r="A16">
        <f t="shared" ref="A16:A25" si="0">A15+1</f>
        <v>3</v>
      </c>
      <c r="B16" s="28">
        <v>42795</v>
      </c>
      <c r="C16" s="30"/>
      <c r="D16" s="136">
        <v>5816.54</v>
      </c>
      <c r="E16" s="43"/>
    </row>
    <row r="17" spans="1:5" x14ac:dyDescent="0.25">
      <c r="A17">
        <f t="shared" si="0"/>
        <v>4</v>
      </c>
      <c r="B17" s="28">
        <v>42826</v>
      </c>
      <c r="C17" s="30"/>
      <c r="D17" s="136">
        <v>2478.5499999999993</v>
      </c>
      <c r="E17" s="43"/>
    </row>
    <row r="18" spans="1:5" x14ac:dyDescent="0.25">
      <c r="A18">
        <f t="shared" si="0"/>
        <v>5</v>
      </c>
      <c r="B18" s="28">
        <v>42856</v>
      </c>
      <c r="C18" s="30"/>
      <c r="D18" s="136">
        <v>1236.3799999999999</v>
      </c>
      <c r="E18" s="43"/>
    </row>
    <row r="19" spans="1:5" x14ac:dyDescent="0.25">
      <c r="A19">
        <f t="shared" si="0"/>
        <v>6</v>
      </c>
      <c r="B19" s="28">
        <v>42887</v>
      </c>
      <c r="C19" s="30"/>
      <c r="D19" s="136">
        <v>959.68</v>
      </c>
      <c r="E19" s="43"/>
    </row>
    <row r="20" spans="1:5" x14ac:dyDescent="0.25">
      <c r="A20">
        <f t="shared" si="0"/>
        <v>7</v>
      </c>
      <c r="B20" s="28">
        <v>42917</v>
      </c>
      <c r="C20" s="30"/>
      <c r="D20" s="136">
        <v>271200</v>
      </c>
      <c r="E20" s="43"/>
    </row>
    <row r="21" spans="1:5" x14ac:dyDescent="0.25">
      <c r="A21">
        <f t="shared" si="0"/>
        <v>8</v>
      </c>
      <c r="B21" s="28">
        <v>42948</v>
      </c>
      <c r="C21" s="30"/>
      <c r="D21" s="136"/>
      <c r="E21" s="43"/>
    </row>
    <row r="22" spans="1:5" x14ac:dyDescent="0.25">
      <c r="A22">
        <f t="shared" si="0"/>
        <v>9</v>
      </c>
      <c r="B22" s="28">
        <v>42979</v>
      </c>
      <c r="C22" s="30"/>
      <c r="D22" s="136"/>
      <c r="E22" s="43"/>
    </row>
    <row r="23" spans="1:5" x14ac:dyDescent="0.25">
      <c r="A23">
        <f t="shared" si="0"/>
        <v>10</v>
      </c>
      <c r="B23" s="28">
        <v>43009</v>
      </c>
      <c r="C23" s="30"/>
      <c r="D23" s="136"/>
      <c r="E23" s="43"/>
    </row>
    <row r="24" spans="1:5" x14ac:dyDescent="0.25">
      <c r="A24">
        <f t="shared" si="0"/>
        <v>11</v>
      </c>
      <c r="B24" s="28">
        <v>43040</v>
      </c>
      <c r="C24" s="30"/>
      <c r="D24" s="136"/>
      <c r="E24" s="43"/>
    </row>
    <row r="25" spans="1:5" x14ac:dyDescent="0.25">
      <c r="A25">
        <f t="shared" si="0"/>
        <v>12</v>
      </c>
      <c r="B25" s="28">
        <v>43070</v>
      </c>
      <c r="C25" s="30"/>
      <c r="D25" s="161"/>
      <c r="E25" s="43"/>
    </row>
    <row r="26" spans="1:5" x14ac:dyDescent="0.25">
      <c r="A26">
        <v>13</v>
      </c>
      <c r="B26" s="67" t="s">
        <v>27</v>
      </c>
      <c r="D26" s="86">
        <f>SUM(D14:D25)</f>
        <v>304478.57</v>
      </c>
      <c r="E26" s="43"/>
    </row>
    <row r="27" spans="1:5" x14ac:dyDescent="0.25">
      <c r="D27" s="43"/>
      <c r="E27" s="43"/>
    </row>
    <row r="28" spans="1:5" x14ac:dyDescent="0.25">
      <c r="A28" s="18"/>
      <c r="D28" s="43"/>
      <c r="E28" s="43"/>
    </row>
  </sheetData>
  <mergeCells count="4">
    <mergeCell ref="A2:K2"/>
    <mergeCell ref="A3:K3"/>
    <mergeCell ref="A4:K4"/>
    <mergeCell ref="A5:K5"/>
  </mergeCells>
  <pageMargins left="0.7" right="0.7" top="0.75" bottom="0.75" header="0.3" footer="0.3"/>
  <pageSetup scale="99" orientation="landscape" r:id="rId1"/>
  <headerFooter>
    <oddHeader xml:space="preserve">&amp;R&amp;"Times New Roman,Bold"&amp;10EXHIBIT 1
Schedule 4.6
Page &amp;P of &amp;N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view="pageLayout" zoomScaleNormal="100" workbookViewId="0">
      <selection activeCell="A5" sqref="A5:K5"/>
    </sheetView>
  </sheetViews>
  <sheetFormatPr defaultRowHeight="15" x14ac:dyDescent="0.25"/>
  <cols>
    <col min="1" max="1" width="8.28515625" bestFit="1" customWidth="1"/>
    <col min="2" max="2" width="19.7109375" customWidth="1"/>
    <col min="3" max="3" width="13.5703125" customWidth="1"/>
    <col min="4" max="4" width="17.42578125" customWidth="1"/>
  </cols>
  <sheetData>
    <row r="2" spans="1:11" x14ac:dyDescent="0.25">
      <c r="A2" s="180" t="str">
        <f>'Sch 1.0'!A2:M2</f>
        <v>Duke Energy Kentucky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x14ac:dyDescent="0.25">
      <c r="A3" s="180" t="str">
        <f>'Sch 1.0'!A3:M3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x14ac:dyDescent="0.25">
      <c r="A4" s="180" t="s">
        <v>93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x14ac:dyDescent="0.25">
      <c r="A6" s="120"/>
    </row>
    <row r="7" spans="1:11" x14ac:dyDescent="0.25">
      <c r="A7" s="120"/>
    </row>
    <row r="8" spans="1:11" x14ac:dyDescent="0.25">
      <c r="A8" s="27" t="s">
        <v>218</v>
      </c>
    </row>
    <row r="9" spans="1:11" x14ac:dyDescent="0.25">
      <c r="A9" s="120"/>
    </row>
    <row r="10" spans="1:11" x14ac:dyDescent="0.25">
      <c r="A10" s="119"/>
      <c r="B10" s="119"/>
      <c r="C10" s="119"/>
      <c r="D10" s="119"/>
    </row>
    <row r="11" spans="1:11" x14ac:dyDescent="0.25">
      <c r="A11" s="9" t="s">
        <v>17</v>
      </c>
      <c r="B11" s="9" t="s">
        <v>74</v>
      </c>
      <c r="C11" s="9"/>
      <c r="D11" s="9" t="s">
        <v>217</v>
      </c>
    </row>
    <row r="12" spans="1:11" x14ac:dyDescent="0.25">
      <c r="B12" s="121" t="s">
        <v>81</v>
      </c>
      <c r="C12" s="121"/>
      <c r="D12" s="121" t="s">
        <v>82</v>
      </c>
    </row>
    <row r="13" spans="1:11" x14ac:dyDescent="0.25">
      <c r="D13" s="43"/>
      <c r="E13" s="43"/>
    </row>
    <row r="14" spans="1:11" x14ac:dyDescent="0.25">
      <c r="A14">
        <v>1</v>
      </c>
      <c r="B14" s="28">
        <v>42736</v>
      </c>
      <c r="C14" s="30"/>
      <c r="D14" s="162">
        <v>0</v>
      </c>
      <c r="E14" s="43"/>
    </row>
    <row r="15" spans="1:11" x14ac:dyDescent="0.25">
      <c r="A15">
        <f>A14+1</f>
        <v>2</v>
      </c>
      <c r="B15" s="28">
        <v>42767</v>
      </c>
      <c r="C15" s="30"/>
      <c r="D15" s="101">
        <v>0</v>
      </c>
      <c r="E15" s="43"/>
    </row>
    <row r="16" spans="1:11" x14ac:dyDescent="0.25">
      <c r="A16">
        <f t="shared" ref="A16:A25" si="0">A15+1</f>
        <v>3</v>
      </c>
      <c r="B16" s="28">
        <v>42795</v>
      </c>
      <c r="C16" s="30"/>
      <c r="D16" s="101">
        <v>0</v>
      </c>
      <c r="E16" s="43"/>
    </row>
    <row r="17" spans="1:5" x14ac:dyDescent="0.25">
      <c r="A17">
        <f t="shared" si="0"/>
        <v>4</v>
      </c>
      <c r="B17" s="28">
        <v>42826</v>
      </c>
      <c r="C17" s="30"/>
      <c r="D17" s="101">
        <v>0</v>
      </c>
      <c r="E17" s="43"/>
    </row>
    <row r="18" spans="1:5" x14ac:dyDescent="0.25">
      <c r="A18">
        <f t="shared" si="0"/>
        <v>5</v>
      </c>
      <c r="B18" s="28">
        <v>42856</v>
      </c>
      <c r="C18" s="30"/>
      <c r="D18" s="101">
        <v>0</v>
      </c>
      <c r="E18" s="43"/>
    </row>
    <row r="19" spans="1:5" x14ac:dyDescent="0.25">
      <c r="A19">
        <f t="shared" si="0"/>
        <v>6</v>
      </c>
      <c r="B19" s="28">
        <v>42887</v>
      </c>
      <c r="C19" s="30"/>
      <c r="D19" s="101">
        <v>0</v>
      </c>
      <c r="E19" s="43"/>
    </row>
    <row r="20" spans="1:5" x14ac:dyDescent="0.25">
      <c r="A20">
        <f t="shared" si="0"/>
        <v>7</v>
      </c>
      <c r="B20" s="28">
        <v>42917</v>
      </c>
      <c r="C20" s="30"/>
      <c r="D20" s="101">
        <v>0</v>
      </c>
      <c r="E20" s="43"/>
    </row>
    <row r="21" spans="1:5" x14ac:dyDescent="0.25">
      <c r="A21">
        <f t="shared" si="0"/>
        <v>8</v>
      </c>
      <c r="B21" s="28">
        <v>42948</v>
      </c>
      <c r="C21" s="30"/>
      <c r="D21" s="101">
        <v>0</v>
      </c>
      <c r="E21" s="43"/>
    </row>
    <row r="22" spans="1:5" x14ac:dyDescent="0.25">
      <c r="A22">
        <f t="shared" si="0"/>
        <v>9</v>
      </c>
      <c r="B22" s="28">
        <v>42979</v>
      </c>
      <c r="C22" s="30"/>
      <c r="D22" s="101">
        <v>0</v>
      </c>
      <c r="E22" s="43"/>
    </row>
    <row r="23" spans="1:5" x14ac:dyDescent="0.25">
      <c r="A23">
        <f t="shared" si="0"/>
        <v>10</v>
      </c>
      <c r="B23" s="28">
        <v>43009</v>
      </c>
      <c r="C23" s="30"/>
      <c r="D23" s="101">
        <v>0</v>
      </c>
      <c r="E23" s="43"/>
    </row>
    <row r="24" spans="1:5" x14ac:dyDescent="0.25">
      <c r="A24">
        <f t="shared" si="0"/>
        <v>11</v>
      </c>
      <c r="B24" s="28">
        <v>43040</v>
      </c>
      <c r="C24" s="30"/>
      <c r="D24" s="101">
        <v>0</v>
      </c>
      <c r="E24" s="43"/>
    </row>
    <row r="25" spans="1:5" x14ac:dyDescent="0.25">
      <c r="A25">
        <f t="shared" si="0"/>
        <v>12</v>
      </c>
      <c r="B25" s="28">
        <v>43070</v>
      </c>
      <c r="C25" s="30"/>
      <c r="D25" s="64">
        <v>0</v>
      </c>
      <c r="E25" s="43"/>
    </row>
    <row r="26" spans="1:5" x14ac:dyDescent="0.25">
      <c r="A26">
        <v>13</v>
      </c>
      <c r="B26" s="67" t="s">
        <v>27</v>
      </c>
      <c r="D26" s="163">
        <f>SUM(D14:D25)</f>
        <v>0</v>
      </c>
      <c r="E26" s="43"/>
    </row>
    <row r="27" spans="1:5" x14ac:dyDescent="0.25">
      <c r="D27" s="43"/>
      <c r="E27" s="43"/>
    </row>
    <row r="28" spans="1:5" x14ac:dyDescent="0.25">
      <c r="A28" s="18"/>
      <c r="D28" s="43"/>
      <c r="E28" s="43"/>
    </row>
  </sheetData>
  <mergeCells count="4">
    <mergeCell ref="A2:K2"/>
    <mergeCell ref="A3:K3"/>
    <mergeCell ref="A4:K4"/>
    <mergeCell ref="A5:K5"/>
  </mergeCells>
  <pageMargins left="0.7" right="0.7" top="0.75" bottom="0.75" header="0.3" footer="0.3"/>
  <pageSetup scale="99" orientation="landscape" r:id="rId1"/>
  <headerFooter>
    <oddHeader xml:space="preserve">&amp;R&amp;"Times New Roman,Bold"&amp;10EXHIBIT 1
Schedule 4.7
Page &amp;P of &amp;N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"/>
  <sheetViews>
    <sheetView view="pageLayout" topLeftCell="B2" zoomScaleNormal="100" workbookViewId="0">
      <selection activeCell="E13" sqref="E13"/>
    </sheetView>
  </sheetViews>
  <sheetFormatPr defaultRowHeight="15" x14ac:dyDescent="0.25"/>
  <cols>
    <col min="1" max="1" width="9.140625" style="5"/>
    <col min="2" max="2" width="47.7109375" customWidth="1"/>
    <col min="3" max="3" width="3.42578125" customWidth="1"/>
    <col min="4" max="4" width="18.85546875" customWidth="1"/>
    <col min="5" max="5" width="16.85546875" style="5" bestFit="1" customWidth="1"/>
    <col min="6" max="7" width="16.85546875" style="120" customWidth="1"/>
    <col min="8" max="8" width="13.28515625" style="5" bestFit="1" customWidth="1"/>
    <col min="9" max="9" width="12.7109375" style="5" customWidth="1"/>
    <col min="10" max="10" width="15.28515625" customWidth="1"/>
  </cols>
  <sheetData>
    <row r="2" spans="1:13" x14ac:dyDescent="0.25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x14ac:dyDescent="0.25">
      <c r="A3" s="180" t="s">
        <v>164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x14ac:dyDescent="0.25">
      <c r="A4" s="180" t="s">
        <v>16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1:13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 x14ac:dyDescent="0.25">
      <c r="D6" s="119" t="s">
        <v>57</v>
      </c>
    </row>
    <row r="7" spans="1:13" x14ac:dyDescent="0.25">
      <c r="A7" s="3"/>
      <c r="B7" s="8"/>
      <c r="C7" s="8"/>
      <c r="D7" s="3" t="s">
        <v>174</v>
      </c>
      <c r="E7" s="3" t="s">
        <v>198</v>
      </c>
      <c r="F7" s="119" t="s">
        <v>199</v>
      </c>
      <c r="G7" s="119"/>
      <c r="H7" s="3" t="s">
        <v>22</v>
      </c>
      <c r="I7" s="3" t="s">
        <v>24</v>
      </c>
    </row>
    <row r="8" spans="1:13" x14ac:dyDescent="0.25">
      <c r="A8" s="3"/>
      <c r="B8" s="8"/>
      <c r="C8" s="8"/>
      <c r="D8" s="3" t="s">
        <v>19</v>
      </c>
      <c r="E8" s="3" t="s">
        <v>20</v>
      </c>
      <c r="F8" s="119" t="s">
        <v>20</v>
      </c>
      <c r="G8" s="119"/>
      <c r="H8" s="3" t="s">
        <v>23</v>
      </c>
      <c r="I8" s="3" t="s">
        <v>25</v>
      </c>
    </row>
    <row r="9" spans="1:13" x14ac:dyDescent="0.25">
      <c r="A9" s="9" t="s">
        <v>17</v>
      </c>
      <c r="B9" s="10" t="s">
        <v>18</v>
      </c>
      <c r="C9" s="10"/>
      <c r="D9" s="9" t="s">
        <v>85</v>
      </c>
      <c r="E9" s="9" t="s">
        <v>21</v>
      </c>
      <c r="F9" s="9" t="s">
        <v>21</v>
      </c>
      <c r="G9" s="9" t="s">
        <v>27</v>
      </c>
      <c r="H9" s="9" t="s">
        <v>163</v>
      </c>
      <c r="I9" s="9" t="s">
        <v>26</v>
      </c>
    </row>
    <row r="10" spans="1:13" x14ac:dyDescent="0.25">
      <c r="B10" s="19" t="s">
        <v>81</v>
      </c>
      <c r="C10" s="75"/>
      <c r="D10" s="75" t="s">
        <v>82</v>
      </c>
      <c r="E10" s="75" t="s">
        <v>84</v>
      </c>
      <c r="F10" s="119" t="s">
        <v>122</v>
      </c>
      <c r="G10" s="119" t="s">
        <v>148</v>
      </c>
      <c r="H10" s="75" t="s">
        <v>149</v>
      </c>
      <c r="I10" s="75" t="s">
        <v>150</v>
      </c>
    </row>
    <row r="11" spans="1:13" x14ac:dyDescent="0.25">
      <c r="A11" s="87"/>
      <c r="B11" s="19"/>
      <c r="E11" s="87"/>
      <c r="H11" s="87"/>
      <c r="I11" s="87"/>
    </row>
    <row r="12" spans="1:13" x14ac:dyDescent="0.25">
      <c r="A12" s="5">
        <v>1</v>
      </c>
      <c r="B12" s="28" t="s">
        <v>78</v>
      </c>
      <c r="D12" s="123">
        <v>0.92301</v>
      </c>
      <c r="E12" s="70">
        <f>ROUND($E$16*D12,0)</f>
        <v>3142344</v>
      </c>
      <c r="F12" s="70">
        <f>ROUND($F$16*D12,0)-1</f>
        <v>405837</v>
      </c>
      <c r="G12" s="70">
        <f>E12+F12</f>
        <v>3548181</v>
      </c>
      <c r="H12" s="13">
        <f>'Sch 3.0'!O13</f>
        <v>1100901</v>
      </c>
      <c r="I12" s="12">
        <f>G12/H12</f>
        <v>3.2229791779642309</v>
      </c>
      <c r="J12" t="s">
        <v>110</v>
      </c>
    </row>
    <row r="13" spans="1:13" x14ac:dyDescent="0.25">
      <c r="A13" s="5">
        <f>A12+1</f>
        <v>2</v>
      </c>
      <c r="B13" s="28" t="s">
        <v>80</v>
      </c>
      <c r="D13" s="123">
        <v>6.9690000000000002E-2</v>
      </c>
      <c r="E13" s="13">
        <f>ROUND($E$16*D13,0)</f>
        <v>237256</v>
      </c>
      <c r="F13" s="139">
        <f>ROUND($F$16*D13,0)</f>
        <v>30642</v>
      </c>
      <c r="G13" s="13">
        <f t="shared" ref="G13:G16" si="0">E13+F13</f>
        <v>267898</v>
      </c>
      <c r="H13" s="13">
        <f>'Sch 3.0'!O14</f>
        <v>83364</v>
      </c>
      <c r="I13" s="12">
        <f>G13/H13</f>
        <v>3.2135933976296722</v>
      </c>
      <c r="J13" t="s">
        <v>110</v>
      </c>
    </row>
    <row r="14" spans="1:13" x14ac:dyDescent="0.25">
      <c r="A14" s="5">
        <f t="shared" ref="A14:A16" si="1">A13+1</f>
        <v>3</v>
      </c>
      <c r="B14" s="28" t="s">
        <v>86</v>
      </c>
      <c r="D14" s="123">
        <v>4.5399999999999998E-3</v>
      </c>
      <c r="E14" s="13">
        <f>ROUND($E$16*D14,0)</f>
        <v>15456</v>
      </c>
      <c r="F14" s="139">
        <f t="shared" ref="F14" si="2">ROUND($F$16*D14,0)</f>
        <v>1996</v>
      </c>
      <c r="G14" s="13">
        <f t="shared" si="0"/>
        <v>17452</v>
      </c>
      <c r="H14" s="13">
        <f>'Sch 3.0'!O15</f>
        <v>22514030</v>
      </c>
      <c r="I14" s="45">
        <f>G14/H14</f>
        <v>7.751610884412964E-4</v>
      </c>
      <c r="J14" t="s">
        <v>109</v>
      </c>
    </row>
    <row r="15" spans="1:13" x14ac:dyDescent="0.25">
      <c r="A15" s="5">
        <f t="shared" si="1"/>
        <v>4</v>
      </c>
      <c r="B15" s="28" t="s">
        <v>79</v>
      </c>
      <c r="D15" s="124">
        <v>2.7599999999999999E-3</v>
      </c>
      <c r="E15" s="13">
        <f>ROUND($E$16*D15,0)</f>
        <v>9396</v>
      </c>
      <c r="F15" s="139">
        <f>ROUND($F$16*D15,0)</f>
        <v>1214</v>
      </c>
      <c r="G15" s="13">
        <f t="shared" si="0"/>
        <v>10610</v>
      </c>
      <c r="H15" s="13">
        <f>'Sch 3.0'!O16</f>
        <v>15850310</v>
      </c>
      <c r="I15" s="45">
        <f>G15/H15</f>
        <v>6.6938753879261666E-4</v>
      </c>
      <c r="J15" t="s">
        <v>109</v>
      </c>
    </row>
    <row r="16" spans="1:13" ht="15.75" thickBot="1" x14ac:dyDescent="0.3">
      <c r="A16" s="5">
        <f t="shared" si="1"/>
        <v>5</v>
      </c>
      <c r="B16" t="s">
        <v>27</v>
      </c>
      <c r="D16" s="125">
        <f>SUM(D10:D15)</f>
        <v>1</v>
      </c>
      <c r="E16" s="71">
        <f>'Sch 1.1'!F30</f>
        <v>3404453</v>
      </c>
      <c r="F16" s="138">
        <f>'Sch 4.1'!F36</f>
        <v>439689.57000000007</v>
      </c>
      <c r="G16" s="71">
        <f t="shared" si="0"/>
        <v>3844142.5700000003</v>
      </c>
      <c r="H16" s="21"/>
    </row>
    <row r="17" spans="2:2" ht="15.75" thickTop="1" x14ac:dyDescent="0.25"/>
    <row r="20" spans="2:2" x14ac:dyDescent="0.25">
      <c r="B20" s="43" t="s">
        <v>200</v>
      </c>
    </row>
  </sheetData>
  <mergeCells count="4">
    <mergeCell ref="A5:M5"/>
    <mergeCell ref="A2:M2"/>
    <mergeCell ref="A3:M3"/>
    <mergeCell ref="A4:M4"/>
  </mergeCells>
  <pageMargins left="0.7" right="0.7" top="0.75" bottom="0.75" header="0.3" footer="0.3"/>
  <pageSetup scale="62" orientation="landscape" r:id="rId1"/>
  <headerFooter>
    <oddHeader xml:space="preserve">&amp;R&amp;"Times New Roman,Bold"&amp;10EXHIBIT 1
Schedule 1.0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selection activeCell="C17" sqref="C17"/>
    </sheetView>
  </sheetViews>
  <sheetFormatPr defaultRowHeight="15" x14ac:dyDescent="0.25"/>
  <cols>
    <col min="1" max="1" width="8.28515625" bestFit="1" customWidth="1"/>
    <col min="2" max="2" width="4.5703125" customWidth="1"/>
    <col min="3" max="3" width="6.5703125" customWidth="1"/>
    <col min="4" max="4" width="54.28515625" customWidth="1"/>
    <col min="5" max="5" width="7.5703125" customWidth="1"/>
    <col min="6" max="6" width="24.140625" customWidth="1"/>
    <col min="7" max="7" width="10.7109375" customWidth="1"/>
  </cols>
  <sheetData>
    <row r="1" spans="1:11" x14ac:dyDescent="0.25">
      <c r="A1" s="5"/>
      <c r="E1" s="5"/>
      <c r="F1" s="5"/>
      <c r="G1" s="5"/>
      <c r="H1" s="5"/>
    </row>
    <row r="2" spans="1:11" x14ac:dyDescent="0.25">
      <c r="A2" s="180" t="str">
        <f>'Sch 1.0'!A2</f>
        <v>Duke Energy Kentucky</v>
      </c>
      <c r="B2" s="180"/>
      <c r="C2" s="180"/>
      <c r="D2" s="180"/>
      <c r="E2" s="180"/>
      <c r="F2" s="180"/>
      <c r="G2" s="180"/>
      <c r="H2" s="180"/>
      <c r="I2" s="180"/>
      <c r="J2" s="180"/>
    </row>
    <row r="3" spans="1:11" x14ac:dyDescent="0.25">
      <c r="A3" s="180" t="str">
        <f>'Sch 1.0'!A3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  <c r="I3" s="180"/>
      <c r="J3" s="180"/>
    </row>
    <row r="4" spans="1:11" x14ac:dyDescent="0.25">
      <c r="A4" s="183" t="s">
        <v>201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1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x14ac:dyDescent="0.25">
      <c r="A6" s="3"/>
      <c r="B6" s="8"/>
      <c r="C6" s="8"/>
      <c r="F6" s="3" t="s">
        <v>28</v>
      </c>
      <c r="G6" s="3"/>
      <c r="H6" s="5"/>
    </row>
    <row r="7" spans="1:11" x14ac:dyDescent="0.25">
      <c r="A7" s="10" t="s">
        <v>17</v>
      </c>
      <c r="B7" s="10"/>
      <c r="C7" s="10"/>
      <c r="F7" s="149" t="s">
        <v>202</v>
      </c>
      <c r="G7" s="9" t="s">
        <v>29</v>
      </c>
    </row>
    <row r="8" spans="1:11" x14ac:dyDescent="0.25">
      <c r="A8" s="10"/>
      <c r="B8" s="184" t="s">
        <v>81</v>
      </c>
      <c r="C8" s="184"/>
      <c r="D8" s="184"/>
      <c r="F8" s="75" t="s">
        <v>82</v>
      </c>
      <c r="G8" s="75" t="s">
        <v>84</v>
      </c>
    </row>
    <row r="10" spans="1:11" x14ac:dyDescent="0.25">
      <c r="B10" s="8" t="s">
        <v>30</v>
      </c>
    </row>
    <row r="11" spans="1:11" x14ac:dyDescent="0.25">
      <c r="B11" s="10" t="s">
        <v>31</v>
      </c>
    </row>
    <row r="12" spans="1:11" x14ac:dyDescent="0.25">
      <c r="A12" s="5">
        <v>1</v>
      </c>
      <c r="C12" t="s">
        <v>32</v>
      </c>
      <c r="F12" s="31">
        <f>'Sch 2.2'!E29+'Sch 2.2'!G29</f>
        <v>28673050</v>
      </c>
      <c r="G12" t="s">
        <v>141</v>
      </c>
    </row>
    <row r="13" spans="1:11" x14ac:dyDescent="0.25">
      <c r="A13" s="5"/>
      <c r="F13" s="31"/>
    </row>
    <row r="14" spans="1:11" x14ac:dyDescent="0.25">
      <c r="A14" s="5">
        <f>A12+1</f>
        <v>2</v>
      </c>
      <c r="C14" t="s">
        <v>33</v>
      </c>
      <c r="F14" s="32">
        <f>'Sch 2.2'!I29</f>
        <v>694968</v>
      </c>
      <c r="G14" t="s">
        <v>141</v>
      </c>
    </row>
    <row r="15" spans="1:11" x14ac:dyDescent="0.25">
      <c r="A15" s="5">
        <f t="shared" ref="A15:A16" si="0">A14+1</f>
        <v>3</v>
      </c>
      <c r="C15" t="s">
        <v>34</v>
      </c>
      <c r="F15" s="64">
        <f>-'Sch 2.0'!R40</f>
        <v>-1031731.4615384615</v>
      </c>
      <c r="G15" s="65" t="s">
        <v>46</v>
      </c>
    </row>
    <row r="16" spans="1:11" x14ac:dyDescent="0.25">
      <c r="A16" s="5">
        <f t="shared" si="0"/>
        <v>4</v>
      </c>
      <c r="D16" t="s">
        <v>35</v>
      </c>
      <c r="F16" s="1">
        <f>SUM(F12:F15)</f>
        <v>28336286.53846154</v>
      </c>
    </row>
    <row r="17" spans="1:8" x14ac:dyDescent="0.25">
      <c r="A17" s="5">
        <f>A16+1</f>
        <v>5</v>
      </c>
      <c r="C17" t="s">
        <v>229</v>
      </c>
      <c r="F17" s="49">
        <f>-'Sch 2.1'!S33-'Sch 2.1'!S35</f>
        <v>-4249546</v>
      </c>
      <c r="G17" t="s">
        <v>47</v>
      </c>
    </row>
    <row r="18" spans="1:8" x14ac:dyDescent="0.25">
      <c r="A18" s="5">
        <f>A17+1</f>
        <v>6</v>
      </c>
      <c r="D18" t="s">
        <v>37</v>
      </c>
      <c r="F18" s="1">
        <f>SUM(F16:F17)</f>
        <v>24086740.53846154</v>
      </c>
      <c r="G18" t="s">
        <v>48</v>
      </c>
    </row>
    <row r="19" spans="1:8" x14ac:dyDescent="0.25">
      <c r="A19" s="5">
        <f>A18+1</f>
        <v>7</v>
      </c>
      <c r="C19" t="s">
        <v>38</v>
      </c>
      <c r="F19" s="88">
        <f>+'Sch 1.2'!F13</f>
        <v>8.666900000000001E-2</v>
      </c>
      <c r="G19" s="89" t="s">
        <v>49</v>
      </c>
    </row>
    <row r="20" spans="1:8" x14ac:dyDescent="0.25">
      <c r="A20" s="5">
        <f>A19+1</f>
        <v>8</v>
      </c>
      <c r="C20" t="s">
        <v>39</v>
      </c>
      <c r="F20" s="72">
        <f>ROUND(F18*F19,0)</f>
        <v>2087574</v>
      </c>
      <c r="G20" t="s">
        <v>50</v>
      </c>
    </row>
    <row r="22" spans="1:8" x14ac:dyDescent="0.25">
      <c r="B22" s="10" t="s">
        <v>40</v>
      </c>
    </row>
    <row r="23" spans="1:8" x14ac:dyDescent="0.25">
      <c r="A23" s="5">
        <f>A20+1</f>
        <v>9</v>
      </c>
      <c r="C23" t="s">
        <v>41</v>
      </c>
      <c r="F23" s="73">
        <f>SUM('Sch 2.0'!F33:Q33)+SUM('Sch 2.0'!F38:Q38)</f>
        <v>792179</v>
      </c>
      <c r="G23" t="s">
        <v>46</v>
      </c>
    </row>
    <row r="24" spans="1:8" x14ac:dyDescent="0.25">
      <c r="A24" s="59">
        <f>A23+1</f>
        <v>10</v>
      </c>
      <c r="C24" t="s">
        <v>42</v>
      </c>
      <c r="F24" s="1">
        <f>ROUND(F16*H24,0)</f>
        <v>404359</v>
      </c>
      <c r="G24" t="s">
        <v>117</v>
      </c>
      <c r="H24" s="131">
        <v>1.427E-2</v>
      </c>
    </row>
    <row r="25" spans="1:8" x14ac:dyDescent="0.25">
      <c r="A25" s="59">
        <f t="shared" ref="A25:A28" si="1">A24+1</f>
        <v>11</v>
      </c>
      <c r="C25" t="s">
        <v>111</v>
      </c>
      <c r="F25" s="21">
        <f>+'Sch 2.3'!D26</f>
        <v>113532.00000000001</v>
      </c>
      <c r="G25" t="s">
        <v>89</v>
      </c>
    </row>
    <row r="26" spans="1:8" x14ac:dyDescent="0.25">
      <c r="A26" s="59">
        <f t="shared" si="1"/>
        <v>12</v>
      </c>
      <c r="C26" t="s">
        <v>88</v>
      </c>
      <c r="F26" s="66">
        <f>+'Sch 2.4'!D26</f>
        <v>0</v>
      </c>
      <c r="G26" t="s">
        <v>112</v>
      </c>
    </row>
    <row r="27" spans="1:8" x14ac:dyDescent="0.25">
      <c r="A27" s="59">
        <f t="shared" si="1"/>
        <v>13</v>
      </c>
      <c r="C27" t="s">
        <v>43</v>
      </c>
      <c r="F27" s="14">
        <f>ROUND(SUM(F20:F26)*(0.002/(1-0.002)),0)</f>
        <v>6809</v>
      </c>
      <c r="G27" t="s">
        <v>227</v>
      </c>
    </row>
    <row r="28" spans="1:8" x14ac:dyDescent="0.25">
      <c r="A28" s="59">
        <f t="shared" si="1"/>
        <v>14</v>
      </c>
      <c r="C28" t="s">
        <v>44</v>
      </c>
      <c r="F28" s="2">
        <f>SUM(F23:F27)</f>
        <v>1316879</v>
      </c>
      <c r="G28" t="s">
        <v>188</v>
      </c>
    </row>
    <row r="30" spans="1:8" ht="15.75" thickBot="1" x14ac:dyDescent="0.3">
      <c r="A30" s="5">
        <f>A28+1</f>
        <v>15</v>
      </c>
      <c r="B30" s="10" t="s">
        <v>45</v>
      </c>
      <c r="F30" s="74">
        <f>F20+F28</f>
        <v>3404453</v>
      </c>
      <c r="G30" t="s">
        <v>189</v>
      </c>
    </row>
    <row r="33" spans="1:1" x14ac:dyDescent="0.25">
      <c r="A33" s="5" t="s">
        <v>53</v>
      </c>
    </row>
    <row r="34" spans="1:1" x14ac:dyDescent="0.25">
      <c r="A34" s="43" t="s">
        <v>211</v>
      </c>
    </row>
    <row r="35" spans="1:1" x14ac:dyDescent="0.25">
      <c r="A35" s="43" t="s">
        <v>225</v>
      </c>
    </row>
  </sheetData>
  <mergeCells count="5">
    <mergeCell ref="A2:J2"/>
    <mergeCell ref="A3:J3"/>
    <mergeCell ref="A4:J4"/>
    <mergeCell ref="A5:K5"/>
    <mergeCell ref="B8:D8"/>
  </mergeCells>
  <pageMargins left="0.7" right="0.7" top="0.75" bottom="0.75" header="0.3" footer="0.3"/>
  <pageSetup scale="80" orientation="landscape" r:id="rId1"/>
  <headerFooter>
    <oddHeader xml:space="preserve">&amp;R&amp;"Times New Roman,Bold"&amp;10EXHIBIT 1
Schedule 1.1
Page &amp;P of &amp;N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Layout" zoomScaleNormal="100" workbookViewId="0">
      <selection activeCell="J6" sqref="J6"/>
    </sheetView>
  </sheetViews>
  <sheetFormatPr defaultRowHeight="15" x14ac:dyDescent="0.25"/>
  <cols>
    <col min="1" max="1" width="8.28515625" bestFit="1" customWidth="1"/>
    <col min="2" max="2" width="19.7109375" customWidth="1"/>
    <col min="3" max="3" width="13.5703125" customWidth="1"/>
    <col min="4" max="4" width="17.42578125" customWidth="1"/>
    <col min="5" max="5" width="16.7109375" customWidth="1"/>
    <col min="6" max="6" width="17.7109375" customWidth="1"/>
  </cols>
  <sheetData>
    <row r="1" spans="1:11" x14ac:dyDescent="0.25">
      <c r="A1" s="5"/>
      <c r="E1" s="5"/>
      <c r="F1" s="5"/>
      <c r="G1" s="5"/>
      <c r="H1" s="5"/>
    </row>
    <row r="2" spans="1:11" x14ac:dyDescent="0.25">
      <c r="A2" s="180" t="str">
        <f>'Sch 1.0'!A2</f>
        <v>Duke Energy Kentucky</v>
      </c>
      <c r="B2" s="180"/>
      <c r="C2" s="180"/>
      <c r="D2" s="180"/>
      <c r="E2" s="180"/>
      <c r="F2" s="180"/>
      <c r="G2" s="180"/>
      <c r="H2" s="180"/>
      <c r="I2" s="180"/>
    </row>
    <row r="3" spans="1:11" x14ac:dyDescent="0.25">
      <c r="A3" s="180" t="str">
        <f>'Sch 1.0'!A3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  <c r="I3" s="180"/>
    </row>
    <row r="4" spans="1:11" x14ac:dyDescent="0.25">
      <c r="A4" s="180" t="s">
        <v>12</v>
      </c>
      <c r="B4" s="180"/>
      <c r="C4" s="180"/>
      <c r="D4" s="180"/>
      <c r="E4" s="180"/>
      <c r="F4" s="180"/>
      <c r="G4" s="180"/>
      <c r="H4" s="180"/>
      <c r="I4" s="180"/>
    </row>
    <row r="5" spans="1:11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x14ac:dyDescent="0.25">
      <c r="A6" s="3"/>
      <c r="B6" s="3"/>
      <c r="C6" s="3"/>
      <c r="D6" s="3"/>
      <c r="E6" s="3" t="s">
        <v>57</v>
      </c>
      <c r="F6" s="3" t="s">
        <v>58</v>
      </c>
    </row>
    <row r="7" spans="1:11" x14ac:dyDescent="0.25">
      <c r="A7" s="9" t="s">
        <v>17</v>
      </c>
      <c r="B7" s="9" t="s">
        <v>54</v>
      </c>
      <c r="C7" s="9" t="s">
        <v>55</v>
      </c>
      <c r="D7" s="9" t="s">
        <v>56</v>
      </c>
      <c r="E7" s="9" t="s">
        <v>56</v>
      </c>
      <c r="F7" s="95" t="s">
        <v>210</v>
      </c>
    </row>
    <row r="8" spans="1:11" x14ac:dyDescent="0.25">
      <c r="A8" s="9"/>
      <c r="B8" s="19" t="s">
        <v>81</v>
      </c>
      <c r="C8" s="75" t="s">
        <v>82</v>
      </c>
      <c r="D8" s="75" t="s">
        <v>84</v>
      </c>
      <c r="E8" s="75" t="s">
        <v>122</v>
      </c>
      <c r="F8" s="75" t="s">
        <v>148</v>
      </c>
    </row>
    <row r="10" spans="1:11" x14ac:dyDescent="0.25">
      <c r="A10">
        <v>1</v>
      </c>
      <c r="B10" t="s">
        <v>59</v>
      </c>
      <c r="C10" s="91">
        <v>5.6090000000000001E-2</v>
      </c>
      <c r="D10" s="91">
        <v>1.009E-2</v>
      </c>
      <c r="E10" s="15">
        <f>ROUND(C10*D10,6)</f>
        <v>5.6599999999999999E-4</v>
      </c>
      <c r="F10" s="46">
        <f>E10</f>
        <v>5.6599999999999999E-4</v>
      </c>
    </row>
    <row r="11" spans="1:11" x14ac:dyDescent="0.25">
      <c r="A11">
        <f>A10+1</f>
        <v>2</v>
      </c>
      <c r="B11" t="s">
        <v>60</v>
      </c>
      <c r="C11" s="91">
        <v>0.43595</v>
      </c>
      <c r="D11" s="91">
        <v>4.7030000000000002E-2</v>
      </c>
      <c r="E11" s="15">
        <f t="shared" ref="E11:E12" si="0">ROUND(C11*D11,6)</f>
        <v>2.0503E-2</v>
      </c>
      <c r="F11" s="46">
        <f>E11</f>
        <v>2.0503E-2</v>
      </c>
    </row>
    <row r="12" spans="1:11" x14ac:dyDescent="0.25">
      <c r="A12">
        <f t="shared" ref="A12:A13" si="1">A11+1</f>
        <v>3</v>
      </c>
      <c r="B12" t="s">
        <v>61</v>
      </c>
      <c r="C12" s="92">
        <v>0.50795999999999997</v>
      </c>
      <c r="D12" s="93">
        <v>9.7000000000000003E-2</v>
      </c>
      <c r="E12" s="16">
        <f t="shared" si="0"/>
        <v>4.9272000000000003E-2</v>
      </c>
      <c r="F12" s="90">
        <f>ROUND(+E12/(1-0.24925),4)</f>
        <v>6.5600000000000006E-2</v>
      </c>
    </row>
    <row r="13" spans="1:11" x14ac:dyDescent="0.25">
      <c r="A13">
        <f t="shared" si="1"/>
        <v>4</v>
      </c>
      <c r="B13" t="s">
        <v>27</v>
      </c>
      <c r="C13" s="15">
        <f>SUM(C10:C12)</f>
        <v>1</v>
      </c>
      <c r="E13" s="46">
        <f>SUM(E10:E12)</f>
        <v>7.0341000000000001E-2</v>
      </c>
      <c r="F13" s="46">
        <f>SUM(F10:F12)</f>
        <v>8.666900000000001E-2</v>
      </c>
    </row>
    <row r="18" spans="2:2" x14ac:dyDescent="0.25">
      <c r="B18" s="43" t="s">
        <v>116</v>
      </c>
    </row>
    <row r="19" spans="2:2" x14ac:dyDescent="0.25">
      <c r="B19" s="43" t="s">
        <v>162</v>
      </c>
    </row>
  </sheetData>
  <mergeCells count="4">
    <mergeCell ref="A2:I2"/>
    <mergeCell ref="A3:I3"/>
    <mergeCell ref="A4:I4"/>
    <mergeCell ref="A5:K5"/>
  </mergeCells>
  <pageMargins left="0.7" right="0.7" top="0.75" bottom="0.75" header="0.3" footer="0.3"/>
  <pageSetup scale="88" orientation="landscape" r:id="rId1"/>
  <headerFooter>
    <oddHeader xml:space="preserve">&amp;R&amp;"Times New Roman,Bold"&amp;10EXHIBIT 1
Schedule 1.2
Page &amp;P of &amp;N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view="pageLayout" topLeftCell="D3" zoomScaleNormal="100" zoomScaleSheetLayoutView="93" workbookViewId="0">
      <selection activeCell="G17" sqref="G17"/>
    </sheetView>
  </sheetViews>
  <sheetFormatPr defaultRowHeight="15" x14ac:dyDescent="0.25"/>
  <cols>
    <col min="1" max="1" width="8.28515625" bestFit="1" customWidth="1"/>
    <col min="2" max="2" width="19.7109375" customWidth="1"/>
    <col min="3" max="4" width="13.5703125" customWidth="1"/>
    <col min="5" max="5" width="13.140625" customWidth="1"/>
    <col min="6" max="12" width="11.7109375" customWidth="1"/>
    <col min="13" max="14" width="12.28515625" bestFit="1" customWidth="1"/>
    <col min="15" max="17" width="11.7109375" customWidth="1"/>
    <col min="18" max="18" width="12.85546875" customWidth="1"/>
    <col min="19" max="19" width="10.5703125" bestFit="1" customWidth="1"/>
  </cols>
  <sheetData>
    <row r="1" spans="1:18" x14ac:dyDescent="0.2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x14ac:dyDescent="0.25">
      <c r="A2" s="180" t="str">
        <f>'Sch 1.0'!A3</f>
        <v>Annual Adjustment to the Accelerated Service Line Replacement Program ("ASRP")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x14ac:dyDescent="0.25">
      <c r="A3" s="180" t="s">
        <v>41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18" x14ac:dyDescent="0.25">
      <c r="A4" s="5"/>
    </row>
    <row r="5" spans="1:18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R5" s="4"/>
    </row>
    <row r="6" spans="1:18" x14ac:dyDescent="0.25">
      <c r="A6" s="3"/>
      <c r="B6" s="3"/>
      <c r="C6" s="3" t="s">
        <v>62</v>
      </c>
      <c r="D6" s="4"/>
      <c r="E6" s="95" t="s">
        <v>140</v>
      </c>
      <c r="F6" s="186" t="s">
        <v>219</v>
      </c>
      <c r="G6" s="186"/>
      <c r="H6" s="186"/>
      <c r="I6" s="187"/>
      <c r="J6" s="187"/>
      <c r="K6" s="187"/>
      <c r="L6" s="187"/>
      <c r="M6" s="187"/>
      <c r="N6" s="187"/>
      <c r="O6" s="187"/>
      <c r="P6" s="187"/>
      <c r="Q6" s="187"/>
      <c r="R6" s="9" t="s">
        <v>140</v>
      </c>
    </row>
    <row r="7" spans="1:18" x14ac:dyDescent="0.25">
      <c r="A7" s="9" t="s">
        <v>17</v>
      </c>
      <c r="B7" s="9" t="s">
        <v>9</v>
      </c>
      <c r="C7" s="9" t="s">
        <v>63</v>
      </c>
      <c r="D7" s="9"/>
      <c r="E7" s="96">
        <v>2018</v>
      </c>
      <c r="F7" s="9" t="s">
        <v>129</v>
      </c>
      <c r="G7" s="9" t="s">
        <v>130</v>
      </c>
      <c r="H7" s="9" t="s">
        <v>131</v>
      </c>
      <c r="I7" s="9" t="s">
        <v>132</v>
      </c>
      <c r="J7" s="9" t="s">
        <v>133</v>
      </c>
      <c r="K7" s="9" t="s">
        <v>134</v>
      </c>
      <c r="L7" s="9" t="s">
        <v>135</v>
      </c>
      <c r="M7" s="9" t="s">
        <v>136</v>
      </c>
      <c r="N7" s="9" t="s">
        <v>137</v>
      </c>
      <c r="O7" s="9" t="s">
        <v>138</v>
      </c>
      <c r="P7" s="9" t="s">
        <v>139</v>
      </c>
      <c r="Q7" s="9" t="s">
        <v>128</v>
      </c>
      <c r="R7" s="19">
        <v>2019</v>
      </c>
    </row>
    <row r="8" spans="1:18" x14ac:dyDescent="0.25">
      <c r="B8" s="19" t="s">
        <v>81</v>
      </c>
      <c r="C8" s="19" t="s">
        <v>82</v>
      </c>
      <c r="D8" s="19" t="s">
        <v>84</v>
      </c>
      <c r="E8" s="96" t="s">
        <v>122</v>
      </c>
      <c r="F8" s="19" t="s">
        <v>148</v>
      </c>
      <c r="G8" s="19" t="s">
        <v>149</v>
      </c>
      <c r="H8" s="19" t="s">
        <v>150</v>
      </c>
      <c r="I8" s="19" t="s">
        <v>151</v>
      </c>
      <c r="J8" s="19" t="s">
        <v>152</v>
      </c>
      <c r="K8" s="19" t="s">
        <v>153</v>
      </c>
      <c r="L8" s="19" t="s">
        <v>154</v>
      </c>
      <c r="M8" s="19" t="s">
        <v>155</v>
      </c>
      <c r="N8" s="19" t="s">
        <v>156</v>
      </c>
      <c r="O8" s="19" t="s">
        <v>157</v>
      </c>
      <c r="P8" s="19" t="s">
        <v>158</v>
      </c>
      <c r="Q8" s="19" t="s">
        <v>159</v>
      </c>
      <c r="R8" s="19" t="s">
        <v>161</v>
      </c>
    </row>
    <row r="9" spans="1:18" x14ac:dyDescent="0.25">
      <c r="E9" s="43"/>
    </row>
    <row r="10" spans="1:18" ht="17.25" x14ac:dyDescent="0.25">
      <c r="B10" s="10" t="s">
        <v>166</v>
      </c>
      <c r="E10" s="43"/>
    </row>
    <row r="11" spans="1:18" x14ac:dyDescent="0.25">
      <c r="B11" s="10" t="s">
        <v>64</v>
      </c>
      <c r="E11" s="43"/>
      <c r="R11" s="24"/>
    </row>
    <row r="12" spans="1:18" x14ac:dyDescent="0.25">
      <c r="A12" s="55">
        <v>1</v>
      </c>
      <c r="B12" t="s">
        <v>65</v>
      </c>
      <c r="C12" s="50" t="s">
        <v>68</v>
      </c>
      <c r="D12" s="50"/>
      <c r="E12" s="150">
        <f>'Sch 2.2'!E14</f>
        <v>27697104</v>
      </c>
      <c r="F12" s="73">
        <f>'Sch 2.2'!D15</f>
        <v>100000</v>
      </c>
      <c r="G12" s="73">
        <f>'Sch 2.2'!D16</f>
        <v>200000</v>
      </c>
      <c r="H12" s="73">
        <f>'Sch 2.2'!D17</f>
        <v>200000</v>
      </c>
      <c r="I12" s="73">
        <f>'Sch 2.2'!D18</f>
        <v>600000</v>
      </c>
      <c r="J12" s="73">
        <f>'Sch 2.2'!D19</f>
        <v>600000</v>
      </c>
      <c r="K12" s="73">
        <f>'Sch 2.2'!D20</f>
        <v>1000000</v>
      </c>
      <c r="L12" s="73">
        <f>'Sch 2.2'!D21</f>
        <v>1600000</v>
      </c>
      <c r="M12" s="73">
        <f>'Sch 2.2'!D22</f>
        <v>1700000.0000000002</v>
      </c>
      <c r="N12" s="73">
        <f>'Sch 2.2'!D23</f>
        <v>1700000.0000000002</v>
      </c>
      <c r="O12" s="73">
        <f>'Sch 2.2'!D24</f>
        <v>1500000</v>
      </c>
      <c r="P12" s="73">
        <f>'Sch 2.2'!D25</f>
        <v>600000</v>
      </c>
      <c r="Q12" s="73">
        <f>'Sch 2.2'!D26</f>
        <v>200000</v>
      </c>
      <c r="R12" s="76">
        <f>SUM(E12:Q12)</f>
        <v>37697104</v>
      </c>
    </row>
    <row r="13" spans="1:18" x14ac:dyDescent="0.25">
      <c r="A13" s="55">
        <f>A12+1</f>
        <v>2</v>
      </c>
      <c r="B13" t="s">
        <v>66</v>
      </c>
      <c r="C13" s="50" t="s">
        <v>69</v>
      </c>
      <c r="D13" s="50"/>
      <c r="E13" s="61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63">
        <f>SUM(E13:Q13)</f>
        <v>0</v>
      </c>
    </row>
    <row r="14" spans="1:18" x14ac:dyDescent="0.25">
      <c r="A14" s="59">
        <f>A13+1</f>
        <v>3</v>
      </c>
      <c r="B14" t="s">
        <v>67</v>
      </c>
      <c r="C14" s="51"/>
      <c r="D14" s="51"/>
      <c r="E14" s="79">
        <f>SUM(E12:E13)</f>
        <v>27697104</v>
      </c>
      <c r="F14" s="73">
        <f t="shared" ref="F14:Q14" si="0">SUM(F12:F13)</f>
        <v>100000</v>
      </c>
      <c r="G14" s="73">
        <f t="shared" si="0"/>
        <v>200000</v>
      </c>
      <c r="H14" s="73">
        <f t="shared" si="0"/>
        <v>200000</v>
      </c>
      <c r="I14" s="73">
        <f t="shared" si="0"/>
        <v>600000</v>
      </c>
      <c r="J14" s="73">
        <f t="shared" si="0"/>
        <v>600000</v>
      </c>
      <c r="K14" s="73">
        <f t="shared" si="0"/>
        <v>1000000</v>
      </c>
      <c r="L14" s="73">
        <f t="shared" si="0"/>
        <v>1600000</v>
      </c>
      <c r="M14" s="73">
        <f t="shared" si="0"/>
        <v>1700000.0000000002</v>
      </c>
      <c r="N14" s="73">
        <f t="shared" si="0"/>
        <v>1700000.0000000002</v>
      </c>
      <c r="O14" s="73">
        <f t="shared" si="0"/>
        <v>1500000</v>
      </c>
      <c r="P14" s="73">
        <f t="shared" si="0"/>
        <v>600000</v>
      </c>
      <c r="Q14" s="73">
        <f t="shared" si="0"/>
        <v>200000</v>
      </c>
      <c r="R14" s="77">
        <f>SUM(R12:R13)</f>
        <v>37697104</v>
      </c>
    </row>
    <row r="15" spans="1:18" x14ac:dyDescent="0.25">
      <c r="A15" s="59"/>
      <c r="C15" s="51"/>
      <c r="D15" s="51"/>
      <c r="E15" s="6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1"/>
    </row>
    <row r="16" spans="1:18" x14ac:dyDescent="0.25">
      <c r="B16" s="10" t="s">
        <v>70</v>
      </c>
      <c r="C16" s="5"/>
      <c r="D16" s="59"/>
      <c r="E16" s="110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62"/>
    </row>
    <row r="17" spans="1:19" x14ac:dyDescent="0.25">
      <c r="A17" s="55">
        <v>4</v>
      </c>
      <c r="B17" t="s">
        <v>65</v>
      </c>
      <c r="C17" s="50" t="s">
        <v>68</v>
      </c>
      <c r="D17" s="50"/>
      <c r="E17" s="152">
        <f>'Sch 2.2'!G14</f>
        <v>-2211089</v>
      </c>
      <c r="F17" s="73">
        <f>'Sch 2.2'!F15</f>
        <v>-22413</v>
      </c>
      <c r="G17" s="73">
        <f>'Sch 2.2'!F16</f>
        <v>-44826</v>
      </c>
      <c r="H17" s="73">
        <f>'Sch 2.2'!F17</f>
        <v>-44826</v>
      </c>
      <c r="I17" s="73">
        <f>'Sch 2.2'!F18</f>
        <v>-134478</v>
      </c>
      <c r="J17" s="73">
        <f>'Sch 2.2'!F19</f>
        <v>-134478</v>
      </c>
      <c r="K17" s="73">
        <f>'Sch 2.2'!F20</f>
        <v>-224130</v>
      </c>
      <c r="L17" s="73">
        <f>'Sch 2.2'!F21</f>
        <v>-358608</v>
      </c>
      <c r="M17" s="73">
        <f>'Sch 2.2'!F22</f>
        <v>-381021.00000000006</v>
      </c>
      <c r="N17" s="73">
        <f>'Sch 2.2'!F23</f>
        <v>-381021.00000000006</v>
      </c>
      <c r="O17" s="73">
        <f>'Sch 2.2'!F24</f>
        <v>-336195</v>
      </c>
      <c r="P17" s="73">
        <f>'Sch 2.2'!F25</f>
        <v>-134478</v>
      </c>
      <c r="Q17" s="73">
        <f>'Sch 2.2'!F26</f>
        <v>-44826</v>
      </c>
      <c r="R17" s="76">
        <f>SUM(E17:Q17)</f>
        <v>-4452389</v>
      </c>
    </row>
    <row r="18" spans="1:19" x14ac:dyDescent="0.25">
      <c r="A18" s="59">
        <f>A17+1</f>
        <v>5</v>
      </c>
      <c r="B18" t="s">
        <v>66</v>
      </c>
      <c r="C18" s="50" t="s">
        <v>69</v>
      </c>
      <c r="D18" s="50"/>
      <c r="E18" s="61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63">
        <f>SUM(E18:Q18)</f>
        <v>0</v>
      </c>
    </row>
    <row r="19" spans="1:19" x14ac:dyDescent="0.25">
      <c r="A19" s="59">
        <f>A18+1</f>
        <v>6</v>
      </c>
      <c r="B19" t="s">
        <v>71</v>
      </c>
      <c r="C19" s="5"/>
      <c r="D19" s="59"/>
      <c r="E19" s="79">
        <f>SUM(E17:E18)</f>
        <v>-2211089</v>
      </c>
      <c r="F19" s="73">
        <f t="shared" ref="F19" si="1">SUM(F17:F18)</f>
        <v>-22413</v>
      </c>
      <c r="G19" s="73">
        <f t="shared" ref="G19" si="2">SUM(G17:G18)</f>
        <v>-44826</v>
      </c>
      <c r="H19" s="73">
        <f t="shared" ref="H19" si="3">SUM(H17:H18)</f>
        <v>-44826</v>
      </c>
      <c r="I19" s="73">
        <f t="shared" ref="I19" si="4">SUM(I17:I18)</f>
        <v>-134478</v>
      </c>
      <c r="J19" s="73">
        <f t="shared" ref="J19" si="5">SUM(J17:J18)</f>
        <v>-134478</v>
      </c>
      <c r="K19" s="73">
        <f t="shared" ref="K19" si="6">SUM(K17:K18)</f>
        <v>-224130</v>
      </c>
      <c r="L19" s="73">
        <f t="shared" ref="L19" si="7">SUM(L17:L18)</f>
        <v>-358608</v>
      </c>
      <c r="M19" s="73">
        <f t="shared" ref="M19" si="8">SUM(M17:M18)</f>
        <v>-381021.00000000006</v>
      </c>
      <c r="N19" s="73">
        <f t="shared" ref="N19" si="9">SUM(N17:N18)</f>
        <v>-381021.00000000006</v>
      </c>
      <c r="O19" s="73">
        <f t="shared" ref="O19" si="10">SUM(O17:O18)</f>
        <v>-336195</v>
      </c>
      <c r="P19" s="73">
        <f t="shared" ref="P19" si="11">SUM(P17:P18)</f>
        <v>-134478</v>
      </c>
      <c r="Q19" s="73">
        <f t="shared" ref="Q19" si="12">SUM(Q17:Q18)</f>
        <v>-44826</v>
      </c>
      <c r="R19" s="77">
        <f>SUM(R17:R18)</f>
        <v>-4452389</v>
      </c>
    </row>
    <row r="20" spans="1:19" x14ac:dyDescent="0.25">
      <c r="C20" s="5"/>
      <c r="D20" s="59"/>
      <c r="E20" s="110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9" x14ac:dyDescent="0.25">
      <c r="B21" s="10" t="s">
        <v>33</v>
      </c>
      <c r="C21" s="5"/>
      <c r="D21" s="59"/>
      <c r="E21" s="110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62"/>
      <c r="S21" s="24"/>
    </row>
    <row r="22" spans="1:19" x14ac:dyDescent="0.25">
      <c r="A22" s="55">
        <v>7</v>
      </c>
      <c r="B22" t="s">
        <v>65</v>
      </c>
      <c r="C22" s="50" t="s">
        <v>68</v>
      </c>
      <c r="D22" s="50"/>
      <c r="E22" s="164">
        <v>303988</v>
      </c>
      <c r="F22" s="164">
        <f>'Sch 2.2'!$I15</f>
        <v>416512.03</v>
      </c>
      <c r="G22" s="164">
        <f>'Sch 2.2'!$I16</f>
        <v>430408.09</v>
      </c>
      <c r="H22" s="164">
        <f>'Sch 2.2'!$I17</f>
        <v>444304.15</v>
      </c>
      <c r="I22" s="164">
        <f>'Sch 2.2'!$I18</f>
        <v>485992.33</v>
      </c>
      <c r="J22" s="164">
        <f>'Sch 2.2'!$I19</f>
        <v>527680.51</v>
      </c>
      <c r="K22" s="164">
        <f>'Sch 2.2'!$I20</f>
        <v>597160.81000000006</v>
      </c>
      <c r="L22" s="164">
        <f>'Sch 2.2'!$I21</f>
        <v>708329.29</v>
      </c>
      <c r="M22" s="164">
        <f>'Sch 2.2'!$I22</f>
        <v>826445.8</v>
      </c>
      <c r="N22" s="164">
        <f>'Sch 2.2'!$I23</f>
        <v>944562.31</v>
      </c>
      <c r="O22" s="164">
        <f>'Sch 2.2'!$I24</f>
        <v>1048782.76</v>
      </c>
      <c r="P22" s="164">
        <f>'Sch 2.2'!$I25</f>
        <v>1090470.94</v>
      </c>
      <c r="Q22" s="164">
        <f>'Sch 2.2'!$I26</f>
        <v>1104367</v>
      </c>
      <c r="R22" s="78">
        <f>SUM(E22:Q22)</f>
        <v>8929004.0199999996</v>
      </c>
      <c r="S22" s="24"/>
    </row>
    <row r="23" spans="1:19" x14ac:dyDescent="0.25">
      <c r="A23" s="55">
        <f>A22+1</f>
        <v>8</v>
      </c>
      <c r="B23" s="23" t="s">
        <v>72</v>
      </c>
      <c r="E23" s="165">
        <f>E22</f>
        <v>303988</v>
      </c>
      <c r="F23" s="165">
        <f t="shared" ref="F23:Q23" si="13">F22</f>
        <v>416512.03</v>
      </c>
      <c r="G23" s="165">
        <f t="shared" si="13"/>
        <v>430408.09</v>
      </c>
      <c r="H23" s="165">
        <f t="shared" si="13"/>
        <v>444304.15</v>
      </c>
      <c r="I23" s="165">
        <f t="shared" si="13"/>
        <v>485992.33</v>
      </c>
      <c r="J23" s="165">
        <f t="shared" si="13"/>
        <v>527680.51</v>
      </c>
      <c r="K23" s="165">
        <f t="shared" si="13"/>
        <v>597160.81000000006</v>
      </c>
      <c r="L23" s="165">
        <f t="shared" si="13"/>
        <v>708329.29</v>
      </c>
      <c r="M23" s="165">
        <f t="shared" si="13"/>
        <v>826445.8</v>
      </c>
      <c r="N23" s="165">
        <f t="shared" si="13"/>
        <v>944562.31</v>
      </c>
      <c r="O23" s="165">
        <f t="shared" si="13"/>
        <v>1048782.76</v>
      </c>
      <c r="P23" s="165">
        <f t="shared" si="13"/>
        <v>1090470.94</v>
      </c>
      <c r="Q23" s="165">
        <f t="shared" si="13"/>
        <v>1104367</v>
      </c>
      <c r="R23" s="77">
        <f>SUM(E23:Q23)</f>
        <v>8929004.0199999996</v>
      </c>
      <c r="S23" s="24"/>
    </row>
    <row r="24" spans="1:19" x14ac:dyDescent="0.25">
      <c r="E24" s="43"/>
      <c r="R24" s="24"/>
      <c r="S24" s="24"/>
    </row>
    <row r="25" spans="1:19" x14ac:dyDescent="0.25">
      <c r="B25" s="10"/>
      <c r="C25" s="54"/>
      <c r="D25" s="54"/>
      <c r="E25" s="11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1"/>
      <c r="S25" s="24"/>
    </row>
    <row r="26" spans="1:19" x14ac:dyDescent="0.25">
      <c r="A26" s="59"/>
      <c r="B26" s="53"/>
      <c r="C26" s="54"/>
      <c r="D26" s="54" t="s">
        <v>144</v>
      </c>
      <c r="E26" s="112"/>
      <c r="H26" s="56"/>
      <c r="I26" s="19"/>
      <c r="J26" s="19"/>
      <c r="K26" s="19"/>
      <c r="L26" s="19"/>
      <c r="M26" s="19"/>
      <c r="N26" s="19"/>
      <c r="O26" s="19"/>
      <c r="P26" s="19"/>
      <c r="Q26" s="19"/>
      <c r="R26" s="1"/>
    </row>
    <row r="27" spans="1:19" x14ac:dyDescent="0.25">
      <c r="A27" s="55"/>
      <c r="B27" s="53"/>
      <c r="D27" s="4" t="s">
        <v>41</v>
      </c>
      <c r="E27" s="94" t="s">
        <v>142</v>
      </c>
      <c r="G27" s="82"/>
      <c r="R27" s="4" t="s">
        <v>145</v>
      </c>
    </row>
    <row r="28" spans="1:19" x14ac:dyDescent="0.25">
      <c r="A28" s="55"/>
      <c r="D28" s="4" t="s">
        <v>143</v>
      </c>
      <c r="E28" s="95" t="s">
        <v>140</v>
      </c>
      <c r="F28" s="185" t="s">
        <v>221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58" t="s">
        <v>146</v>
      </c>
    </row>
    <row r="29" spans="1:19" x14ac:dyDescent="0.25">
      <c r="A29" s="59"/>
      <c r="B29" s="10" t="s">
        <v>160</v>
      </c>
      <c r="D29" s="4"/>
      <c r="E29" s="96">
        <v>2018</v>
      </c>
      <c r="F29" s="9" t="s">
        <v>129</v>
      </c>
      <c r="G29" s="9" t="s">
        <v>130</v>
      </c>
      <c r="H29" s="9" t="s">
        <v>131</v>
      </c>
      <c r="I29" s="9" t="s">
        <v>132</v>
      </c>
      <c r="J29" s="9" t="s">
        <v>133</v>
      </c>
      <c r="K29" s="9" t="s">
        <v>134</v>
      </c>
      <c r="L29" s="9" t="s">
        <v>135</v>
      </c>
      <c r="M29" s="9" t="s">
        <v>136</v>
      </c>
      <c r="N29" s="9" t="s">
        <v>137</v>
      </c>
      <c r="O29" s="9" t="s">
        <v>138</v>
      </c>
      <c r="P29" s="9" t="s">
        <v>139</v>
      </c>
      <c r="Q29" s="9" t="s">
        <v>128</v>
      </c>
    </row>
    <row r="30" spans="1:19" x14ac:dyDescent="0.25">
      <c r="A30" s="59"/>
      <c r="B30" s="10" t="s">
        <v>64</v>
      </c>
      <c r="D30" s="4"/>
      <c r="E30" s="95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9" x14ac:dyDescent="0.25">
      <c r="A31" s="55">
        <f>A23+1</f>
        <v>9</v>
      </c>
      <c r="B31" t="s">
        <v>65</v>
      </c>
      <c r="C31" s="50" t="s">
        <v>68</v>
      </c>
      <c r="D31" s="54">
        <v>2.8000000000000001E-2</v>
      </c>
      <c r="E31" s="150">
        <v>703485</v>
      </c>
      <c r="F31" s="79">
        <f>ROUND(SUM($E$12:E12)*0.028/12,0)</f>
        <v>64627</v>
      </c>
      <c r="G31" s="79">
        <f>ROUND(SUM($E$12:F12)*0.028/12,0)</f>
        <v>64860</v>
      </c>
      <c r="H31" s="79">
        <f>ROUND(SUM($E$12:G12)*0.028/12,0)</f>
        <v>65327</v>
      </c>
      <c r="I31" s="79">
        <f>ROUND(SUM($E$12:H12)*0.028/12,0)</f>
        <v>65793</v>
      </c>
      <c r="J31" s="79">
        <f>ROUND(SUM($E$12:I12)*0.028/12,0)</f>
        <v>67193</v>
      </c>
      <c r="K31" s="79">
        <f>ROUND(SUM($E$12:J12)*0.028/12,0)</f>
        <v>68593</v>
      </c>
      <c r="L31" s="79">
        <f>ROUND(SUM($E$12:K12)*0.028/12,0)</f>
        <v>70927</v>
      </c>
      <c r="M31" s="79">
        <f>ROUND(SUM($E$12:L12)*0.028/12,0)</f>
        <v>74660</v>
      </c>
      <c r="N31" s="79">
        <f>ROUND(SUM($E$12:M12)*0.028/12,0)</f>
        <v>78627</v>
      </c>
      <c r="O31" s="79">
        <f>ROUND(SUM($E$12:N12)*0.028/12,0)</f>
        <v>82593</v>
      </c>
      <c r="P31" s="79">
        <f>ROUND(SUM($E$12:O12)*0.028/12,0)</f>
        <v>86093</v>
      </c>
      <c r="Q31" s="79">
        <f>ROUND(SUM($E$12:P12)*0.028/12,0)</f>
        <v>87493</v>
      </c>
      <c r="R31" s="21"/>
    </row>
    <row r="32" spans="1:19" x14ac:dyDescent="0.25">
      <c r="A32" s="55">
        <f>A31+1</f>
        <v>10</v>
      </c>
      <c r="B32" t="s">
        <v>66</v>
      </c>
      <c r="C32" s="50" t="s">
        <v>69</v>
      </c>
      <c r="D32" s="50"/>
      <c r="E32" s="61"/>
      <c r="F32" s="14">
        <f>ROUND(SUM($E$13:E13)*0.028/12,0)</f>
        <v>0</v>
      </c>
      <c r="G32" s="14">
        <f>ROUND(SUM($E$13:F13)*0.028/12,0)</f>
        <v>0</v>
      </c>
      <c r="H32" s="14">
        <f>ROUND(SUM($F$13:G13)*0.028/12,0)</f>
        <v>0</v>
      </c>
      <c r="I32" s="14">
        <f>ROUND(SUM($F$13:H13)*0.028/12,0)</f>
        <v>0</v>
      </c>
      <c r="J32" s="14">
        <f>ROUND(SUM($F$13:I13)*0.028/12,0)</f>
        <v>0</v>
      </c>
      <c r="K32" s="14">
        <f>ROUND(SUM($F$13:J13)*0.028/12,0)</f>
        <v>0</v>
      </c>
      <c r="L32" s="14">
        <f>ROUND(SUM($F$13:K13)*0.028/12,0)</f>
        <v>0</v>
      </c>
      <c r="M32" s="14">
        <f>ROUND(SUM($F$13:L13)*0.028/12,0)</f>
        <v>0</v>
      </c>
      <c r="N32" s="14">
        <f>ROUND(SUM($F$13:M13)*0.028/12,0)</f>
        <v>0</v>
      </c>
      <c r="O32" s="14">
        <f>ROUND(SUM($F$13:N13)*0.028/12,0)</f>
        <v>0</v>
      </c>
      <c r="P32" s="14">
        <f>ROUND(SUM($F$13:O13)*0.028/12,0)</f>
        <v>0</v>
      </c>
      <c r="Q32" s="14">
        <f>ROUND(SUM($F$13:P13)*0.028/12,0)</f>
        <v>0</v>
      </c>
      <c r="R32" s="21"/>
    </row>
    <row r="33" spans="1:18" x14ac:dyDescent="0.25">
      <c r="A33" s="59">
        <f>A32+1</f>
        <v>11</v>
      </c>
      <c r="B33" t="s">
        <v>67</v>
      </c>
      <c r="C33" s="51"/>
      <c r="D33" s="51"/>
      <c r="E33" s="79">
        <f t="shared" ref="E33:F33" si="14">SUM(E31:E32)</f>
        <v>703485</v>
      </c>
      <c r="F33" s="79">
        <f t="shared" si="14"/>
        <v>64627</v>
      </c>
      <c r="G33" s="73">
        <f t="shared" ref="G33" si="15">SUM(G31:G32)</f>
        <v>64860</v>
      </c>
      <c r="H33" s="73">
        <f t="shared" ref="H33" si="16">SUM(H31:H32)</f>
        <v>65327</v>
      </c>
      <c r="I33" s="73">
        <f t="shared" ref="I33" si="17">SUM(I31:I32)</f>
        <v>65793</v>
      </c>
      <c r="J33" s="73">
        <f t="shared" ref="J33" si="18">SUM(J31:J32)</f>
        <v>67193</v>
      </c>
      <c r="K33" s="73">
        <f t="shared" ref="K33" si="19">SUM(K31:K32)</f>
        <v>68593</v>
      </c>
      <c r="L33" s="73">
        <f t="shared" ref="L33" si="20">SUM(L31:L32)</f>
        <v>70927</v>
      </c>
      <c r="M33" s="73">
        <f t="shared" ref="M33" si="21">SUM(M31:M32)</f>
        <v>74660</v>
      </c>
      <c r="N33" s="73">
        <f t="shared" ref="N33" si="22">SUM(N31:N32)</f>
        <v>78627</v>
      </c>
      <c r="O33" s="73">
        <f t="shared" ref="O33" si="23">SUM(O31:O32)</f>
        <v>82593</v>
      </c>
      <c r="P33" s="73">
        <f t="shared" ref="P33" si="24">SUM(P31:P32)</f>
        <v>86093</v>
      </c>
      <c r="Q33" s="73">
        <f t="shared" ref="Q33" si="25">SUM(Q31:Q32)</f>
        <v>87493</v>
      </c>
      <c r="R33" s="21"/>
    </row>
    <row r="34" spans="1:18" x14ac:dyDescent="0.25">
      <c r="A34" s="55"/>
      <c r="C34" s="51"/>
      <c r="D34" s="51"/>
      <c r="E34" s="43"/>
      <c r="F34" s="1"/>
      <c r="R34" s="24"/>
    </row>
    <row r="35" spans="1:18" x14ac:dyDescent="0.25">
      <c r="A35" s="55"/>
      <c r="B35" s="10" t="s">
        <v>70</v>
      </c>
      <c r="C35" s="51"/>
      <c r="D35" s="51"/>
      <c r="E35" s="43"/>
      <c r="F35" s="1"/>
      <c r="R35" s="24"/>
    </row>
    <row r="36" spans="1:18" x14ac:dyDescent="0.25">
      <c r="A36" s="55">
        <v>12</v>
      </c>
      <c r="B36" t="s">
        <v>65</v>
      </c>
      <c r="C36" s="50" t="s">
        <v>68</v>
      </c>
      <c r="D36" s="54">
        <v>2.8000000000000001E-2</v>
      </c>
      <c r="E36" s="150">
        <v>-48375</v>
      </c>
      <c r="F36" s="79">
        <f>ROUND(SUM($E$17:E17)*0.028/12,0)</f>
        <v>-5159</v>
      </c>
      <c r="G36" s="73">
        <f>ROUND(SUM($E$17:F17)*0.028/12,0)</f>
        <v>-5212</v>
      </c>
      <c r="H36" s="73">
        <f>ROUND(SUM($E$17:G17)*0.028/12,0)</f>
        <v>-5316</v>
      </c>
      <c r="I36" s="73">
        <f>ROUND(SUM($E$17:H17)*0.028/12,0)</f>
        <v>-5421</v>
      </c>
      <c r="J36" s="73">
        <f>ROUND(SUM($E$17:I17)*0.028/12,0)</f>
        <v>-5734</v>
      </c>
      <c r="K36" s="73">
        <f>ROUND(SUM($E$17:J17)*0.028/12,0)</f>
        <v>-6048</v>
      </c>
      <c r="L36" s="73">
        <f>ROUND(SUM($E$17:K17)*0.028/12,0)</f>
        <v>-6571</v>
      </c>
      <c r="M36" s="73">
        <f>ROUND(SUM($E$17:L17)*0.028/12,0)</f>
        <v>-7408</v>
      </c>
      <c r="N36" s="73">
        <f>ROUND(SUM($E$17:M17)*0.028/12,0)</f>
        <v>-8297</v>
      </c>
      <c r="O36" s="73">
        <f>ROUND(SUM($E$17:N17)*0.028/12,0)</f>
        <v>-9186</v>
      </c>
      <c r="P36" s="73">
        <f>ROUND(SUM($E$17:O17)*0.028/12,0)</f>
        <v>-9971</v>
      </c>
      <c r="Q36" s="73">
        <f>ROUND(SUM($E$17:P17)*0.028/12,0)</f>
        <v>-10284</v>
      </c>
      <c r="R36" s="21"/>
    </row>
    <row r="37" spans="1:18" x14ac:dyDescent="0.25">
      <c r="A37" s="59">
        <f>A36+1</f>
        <v>13</v>
      </c>
      <c r="B37" t="s">
        <v>66</v>
      </c>
      <c r="C37" s="50" t="s">
        <v>69</v>
      </c>
      <c r="D37" s="50"/>
      <c r="E37" s="61"/>
      <c r="F37" s="61">
        <f>E18*0.028</f>
        <v>0</v>
      </c>
      <c r="G37" s="14">
        <f>ROUND(SUM($E$18:F18)*0.028/12,0)</f>
        <v>0</v>
      </c>
      <c r="H37" s="14">
        <f>ROUND(SUM($F$18:G18)*0.028/12,0)</f>
        <v>0</v>
      </c>
      <c r="I37" s="14">
        <f>ROUND(SUM($F$18:H18)*0.028/12,0)</f>
        <v>0</v>
      </c>
      <c r="J37" s="14">
        <f>ROUND(SUM($F$18:I18)*0.028/12,0)</f>
        <v>0</v>
      </c>
      <c r="K37" s="14">
        <f>ROUND(SUM($F$18:J18)*0.028/12,0)</f>
        <v>0</v>
      </c>
      <c r="L37" s="14">
        <f>ROUND(SUM($F$18:K18)*0.028/12,0)</f>
        <v>0</v>
      </c>
      <c r="M37" s="14">
        <f>ROUND(SUM($F$18:L18)*0.028/12,0)</f>
        <v>0</v>
      </c>
      <c r="N37" s="14">
        <f>ROUND(SUM($F$18:M18)*0.028/12,0)</f>
        <v>0</v>
      </c>
      <c r="O37" s="14">
        <f>ROUND(SUM($F$18:N18)*0.028/12,0)</f>
        <v>0</v>
      </c>
      <c r="P37" s="14">
        <f>ROUND(SUM($F$18:O18)*0.028/12,0)</f>
        <v>0</v>
      </c>
      <c r="Q37" s="14">
        <f>ROUND(SUM($F$18:P18)*0.028/12,0)</f>
        <v>0</v>
      </c>
      <c r="R37" s="21"/>
    </row>
    <row r="38" spans="1:18" x14ac:dyDescent="0.25">
      <c r="A38" s="59">
        <f>A37+1</f>
        <v>14</v>
      </c>
      <c r="B38" t="s">
        <v>71</v>
      </c>
      <c r="C38" s="55"/>
      <c r="D38" s="59"/>
      <c r="E38" s="79">
        <f t="shared" ref="E38:F38" si="26">SUM(E36:E37)</f>
        <v>-48375</v>
      </c>
      <c r="F38" s="79">
        <f t="shared" si="26"/>
        <v>-5159</v>
      </c>
      <c r="G38" s="73">
        <f t="shared" ref="G38" si="27">SUM(G36:G37)</f>
        <v>-5212</v>
      </c>
      <c r="H38" s="73">
        <f t="shared" ref="H38" si="28">SUM(H36:H37)</f>
        <v>-5316</v>
      </c>
      <c r="I38" s="73">
        <f t="shared" ref="I38" si="29">SUM(I36:I37)</f>
        <v>-5421</v>
      </c>
      <c r="J38" s="73">
        <f t="shared" ref="J38" si="30">SUM(J36:J37)</f>
        <v>-5734</v>
      </c>
      <c r="K38" s="73">
        <f t="shared" ref="K38" si="31">SUM(K36:K37)</f>
        <v>-6048</v>
      </c>
      <c r="L38" s="73">
        <f t="shared" ref="L38" si="32">SUM(L36:L37)</f>
        <v>-6571</v>
      </c>
      <c r="M38" s="73">
        <f t="shared" ref="M38" si="33">SUM(M36:M37)</f>
        <v>-7408</v>
      </c>
      <c r="N38" s="73">
        <f t="shared" ref="N38" si="34">SUM(N36:N37)</f>
        <v>-8297</v>
      </c>
      <c r="O38" s="73">
        <f t="shared" ref="O38" si="35">SUM(O36:O37)</f>
        <v>-9186</v>
      </c>
      <c r="P38" s="73">
        <f t="shared" ref="P38" si="36">SUM(P36:P37)</f>
        <v>-9971</v>
      </c>
      <c r="Q38" s="73">
        <f t="shared" ref="Q38" si="37">SUM(Q36:Q37)</f>
        <v>-10284</v>
      </c>
      <c r="R38" s="21"/>
    </row>
    <row r="39" spans="1:18" x14ac:dyDescent="0.25">
      <c r="A39" s="59" t="s">
        <v>142</v>
      </c>
      <c r="C39" s="59"/>
      <c r="D39" s="59"/>
      <c r="E39" s="60"/>
      <c r="F39" s="6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thickBot="1" x14ac:dyDescent="0.3">
      <c r="A40" s="59">
        <v>15</v>
      </c>
      <c r="B40" s="10" t="s">
        <v>147</v>
      </c>
      <c r="C40" s="59"/>
      <c r="D40" s="59"/>
      <c r="E40" s="84">
        <f>E33+E38</f>
        <v>655110</v>
      </c>
      <c r="F40" s="71">
        <f t="shared" ref="F40:Q40" si="38">E40+F33+F38</f>
        <v>714578</v>
      </c>
      <c r="G40" s="71">
        <f t="shared" si="38"/>
        <v>774226</v>
      </c>
      <c r="H40" s="71">
        <f>G40+H33+H38</f>
        <v>834237</v>
      </c>
      <c r="I40" s="71">
        <f t="shared" si="38"/>
        <v>894609</v>
      </c>
      <c r="J40" s="71">
        <f t="shared" si="38"/>
        <v>956068</v>
      </c>
      <c r="K40" s="71">
        <f t="shared" si="38"/>
        <v>1018613</v>
      </c>
      <c r="L40" s="71">
        <f t="shared" si="38"/>
        <v>1082969</v>
      </c>
      <c r="M40" s="71">
        <f t="shared" si="38"/>
        <v>1150221</v>
      </c>
      <c r="N40" s="71">
        <f t="shared" si="38"/>
        <v>1220551</v>
      </c>
      <c r="O40" s="71">
        <f t="shared" si="38"/>
        <v>1293958</v>
      </c>
      <c r="P40" s="71">
        <f t="shared" si="38"/>
        <v>1370080</v>
      </c>
      <c r="Q40" s="71">
        <f t="shared" si="38"/>
        <v>1447289</v>
      </c>
      <c r="R40" s="80">
        <f>AVERAGE(E40:Q40)</f>
        <v>1031731.4615384615</v>
      </c>
    </row>
    <row r="41" spans="1:18" ht="15.75" thickTop="1" x14ac:dyDescent="0.25">
      <c r="A41" s="59"/>
      <c r="C41" s="59"/>
      <c r="D41" s="59"/>
      <c r="E41" s="60"/>
      <c r="F41" s="6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3" spans="1:18" x14ac:dyDescent="0.25">
      <c r="A43" t="s">
        <v>53</v>
      </c>
    </row>
    <row r="44" spans="1:18" x14ac:dyDescent="0.25">
      <c r="A44" s="151" t="s">
        <v>203</v>
      </c>
    </row>
  </sheetData>
  <mergeCells count="6">
    <mergeCell ref="F28:Q28"/>
    <mergeCell ref="F6:Q6"/>
    <mergeCell ref="A1:R1"/>
    <mergeCell ref="A2:R2"/>
    <mergeCell ref="A3:R3"/>
    <mergeCell ref="A5:K5"/>
  </mergeCells>
  <pageMargins left="0.7" right="0.7" top="0.75" bottom="0.75" header="0.3" footer="0.3"/>
  <pageSetup scale="55" orientation="landscape" r:id="rId1"/>
  <headerFooter>
    <oddHeader xml:space="preserve">&amp;R&amp;"Times New Roman,Bold"&amp;10EXHIBIT 1
Schedule 2.0
Page &amp;P of &amp;N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view="pageLayout" topLeftCell="A13" zoomScaleNormal="100" workbookViewId="0">
      <selection activeCell="C29" sqref="C29"/>
    </sheetView>
  </sheetViews>
  <sheetFormatPr defaultRowHeight="15" x14ac:dyDescent="0.25"/>
  <cols>
    <col min="1" max="1" width="7.140625" customWidth="1"/>
    <col min="2" max="2" width="35.85546875" customWidth="1"/>
    <col min="3" max="3" width="8.28515625" customWidth="1"/>
    <col min="4" max="4" width="13.140625" customWidth="1"/>
    <col min="5" max="5" width="3.7109375" customWidth="1"/>
    <col min="6" max="8" width="13.140625" customWidth="1"/>
    <col min="9" max="9" width="3.7109375" customWidth="1"/>
    <col min="10" max="13" width="13.140625" customWidth="1"/>
    <col min="14" max="14" width="3.7109375" customWidth="1"/>
    <col min="15" max="19" width="13.140625" customWidth="1"/>
    <col min="20" max="20" width="9.140625" style="43"/>
  </cols>
  <sheetData>
    <row r="1" spans="1:19" x14ac:dyDescent="0.25">
      <c r="A1" s="5"/>
      <c r="B1" s="36"/>
      <c r="D1" s="5"/>
      <c r="F1" s="5"/>
    </row>
    <row r="2" spans="1:19" x14ac:dyDescent="0.25">
      <c r="A2" s="180" t="str">
        <f>'Sch 1.0'!A2</f>
        <v>Duke Energy Kentucky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1:19" x14ac:dyDescent="0.25">
      <c r="A3" s="180" t="str">
        <f>'Sch 1.0'!A3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x14ac:dyDescent="0.25">
      <c r="A4" s="180" t="s">
        <v>36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</row>
    <row r="5" spans="1:19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1:19" x14ac:dyDescent="0.25">
      <c r="A6" s="5"/>
      <c r="D6" s="57" t="s">
        <v>96</v>
      </c>
      <c r="F6" s="188" t="s">
        <v>118</v>
      </c>
      <c r="G6" s="188"/>
      <c r="H6" s="188"/>
      <c r="J6" s="188" t="s">
        <v>168</v>
      </c>
      <c r="K6" s="188"/>
      <c r="L6" s="188"/>
      <c r="M6" s="188"/>
      <c r="O6" s="188" t="s">
        <v>220</v>
      </c>
      <c r="P6" s="188"/>
      <c r="Q6" s="188"/>
      <c r="R6" s="188"/>
      <c r="S6" s="188"/>
    </row>
    <row r="7" spans="1:19" x14ac:dyDescent="0.25">
      <c r="A7" s="4"/>
      <c r="B7" s="4"/>
      <c r="C7" s="4"/>
      <c r="D7" s="4" t="s">
        <v>97</v>
      </c>
      <c r="F7" s="94" t="s">
        <v>97</v>
      </c>
      <c r="G7" s="94" t="s">
        <v>97</v>
      </c>
      <c r="H7" s="43"/>
      <c r="J7" s="94" t="s">
        <v>97</v>
      </c>
      <c r="K7" s="94" t="s">
        <v>97</v>
      </c>
      <c r="L7" s="94" t="s">
        <v>97</v>
      </c>
      <c r="M7" s="43"/>
      <c r="O7" s="166" t="s">
        <v>97</v>
      </c>
      <c r="P7" s="166" t="s">
        <v>97</v>
      </c>
      <c r="Q7" s="166" t="s">
        <v>97</v>
      </c>
      <c r="R7" s="166" t="s">
        <v>97</v>
      </c>
      <c r="S7" s="43"/>
    </row>
    <row r="8" spans="1:19" x14ac:dyDescent="0.25">
      <c r="A8" s="9" t="s">
        <v>17</v>
      </c>
      <c r="B8" s="9"/>
      <c r="C8" s="9"/>
      <c r="D8" s="9">
        <v>2016</v>
      </c>
      <c r="F8" s="95">
        <v>2016</v>
      </c>
      <c r="G8" s="95">
        <v>2017</v>
      </c>
      <c r="H8" s="95" t="s">
        <v>119</v>
      </c>
      <c r="J8" s="95">
        <v>2016</v>
      </c>
      <c r="K8" s="95">
        <v>2017</v>
      </c>
      <c r="L8" s="95">
        <v>2018</v>
      </c>
      <c r="M8" s="95" t="s">
        <v>119</v>
      </c>
      <c r="O8" s="95">
        <v>2016</v>
      </c>
      <c r="P8" s="95">
        <v>2017</v>
      </c>
      <c r="Q8" s="95">
        <v>2018</v>
      </c>
      <c r="R8" s="95">
        <v>2019</v>
      </c>
      <c r="S8" s="95" t="s">
        <v>119</v>
      </c>
    </row>
    <row r="9" spans="1:19" x14ac:dyDescent="0.25">
      <c r="B9" s="19" t="s">
        <v>81</v>
      </c>
      <c r="C9" s="19" t="s">
        <v>82</v>
      </c>
      <c r="D9" s="19" t="s">
        <v>84</v>
      </c>
      <c r="F9" s="96" t="s">
        <v>122</v>
      </c>
      <c r="G9" s="96" t="s">
        <v>148</v>
      </c>
      <c r="H9" s="96" t="s">
        <v>149</v>
      </c>
      <c r="J9" s="96" t="s">
        <v>150</v>
      </c>
      <c r="K9" s="96" t="s">
        <v>151</v>
      </c>
      <c r="L9" s="96" t="s">
        <v>152</v>
      </c>
      <c r="M9" s="96" t="s">
        <v>153</v>
      </c>
      <c r="O9" s="96" t="s">
        <v>154</v>
      </c>
      <c r="P9" s="96" t="s">
        <v>155</v>
      </c>
      <c r="Q9" s="96" t="s">
        <v>156</v>
      </c>
      <c r="R9" s="96" t="s">
        <v>157</v>
      </c>
      <c r="S9" s="96" t="s">
        <v>158</v>
      </c>
    </row>
    <row r="10" spans="1:19" x14ac:dyDescent="0.25">
      <c r="A10" s="5"/>
      <c r="F10" s="43"/>
      <c r="G10" s="43"/>
      <c r="H10" s="43"/>
      <c r="J10" s="43"/>
      <c r="K10" s="43"/>
      <c r="L10" s="43"/>
      <c r="M10" s="43"/>
      <c r="O10" s="43"/>
      <c r="P10" s="43"/>
      <c r="Q10" s="43"/>
      <c r="R10" s="43"/>
      <c r="S10" s="43"/>
    </row>
    <row r="11" spans="1:19" x14ac:dyDescent="0.25">
      <c r="A11" s="5">
        <v>1</v>
      </c>
      <c r="B11" t="s">
        <v>73</v>
      </c>
      <c r="C11" s="20"/>
      <c r="D11" s="97">
        <v>4339804</v>
      </c>
      <c r="E11" s="118"/>
      <c r="F11" s="97">
        <v>4339804</v>
      </c>
      <c r="G11" s="97">
        <v>13357300</v>
      </c>
      <c r="H11" s="85">
        <f>SUM(F11:G11)</f>
        <v>17697104</v>
      </c>
      <c r="I11" s="43"/>
      <c r="J11" s="85">
        <v>4339804</v>
      </c>
      <c r="K11" s="85">
        <f>G11</f>
        <v>13357300</v>
      </c>
      <c r="L11" s="97">
        <v>10000000</v>
      </c>
      <c r="M11" s="85">
        <f>SUM(J11:L11)</f>
        <v>27697104</v>
      </c>
      <c r="O11" s="85">
        <f>J11</f>
        <v>4339804</v>
      </c>
      <c r="P11" s="85">
        <f>K11</f>
        <v>13357300</v>
      </c>
      <c r="Q11" s="85">
        <f>L11</f>
        <v>10000000</v>
      </c>
      <c r="R11" s="85">
        <f>'Sch 2.2'!E29-O11-P11-Q11</f>
        <v>4107692</v>
      </c>
      <c r="S11" s="85">
        <f>SUM(O11:R11)</f>
        <v>31804796</v>
      </c>
    </row>
    <row r="12" spans="1:19" ht="17.25" x14ac:dyDescent="0.4">
      <c r="A12" s="5"/>
      <c r="C12" s="20"/>
      <c r="D12" s="26"/>
      <c r="F12" s="98"/>
      <c r="G12" s="98"/>
      <c r="H12" s="98"/>
      <c r="J12" s="98"/>
      <c r="K12" s="98"/>
      <c r="L12" s="98"/>
      <c r="M12" s="98"/>
      <c r="O12" s="98"/>
      <c r="P12" s="98"/>
      <c r="Q12" s="98"/>
      <c r="R12" s="98"/>
      <c r="S12" s="98"/>
    </row>
    <row r="13" spans="1:19" x14ac:dyDescent="0.25">
      <c r="A13" s="5"/>
      <c r="B13" t="s">
        <v>94</v>
      </c>
      <c r="C13" s="33"/>
      <c r="D13" s="29"/>
      <c r="F13" s="99"/>
      <c r="G13" s="99"/>
      <c r="H13" s="99"/>
      <c r="J13" s="99"/>
      <c r="K13" s="99"/>
      <c r="L13" s="99"/>
      <c r="M13" s="99"/>
      <c r="O13" s="99"/>
      <c r="P13" s="99"/>
      <c r="Q13" s="99"/>
      <c r="R13" s="99"/>
      <c r="S13" s="99"/>
    </row>
    <row r="14" spans="1:19" x14ac:dyDescent="0.25">
      <c r="A14" s="5">
        <v>2</v>
      </c>
      <c r="B14" t="s">
        <v>171</v>
      </c>
      <c r="C14" s="34"/>
      <c r="D14" s="37">
        <f>+D11</f>
        <v>4339804</v>
      </c>
      <c r="F14" s="100">
        <v>0</v>
      </c>
      <c r="G14" s="100">
        <f>+G11</f>
        <v>13357300</v>
      </c>
      <c r="H14" s="101">
        <f>SUM(F14:G14)</f>
        <v>13357300</v>
      </c>
      <c r="J14" s="100">
        <v>0</v>
      </c>
      <c r="K14" s="100">
        <v>0</v>
      </c>
      <c r="L14" s="100">
        <v>0</v>
      </c>
      <c r="M14" s="100">
        <f>SUM(J14:L14)</f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f>SUM(O14:R14)</f>
        <v>0</v>
      </c>
    </row>
    <row r="15" spans="1:19" x14ac:dyDescent="0.25">
      <c r="A15" s="5">
        <f t="shared" ref="A15:A20" si="0">A14+1</f>
        <v>3</v>
      </c>
      <c r="B15" t="s">
        <v>104</v>
      </c>
      <c r="C15" s="34"/>
      <c r="D15" s="38">
        <f>ROUND(D11/2,0)</f>
        <v>2169902</v>
      </c>
      <c r="F15" s="102">
        <f>F11*0.5</f>
        <v>2169902</v>
      </c>
      <c r="G15" s="102">
        <f>G14*0.5</f>
        <v>6678650</v>
      </c>
      <c r="H15" s="102">
        <f>SUM(F15:G15)</f>
        <v>8848552</v>
      </c>
      <c r="J15" s="102">
        <f t="shared" ref="J15:L15" si="1">J11</f>
        <v>4339804</v>
      </c>
      <c r="K15" s="102">
        <f t="shared" si="1"/>
        <v>13357300</v>
      </c>
      <c r="L15" s="102">
        <f t="shared" si="1"/>
        <v>10000000</v>
      </c>
      <c r="M15" s="102">
        <f>SUM(J15:K15)</f>
        <v>17697104</v>
      </c>
      <c r="O15" s="102">
        <f>O11</f>
        <v>4339804</v>
      </c>
      <c r="P15" s="102">
        <f>P11</f>
        <v>13357300</v>
      </c>
      <c r="Q15" s="102">
        <f>Q11</f>
        <v>10000000</v>
      </c>
      <c r="R15" s="102">
        <f>R11</f>
        <v>4107692</v>
      </c>
      <c r="S15" s="102">
        <f>SUM(O15:P15)</f>
        <v>17697104</v>
      </c>
    </row>
    <row r="16" spans="1:19" x14ac:dyDescent="0.25">
      <c r="A16" s="5"/>
      <c r="B16" s="10"/>
      <c r="C16" s="34"/>
      <c r="D16" s="39"/>
      <c r="F16" s="103"/>
      <c r="G16" s="103"/>
      <c r="H16" s="103"/>
      <c r="J16" s="103"/>
      <c r="K16" s="103"/>
      <c r="L16" s="103"/>
      <c r="M16" s="103"/>
      <c r="O16" s="103"/>
      <c r="P16" s="103"/>
      <c r="Q16" s="103"/>
      <c r="R16" s="103"/>
      <c r="S16" s="103"/>
    </row>
    <row r="17" spans="1:19" x14ac:dyDescent="0.25">
      <c r="A17" s="5"/>
      <c r="B17" s="23" t="s">
        <v>14</v>
      </c>
      <c r="C17" s="20"/>
      <c r="D17" s="40"/>
      <c r="F17" s="104"/>
      <c r="G17" s="104"/>
      <c r="H17" s="104"/>
      <c r="J17" s="104"/>
      <c r="K17" s="104"/>
      <c r="L17" s="104"/>
      <c r="M17" s="104"/>
      <c r="O17" s="104"/>
      <c r="P17" s="104"/>
      <c r="Q17" s="104"/>
      <c r="R17" s="104"/>
      <c r="S17" s="104"/>
    </row>
    <row r="18" spans="1:19" x14ac:dyDescent="0.25">
      <c r="A18" s="5">
        <v>4</v>
      </c>
      <c r="B18" t="s">
        <v>171</v>
      </c>
      <c r="C18" s="34"/>
      <c r="D18" s="37">
        <f>ROUND(D14*0.5,0)</f>
        <v>2169902</v>
      </c>
      <c r="F18" s="100">
        <v>0</v>
      </c>
      <c r="G18" s="100">
        <f>ROUND(G14*0.5,0)</f>
        <v>6678650</v>
      </c>
      <c r="H18" s="101">
        <f>SUM(F18:G18)</f>
        <v>6678650</v>
      </c>
      <c r="J18" s="100">
        <v>0</v>
      </c>
      <c r="K18" s="167">
        <v>0</v>
      </c>
      <c r="L18" s="167">
        <v>0</v>
      </c>
      <c r="M18" s="168">
        <f>SUM(J18:L18)</f>
        <v>0</v>
      </c>
      <c r="N18" s="169"/>
      <c r="O18" s="167">
        <v>0</v>
      </c>
      <c r="P18" s="167">
        <v>0</v>
      </c>
      <c r="Q18" s="167">
        <v>0</v>
      </c>
      <c r="R18" s="100">
        <f>ROUND(R14*0,0)</f>
        <v>0</v>
      </c>
      <c r="S18" s="100">
        <f>SUM(O18:Q18)</f>
        <v>0</v>
      </c>
    </row>
    <row r="19" spans="1:19" x14ac:dyDescent="0.25">
      <c r="A19" s="5">
        <f t="shared" si="0"/>
        <v>5</v>
      </c>
      <c r="B19" t="s">
        <v>95</v>
      </c>
      <c r="C19" s="34"/>
      <c r="D19" s="38">
        <f>ROUND(D15*0.0375,0)</f>
        <v>81371</v>
      </c>
      <c r="F19" s="102">
        <f>ROUND(F15*0.07219,0)</f>
        <v>156645</v>
      </c>
      <c r="G19" s="102">
        <f>ROUND(G15*0.0375,0)</f>
        <v>250449</v>
      </c>
      <c r="H19" s="101">
        <f>SUM(F19:G19)</f>
        <v>407094</v>
      </c>
      <c r="J19" s="102">
        <f>ROUND(J15*0.0667,0)</f>
        <v>289465</v>
      </c>
      <c r="K19" s="102">
        <f>ROUND(K15*0.07219,0)</f>
        <v>964263</v>
      </c>
      <c r="L19" s="102">
        <f>ROUND(L15*0.0375,0)</f>
        <v>375000</v>
      </c>
      <c r="M19" s="101">
        <f>SUM(J19:L19)</f>
        <v>1628728</v>
      </c>
      <c r="O19" s="102">
        <f>ROUND(O15*0.06177,0)</f>
        <v>268070</v>
      </c>
      <c r="P19" s="102">
        <f>ROUND(P15*0.06677,0)</f>
        <v>891867</v>
      </c>
      <c r="Q19" s="102">
        <f>ROUND(Q15*0.07219,0)</f>
        <v>721900</v>
      </c>
      <c r="R19" s="102">
        <f>ROUND(R15*0.0375,0)</f>
        <v>154038</v>
      </c>
      <c r="S19" s="101">
        <f>SUM(O19:Q19)</f>
        <v>1881837</v>
      </c>
    </row>
    <row r="20" spans="1:19" x14ac:dyDescent="0.25">
      <c r="A20" s="5">
        <f t="shared" si="0"/>
        <v>6</v>
      </c>
      <c r="B20" s="23" t="s">
        <v>98</v>
      </c>
      <c r="C20" s="34"/>
      <c r="D20" s="42">
        <f>+D18+D19</f>
        <v>2251273</v>
      </c>
      <c r="F20" s="105">
        <f>+F18+F19</f>
        <v>156645</v>
      </c>
      <c r="G20" s="105">
        <f>+G18+G19</f>
        <v>6929099</v>
      </c>
      <c r="H20" s="105">
        <f>SUM(F20:G20)</f>
        <v>7085744</v>
      </c>
      <c r="J20" s="105">
        <f>+J18+J19</f>
        <v>289465</v>
      </c>
      <c r="K20" s="105">
        <f>+K18+K19</f>
        <v>964263</v>
      </c>
      <c r="L20" s="105">
        <f>+L18+L19</f>
        <v>375000</v>
      </c>
      <c r="M20" s="105">
        <f>SUM(J20:L20)</f>
        <v>1628728</v>
      </c>
      <c r="O20" s="105">
        <f>+O18+O19</f>
        <v>268070</v>
      </c>
      <c r="P20" s="105">
        <f>+P18+P19</f>
        <v>891867</v>
      </c>
      <c r="Q20" s="105">
        <f>+Q18+Q19</f>
        <v>721900</v>
      </c>
      <c r="R20" s="105">
        <f>+R18+R19</f>
        <v>154038</v>
      </c>
      <c r="S20" s="105">
        <f>SUM(O20:Q20)</f>
        <v>1881837</v>
      </c>
    </row>
    <row r="21" spans="1:19" x14ac:dyDescent="0.25">
      <c r="A21" s="5"/>
      <c r="B21" s="23"/>
      <c r="C21" s="34"/>
      <c r="D21" s="39"/>
      <c r="F21" s="103"/>
      <c r="G21" s="103"/>
      <c r="H21" s="103"/>
      <c r="I21" s="43"/>
      <c r="J21" s="103"/>
      <c r="K21" s="103"/>
      <c r="L21" s="103"/>
      <c r="M21" s="103"/>
      <c r="N21" s="43"/>
      <c r="O21" s="103"/>
      <c r="P21" s="103"/>
      <c r="Q21" s="103"/>
      <c r="R21" s="103"/>
      <c r="S21" s="103"/>
    </row>
    <row r="22" spans="1:19" x14ac:dyDescent="0.25">
      <c r="A22" s="5">
        <f>+A20+1</f>
        <v>7</v>
      </c>
      <c r="B22" s="23" t="s">
        <v>99</v>
      </c>
      <c r="D22" s="106">
        <f>24160-532</f>
        <v>23628</v>
      </c>
      <c r="F22" s="106">
        <v>120165</v>
      </c>
      <c r="G22" s="106">
        <f>H22-F22</f>
        <v>119959</v>
      </c>
      <c r="H22" s="101">
        <v>240124</v>
      </c>
      <c r="J22" s="106">
        <v>120165</v>
      </c>
      <c r="K22" s="106">
        <v>347211</v>
      </c>
      <c r="L22" s="106">
        <f>M22-J22-K22</f>
        <v>89054</v>
      </c>
      <c r="M22" s="101">
        <v>556430</v>
      </c>
      <c r="O22" s="106">
        <v>120165</v>
      </c>
      <c r="P22" s="106">
        <v>347211</v>
      </c>
      <c r="Q22" s="106">
        <v>246233</v>
      </c>
      <c r="R22" s="106">
        <f>S22-O22-P22-Q22</f>
        <v>78570</v>
      </c>
      <c r="S22" s="101">
        <f>SUM('Sch 2.0'!F33:Q33)+SUM('Sch 2.0'!F38:Q38)</f>
        <v>792179</v>
      </c>
    </row>
    <row r="23" spans="1:19" x14ac:dyDescent="0.25">
      <c r="A23" s="5"/>
      <c r="B23" s="23"/>
      <c r="D23" s="41"/>
      <c r="F23" s="107"/>
      <c r="G23" s="107"/>
      <c r="H23" s="107"/>
      <c r="I23" s="43"/>
      <c r="J23" s="107"/>
      <c r="K23" s="107"/>
      <c r="L23" s="107"/>
      <c r="M23" s="107"/>
      <c r="O23" s="107"/>
      <c r="P23" s="107"/>
      <c r="Q23" s="107"/>
      <c r="R23" s="107"/>
      <c r="S23" s="107"/>
    </row>
    <row r="24" spans="1:19" x14ac:dyDescent="0.25">
      <c r="A24" s="5">
        <f>A22+1</f>
        <v>8</v>
      </c>
      <c r="B24" s="23" t="s">
        <v>100</v>
      </c>
      <c r="D24" s="41">
        <f>+D20-D22</f>
        <v>2227645</v>
      </c>
      <c r="F24" s="107">
        <f>+F20-F22</f>
        <v>36480</v>
      </c>
      <c r="G24" s="107">
        <f>+G20-G22</f>
        <v>6809140</v>
      </c>
      <c r="H24" s="101">
        <f>SUM(F24:G24)</f>
        <v>6845620</v>
      </c>
      <c r="J24" s="107">
        <f>+J20-J22</f>
        <v>169300</v>
      </c>
      <c r="K24" s="107">
        <f>+K20-K22</f>
        <v>617052</v>
      </c>
      <c r="L24" s="107">
        <f>+L20-L22</f>
        <v>285946</v>
      </c>
      <c r="M24" s="101">
        <f>SUM(J24:L24)</f>
        <v>1072298</v>
      </c>
      <c r="O24" s="107">
        <f>+O20-O22</f>
        <v>147905</v>
      </c>
      <c r="P24" s="107">
        <f>+P20-P22</f>
        <v>544656</v>
      </c>
      <c r="Q24" s="107">
        <f>+Q20-Q22</f>
        <v>475667</v>
      </c>
      <c r="R24" s="107">
        <f>+R20-R22</f>
        <v>75468</v>
      </c>
      <c r="S24" s="101">
        <f>SUM(O24:Q24)</f>
        <v>1168228</v>
      </c>
    </row>
    <row r="25" spans="1:19" x14ac:dyDescent="0.25">
      <c r="A25" s="5"/>
      <c r="B25" s="23"/>
      <c r="D25" s="41"/>
      <c r="F25" s="107"/>
      <c r="G25" s="107"/>
      <c r="H25" s="107"/>
      <c r="J25" s="107"/>
      <c r="K25" s="107"/>
      <c r="L25" s="107"/>
      <c r="M25" s="107"/>
      <c r="N25" s="43"/>
      <c r="O25" s="107"/>
      <c r="P25" s="107"/>
      <c r="Q25" s="107"/>
      <c r="R25" s="107"/>
      <c r="S25" s="107"/>
    </row>
    <row r="26" spans="1:19" x14ac:dyDescent="0.25">
      <c r="A26" s="5">
        <f>+A24+1</f>
        <v>9</v>
      </c>
      <c r="B26" s="23" t="s">
        <v>33</v>
      </c>
      <c r="D26" s="106">
        <v>8798</v>
      </c>
      <c r="F26" s="107">
        <v>0</v>
      </c>
      <c r="G26" s="106">
        <v>295190</v>
      </c>
      <c r="H26" s="107">
        <f>SUM(F26:G26)</f>
        <v>295190</v>
      </c>
      <c r="I26" s="43"/>
      <c r="J26" s="107">
        <v>0</v>
      </c>
      <c r="K26" s="107">
        <v>0</v>
      </c>
      <c r="L26" s="106">
        <v>0</v>
      </c>
      <c r="M26" s="107">
        <f>SUM(J26:L26)</f>
        <v>0</v>
      </c>
      <c r="O26" s="107">
        <v>0</v>
      </c>
      <c r="P26" s="107">
        <v>0</v>
      </c>
      <c r="Q26" s="107">
        <f>L26</f>
        <v>0</v>
      </c>
      <c r="R26" s="107">
        <f>S26-O26-P26-Q26</f>
        <v>694968</v>
      </c>
      <c r="S26" s="107">
        <f>'Sch 2.2'!I29</f>
        <v>694968</v>
      </c>
    </row>
    <row r="27" spans="1:19" x14ac:dyDescent="0.25">
      <c r="A27" s="5">
        <f>+A26+1</f>
        <v>10</v>
      </c>
      <c r="B27" s="23" t="s">
        <v>102</v>
      </c>
      <c r="D27" s="81">
        <f>+D24+D26</f>
        <v>2236443</v>
      </c>
      <c r="E27" s="82"/>
      <c r="F27" s="108">
        <f>+F24+F26</f>
        <v>36480</v>
      </c>
      <c r="G27" s="108">
        <f>+G24+G26</f>
        <v>7104330</v>
      </c>
      <c r="H27" s="109">
        <f>SUM(F27:G27)</f>
        <v>7140810</v>
      </c>
      <c r="J27" s="108">
        <f>+J24+J26</f>
        <v>169300</v>
      </c>
      <c r="K27" s="108">
        <f>+K24+K26</f>
        <v>617052</v>
      </c>
      <c r="L27" s="108">
        <f>+L24+L26</f>
        <v>285946</v>
      </c>
      <c r="M27" s="109">
        <f>SUM(J27:L27)</f>
        <v>1072298</v>
      </c>
      <c r="N27" s="43"/>
      <c r="O27" s="108">
        <f>+O24+O26</f>
        <v>147905</v>
      </c>
      <c r="P27" s="108">
        <f>+P24+P26</f>
        <v>544656</v>
      </c>
      <c r="Q27" s="108">
        <f>+Q24+Q26</f>
        <v>475667</v>
      </c>
      <c r="R27" s="108">
        <f>+R24+R26</f>
        <v>770436</v>
      </c>
      <c r="S27" s="109">
        <f>SUM(O27:R27)</f>
        <v>1938664</v>
      </c>
    </row>
    <row r="28" spans="1:19" x14ac:dyDescent="0.25">
      <c r="A28" s="5"/>
      <c r="B28" s="23"/>
      <c r="D28" s="41"/>
      <c r="F28" s="107"/>
      <c r="G28" s="107"/>
      <c r="H28" s="107"/>
      <c r="I28" s="43"/>
      <c r="J28" s="107"/>
      <c r="K28" s="107"/>
      <c r="L28" s="107"/>
      <c r="M28" s="107"/>
      <c r="N28" s="43"/>
      <c r="O28" s="107"/>
      <c r="P28" s="107"/>
      <c r="Q28" s="107"/>
      <c r="R28" s="107"/>
      <c r="S28" s="107"/>
    </row>
    <row r="29" spans="1:19" x14ac:dyDescent="0.25">
      <c r="A29" s="5">
        <f>A27+1</f>
        <v>11</v>
      </c>
      <c r="B29" t="s">
        <v>101</v>
      </c>
      <c r="C29" s="179">
        <v>0.24925115</v>
      </c>
      <c r="D29" s="39">
        <v>557436</v>
      </c>
      <c r="F29" s="103">
        <v>9093</v>
      </c>
      <c r="G29" s="103">
        <v>1770762</v>
      </c>
      <c r="H29" s="101">
        <v>1779855</v>
      </c>
      <c r="J29" s="103">
        <v>42198</v>
      </c>
      <c r="K29" s="103">
        <v>153801</v>
      </c>
      <c r="L29" s="103">
        <v>71272</v>
      </c>
      <c r="M29" s="101">
        <v>267271</v>
      </c>
      <c r="O29" s="103">
        <v>36865</v>
      </c>
      <c r="P29" s="103">
        <v>135756</v>
      </c>
      <c r="Q29" s="103">
        <v>118561</v>
      </c>
      <c r="R29" s="103">
        <v>83252</v>
      </c>
      <c r="S29" s="101">
        <v>374434</v>
      </c>
    </row>
    <row r="30" spans="1:19" x14ac:dyDescent="0.25">
      <c r="A30" s="170">
        <v>12</v>
      </c>
      <c r="B30" t="s">
        <v>222</v>
      </c>
      <c r="C30" s="179">
        <v>0.13549266299999999</v>
      </c>
      <c r="D30" s="39">
        <v>303022</v>
      </c>
      <c r="F30" s="39">
        <v>4943</v>
      </c>
      <c r="G30" s="39">
        <v>962585</v>
      </c>
      <c r="H30" s="101">
        <v>967528</v>
      </c>
      <c r="J30" s="39">
        <v>0</v>
      </c>
      <c r="K30" s="39">
        <v>0</v>
      </c>
      <c r="L30" s="39">
        <v>0</v>
      </c>
      <c r="M30" s="107">
        <v>0</v>
      </c>
      <c r="O30" s="39">
        <v>0</v>
      </c>
      <c r="P30" s="39">
        <v>0</v>
      </c>
      <c r="Q30" s="39">
        <v>0</v>
      </c>
      <c r="R30" s="39">
        <v>0</v>
      </c>
      <c r="S30" s="107">
        <v>0</v>
      </c>
    </row>
    <row r="31" spans="1:19" x14ac:dyDescent="0.25">
      <c r="A31" s="5"/>
      <c r="D31" s="42">
        <f>SUM(D29:D30)</f>
        <v>860458</v>
      </c>
      <c r="F31" s="42">
        <f t="shared" ref="F31:H31" si="2">SUM(F29:F30)</f>
        <v>14036</v>
      </c>
      <c r="G31" s="42">
        <f t="shared" si="2"/>
        <v>2733347</v>
      </c>
      <c r="H31" s="42">
        <f t="shared" si="2"/>
        <v>2747383</v>
      </c>
      <c r="J31" s="42">
        <f t="shared" ref="J31:M31" si="3">SUM(J29:J30)</f>
        <v>42198</v>
      </c>
      <c r="K31" s="42">
        <f t="shared" si="3"/>
        <v>153801</v>
      </c>
      <c r="L31" s="42">
        <f t="shared" si="3"/>
        <v>71272</v>
      </c>
      <c r="M31" s="42">
        <f t="shared" si="3"/>
        <v>267271</v>
      </c>
      <c r="O31" s="42">
        <f t="shared" ref="O31:S31" si="4">SUM(O29:O30)</f>
        <v>36865</v>
      </c>
      <c r="P31" s="42">
        <f t="shared" si="4"/>
        <v>135756</v>
      </c>
      <c r="Q31" s="42">
        <f t="shared" si="4"/>
        <v>118561</v>
      </c>
      <c r="R31" s="42">
        <f t="shared" si="4"/>
        <v>83252</v>
      </c>
      <c r="S31" s="42">
        <f t="shared" si="4"/>
        <v>374434</v>
      </c>
    </row>
    <row r="32" spans="1:19" x14ac:dyDescent="0.25">
      <c r="A32" s="171"/>
      <c r="D32" s="41"/>
      <c r="F32" s="41"/>
      <c r="G32" s="41"/>
      <c r="H32" s="41"/>
      <c r="J32" s="41"/>
      <c r="K32" s="41"/>
      <c r="L32" s="41"/>
      <c r="M32" s="41"/>
      <c r="O32" s="41"/>
      <c r="P32" s="41"/>
      <c r="Q32" s="41"/>
      <c r="R32" s="41"/>
      <c r="S32" s="174"/>
    </row>
    <row r="33" spans="1:19" ht="15.75" thickBot="1" x14ac:dyDescent="0.3">
      <c r="A33" s="5">
        <v>13</v>
      </c>
      <c r="B33" t="s">
        <v>170</v>
      </c>
      <c r="F33" s="43"/>
      <c r="G33" s="43"/>
      <c r="H33" s="85"/>
      <c r="J33" s="43"/>
      <c r="K33" s="43"/>
      <c r="L33" s="43"/>
      <c r="O33" s="43"/>
      <c r="P33" s="43"/>
      <c r="Q33" s="43"/>
      <c r="R33" s="43"/>
      <c r="S33" s="84">
        <f>+D29+H29+S29+M29</f>
        <v>2978996</v>
      </c>
    </row>
    <row r="34" spans="1:19" ht="16.5" thickTop="1" thickBot="1" x14ac:dyDescent="0.3">
      <c r="A34" s="171"/>
      <c r="F34" s="43"/>
      <c r="G34" s="43"/>
      <c r="H34" s="85"/>
      <c r="J34" s="43"/>
      <c r="K34" s="43"/>
      <c r="L34" s="43"/>
      <c r="O34" s="43"/>
      <c r="P34" s="43"/>
      <c r="Q34" s="43"/>
      <c r="R34" s="43"/>
      <c r="S34" s="84"/>
    </row>
    <row r="35" spans="1:19" ht="16.5" thickTop="1" thickBot="1" x14ac:dyDescent="0.3">
      <c r="A35" s="6">
        <v>14</v>
      </c>
      <c r="B35" t="s">
        <v>222</v>
      </c>
      <c r="H35" s="175"/>
      <c r="S35" s="84">
        <f>+D30+H30+S30+M30</f>
        <v>1270550</v>
      </c>
    </row>
    <row r="36" spans="1:19" ht="15.75" thickTop="1" x14ac:dyDescent="0.25"/>
  </sheetData>
  <mergeCells count="7">
    <mergeCell ref="O6:S6"/>
    <mergeCell ref="A2:S2"/>
    <mergeCell ref="A3:S3"/>
    <mergeCell ref="A4:S4"/>
    <mergeCell ref="F6:H6"/>
    <mergeCell ref="A5:N5"/>
    <mergeCell ref="J6:M6"/>
  </mergeCells>
  <pageMargins left="0.7" right="0.69781249999999995" top="0.75" bottom="0.75" header="0.3" footer="0.3"/>
  <pageSetup scale="52" orientation="landscape" r:id="rId1"/>
  <headerFooter>
    <oddHeader xml:space="preserve">&amp;R&amp;"Times New Roman,Bold"&amp;10EXHIBIT 1
Schedule 2.1
Page &amp;P of &amp;N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view="pageLayout" topLeftCell="A9" zoomScaleNormal="100" workbookViewId="0">
      <selection activeCell="A4" sqref="A4:L4"/>
    </sheetView>
  </sheetViews>
  <sheetFormatPr defaultRowHeight="15" x14ac:dyDescent="0.25"/>
  <cols>
    <col min="1" max="1" width="8.28515625" bestFit="1" customWidth="1"/>
    <col min="2" max="2" width="22.140625" customWidth="1"/>
    <col min="3" max="4" width="13.5703125" customWidth="1"/>
    <col min="5" max="6" width="17.42578125" customWidth="1"/>
    <col min="7" max="8" width="16.7109375" customWidth="1"/>
    <col min="9" max="9" width="17.7109375" customWidth="1"/>
    <col min="10" max="10" width="4.28515625" customWidth="1"/>
    <col min="11" max="11" width="10.140625" bestFit="1" customWidth="1"/>
  </cols>
  <sheetData>
    <row r="1" spans="1:12" ht="14.45" x14ac:dyDescent="0.3">
      <c r="A1" s="5"/>
      <c r="G1" s="5"/>
      <c r="H1" s="113"/>
      <c r="I1" s="5"/>
      <c r="J1" s="5"/>
    </row>
    <row r="2" spans="1:12" ht="14.45" x14ac:dyDescent="0.3">
      <c r="A2" s="180" t="str">
        <f>'Sch 1.0'!A2</f>
        <v>Duke Energy Kentucky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4.45" x14ac:dyDescent="0.3">
      <c r="A3" s="180" t="str">
        <f>'Sch 1.0'!A3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14.45" x14ac:dyDescent="0.3">
      <c r="A4" s="180" t="s">
        <v>83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2" ht="14.45" x14ac:dyDescent="0.3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14.45" x14ac:dyDescent="0.3">
      <c r="A6" s="5"/>
      <c r="G6" s="5"/>
      <c r="H6" s="113"/>
      <c r="I6" s="5"/>
      <c r="J6" s="59"/>
    </row>
    <row r="7" spans="1:12" ht="14.45" x14ac:dyDescent="0.3">
      <c r="A7" s="155" t="s">
        <v>204</v>
      </c>
      <c r="G7" s="5"/>
      <c r="H7" s="113"/>
      <c r="I7" s="5"/>
      <c r="J7" s="59"/>
    </row>
    <row r="8" spans="1:12" x14ac:dyDescent="0.25">
      <c r="A8" s="5"/>
      <c r="G8" s="5"/>
      <c r="H8" s="113"/>
      <c r="I8" s="5"/>
      <c r="J8" s="5"/>
    </row>
    <row r="9" spans="1:12" x14ac:dyDescent="0.25">
      <c r="A9" s="4"/>
      <c r="B9" s="4"/>
      <c r="C9" s="4" t="s">
        <v>75</v>
      </c>
      <c r="D9" s="189" t="s">
        <v>120</v>
      </c>
      <c r="E9" s="189"/>
      <c r="F9" s="189" t="s">
        <v>70</v>
      </c>
      <c r="G9" s="189"/>
      <c r="H9" s="189" t="s">
        <v>33</v>
      </c>
      <c r="I9" s="189"/>
      <c r="J9" s="4"/>
    </row>
    <row r="10" spans="1:12" x14ac:dyDescent="0.25">
      <c r="A10" s="9" t="s">
        <v>17</v>
      </c>
      <c r="B10" s="9" t="s">
        <v>74</v>
      </c>
      <c r="C10" s="9" t="s">
        <v>76</v>
      </c>
      <c r="D10" s="9" t="s">
        <v>121</v>
      </c>
      <c r="E10" s="9" t="s">
        <v>125</v>
      </c>
      <c r="F10" s="9" t="s">
        <v>121</v>
      </c>
      <c r="G10" s="9" t="s">
        <v>125</v>
      </c>
      <c r="H10" s="9" t="s">
        <v>121</v>
      </c>
      <c r="I10" s="9" t="s">
        <v>125</v>
      </c>
      <c r="J10" s="9"/>
    </row>
    <row r="11" spans="1:12" x14ac:dyDescent="0.25">
      <c r="B11" s="19" t="s">
        <v>81</v>
      </c>
      <c r="C11" s="19" t="s">
        <v>82</v>
      </c>
      <c r="D11" s="19" t="s">
        <v>84</v>
      </c>
      <c r="E11" s="19" t="s">
        <v>122</v>
      </c>
      <c r="F11" s="19" t="s">
        <v>167</v>
      </c>
      <c r="G11" s="19" t="s">
        <v>123</v>
      </c>
      <c r="H11" s="19" t="s">
        <v>124</v>
      </c>
      <c r="I11" s="114" t="s">
        <v>169</v>
      </c>
      <c r="J11" s="19"/>
    </row>
    <row r="12" spans="1:12" x14ac:dyDescent="0.25">
      <c r="G12" s="48"/>
      <c r="H12" s="48"/>
    </row>
    <row r="13" spans="1:12" x14ac:dyDescent="0.25">
      <c r="G13" s="48"/>
      <c r="H13" s="48"/>
    </row>
    <row r="14" spans="1:12" x14ac:dyDescent="0.25">
      <c r="A14" s="55">
        <v>1</v>
      </c>
      <c r="B14" s="153" t="s">
        <v>205</v>
      </c>
      <c r="C14" s="30">
        <v>13</v>
      </c>
      <c r="D14" s="30"/>
      <c r="E14" s="115">
        <v>27697104</v>
      </c>
      <c r="F14" s="115"/>
      <c r="G14" s="115">
        <v>-2211089</v>
      </c>
      <c r="H14" s="115"/>
      <c r="I14" s="115">
        <v>409564</v>
      </c>
    </row>
    <row r="15" spans="1:12" x14ac:dyDescent="0.25">
      <c r="A15" s="55">
        <f>+A14+1</f>
        <v>2</v>
      </c>
      <c r="B15" s="154">
        <v>43466</v>
      </c>
      <c r="C15" s="30">
        <v>12</v>
      </c>
      <c r="D15" s="115">
        <v>100000</v>
      </c>
      <c r="E15" s="35">
        <f>E14+D15</f>
        <v>27797104</v>
      </c>
      <c r="F15" s="115">
        <v>-22413</v>
      </c>
      <c r="G15" s="35">
        <f>G14+F15</f>
        <v>-2233502</v>
      </c>
      <c r="H15" s="101">
        <v>6948.03</v>
      </c>
      <c r="I15" s="116">
        <f>I14+H15</f>
        <v>416512.03</v>
      </c>
      <c r="J15" s="21"/>
      <c r="K15" s="82"/>
    </row>
    <row r="16" spans="1:12" ht="17.25" x14ac:dyDescent="0.4">
      <c r="A16" s="55">
        <f>A15+1</f>
        <v>3</v>
      </c>
      <c r="B16" s="154">
        <v>43497</v>
      </c>
      <c r="C16" s="30">
        <f>C15-1</f>
        <v>11</v>
      </c>
      <c r="D16" s="136">
        <v>200000</v>
      </c>
      <c r="E16" s="35">
        <f t="shared" ref="E16:E26" si="0">E15+D16</f>
        <v>27997104</v>
      </c>
      <c r="F16" s="156">
        <v>-44826</v>
      </c>
      <c r="G16" s="35">
        <f t="shared" ref="G16:G26" si="1">G15+F16</f>
        <v>-2278328</v>
      </c>
      <c r="H16" s="101">
        <v>13896.06</v>
      </c>
      <c r="I16" s="116">
        <f t="shared" ref="I16:I26" si="2">I15+H16</f>
        <v>430408.09</v>
      </c>
      <c r="J16" s="22"/>
      <c r="K16" s="82"/>
    </row>
    <row r="17" spans="1:11" x14ac:dyDescent="0.25">
      <c r="A17" s="55">
        <f t="shared" ref="A17:A26" si="3">A16+1</f>
        <v>4</v>
      </c>
      <c r="B17" s="154">
        <v>43525</v>
      </c>
      <c r="C17" s="30">
        <f t="shared" ref="C17:C26" si="4">C16-1</f>
        <v>10</v>
      </c>
      <c r="D17" s="136">
        <v>200000</v>
      </c>
      <c r="E17" s="35">
        <f t="shared" si="0"/>
        <v>28197104</v>
      </c>
      <c r="F17" s="156">
        <v>-44826</v>
      </c>
      <c r="G17" s="35">
        <f t="shared" si="1"/>
        <v>-2323154</v>
      </c>
      <c r="H17" s="101">
        <v>13896.06</v>
      </c>
      <c r="I17" s="116">
        <f t="shared" si="2"/>
        <v>444304.15</v>
      </c>
      <c r="J17" s="21"/>
      <c r="K17" s="82"/>
    </row>
    <row r="18" spans="1:11" x14ac:dyDescent="0.25">
      <c r="A18" s="55">
        <f t="shared" si="3"/>
        <v>5</v>
      </c>
      <c r="B18" s="154">
        <v>43556</v>
      </c>
      <c r="C18" s="30">
        <f t="shared" si="4"/>
        <v>9</v>
      </c>
      <c r="D18" s="136">
        <v>600000</v>
      </c>
      <c r="E18" s="35">
        <f t="shared" si="0"/>
        <v>28797104</v>
      </c>
      <c r="F18" s="156">
        <v>-134478</v>
      </c>
      <c r="G18" s="35">
        <f t="shared" si="1"/>
        <v>-2457632</v>
      </c>
      <c r="H18" s="101">
        <v>41688.18</v>
      </c>
      <c r="I18" s="116">
        <f>I17+H18</f>
        <v>485992.33</v>
      </c>
      <c r="J18" s="17"/>
      <c r="K18" s="82"/>
    </row>
    <row r="19" spans="1:11" x14ac:dyDescent="0.25">
      <c r="A19" s="55">
        <f t="shared" si="3"/>
        <v>6</v>
      </c>
      <c r="B19" s="154">
        <v>43586</v>
      </c>
      <c r="C19" s="30">
        <f t="shared" si="4"/>
        <v>8</v>
      </c>
      <c r="D19" s="136">
        <v>600000</v>
      </c>
      <c r="E19" s="35">
        <f t="shared" si="0"/>
        <v>29397104</v>
      </c>
      <c r="F19" s="156">
        <v>-134478</v>
      </c>
      <c r="G19" s="35">
        <f t="shared" si="1"/>
        <v>-2592110</v>
      </c>
      <c r="H19" s="101">
        <v>41688.18</v>
      </c>
      <c r="I19" s="116">
        <f t="shared" si="2"/>
        <v>527680.51</v>
      </c>
      <c r="K19" s="82"/>
    </row>
    <row r="20" spans="1:11" x14ac:dyDescent="0.25">
      <c r="A20" s="55">
        <f t="shared" si="3"/>
        <v>7</v>
      </c>
      <c r="B20" s="154">
        <v>43617</v>
      </c>
      <c r="C20" s="30">
        <f t="shared" si="4"/>
        <v>7</v>
      </c>
      <c r="D20" s="136">
        <v>1000000</v>
      </c>
      <c r="E20" s="35">
        <f t="shared" si="0"/>
        <v>30397104</v>
      </c>
      <c r="F20" s="156">
        <v>-224130</v>
      </c>
      <c r="G20" s="35">
        <f t="shared" si="1"/>
        <v>-2816240</v>
      </c>
      <c r="H20" s="101">
        <v>69480.3</v>
      </c>
      <c r="I20" s="116">
        <f t="shared" si="2"/>
        <v>597160.81000000006</v>
      </c>
      <c r="J20" s="1"/>
      <c r="K20" s="82"/>
    </row>
    <row r="21" spans="1:11" ht="17.25" x14ac:dyDescent="0.4">
      <c r="A21" s="55">
        <f t="shared" si="3"/>
        <v>8</v>
      </c>
      <c r="B21" s="154">
        <v>43647</v>
      </c>
      <c r="C21" s="30">
        <f t="shared" si="4"/>
        <v>6</v>
      </c>
      <c r="D21" s="136">
        <v>1600000</v>
      </c>
      <c r="E21" s="35">
        <f t="shared" si="0"/>
        <v>31997104</v>
      </c>
      <c r="F21" s="156">
        <v>-358608</v>
      </c>
      <c r="G21" s="35">
        <f t="shared" si="1"/>
        <v>-3174848</v>
      </c>
      <c r="H21" s="101">
        <v>111168.48</v>
      </c>
      <c r="I21" s="116">
        <f t="shared" si="2"/>
        <v>708329.29</v>
      </c>
      <c r="J21" s="22"/>
      <c r="K21" s="82"/>
    </row>
    <row r="22" spans="1:11" x14ac:dyDescent="0.25">
      <c r="A22" s="55">
        <f t="shared" si="3"/>
        <v>9</v>
      </c>
      <c r="B22" s="154">
        <v>43678</v>
      </c>
      <c r="C22" s="30">
        <f t="shared" si="4"/>
        <v>5</v>
      </c>
      <c r="D22" s="136">
        <v>1700000.0000000002</v>
      </c>
      <c r="E22" s="35">
        <f t="shared" si="0"/>
        <v>33697104</v>
      </c>
      <c r="F22" s="156">
        <v>-381021.00000000006</v>
      </c>
      <c r="G22" s="35">
        <f t="shared" si="1"/>
        <v>-3555869</v>
      </c>
      <c r="H22" s="101">
        <v>118116.51000000002</v>
      </c>
      <c r="I22" s="116">
        <f t="shared" si="2"/>
        <v>826445.8</v>
      </c>
      <c r="J22" s="21"/>
      <c r="K22" s="82"/>
    </row>
    <row r="23" spans="1:11" x14ac:dyDescent="0.25">
      <c r="A23" s="55">
        <f t="shared" si="3"/>
        <v>10</v>
      </c>
      <c r="B23" s="154">
        <v>43709</v>
      </c>
      <c r="C23" s="30">
        <f t="shared" si="4"/>
        <v>4</v>
      </c>
      <c r="D23" s="136">
        <v>1700000.0000000002</v>
      </c>
      <c r="E23" s="35">
        <f t="shared" si="0"/>
        <v>35397104</v>
      </c>
      <c r="F23" s="156">
        <v>-381021.00000000006</v>
      </c>
      <c r="G23" s="35">
        <f t="shared" si="1"/>
        <v>-3936890</v>
      </c>
      <c r="H23" s="101">
        <v>118116.51000000002</v>
      </c>
      <c r="I23" s="116">
        <f t="shared" si="2"/>
        <v>944562.31</v>
      </c>
      <c r="J23" s="24"/>
      <c r="K23" s="82"/>
    </row>
    <row r="24" spans="1:11" x14ac:dyDescent="0.25">
      <c r="A24" s="55">
        <f t="shared" si="3"/>
        <v>11</v>
      </c>
      <c r="B24" s="154">
        <v>43739</v>
      </c>
      <c r="C24" s="30">
        <f t="shared" si="4"/>
        <v>3</v>
      </c>
      <c r="D24" s="136">
        <v>1500000</v>
      </c>
      <c r="E24" s="35">
        <f t="shared" si="0"/>
        <v>36897104</v>
      </c>
      <c r="F24" s="156">
        <v>-336195</v>
      </c>
      <c r="G24" s="35">
        <f t="shared" si="1"/>
        <v>-4273085</v>
      </c>
      <c r="H24" s="101">
        <v>104220.45</v>
      </c>
      <c r="I24" s="116">
        <f t="shared" si="2"/>
        <v>1048782.76</v>
      </c>
      <c r="J24" s="25"/>
      <c r="K24" s="82"/>
    </row>
    <row r="25" spans="1:11" x14ac:dyDescent="0.25">
      <c r="A25" s="55">
        <f t="shared" si="3"/>
        <v>12</v>
      </c>
      <c r="B25" s="154">
        <v>43770</v>
      </c>
      <c r="C25" s="30">
        <f t="shared" si="4"/>
        <v>2</v>
      </c>
      <c r="D25" s="136">
        <v>600000</v>
      </c>
      <c r="E25" s="35">
        <f t="shared" si="0"/>
        <v>37497104</v>
      </c>
      <c r="F25" s="156">
        <v>-134478</v>
      </c>
      <c r="G25" s="35">
        <f t="shared" si="1"/>
        <v>-4407563</v>
      </c>
      <c r="H25" s="101">
        <v>41688.18</v>
      </c>
      <c r="I25" s="116">
        <f t="shared" si="2"/>
        <v>1090470.94</v>
      </c>
      <c r="J25" s="24"/>
      <c r="K25" s="82"/>
    </row>
    <row r="26" spans="1:11" x14ac:dyDescent="0.25">
      <c r="A26" s="55">
        <f t="shared" si="3"/>
        <v>13</v>
      </c>
      <c r="B26" s="154">
        <v>43800</v>
      </c>
      <c r="C26" s="30">
        <f t="shared" si="4"/>
        <v>1</v>
      </c>
      <c r="D26" s="136">
        <v>200000</v>
      </c>
      <c r="E26" s="49">
        <f t="shared" si="0"/>
        <v>37697104</v>
      </c>
      <c r="F26" s="136">
        <v>-44826</v>
      </c>
      <c r="G26" s="49">
        <f t="shared" si="1"/>
        <v>-4452389</v>
      </c>
      <c r="H26" s="101">
        <v>13896.06</v>
      </c>
      <c r="I26" s="117">
        <f t="shared" si="2"/>
        <v>1104367</v>
      </c>
      <c r="J26" s="24"/>
      <c r="K26" s="82"/>
    </row>
    <row r="27" spans="1:11" x14ac:dyDescent="0.25">
      <c r="A27" s="55"/>
      <c r="E27" s="2">
        <f>SUM(E14:E26)</f>
        <v>413462352</v>
      </c>
      <c r="G27" s="2">
        <f>SUM(G14:G26)</f>
        <v>-40712699</v>
      </c>
      <c r="H27" s="25"/>
      <c r="I27" s="2">
        <f>SUM(I14:I26)</f>
        <v>9034580.0199999996</v>
      </c>
      <c r="J27" s="2"/>
    </row>
    <row r="28" spans="1:11" x14ac:dyDescent="0.25">
      <c r="A28" s="55">
        <f>A26+1</f>
        <v>14</v>
      </c>
      <c r="B28" t="s">
        <v>126</v>
      </c>
      <c r="E28">
        <v>13</v>
      </c>
      <c r="G28">
        <v>13</v>
      </c>
      <c r="H28" s="24"/>
      <c r="I28" s="69">
        <v>13</v>
      </c>
    </row>
    <row r="29" spans="1:11" ht="15.75" thickBot="1" x14ac:dyDescent="0.3">
      <c r="A29" s="55">
        <f>A28+1</f>
        <v>15</v>
      </c>
      <c r="B29" t="s">
        <v>127</v>
      </c>
      <c r="E29" s="84">
        <f>ROUND(E27/E28,0)</f>
        <v>31804796</v>
      </c>
      <c r="F29" s="85"/>
      <c r="G29" s="84">
        <f>ROUND(G27/G28,0)</f>
        <v>-3131746</v>
      </c>
      <c r="H29" s="85"/>
      <c r="I29" s="84">
        <f>ROUND(I27/I28,0)</f>
        <v>694968</v>
      </c>
    </row>
    <row r="30" spans="1:11" ht="15.75" thickTop="1" x14ac:dyDescent="0.25">
      <c r="H30" s="24"/>
    </row>
    <row r="31" spans="1:11" x14ac:dyDescent="0.25">
      <c r="A31" s="55"/>
      <c r="E31" s="48"/>
      <c r="G31" s="48"/>
      <c r="H31" s="48"/>
      <c r="I31" s="48"/>
    </row>
    <row r="32" spans="1:11" x14ac:dyDescent="0.25">
      <c r="F32" s="52"/>
    </row>
  </sheetData>
  <mergeCells count="7">
    <mergeCell ref="D9:E9"/>
    <mergeCell ref="F9:G9"/>
    <mergeCell ref="A5:L5"/>
    <mergeCell ref="A2:L2"/>
    <mergeCell ref="A3:L3"/>
    <mergeCell ref="A4:L4"/>
    <mergeCell ref="H9:I9"/>
  </mergeCells>
  <pageMargins left="0.7" right="0.7" top="0.75" bottom="0.75" header="0.3" footer="0.3"/>
  <pageSetup scale="73" orientation="landscape" r:id="rId1"/>
  <headerFooter>
    <oddHeader xml:space="preserve">&amp;R&amp;"Times New Roman,Bold"&amp;10EXHIBIT 1
Scheudle 2.2
Page &amp;P of &amp;N
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view="pageLayout" topLeftCell="A5" zoomScaleNormal="100" workbookViewId="0">
      <selection activeCell="A5" sqref="A5:K5"/>
    </sheetView>
  </sheetViews>
  <sheetFormatPr defaultRowHeight="15" x14ac:dyDescent="0.25"/>
  <cols>
    <col min="1" max="1" width="8.28515625" bestFit="1" customWidth="1"/>
    <col min="2" max="2" width="19.7109375" customWidth="1"/>
    <col min="3" max="3" width="13.5703125" customWidth="1"/>
    <col min="4" max="4" width="17.42578125" customWidth="1"/>
  </cols>
  <sheetData>
    <row r="2" spans="1:11" x14ac:dyDescent="0.25">
      <c r="A2" s="180" t="str">
        <f>'Sch 1.0'!A2</f>
        <v>Duke Energy Kentucky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x14ac:dyDescent="0.25">
      <c r="A3" s="180" t="str">
        <f>'Sch 1.0'!A3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x14ac:dyDescent="0.25">
      <c r="A4" s="180" t="s">
        <v>113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x14ac:dyDescent="0.25">
      <c r="A6" s="5"/>
    </row>
    <row r="7" spans="1:11" x14ac:dyDescent="0.25">
      <c r="A7" s="5"/>
    </row>
    <row r="8" spans="1:11" x14ac:dyDescent="0.25">
      <c r="A8" s="155" t="s">
        <v>206</v>
      </c>
    </row>
    <row r="9" spans="1:11" x14ac:dyDescent="0.25">
      <c r="A9" s="5"/>
    </row>
    <row r="10" spans="1:11" x14ac:dyDescent="0.25">
      <c r="A10" s="4"/>
      <c r="B10" s="4"/>
      <c r="C10" s="4"/>
      <c r="D10" s="4"/>
    </row>
    <row r="11" spans="1:11" x14ac:dyDescent="0.25">
      <c r="A11" s="9" t="s">
        <v>17</v>
      </c>
      <c r="B11" s="9" t="s">
        <v>74</v>
      </c>
      <c r="C11" s="9"/>
      <c r="D11" s="95" t="s">
        <v>207</v>
      </c>
    </row>
    <row r="12" spans="1:11" x14ac:dyDescent="0.25">
      <c r="B12" s="19" t="s">
        <v>81</v>
      </c>
      <c r="C12" s="19"/>
      <c r="D12" s="96" t="s">
        <v>82</v>
      </c>
    </row>
    <row r="13" spans="1:11" x14ac:dyDescent="0.25">
      <c r="D13" s="43"/>
      <c r="E13" s="43"/>
    </row>
    <row r="14" spans="1:11" x14ac:dyDescent="0.25">
      <c r="A14">
        <v>1</v>
      </c>
      <c r="B14" s="154">
        <v>43466</v>
      </c>
      <c r="C14" s="30"/>
      <c r="D14" s="115">
        <v>4541.28</v>
      </c>
      <c r="E14" s="43"/>
    </row>
    <row r="15" spans="1:11" x14ac:dyDescent="0.25">
      <c r="A15">
        <f>A14+1</f>
        <v>2</v>
      </c>
      <c r="B15" s="154">
        <v>43497</v>
      </c>
      <c r="C15" s="30"/>
      <c r="D15" s="142">
        <v>4541.28</v>
      </c>
      <c r="E15" s="43"/>
    </row>
    <row r="16" spans="1:11" x14ac:dyDescent="0.25">
      <c r="A16">
        <f t="shared" ref="A16:A25" si="0">A15+1</f>
        <v>3</v>
      </c>
      <c r="B16" s="154">
        <v>43525</v>
      </c>
      <c r="C16" s="30"/>
      <c r="D16" s="142">
        <v>11353.2</v>
      </c>
      <c r="E16" s="43"/>
    </row>
    <row r="17" spans="1:5" x14ac:dyDescent="0.25">
      <c r="A17">
        <f t="shared" si="0"/>
        <v>4</v>
      </c>
      <c r="B17" s="154">
        <v>43556</v>
      </c>
      <c r="C17" s="30"/>
      <c r="D17" s="142">
        <v>11353.2</v>
      </c>
      <c r="E17" s="43"/>
    </row>
    <row r="18" spans="1:5" x14ac:dyDescent="0.25">
      <c r="A18">
        <f t="shared" si="0"/>
        <v>5</v>
      </c>
      <c r="B18" s="154">
        <v>43586</v>
      </c>
      <c r="C18" s="30"/>
      <c r="D18" s="142">
        <v>13623.84</v>
      </c>
      <c r="E18" s="43"/>
    </row>
    <row r="19" spans="1:5" x14ac:dyDescent="0.25">
      <c r="A19">
        <f t="shared" si="0"/>
        <v>6</v>
      </c>
      <c r="B19" s="154">
        <v>43617</v>
      </c>
      <c r="C19" s="30"/>
      <c r="D19" s="142">
        <v>22706.400000000001</v>
      </c>
      <c r="E19" s="43"/>
    </row>
    <row r="20" spans="1:5" x14ac:dyDescent="0.25">
      <c r="A20">
        <f t="shared" si="0"/>
        <v>7</v>
      </c>
      <c r="B20" s="154">
        <v>43647</v>
      </c>
      <c r="C20" s="30"/>
      <c r="D20" s="142">
        <v>28383</v>
      </c>
      <c r="E20" s="43"/>
    </row>
    <row r="21" spans="1:5" x14ac:dyDescent="0.25">
      <c r="A21">
        <f t="shared" si="0"/>
        <v>8</v>
      </c>
      <c r="B21" s="154">
        <v>43678</v>
      </c>
      <c r="C21" s="30"/>
      <c r="D21" s="142">
        <v>11353.2</v>
      </c>
      <c r="E21" s="43"/>
    </row>
    <row r="22" spans="1:5" x14ac:dyDescent="0.25">
      <c r="A22">
        <f t="shared" si="0"/>
        <v>9</v>
      </c>
      <c r="B22" s="154">
        <v>43709</v>
      </c>
      <c r="C22" s="30"/>
      <c r="D22" s="142">
        <v>5676.6</v>
      </c>
      <c r="E22" s="43"/>
    </row>
    <row r="23" spans="1:5" x14ac:dyDescent="0.25">
      <c r="A23">
        <f t="shared" si="0"/>
        <v>10</v>
      </c>
      <c r="B23" s="154">
        <v>43739</v>
      </c>
      <c r="C23" s="30"/>
      <c r="D23" s="142"/>
      <c r="E23" s="43"/>
    </row>
    <row r="24" spans="1:5" x14ac:dyDescent="0.25">
      <c r="A24">
        <f t="shared" si="0"/>
        <v>11</v>
      </c>
      <c r="B24" s="154">
        <v>43770</v>
      </c>
      <c r="C24" s="30"/>
      <c r="D24" s="142"/>
      <c r="E24" s="43"/>
    </row>
    <row r="25" spans="1:5" x14ac:dyDescent="0.25">
      <c r="A25">
        <f t="shared" si="0"/>
        <v>12</v>
      </c>
      <c r="B25" s="154">
        <v>43800</v>
      </c>
      <c r="C25" s="30"/>
      <c r="D25" s="157"/>
      <c r="E25" s="43"/>
    </row>
    <row r="26" spans="1:5" x14ac:dyDescent="0.25">
      <c r="A26">
        <v>13</v>
      </c>
      <c r="B26" s="67" t="s">
        <v>27</v>
      </c>
      <c r="D26" s="86">
        <f>SUM(D14:D25)</f>
        <v>113532.00000000001</v>
      </c>
      <c r="E26" s="43"/>
    </row>
    <row r="27" spans="1:5" x14ac:dyDescent="0.25">
      <c r="D27" s="43"/>
      <c r="E27" s="43"/>
    </row>
    <row r="28" spans="1:5" x14ac:dyDescent="0.25">
      <c r="A28" s="18"/>
      <c r="D28" s="43"/>
      <c r="E28" s="43"/>
    </row>
  </sheetData>
  <mergeCells count="4">
    <mergeCell ref="A5:K5"/>
    <mergeCell ref="A2:K2"/>
    <mergeCell ref="A3:K3"/>
    <mergeCell ref="A4:K4"/>
  </mergeCells>
  <pageMargins left="0.7" right="0.7" top="0.75" bottom="0.75" header="0.3" footer="0.3"/>
  <pageSetup scale="99" orientation="landscape" r:id="rId1"/>
  <headerFooter>
    <oddHeader xml:space="preserve">&amp;R&amp;"Times New Roman,Bold"&amp;10EXHIBIT 1
Schedule 2.3
Page &amp;P of &amp;N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8"/>
  <sheetViews>
    <sheetView view="pageLayout" topLeftCell="A4" zoomScaleNormal="100" workbookViewId="0">
      <selection activeCell="A4" sqref="A4:K4"/>
    </sheetView>
  </sheetViews>
  <sheetFormatPr defaultRowHeight="15" x14ac:dyDescent="0.25"/>
  <cols>
    <col min="1" max="1" width="8.28515625" bestFit="1" customWidth="1"/>
    <col min="2" max="2" width="19.7109375" customWidth="1"/>
    <col min="3" max="3" width="13.5703125" customWidth="1"/>
    <col min="4" max="4" width="17.42578125" customWidth="1"/>
  </cols>
  <sheetData>
    <row r="2" spans="1:11" x14ac:dyDescent="0.25">
      <c r="A2" s="180" t="str">
        <f>'Sch 1.0'!A2</f>
        <v>Duke Energy Kentucky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x14ac:dyDescent="0.25">
      <c r="A3" s="180" t="str">
        <f>'Sch 1.0'!A3</f>
        <v>Annual Adjustment to the Accelerated Service Line Replacement Program ("ASRP")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x14ac:dyDescent="0.25">
      <c r="A4" s="180" t="s">
        <v>93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6" spans="1:11" x14ac:dyDescent="0.25">
      <c r="A6" s="5"/>
    </row>
    <row r="7" spans="1:11" x14ac:dyDescent="0.25">
      <c r="A7" s="5"/>
    </row>
    <row r="8" spans="1:11" x14ac:dyDescent="0.25">
      <c r="A8" s="155" t="s">
        <v>208</v>
      </c>
    </row>
    <row r="9" spans="1:11" x14ac:dyDescent="0.25">
      <c r="A9" s="5"/>
    </row>
    <row r="10" spans="1:11" x14ac:dyDescent="0.25">
      <c r="A10" s="4"/>
      <c r="B10" s="4"/>
      <c r="C10" s="4"/>
      <c r="D10" s="4"/>
    </row>
    <row r="11" spans="1:11" x14ac:dyDescent="0.25">
      <c r="A11" s="9" t="s">
        <v>17</v>
      </c>
      <c r="B11" s="9" t="s">
        <v>74</v>
      </c>
      <c r="C11" s="9"/>
      <c r="D11" s="95" t="s">
        <v>207</v>
      </c>
    </row>
    <row r="12" spans="1:11" x14ac:dyDescent="0.25">
      <c r="B12" s="19" t="s">
        <v>81</v>
      </c>
      <c r="C12" s="19"/>
      <c r="D12" s="19" t="s">
        <v>82</v>
      </c>
    </row>
    <row r="13" spans="1:11" x14ac:dyDescent="0.25">
      <c r="D13" s="43"/>
      <c r="E13" s="43"/>
    </row>
    <row r="14" spans="1:11" x14ac:dyDescent="0.25">
      <c r="A14">
        <v>1</v>
      </c>
      <c r="B14" s="154">
        <v>43466</v>
      </c>
      <c r="C14" s="30"/>
      <c r="D14" s="115">
        <v>0</v>
      </c>
      <c r="E14" s="43"/>
    </row>
    <row r="15" spans="1:11" x14ac:dyDescent="0.25">
      <c r="A15">
        <f>A14+1</f>
        <v>2</v>
      </c>
      <c r="B15" s="154">
        <v>43497</v>
      </c>
      <c r="C15" s="30"/>
      <c r="D15" s="136">
        <v>0</v>
      </c>
      <c r="E15" s="43"/>
    </row>
    <row r="16" spans="1:11" x14ac:dyDescent="0.25">
      <c r="A16">
        <f t="shared" ref="A16:A25" si="0">A15+1</f>
        <v>3</v>
      </c>
      <c r="B16" s="154">
        <v>43525</v>
      </c>
      <c r="C16" s="30"/>
      <c r="D16" s="136">
        <v>0</v>
      </c>
      <c r="E16" s="43"/>
    </row>
    <row r="17" spans="1:5" x14ac:dyDescent="0.25">
      <c r="A17">
        <f t="shared" si="0"/>
        <v>4</v>
      </c>
      <c r="B17" s="154">
        <v>43556</v>
      </c>
      <c r="C17" s="30"/>
      <c r="D17" s="136">
        <v>0</v>
      </c>
      <c r="E17" s="43"/>
    </row>
    <row r="18" spans="1:5" x14ac:dyDescent="0.25">
      <c r="A18">
        <f t="shared" si="0"/>
        <v>5</v>
      </c>
      <c r="B18" s="154">
        <v>43586</v>
      </c>
      <c r="C18" s="30"/>
      <c r="D18" s="136">
        <v>0</v>
      </c>
      <c r="E18" s="43"/>
    </row>
    <row r="19" spans="1:5" x14ac:dyDescent="0.25">
      <c r="A19">
        <f t="shared" si="0"/>
        <v>6</v>
      </c>
      <c r="B19" s="154">
        <v>43617</v>
      </c>
      <c r="C19" s="30"/>
      <c r="D19" s="136">
        <v>0</v>
      </c>
      <c r="E19" s="43"/>
    </row>
    <row r="20" spans="1:5" x14ac:dyDescent="0.25">
      <c r="A20">
        <f t="shared" si="0"/>
        <v>7</v>
      </c>
      <c r="B20" s="154">
        <v>43647</v>
      </c>
      <c r="C20" s="30"/>
      <c r="D20" s="136">
        <v>0</v>
      </c>
      <c r="E20" s="43"/>
    </row>
    <row r="21" spans="1:5" x14ac:dyDescent="0.25">
      <c r="A21">
        <f t="shared" si="0"/>
        <v>8</v>
      </c>
      <c r="B21" s="154">
        <v>43678</v>
      </c>
      <c r="C21" s="30"/>
      <c r="D21" s="136">
        <v>0</v>
      </c>
      <c r="E21" s="43"/>
    </row>
    <row r="22" spans="1:5" x14ac:dyDescent="0.25">
      <c r="A22">
        <f t="shared" si="0"/>
        <v>9</v>
      </c>
      <c r="B22" s="154">
        <v>43709</v>
      </c>
      <c r="C22" s="30"/>
      <c r="D22" s="136">
        <v>0</v>
      </c>
      <c r="E22" s="43"/>
    </row>
    <row r="23" spans="1:5" x14ac:dyDescent="0.25">
      <c r="A23">
        <f t="shared" si="0"/>
        <v>10</v>
      </c>
      <c r="B23" s="154">
        <v>43739</v>
      </c>
      <c r="C23" s="30"/>
      <c r="D23" s="136">
        <v>0</v>
      </c>
      <c r="E23" s="43"/>
    </row>
    <row r="24" spans="1:5" x14ac:dyDescent="0.25">
      <c r="A24">
        <f t="shared" si="0"/>
        <v>11</v>
      </c>
      <c r="B24" s="154">
        <v>43770</v>
      </c>
      <c r="C24" s="30"/>
      <c r="D24" s="136">
        <v>0</v>
      </c>
      <c r="E24" s="43"/>
    </row>
    <row r="25" spans="1:5" x14ac:dyDescent="0.25">
      <c r="A25">
        <f t="shared" si="0"/>
        <v>12</v>
      </c>
      <c r="B25" s="154">
        <v>43800</v>
      </c>
      <c r="C25" s="30"/>
      <c r="D25" s="161">
        <v>0</v>
      </c>
      <c r="E25" s="43"/>
    </row>
    <row r="26" spans="1:5" x14ac:dyDescent="0.25">
      <c r="A26">
        <v>13</v>
      </c>
      <c r="B26" s="67" t="s">
        <v>27</v>
      </c>
      <c r="D26" s="86">
        <f>SUM(D14:D25)</f>
        <v>0</v>
      </c>
      <c r="E26" s="43"/>
    </row>
    <row r="27" spans="1:5" x14ac:dyDescent="0.25">
      <c r="D27" s="43"/>
      <c r="E27" s="43"/>
    </row>
    <row r="28" spans="1:5" x14ac:dyDescent="0.25">
      <c r="A28" s="18"/>
      <c r="D28" s="43"/>
      <c r="E28" s="43"/>
    </row>
  </sheetData>
  <mergeCells count="4">
    <mergeCell ref="A5:K5"/>
    <mergeCell ref="A2:K2"/>
    <mergeCell ref="A3:K3"/>
    <mergeCell ref="A4:K4"/>
  </mergeCells>
  <pageMargins left="0.7" right="0.7" top="0.75" bottom="0.75" header="0.3" footer="0.3"/>
  <pageSetup scale="99" orientation="landscape" r:id="rId1"/>
  <headerFooter>
    <oddHeader xml:space="preserve">&amp;R&amp;"Times New Roman,Bold"&amp;10EXHIBIT 1
Schedule 2.4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S. Lawler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5639E996712047BD446C0B4813EB25" ma:contentTypeVersion="3" ma:contentTypeDescription="Create a new document." ma:contentTypeScope="" ma:versionID="d42b6dd37bbcceb5de30e053b36fe7c7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748DDD-DC92-4F63-B872-3AA677AFB88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2612a682-5ffb-4b9c-9555-01761893517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03057B4-69D3-4069-B30D-5F17219052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CEAC78-9F1A-4D30-A7A5-99EBC955E4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 Summary</vt:lpstr>
      <vt:lpstr>Sch 1.0</vt:lpstr>
      <vt:lpstr>Sch 1.1</vt:lpstr>
      <vt:lpstr>Sch 1.2</vt:lpstr>
      <vt:lpstr>Sch 2.0</vt:lpstr>
      <vt:lpstr>Sch 2.1</vt:lpstr>
      <vt:lpstr>Sch 2.2</vt:lpstr>
      <vt:lpstr>Sch 2.3</vt:lpstr>
      <vt:lpstr>Sch 2.4</vt:lpstr>
      <vt:lpstr>Sch 3.0</vt:lpstr>
      <vt:lpstr>Sch 4.1</vt:lpstr>
      <vt:lpstr>Sch 4.2</vt:lpstr>
      <vt:lpstr>Sch 4.3</vt:lpstr>
      <vt:lpstr>Sch 4.4</vt:lpstr>
      <vt:lpstr>Sch 4.5</vt:lpstr>
      <vt:lpstr>Sch 4.6</vt:lpstr>
      <vt:lpstr>Sch 4.7</vt:lpstr>
      <vt:lpstr>' Summary'!Print_Area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Filing</dc:subject>
  <dc:creator>Shoemaker, Joe</dc:creator>
  <cp:lastModifiedBy>Lawler, Sarah E</cp:lastModifiedBy>
  <cp:lastPrinted>2018-06-15T18:04:17Z</cp:lastPrinted>
  <dcterms:created xsi:type="dcterms:W3CDTF">2015-04-22T13:48:09Z</dcterms:created>
  <dcterms:modified xsi:type="dcterms:W3CDTF">2018-06-27T14:33:50Z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0x0101000A5639E996712047BD446C0B4813EB25</vt:lpwstr>
  </property>
  <property fmtid="{D5CDD505-2E9C-101B-9397-08002B2CF9AE}" pid="3" name="SV_QUERY_LIST_4F35BF76-6C0D-4D9B-82B2-816C12CF3733">
    <vt:lpwstr>empty_477D106A-C0D6-4607-AEBD-E2C9D60EA279</vt:lpwstr>
  </property>
</Properties>
</file>