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8165" windowHeight="7620" tabRatio="758"/>
  </bookViews>
  <sheets>
    <sheet name="Summary" sheetId="5" r:id="rId1"/>
    <sheet name="2010" sheetId="3" r:id="rId2"/>
    <sheet name="2011" sheetId="6" r:id="rId3"/>
    <sheet name="2012" sheetId="8" r:id="rId4"/>
    <sheet name="2013" sheetId="10" r:id="rId5"/>
    <sheet name="2014" sheetId="11" r:id="rId6"/>
    <sheet name="2015" sheetId="12" r:id="rId7"/>
    <sheet name="2016" sheetId="13" r:id="rId8"/>
    <sheet name="2017" sheetId="17" r:id="rId9"/>
    <sheet name="Schedule III" sheetId="18" r:id="rId10"/>
    <sheet name="Tax Rates" sheetId="4" r:id="rId11"/>
  </sheets>
  <definedNames>
    <definedName name="_xlnm.Print_Area" localSheetId="9">'Schedule III'!$A$1:$G$44</definedName>
  </definedNames>
  <calcPr calcId="145621"/>
</workbook>
</file>

<file path=xl/calcChain.xml><?xml version="1.0" encoding="utf-8"?>
<calcChain xmlns="http://schemas.openxmlformats.org/spreadsheetml/2006/main">
  <c r="C35" i="18" l="1"/>
  <c r="C37" i="18"/>
  <c r="C26" i="18"/>
  <c r="C15" i="18"/>
  <c r="C14" i="18"/>
  <c r="C13" i="18"/>
  <c r="C12" i="18"/>
  <c r="C11" i="18"/>
  <c r="C10" i="18"/>
  <c r="C9" i="18"/>
  <c r="C8" i="18"/>
  <c r="C39" i="18" l="1"/>
  <c r="C16" i="18"/>
  <c r="C42" i="18" l="1"/>
  <c r="L18" i="5" s="1"/>
  <c r="G36" i="17" l="1"/>
  <c r="E36" i="17"/>
  <c r="G35" i="17"/>
  <c r="G34" i="17"/>
  <c r="G33" i="17"/>
  <c r="G32" i="17"/>
  <c r="L25" i="17"/>
  <c r="M24" i="17"/>
  <c r="G24" i="17"/>
  <c r="N24" i="17" s="1"/>
  <c r="P24" i="17" s="1"/>
  <c r="C24" i="17"/>
  <c r="K23" i="17"/>
  <c r="C23" i="17"/>
  <c r="K22" i="17"/>
  <c r="C22" i="17"/>
  <c r="C21" i="17"/>
  <c r="E21" i="17" s="1"/>
  <c r="M20" i="17"/>
  <c r="K20" i="17"/>
  <c r="F20" i="17"/>
  <c r="C20" i="17"/>
  <c r="D20" i="17" s="1"/>
  <c r="K19" i="17"/>
  <c r="C19" i="17"/>
  <c r="K18" i="17"/>
  <c r="K21" i="17" s="1"/>
  <c r="F12" i="17"/>
  <c r="C12" i="17"/>
  <c r="P11" i="17"/>
  <c r="P10" i="17"/>
  <c r="G10" i="17"/>
  <c r="H10" i="17" s="1"/>
  <c r="J10" i="17" s="1"/>
  <c r="D35" i="17" s="1"/>
  <c r="P9" i="17"/>
  <c r="G9" i="17"/>
  <c r="H9" i="17" s="1"/>
  <c r="J9" i="17" s="1"/>
  <c r="D34" i="17" s="1"/>
  <c r="P8" i="17"/>
  <c r="G8" i="17"/>
  <c r="H8" i="17" s="1"/>
  <c r="J8" i="17" s="1"/>
  <c r="D33" i="17" s="1"/>
  <c r="P7" i="17"/>
  <c r="G7" i="17"/>
  <c r="H7" i="17" s="1"/>
  <c r="J7" i="17" s="1"/>
  <c r="D32" i="17" s="1"/>
  <c r="P6" i="17"/>
  <c r="G6" i="17"/>
  <c r="K8" i="5" l="1"/>
  <c r="P12" i="17"/>
  <c r="G11" i="17" s="1"/>
  <c r="H11" i="17" s="1"/>
  <c r="J11" i="17" s="1"/>
  <c r="D36" i="17" s="1"/>
  <c r="F36" i="17" s="1"/>
  <c r="H36" i="17" s="1"/>
  <c r="M21" i="17"/>
  <c r="F21" i="17"/>
  <c r="E19" i="17"/>
  <c r="F19" i="17" s="1"/>
  <c r="H24" i="17"/>
  <c r="C25" i="17"/>
  <c r="E23" i="17"/>
  <c r="M23" i="17" s="1"/>
  <c r="H6" i="17"/>
  <c r="G20" i="17"/>
  <c r="N20" i="17" s="1"/>
  <c r="E22" i="17"/>
  <c r="M22" i="17" s="1"/>
  <c r="G12" i="17" l="1"/>
  <c r="H20" i="17"/>
  <c r="O20" i="17" s="1"/>
  <c r="P20" i="17" s="1"/>
  <c r="R20" i="17" s="1"/>
  <c r="E32" i="17" s="1"/>
  <c r="F32" i="17" s="1"/>
  <c r="H32" i="17" s="1"/>
  <c r="G21" i="17"/>
  <c r="N21" i="17" s="1"/>
  <c r="F22" i="17"/>
  <c r="G19" i="17"/>
  <c r="H19" i="17" s="1"/>
  <c r="F23" i="17"/>
  <c r="H12" i="17"/>
  <c r="K10" i="5" s="1"/>
  <c r="J6" i="17"/>
  <c r="E25" i="17"/>
  <c r="M19" i="17"/>
  <c r="O19" i="17" l="1"/>
  <c r="G22" i="17"/>
  <c r="N22" i="17" s="1"/>
  <c r="H22" i="17"/>
  <c r="O22" i="17" s="1"/>
  <c r="M25" i="17"/>
  <c r="G23" i="17"/>
  <c r="N23" i="17" s="1"/>
  <c r="D31" i="17"/>
  <c r="D37" i="17" s="1"/>
  <c r="J12" i="17"/>
  <c r="N19" i="17"/>
  <c r="N25" i="17" s="1"/>
  <c r="F25" i="17"/>
  <c r="H21" i="17"/>
  <c r="O21" i="17" s="1"/>
  <c r="P21" i="17" s="1"/>
  <c r="R21" i="17" s="1"/>
  <c r="E33" i="17" s="1"/>
  <c r="F33" i="17" s="1"/>
  <c r="H33" i="17" s="1"/>
  <c r="G25" i="17" l="1"/>
  <c r="H23" i="17"/>
  <c r="O23" i="17" s="1"/>
  <c r="O25" i="17" s="1"/>
  <c r="P22" i="17"/>
  <c r="R22" i="17" s="1"/>
  <c r="E34" i="17" s="1"/>
  <c r="F34" i="17" s="1"/>
  <c r="H34" i="17" s="1"/>
  <c r="P23" i="17"/>
  <c r="R23" i="17" s="1"/>
  <c r="E35" i="17" s="1"/>
  <c r="F35" i="17" s="1"/>
  <c r="H35" i="17" s="1"/>
  <c r="P19" i="17"/>
  <c r="H25" i="17"/>
  <c r="G36" i="13"/>
  <c r="E36" i="13"/>
  <c r="G35" i="13"/>
  <c r="G34" i="13"/>
  <c r="G33" i="13"/>
  <c r="G32" i="13"/>
  <c r="L25" i="13"/>
  <c r="M24" i="13"/>
  <c r="G24" i="13"/>
  <c r="N24" i="13" s="1"/>
  <c r="P24" i="13" s="1"/>
  <c r="C24" i="13"/>
  <c r="K23" i="13"/>
  <c r="C23" i="13"/>
  <c r="C22" i="13"/>
  <c r="C21" i="13"/>
  <c r="E21" i="13" s="1"/>
  <c r="C20" i="13"/>
  <c r="F20" i="13" s="1"/>
  <c r="K19" i="13"/>
  <c r="C19" i="13"/>
  <c r="K18" i="13"/>
  <c r="K21" i="13" s="1"/>
  <c r="F12" i="13"/>
  <c r="C12" i="13"/>
  <c r="P11" i="13"/>
  <c r="P10" i="13"/>
  <c r="G10" i="13"/>
  <c r="H10" i="13" s="1"/>
  <c r="J10" i="13" s="1"/>
  <c r="D35" i="13" s="1"/>
  <c r="P9" i="13"/>
  <c r="G9" i="13"/>
  <c r="H9" i="13" s="1"/>
  <c r="J9" i="13" s="1"/>
  <c r="D34" i="13" s="1"/>
  <c r="P8" i="13"/>
  <c r="G8" i="13"/>
  <c r="H8" i="13" s="1"/>
  <c r="J8" i="13" s="1"/>
  <c r="D33" i="13" s="1"/>
  <c r="P7" i="13"/>
  <c r="G7" i="13"/>
  <c r="H7" i="13" s="1"/>
  <c r="J7" i="13" s="1"/>
  <c r="D32" i="13" s="1"/>
  <c r="P6" i="13"/>
  <c r="G6" i="13"/>
  <c r="K20" i="13" l="1"/>
  <c r="K22" i="13"/>
  <c r="P25" i="17"/>
  <c r="R19" i="17"/>
  <c r="J8" i="5"/>
  <c r="P12" i="13"/>
  <c r="G11" i="13" s="1"/>
  <c r="H11" i="13" s="1"/>
  <c r="J11" i="13" s="1"/>
  <c r="D36" i="13" s="1"/>
  <c r="F36" i="13" s="1"/>
  <c r="H36" i="13" s="1"/>
  <c r="D20" i="13"/>
  <c r="F21" i="13"/>
  <c r="E19" i="13"/>
  <c r="H24" i="13"/>
  <c r="C25" i="13"/>
  <c r="E23" i="13"/>
  <c r="M23" i="13" s="1"/>
  <c r="H6" i="13"/>
  <c r="G20" i="13"/>
  <c r="E22" i="13"/>
  <c r="M22" i="13" s="1"/>
  <c r="F23" i="13"/>
  <c r="R25" i="17" l="1"/>
  <c r="E31" i="17"/>
  <c r="G12" i="13"/>
  <c r="H12" i="13"/>
  <c r="J10" i="5" s="1"/>
  <c r="J6" i="13"/>
  <c r="E25" i="13"/>
  <c r="G21" i="13"/>
  <c r="N21" i="13" s="1"/>
  <c r="H23" i="13"/>
  <c r="O23" i="13" s="1"/>
  <c r="G23" i="13"/>
  <c r="N23" i="13" s="1"/>
  <c r="H20" i="13"/>
  <c r="O20" i="13" s="1"/>
  <c r="P20" i="13" s="1"/>
  <c r="R20" i="13" s="1"/>
  <c r="E32" i="13" s="1"/>
  <c r="F32" i="13" s="1"/>
  <c r="H32" i="13" s="1"/>
  <c r="F22" i="13"/>
  <c r="F19" i="13"/>
  <c r="D20" i="12"/>
  <c r="I8" i="5"/>
  <c r="P23" i="13" l="1"/>
  <c r="R23" i="13" s="1"/>
  <c r="E35" i="13" s="1"/>
  <c r="F35" i="13" s="1"/>
  <c r="H35" i="13" s="1"/>
  <c r="E37" i="17"/>
  <c r="F31" i="17"/>
  <c r="H21" i="13"/>
  <c r="O21" i="13" s="1"/>
  <c r="P21" i="13" s="1"/>
  <c r="R21" i="13" s="1"/>
  <c r="E33" i="13" s="1"/>
  <c r="F33" i="13" s="1"/>
  <c r="H33" i="13" s="1"/>
  <c r="M25" i="13"/>
  <c r="F25" i="13"/>
  <c r="G19" i="13"/>
  <c r="G22" i="13"/>
  <c r="N22" i="13" s="1"/>
  <c r="H22" i="13"/>
  <c r="O22" i="13" s="1"/>
  <c r="D31" i="13"/>
  <c r="D37" i="13" s="1"/>
  <c r="J12" i="13"/>
  <c r="G36" i="12"/>
  <c r="E36" i="12"/>
  <c r="G35" i="12"/>
  <c r="G34" i="12"/>
  <c r="G33" i="12"/>
  <c r="G32" i="12"/>
  <c r="L25" i="12"/>
  <c r="N24" i="12"/>
  <c r="P24" i="12" s="1"/>
  <c r="M24" i="12"/>
  <c r="G24" i="12"/>
  <c r="H24" i="12" s="1"/>
  <c r="C24" i="12"/>
  <c r="C23" i="12"/>
  <c r="C22" i="12"/>
  <c r="E22" i="12" s="1"/>
  <c r="C21" i="12"/>
  <c r="E21" i="12" s="1"/>
  <c r="F21" i="12" s="1"/>
  <c r="C20" i="12"/>
  <c r="C19" i="12"/>
  <c r="K18" i="12"/>
  <c r="K22" i="12" s="1"/>
  <c r="F12" i="12"/>
  <c r="C12" i="12"/>
  <c r="P11" i="12"/>
  <c r="P10" i="12"/>
  <c r="G10" i="12"/>
  <c r="H10" i="12" s="1"/>
  <c r="J10" i="12" s="1"/>
  <c r="D35" i="12" s="1"/>
  <c r="P9" i="12"/>
  <c r="G9" i="12"/>
  <c r="H9" i="12" s="1"/>
  <c r="J9" i="12" s="1"/>
  <c r="D34" i="12" s="1"/>
  <c r="P8" i="12"/>
  <c r="G8" i="12"/>
  <c r="H8" i="12" s="1"/>
  <c r="J8" i="12" s="1"/>
  <c r="D33" i="12" s="1"/>
  <c r="P7" i="12"/>
  <c r="G7" i="12"/>
  <c r="H7" i="12" s="1"/>
  <c r="J7" i="12" s="1"/>
  <c r="D32" i="12" s="1"/>
  <c r="P6" i="12"/>
  <c r="G6" i="12"/>
  <c r="H6" i="12" s="1"/>
  <c r="F37" i="17" l="1"/>
  <c r="H31" i="17"/>
  <c r="H37" i="17" s="1"/>
  <c r="K11" i="5" s="1"/>
  <c r="K12" i="5" s="1"/>
  <c r="K15" i="5" s="1"/>
  <c r="K17" i="5" s="1"/>
  <c r="L17" i="5" s="1"/>
  <c r="G25" i="13"/>
  <c r="H19" i="13"/>
  <c r="P22" i="13"/>
  <c r="R22" i="13" s="1"/>
  <c r="E34" i="13" s="1"/>
  <c r="F34" i="13" s="1"/>
  <c r="H34" i="13" s="1"/>
  <c r="P12" i="12"/>
  <c r="G11" i="12" s="1"/>
  <c r="H11" i="12" s="1"/>
  <c r="J11" i="12" s="1"/>
  <c r="D36" i="12" s="1"/>
  <c r="F36" i="12" s="1"/>
  <c r="H36" i="12" s="1"/>
  <c r="J6" i="12"/>
  <c r="M22" i="12"/>
  <c r="F22" i="12"/>
  <c r="G21" i="12"/>
  <c r="N21" i="12" s="1"/>
  <c r="E19" i="12"/>
  <c r="F19" i="12" s="1"/>
  <c r="E23" i="12"/>
  <c r="M23" i="12" s="1"/>
  <c r="K23" i="12"/>
  <c r="C25" i="12"/>
  <c r="K21" i="12"/>
  <c r="K20" i="12"/>
  <c r="K19" i="12"/>
  <c r="H25" i="13" l="1"/>
  <c r="O19" i="13"/>
  <c r="O25" i="13" s="1"/>
  <c r="N25" i="13"/>
  <c r="G12" i="12"/>
  <c r="H12" i="12"/>
  <c r="I10" i="5" s="1"/>
  <c r="F23" i="12"/>
  <c r="F20" i="12"/>
  <c r="G19" i="12"/>
  <c r="E25" i="12"/>
  <c r="H21" i="12"/>
  <c r="O21" i="12" s="1"/>
  <c r="P21" i="12" s="1"/>
  <c r="R21" i="12" s="1"/>
  <c r="E33" i="12" s="1"/>
  <c r="F33" i="12" s="1"/>
  <c r="H33" i="12" s="1"/>
  <c r="G22" i="12"/>
  <c r="N22" i="12" s="1"/>
  <c r="D31" i="12"/>
  <c r="D37" i="12" s="1"/>
  <c r="J12" i="12"/>
  <c r="P19" i="13" l="1"/>
  <c r="G20" i="12"/>
  <c r="H22" i="12"/>
  <c r="O22" i="12" s="1"/>
  <c r="P22" i="12" s="1"/>
  <c r="R22" i="12" s="1"/>
  <c r="E34" i="12" s="1"/>
  <c r="F34" i="12" s="1"/>
  <c r="H34" i="12" s="1"/>
  <c r="F25" i="12"/>
  <c r="G23" i="12"/>
  <c r="N23" i="12" s="1"/>
  <c r="H23" i="12"/>
  <c r="O23" i="12" s="1"/>
  <c r="M25" i="12"/>
  <c r="H19" i="12"/>
  <c r="P25" i="13" l="1"/>
  <c r="R19" i="13"/>
  <c r="N25" i="12"/>
  <c r="G25" i="12"/>
  <c r="O19" i="12"/>
  <c r="P19" i="12" s="1"/>
  <c r="P23" i="12"/>
  <c r="R23" i="12" s="1"/>
  <c r="E35" i="12" s="1"/>
  <c r="F35" i="12" s="1"/>
  <c r="H35" i="12" s="1"/>
  <c r="H20" i="12"/>
  <c r="O20" i="12" s="1"/>
  <c r="P20" i="12" s="1"/>
  <c r="R20" i="12" s="1"/>
  <c r="E32" i="12" s="1"/>
  <c r="F32" i="12" s="1"/>
  <c r="H32" i="12" s="1"/>
  <c r="G36" i="11"/>
  <c r="E36" i="11"/>
  <c r="G35" i="11"/>
  <c r="G34" i="11"/>
  <c r="G33" i="11"/>
  <c r="G32" i="11"/>
  <c r="L25" i="11"/>
  <c r="M24" i="11"/>
  <c r="P24" i="11" s="1"/>
  <c r="G24" i="11"/>
  <c r="N24" i="11" s="1"/>
  <c r="C24" i="11"/>
  <c r="E23" i="11"/>
  <c r="M23" i="11" s="1"/>
  <c r="C23" i="11"/>
  <c r="C22" i="11"/>
  <c r="C21" i="11"/>
  <c r="E21" i="11" s="1"/>
  <c r="C20" i="11"/>
  <c r="E20" i="11" s="1"/>
  <c r="M20" i="11" s="1"/>
  <c r="C19" i="11"/>
  <c r="E19" i="11" s="1"/>
  <c r="K18" i="11"/>
  <c r="K21" i="11" s="1"/>
  <c r="F12" i="11"/>
  <c r="C12" i="11"/>
  <c r="H8" i="5" s="1"/>
  <c r="P11" i="11"/>
  <c r="P10" i="11"/>
  <c r="G10" i="11"/>
  <c r="H10" i="11" s="1"/>
  <c r="J10" i="11" s="1"/>
  <c r="D35" i="11" s="1"/>
  <c r="P9" i="11"/>
  <c r="G9" i="11"/>
  <c r="H9" i="11" s="1"/>
  <c r="J9" i="11" s="1"/>
  <c r="D34" i="11" s="1"/>
  <c r="P8" i="11"/>
  <c r="G8" i="11"/>
  <c r="H8" i="11" s="1"/>
  <c r="J8" i="11" s="1"/>
  <c r="D33" i="11" s="1"/>
  <c r="P7" i="11"/>
  <c r="G7" i="11"/>
  <c r="H7" i="11" s="1"/>
  <c r="J7" i="11" s="1"/>
  <c r="D32" i="11" s="1"/>
  <c r="P6" i="11"/>
  <c r="G6" i="11"/>
  <c r="K19" i="11" l="1"/>
  <c r="K23" i="11"/>
  <c r="R25" i="13"/>
  <c r="E31" i="13"/>
  <c r="K22" i="11"/>
  <c r="K20" i="11"/>
  <c r="P25" i="12"/>
  <c r="R19" i="12"/>
  <c r="O25" i="12"/>
  <c r="H25" i="12"/>
  <c r="P12" i="11"/>
  <c r="G11" i="11" s="1"/>
  <c r="H11" i="11" s="1"/>
  <c r="J11" i="11" s="1"/>
  <c r="D36" i="11" s="1"/>
  <c r="F36" i="11" s="1"/>
  <c r="H36" i="11" s="1"/>
  <c r="F21" i="11"/>
  <c r="F20" i="11"/>
  <c r="H24" i="11"/>
  <c r="C25" i="11"/>
  <c r="H6" i="11"/>
  <c r="F19" i="11"/>
  <c r="E22" i="11"/>
  <c r="M22" i="11" s="1"/>
  <c r="F23" i="11"/>
  <c r="E37" i="13" l="1"/>
  <c r="F31" i="13"/>
  <c r="H31" i="13" s="1"/>
  <c r="E31" i="12"/>
  <c r="R25" i="12"/>
  <c r="G12" i="11"/>
  <c r="G23" i="11"/>
  <c r="N23" i="11" s="1"/>
  <c r="M25" i="11"/>
  <c r="F22" i="11"/>
  <c r="F25" i="11"/>
  <c r="G19" i="11"/>
  <c r="H19" i="11" s="1"/>
  <c r="G20" i="11"/>
  <c r="E25" i="11"/>
  <c r="J6" i="11"/>
  <c r="H12" i="11"/>
  <c r="H10" i="5" s="1"/>
  <c r="G21" i="11"/>
  <c r="N21" i="11" s="1"/>
  <c r="G10" i="6"/>
  <c r="G9" i="6"/>
  <c r="G8" i="6"/>
  <c r="G7" i="6"/>
  <c r="G6" i="6"/>
  <c r="P11" i="3"/>
  <c r="P10" i="3"/>
  <c r="P9" i="3"/>
  <c r="P8" i="3"/>
  <c r="P7" i="3"/>
  <c r="P6" i="3"/>
  <c r="G10" i="3"/>
  <c r="G9" i="3"/>
  <c r="G8" i="3"/>
  <c r="G7" i="3"/>
  <c r="G6" i="3"/>
  <c r="G10" i="10"/>
  <c r="G9" i="10"/>
  <c r="G8" i="10"/>
  <c r="G7" i="10"/>
  <c r="G6" i="10"/>
  <c r="G10" i="8"/>
  <c r="G9" i="8"/>
  <c r="G8" i="8"/>
  <c r="G7" i="8"/>
  <c r="G6" i="8"/>
  <c r="F37" i="13" l="1"/>
  <c r="H37" i="13"/>
  <c r="J11" i="5" s="1"/>
  <c r="J12" i="5" s="1"/>
  <c r="J15" i="5" s="1"/>
  <c r="J17" i="5" s="1"/>
  <c r="E37" i="12"/>
  <c r="F31" i="12"/>
  <c r="H21" i="11"/>
  <c r="O21" i="11" s="1"/>
  <c r="P21" i="11" s="1"/>
  <c r="R21" i="11" s="1"/>
  <c r="E33" i="11" s="1"/>
  <c r="F33" i="11" s="1"/>
  <c r="H33" i="11" s="1"/>
  <c r="H20" i="11"/>
  <c r="O20" i="11" s="1"/>
  <c r="P20" i="11" s="1"/>
  <c r="R20" i="11" s="1"/>
  <c r="E32" i="11" s="1"/>
  <c r="F32" i="11" s="1"/>
  <c r="H32" i="11" s="1"/>
  <c r="D31" i="11"/>
  <c r="D37" i="11" s="1"/>
  <c r="J12" i="11"/>
  <c r="O19" i="11"/>
  <c r="G22" i="11"/>
  <c r="N22" i="11" s="1"/>
  <c r="N19" i="11"/>
  <c r="H23" i="11"/>
  <c r="O23" i="11" s="1"/>
  <c r="P23" i="11" s="1"/>
  <c r="R23" i="11" s="1"/>
  <c r="E35" i="11" s="1"/>
  <c r="F35" i="11" s="1"/>
  <c r="H35" i="11" s="1"/>
  <c r="H31" i="12" l="1"/>
  <c r="H37" i="12" s="1"/>
  <c r="I11" i="5" s="1"/>
  <c r="I12" i="5" s="1"/>
  <c r="I15" i="5" s="1"/>
  <c r="I17" i="5" s="1"/>
  <c r="F37" i="12"/>
  <c r="N25" i="11"/>
  <c r="P19" i="11"/>
  <c r="G25" i="11"/>
  <c r="H22" i="11"/>
  <c r="G36" i="10"/>
  <c r="E36" i="10"/>
  <c r="G35" i="10"/>
  <c r="G34" i="10"/>
  <c r="G33" i="10"/>
  <c r="G32" i="10"/>
  <c r="L25" i="10"/>
  <c r="M24" i="10"/>
  <c r="G24" i="10"/>
  <c r="N24" i="10" s="1"/>
  <c r="P24" i="10" s="1"/>
  <c r="C24" i="10"/>
  <c r="C23" i="10"/>
  <c r="E23" i="10" s="1"/>
  <c r="M23" i="10" s="1"/>
  <c r="C22" i="10"/>
  <c r="E20" i="10"/>
  <c r="M20" i="10" s="1"/>
  <c r="C20" i="10"/>
  <c r="C19" i="10"/>
  <c r="K18" i="10"/>
  <c r="K21" i="10" s="1"/>
  <c r="F12" i="10"/>
  <c r="P11" i="10"/>
  <c r="P10" i="10"/>
  <c r="H10" i="10"/>
  <c r="J10" i="10" s="1"/>
  <c r="D35" i="10" s="1"/>
  <c r="P9" i="10"/>
  <c r="H9" i="10"/>
  <c r="J9" i="10" s="1"/>
  <c r="D34" i="10" s="1"/>
  <c r="P8" i="10"/>
  <c r="P7" i="10"/>
  <c r="H7" i="10"/>
  <c r="J7" i="10" s="1"/>
  <c r="D32" i="10" s="1"/>
  <c r="P6" i="10"/>
  <c r="K23" i="10" l="1"/>
  <c r="K20" i="10"/>
  <c r="K19" i="10"/>
  <c r="R19" i="11"/>
  <c r="O22" i="11"/>
  <c r="H25" i="11"/>
  <c r="P12" i="10"/>
  <c r="H6" i="10"/>
  <c r="H8" i="10"/>
  <c r="J8" i="10" s="1"/>
  <c r="D33" i="10" s="1"/>
  <c r="C12" i="10"/>
  <c r="G8" i="5" s="1"/>
  <c r="E19" i="10"/>
  <c r="F19" i="10" s="1"/>
  <c r="H24" i="10"/>
  <c r="C21" i="10"/>
  <c r="E22" i="10"/>
  <c r="M22" i="10" s="1"/>
  <c r="K22" i="10"/>
  <c r="F23" i="10"/>
  <c r="F20" i="10"/>
  <c r="F22" i="10"/>
  <c r="G11" i="10" l="1"/>
  <c r="G12" i="10" s="1"/>
  <c r="O25" i="11"/>
  <c r="P22" i="11"/>
  <c r="E31" i="11"/>
  <c r="E21" i="10"/>
  <c r="J6" i="10"/>
  <c r="G20" i="10"/>
  <c r="N20" i="10" s="1"/>
  <c r="C25" i="10"/>
  <c r="G22" i="10"/>
  <c r="N22" i="10" s="1"/>
  <c r="G23" i="10"/>
  <c r="N23" i="10" s="1"/>
  <c r="H23" i="10"/>
  <c r="O23" i="10" s="1"/>
  <c r="G19" i="10"/>
  <c r="H11" i="10" l="1"/>
  <c r="F31" i="11"/>
  <c r="H31" i="11" s="1"/>
  <c r="R22" i="11"/>
  <c r="P25" i="11"/>
  <c r="E25" i="10"/>
  <c r="H20" i="10"/>
  <c r="O20" i="10" s="1"/>
  <c r="P20" i="10" s="1"/>
  <c r="R20" i="10" s="1"/>
  <c r="E32" i="10" s="1"/>
  <c r="F32" i="10" s="1"/>
  <c r="H32" i="10" s="1"/>
  <c r="N19" i="10"/>
  <c r="M25" i="10"/>
  <c r="H19" i="10"/>
  <c r="H22" i="10"/>
  <c r="O22" i="10" s="1"/>
  <c r="P22" i="10" s="1"/>
  <c r="R22" i="10" s="1"/>
  <c r="E34" i="10" s="1"/>
  <c r="F34" i="10" s="1"/>
  <c r="H34" i="10" s="1"/>
  <c r="F21" i="10"/>
  <c r="P23" i="10"/>
  <c r="R23" i="10" s="1"/>
  <c r="E35" i="10" s="1"/>
  <c r="F35" i="10" s="1"/>
  <c r="H35" i="10" s="1"/>
  <c r="D31" i="10"/>
  <c r="J11" i="10" l="1"/>
  <c r="H12" i="10"/>
  <c r="G10" i="5" s="1"/>
  <c r="E34" i="11"/>
  <c r="R25" i="11"/>
  <c r="G21" i="10"/>
  <c r="H21" i="10"/>
  <c r="O21" i="10" s="1"/>
  <c r="F25" i="10"/>
  <c r="O19" i="10"/>
  <c r="E20" i="8"/>
  <c r="D36" i="10" l="1"/>
  <c r="J12" i="10"/>
  <c r="F34" i="11"/>
  <c r="H34" i="11" s="1"/>
  <c r="E37" i="11"/>
  <c r="H25" i="10"/>
  <c r="O25" i="10"/>
  <c r="P19" i="10"/>
  <c r="N21" i="10"/>
  <c r="G25" i="10"/>
  <c r="E23" i="8"/>
  <c r="E22" i="8"/>
  <c r="E21" i="8"/>
  <c r="E19" i="8"/>
  <c r="F19" i="8" s="1"/>
  <c r="G24" i="8"/>
  <c r="P8" i="6"/>
  <c r="P7" i="6"/>
  <c r="P6" i="6"/>
  <c r="P8" i="8"/>
  <c r="P7" i="8"/>
  <c r="P6" i="8"/>
  <c r="F36" i="10" l="1"/>
  <c r="H36" i="10" s="1"/>
  <c r="D37" i="10"/>
  <c r="H37" i="11"/>
  <c r="H11" i="5" s="1"/>
  <c r="H12" i="5" s="1"/>
  <c r="H15" i="5" s="1"/>
  <c r="H17" i="5" s="1"/>
  <c r="F37" i="11"/>
  <c r="P21" i="10"/>
  <c r="R21" i="10" s="1"/>
  <c r="E33" i="10" s="1"/>
  <c r="F33" i="10" s="1"/>
  <c r="H33" i="10" s="1"/>
  <c r="N25" i="10"/>
  <c r="R19" i="10"/>
  <c r="G19" i="8"/>
  <c r="H19" i="8" s="1"/>
  <c r="R25" i="10" l="1"/>
  <c r="E31" i="10"/>
  <c r="P25" i="10"/>
  <c r="C8" i="8"/>
  <c r="E37" i="10" l="1"/>
  <c r="F31" i="10"/>
  <c r="H31" i="10" s="1"/>
  <c r="C6" i="8"/>
  <c r="C19" i="8" s="1"/>
  <c r="G36" i="8"/>
  <c r="E36" i="8"/>
  <c r="G35" i="8"/>
  <c r="G34" i="8"/>
  <c r="G33" i="8"/>
  <c r="G32" i="8"/>
  <c r="L25" i="8"/>
  <c r="N24" i="8"/>
  <c r="M24" i="8"/>
  <c r="P24" i="8" s="1"/>
  <c r="H24" i="8"/>
  <c r="C23" i="8"/>
  <c r="M23" i="8" s="1"/>
  <c r="C22" i="8"/>
  <c r="C20" i="8"/>
  <c r="K18" i="8"/>
  <c r="K21" i="8" s="1"/>
  <c r="F12" i="8"/>
  <c r="C12" i="8"/>
  <c r="F8" i="5" s="1"/>
  <c r="C24" i="8"/>
  <c r="P10" i="8"/>
  <c r="H10" i="8"/>
  <c r="J10" i="8" s="1"/>
  <c r="D35" i="8" s="1"/>
  <c r="P9" i="8"/>
  <c r="H9" i="8"/>
  <c r="J9" i="8" s="1"/>
  <c r="D34" i="8" s="1"/>
  <c r="H8" i="8"/>
  <c r="J8" i="8" s="1"/>
  <c r="D33" i="8" s="1"/>
  <c r="H7" i="8"/>
  <c r="J7" i="8" s="1"/>
  <c r="D32" i="8" s="1"/>
  <c r="K20" i="8" l="1"/>
  <c r="K23" i="8"/>
  <c r="K19" i="8"/>
  <c r="F37" i="10"/>
  <c r="H37" i="10"/>
  <c r="G11" i="5" s="1"/>
  <c r="G12" i="5" s="1"/>
  <c r="G15" i="5" s="1"/>
  <c r="G17" i="5" s="1"/>
  <c r="C21" i="8"/>
  <c r="M22" i="8"/>
  <c r="K22" i="8"/>
  <c r="F23" i="8"/>
  <c r="G23" i="8" s="1"/>
  <c r="F20" i="8"/>
  <c r="G20" i="8" s="1"/>
  <c r="P11" i="8"/>
  <c r="F22" i="8"/>
  <c r="G22" i="8" s="1"/>
  <c r="P12" i="8" l="1"/>
  <c r="G11" i="8" s="1"/>
  <c r="H6" i="8"/>
  <c r="N22" i="8"/>
  <c r="C25" i="8"/>
  <c r="N23" i="8"/>
  <c r="E25" i="8"/>
  <c r="G12" i="8" l="1"/>
  <c r="H20" i="8"/>
  <c r="O20" i="8" s="1"/>
  <c r="P20" i="8" s="1"/>
  <c r="R20" i="8" s="1"/>
  <c r="E32" i="8" s="1"/>
  <c r="F32" i="8" s="1"/>
  <c r="H32" i="8" s="1"/>
  <c r="M25" i="8"/>
  <c r="J6" i="8"/>
  <c r="H23" i="8"/>
  <c r="O23" i="8" s="1"/>
  <c r="P23" i="8" s="1"/>
  <c r="R23" i="8" s="1"/>
  <c r="E35" i="8" s="1"/>
  <c r="F35" i="8" s="1"/>
  <c r="H35" i="8" s="1"/>
  <c r="F21" i="8"/>
  <c r="G21" i="8" s="1"/>
  <c r="H22" i="8"/>
  <c r="O22" i="8" s="1"/>
  <c r="P22" i="8" s="1"/>
  <c r="R22" i="8" s="1"/>
  <c r="E34" i="8" s="1"/>
  <c r="F34" i="8" s="1"/>
  <c r="H34" i="8" s="1"/>
  <c r="H11" i="8" l="1"/>
  <c r="H21" i="8"/>
  <c r="F25" i="8"/>
  <c r="D31" i="8"/>
  <c r="O19" i="8"/>
  <c r="C11" i="6"/>
  <c r="C12" i="6" s="1"/>
  <c r="E8" i="5" s="1"/>
  <c r="C8" i="3"/>
  <c r="C7" i="3"/>
  <c r="C6" i="3"/>
  <c r="J11" i="8" l="1"/>
  <c r="H12" i="8"/>
  <c r="F10" i="5" s="1"/>
  <c r="O21" i="8"/>
  <c r="O25" i="8" s="1"/>
  <c r="H25" i="8"/>
  <c r="P19" i="8"/>
  <c r="N21" i="8"/>
  <c r="G25" i="8"/>
  <c r="D36" i="8" l="1"/>
  <c r="J12" i="8"/>
  <c r="P21" i="8"/>
  <c r="R21" i="8" s="1"/>
  <c r="E33" i="8" s="1"/>
  <c r="F33" i="8" s="1"/>
  <c r="H33" i="8" s="1"/>
  <c r="N25" i="8"/>
  <c r="R19" i="8"/>
  <c r="P11" i="6"/>
  <c r="P10" i="6"/>
  <c r="P9" i="6"/>
  <c r="F36" i="8" l="1"/>
  <c r="H36" i="8" s="1"/>
  <c r="D37" i="8"/>
  <c r="P25" i="8"/>
  <c r="E31" i="8"/>
  <c r="R25" i="8"/>
  <c r="P12" i="6"/>
  <c r="G11" i="6" s="1"/>
  <c r="E37" i="8" l="1"/>
  <c r="F31" i="8"/>
  <c r="H31" i="8" s="1"/>
  <c r="F37" i="8" l="1"/>
  <c r="H37" i="8"/>
  <c r="F11" i="5" s="1"/>
  <c r="F12" i="5" s="1"/>
  <c r="F15" i="5" s="1"/>
  <c r="F17" i="5" s="1"/>
  <c r="P12" i="3"/>
  <c r="G11" i="3" s="1"/>
  <c r="D20" i="6"/>
  <c r="E20" i="6"/>
  <c r="C8" i="6" l="1"/>
  <c r="C6" i="6" l="1"/>
  <c r="C24" i="6"/>
  <c r="C23" i="6"/>
  <c r="C22" i="6"/>
  <c r="C21" i="6"/>
  <c r="C20" i="6"/>
  <c r="C19" i="6"/>
  <c r="E36" i="6"/>
  <c r="G36" i="6" l="1"/>
  <c r="G35" i="6"/>
  <c r="G34" i="6"/>
  <c r="G33" i="6"/>
  <c r="G32" i="6"/>
  <c r="L25" i="6"/>
  <c r="N24" i="6"/>
  <c r="P24" i="6" s="1"/>
  <c r="M24" i="6"/>
  <c r="H24" i="6"/>
  <c r="E21" i="6"/>
  <c r="K18" i="6"/>
  <c r="F12" i="6"/>
  <c r="H11" i="6"/>
  <c r="J11" i="6" s="1"/>
  <c r="D36" i="6" s="1"/>
  <c r="H10" i="6"/>
  <c r="J10" i="6" s="1"/>
  <c r="D35" i="6" s="1"/>
  <c r="H9" i="6"/>
  <c r="J9" i="6" s="1"/>
  <c r="D34" i="6" s="1"/>
  <c r="H8" i="6"/>
  <c r="J8" i="6" s="1"/>
  <c r="D33" i="6" s="1"/>
  <c r="H7" i="6"/>
  <c r="J7" i="6" s="1"/>
  <c r="D32" i="6" s="1"/>
  <c r="K20" i="6" l="1"/>
  <c r="K19" i="6"/>
  <c r="K21" i="6"/>
  <c r="K22" i="6"/>
  <c r="K23" i="6"/>
  <c r="F21" i="6"/>
  <c r="C25" i="6"/>
  <c r="E19" i="6"/>
  <c r="F20" i="6"/>
  <c r="E23" i="6"/>
  <c r="M23" i="6" s="1"/>
  <c r="F19" i="6"/>
  <c r="E22" i="6"/>
  <c r="M22" i="6" s="1"/>
  <c r="F23" i="6"/>
  <c r="G12" i="3" l="1"/>
  <c r="F22" i="6"/>
  <c r="G22" i="6" s="1"/>
  <c r="H6" i="6"/>
  <c r="G12" i="6"/>
  <c r="G23" i="6"/>
  <c r="G20" i="6"/>
  <c r="G21" i="6"/>
  <c r="G19" i="6"/>
  <c r="H19" i="6" s="1"/>
  <c r="O19" i="6" s="1"/>
  <c r="E25" i="6"/>
  <c r="K18" i="3"/>
  <c r="F25" i="6" l="1"/>
  <c r="H23" i="6"/>
  <c r="O23" i="6"/>
  <c r="P23" i="6" s="1"/>
  <c r="R23" i="6" s="1"/>
  <c r="E35" i="6" s="1"/>
  <c r="H21" i="6"/>
  <c r="H12" i="6"/>
  <c r="E10" i="5" s="1"/>
  <c r="J6" i="6"/>
  <c r="M25" i="6"/>
  <c r="G25" i="6"/>
  <c r="N25" i="6"/>
  <c r="H20" i="6"/>
  <c r="O20" i="6" s="1"/>
  <c r="P20" i="6" s="1"/>
  <c r="R20" i="6" s="1"/>
  <c r="E32" i="6" s="1"/>
  <c r="H22" i="6"/>
  <c r="O22" i="6" s="1"/>
  <c r="P22" i="6" s="1"/>
  <c r="R22" i="6" s="1"/>
  <c r="E34" i="6" s="1"/>
  <c r="G36" i="3"/>
  <c r="G35" i="3"/>
  <c r="G34" i="3"/>
  <c r="G33" i="3"/>
  <c r="G32" i="3"/>
  <c r="J12" i="6" l="1"/>
  <c r="D31" i="6"/>
  <c r="O21" i="6"/>
  <c r="P21" i="6" s="1"/>
  <c r="R21" i="6" s="1"/>
  <c r="E33" i="6" s="1"/>
  <c r="P19" i="6"/>
  <c r="H25" i="6"/>
  <c r="F34" i="5"/>
  <c r="C34" i="5"/>
  <c r="O25" i="6" l="1"/>
  <c r="P25" i="6"/>
  <c r="R19" i="6"/>
  <c r="D31" i="5"/>
  <c r="D30" i="5"/>
  <c r="D33" i="5"/>
  <c r="D32" i="5"/>
  <c r="R25" i="6" l="1"/>
  <c r="E31" i="6"/>
  <c r="D34" i="5"/>
  <c r="C20" i="3" l="1"/>
  <c r="C21" i="3"/>
  <c r="E21" i="3" s="1"/>
  <c r="F21" i="3" s="1"/>
  <c r="C22" i="3"/>
  <c r="E22" i="3" s="1"/>
  <c r="F22" i="3" s="1"/>
  <c r="C23" i="3"/>
  <c r="E23" i="3" s="1"/>
  <c r="F23" i="3" s="1"/>
  <c r="C24" i="3"/>
  <c r="L25" i="3"/>
  <c r="K19" i="3"/>
  <c r="O19" i="3" s="1"/>
  <c r="H11" i="3"/>
  <c r="J11" i="3" s="1"/>
  <c r="D36" i="3" s="1"/>
  <c r="H9" i="3"/>
  <c r="J9" i="3" s="1"/>
  <c r="D34" i="3" s="1"/>
  <c r="H8" i="3"/>
  <c r="J8" i="3" s="1"/>
  <c r="D33" i="3" s="1"/>
  <c r="F12" i="3"/>
  <c r="H10" i="3"/>
  <c r="J10" i="3" s="1"/>
  <c r="D35" i="3" s="1"/>
  <c r="E20" i="3" l="1"/>
  <c r="F20" i="3" s="1"/>
  <c r="F36" i="3"/>
  <c r="H36" i="3" s="1"/>
  <c r="F36" i="6"/>
  <c r="H36" i="6" s="1"/>
  <c r="C19" i="3"/>
  <c r="C25" i="3" s="1"/>
  <c r="H6" i="3"/>
  <c r="K22" i="3"/>
  <c r="K20" i="3"/>
  <c r="K23" i="3"/>
  <c r="K21" i="3"/>
  <c r="C12" i="3"/>
  <c r="D8" i="5" s="1"/>
  <c r="H7" i="3"/>
  <c r="J7" i="3" s="1"/>
  <c r="D32" i="3" s="1"/>
  <c r="E19" i="3" l="1"/>
  <c r="F19" i="3" s="1"/>
  <c r="G19" i="3" s="1"/>
  <c r="G20" i="3"/>
  <c r="G22" i="3"/>
  <c r="J6" i="3"/>
  <c r="D31" i="3" s="1"/>
  <c r="G21" i="3"/>
  <c r="G23" i="3"/>
  <c r="H12" i="3"/>
  <c r="D10" i="5" s="1"/>
  <c r="E25" i="3" l="1"/>
  <c r="D37" i="3"/>
  <c r="D37" i="6"/>
  <c r="H24" i="3"/>
  <c r="P24" i="3" s="1"/>
  <c r="H22" i="3"/>
  <c r="H20" i="3"/>
  <c r="F25" i="3"/>
  <c r="M25" i="3"/>
  <c r="H23" i="3"/>
  <c r="H21" i="3"/>
  <c r="J12" i="3"/>
  <c r="O21" i="3" l="1"/>
  <c r="P21" i="3" s="1"/>
  <c r="R21" i="3" s="1"/>
  <c r="O20" i="3"/>
  <c r="P20" i="3" s="1"/>
  <c r="R20" i="3" s="1"/>
  <c r="O23" i="3"/>
  <c r="P23" i="3" s="1"/>
  <c r="R23" i="3" s="1"/>
  <c r="O22" i="3"/>
  <c r="P22" i="3" s="1"/>
  <c r="R22" i="3" s="1"/>
  <c r="G25" i="3"/>
  <c r="H19" i="3"/>
  <c r="E33" i="3" l="1"/>
  <c r="F33" i="3" s="1"/>
  <c r="H33" i="3" s="1"/>
  <c r="F33" i="6"/>
  <c r="H33" i="6" s="1"/>
  <c r="E35" i="3"/>
  <c r="F35" i="3" s="1"/>
  <c r="H35" i="3" s="1"/>
  <c r="F35" i="6"/>
  <c r="H35" i="6" s="1"/>
  <c r="E34" i="3"/>
  <c r="F34" i="3" s="1"/>
  <c r="H34" i="3" s="1"/>
  <c r="F34" i="6"/>
  <c r="H34" i="6" s="1"/>
  <c r="E32" i="3"/>
  <c r="F32" i="3" s="1"/>
  <c r="H32" i="3" s="1"/>
  <c r="F32" i="6"/>
  <c r="H32" i="6" s="1"/>
  <c r="H25" i="3"/>
  <c r="O25" i="3"/>
  <c r="N25" i="3"/>
  <c r="P19" i="3" l="1"/>
  <c r="R19" i="3" s="1"/>
  <c r="P25" i="3" l="1"/>
  <c r="E31" i="3" l="1"/>
  <c r="F31" i="3" s="1"/>
  <c r="F31" i="6"/>
  <c r="E37" i="6"/>
  <c r="R25" i="3"/>
  <c r="H31" i="3" l="1"/>
  <c r="H37" i="3" s="1"/>
  <c r="D11" i="5" s="1"/>
  <c r="D12" i="5" s="1"/>
  <c r="D15" i="5" s="1"/>
  <c r="D17" i="5" s="1"/>
  <c r="E37" i="3"/>
  <c r="F37" i="3"/>
  <c r="F37" i="6"/>
  <c r="H31" i="6"/>
  <c r="H37" i="6" s="1"/>
  <c r="E11" i="5" l="1"/>
  <c r="E12" i="5" s="1"/>
  <c r="E15" i="5" s="1"/>
  <c r="E17" i="5" l="1"/>
  <c r="L19" i="5" s="1"/>
  <c r="L24" i="5" s="1"/>
  <c r="E30" i="5" l="1"/>
  <c r="E31" i="5"/>
  <c r="E33" i="5"/>
  <c r="E32" i="5"/>
  <c r="G32" i="5" l="1"/>
  <c r="G33" i="5"/>
  <c r="G31" i="5"/>
  <c r="G30" i="5"/>
  <c r="E34" i="5"/>
</calcChain>
</file>

<file path=xl/comments1.xml><?xml version="1.0" encoding="utf-8"?>
<comments xmlns="http://schemas.openxmlformats.org/spreadsheetml/2006/main">
  <authors>
    <author xml:space="preserve"> </author>
  </authors>
  <commentList>
    <comment ref="G6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G6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G6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G6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</authors>
  <commentList>
    <comment ref="G6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</authors>
  <commentList>
    <comment ref="G6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</authors>
  <commentList>
    <comment ref="G6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</authors>
  <commentList>
    <comment ref="G6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sharedStrings.xml><?xml version="1.0" encoding="utf-8"?>
<sst xmlns="http://schemas.openxmlformats.org/spreadsheetml/2006/main" count="730" uniqueCount="109">
  <si>
    <t>Transmission Mains</t>
  </si>
  <si>
    <t>Services</t>
  </si>
  <si>
    <t>Depreciation</t>
  </si>
  <si>
    <t>Income Taxes</t>
  </si>
  <si>
    <t>Residential</t>
  </si>
  <si>
    <t>Small Non-Residential</t>
  </si>
  <si>
    <t>Large Non-Residential</t>
  </si>
  <si>
    <t>Interruptible</t>
  </si>
  <si>
    <t>per Case No. 2010-00116</t>
  </si>
  <si>
    <t>Class</t>
  </si>
  <si>
    <t>Allocation</t>
  </si>
  <si>
    <t>Allocated</t>
  </si>
  <si>
    <t>Monthly</t>
  </si>
  <si>
    <t>WACOC, per case no 2010-00116</t>
  </si>
  <si>
    <t>Rate</t>
  </si>
  <si>
    <t>Tax</t>
  </si>
  <si>
    <t>Depr</t>
  </si>
  <si>
    <t>Expense</t>
  </si>
  <si>
    <t>Storage Lines</t>
  </si>
  <si>
    <t>Gathering Lines</t>
  </si>
  <si>
    <t>Tax Life</t>
  </si>
  <si>
    <t>Investment</t>
  </si>
  <si>
    <t>Beginning</t>
  </si>
  <si>
    <t>Ending</t>
  </si>
  <si>
    <t>MACRS</t>
  </si>
  <si>
    <t>Year</t>
  </si>
  <si>
    <t xml:space="preserve">Calendar Year </t>
  </si>
  <si>
    <t>YEAR</t>
  </si>
  <si>
    <t>Bonus</t>
  </si>
  <si>
    <t>Qualifying Tax</t>
  </si>
  <si>
    <t>Percentage</t>
  </si>
  <si>
    <t>Additions</t>
  </si>
  <si>
    <t>Depreciable</t>
  </si>
  <si>
    <t>Base</t>
  </si>
  <si>
    <t>Book</t>
  </si>
  <si>
    <t xml:space="preserve"> Book Depreciation Reserve</t>
  </si>
  <si>
    <t>Tax Depreciation Reserve</t>
  </si>
  <si>
    <t>Book Depr</t>
  </si>
  <si>
    <t>Net Book Value</t>
  </si>
  <si>
    <t>Deferred</t>
  </si>
  <si>
    <t>Timing</t>
  </si>
  <si>
    <t>Difference</t>
  </si>
  <si>
    <t>Net Book</t>
  </si>
  <si>
    <t>Value</t>
  </si>
  <si>
    <t>Less:</t>
  </si>
  <si>
    <t>Accumulated depreciation</t>
  </si>
  <si>
    <t>Accumulated deferred income taxes</t>
  </si>
  <si>
    <t>PRP Worksheet</t>
  </si>
  <si>
    <t>Distribution Mains</t>
  </si>
  <si>
    <t xml:space="preserve">Cumulative </t>
  </si>
  <si>
    <t>2010</t>
  </si>
  <si>
    <t>Delta Natural Gas Company, Inc.</t>
  </si>
  <si>
    <t>Pipe Replacement Program Filing</t>
  </si>
  <si>
    <t>Tax expansion factor, w PSC (per Case No. 2010-00116)</t>
  </si>
  <si>
    <t>Calculated Net Revenue</t>
  </si>
  <si>
    <t>Allowed Return</t>
  </si>
  <si>
    <t>Return, grossed up for income taxes</t>
  </si>
  <si>
    <t>Current Year PRP Adjustment</t>
  </si>
  <si>
    <t>Prior Year PRP Adjustment</t>
  </si>
  <si>
    <t>Total PRP Adjustment</t>
  </si>
  <si>
    <t>@ Approved Rates</t>
  </si>
  <si>
    <t>Statutory</t>
  </si>
  <si>
    <t>various</t>
  </si>
  <si>
    <t>Cost of Removal</t>
  </si>
  <si>
    <t>NA</t>
  </si>
  <si>
    <t>PRP</t>
  </si>
  <si>
    <t xml:space="preserve"> </t>
  </si>
  <si>
    <t>2011</t>
  </si>
  <si>
    <t>Total</t>
  </si>
  <si>
    <t>Balancing Adjustment</t>
  </si>
  <si>
    <t>COR</t>
  </si>
  <si>
    <t>A</t>
  </si>
  <si>
    <t>B</t>
  </si>
  <si>
    <t xml:space="preserve">Year 1 for PRP assets assumes a half year of depreciation expense. </t>
  </si>
  <si>
    <t>Depreciation rate for lines 1-5 exclude cost of removal rate. Provision for cost of removal on PRP assets is reflected on line 6.</t>
  </si>
  <si>
    <t>Operating expense reductions</t>
  </si>
  <si>
    <t>Cost of Service Impact from PRP</t>
  </si>
  <si>
    <t>Increased property tax expense</t>
  </si>
  <si>
    <t>Average ad valorem tax rate</t>
  </si>
  <si>
    <t>Total annual expenditures under the PRP (Schedule II)</t>
  </si>
  <si>
    <t>Cost of Service Items (Schedule III)</t>
  </si>
  <si>
    <t>2012</t>
  </si>
  <si>
    <t>Adjustment</t>
  </si>
  <si>
    <t>2013</t>
  </si>
  <si>
    <t># of Customers</t>
  </si>
  <si>
    <t>for the 12 months</t>
  </si>
  <si>
    <t>2014</t>
  </si>
  <si>
    <t>2015</t>
  </si>
  <si>
    <t>2016</t>
  </si>
  <si>
    <t>Increased depreciation expense (Schedule II)</t>
  </si>
  <si>
    <t>ended</t>
  </si>
  <si>
    <r>
      <t xml:space="preserve">Program Year Ended: </t>
    </r>
    <r>
      <rPr>
        <b/>
        <u/>
        <sz val="11"/>
        <color theme="1"/>
        <rFont val="Calibri"/>
        <family val="2"/>
        <scheme val="minor"/>
      </rPr>
      <t>December 31, 2017</t>
    </r>
  </si>
  <si>
    <r>
      <t xml:space="preserve">Rates Effective: </t>
    </r>
    <r>
      <rPr>
        <b/>
        <u/>
        <sz val="11"/>
        <color theme="1"/>
        <rFont val="Calibri"/>
        <family val="2"/>
        <scheme val="minor"/>
      </rPr>
      <t>May 1, 2018</t>
    </r>
  </si>
  <si>
    <t>Based on average monthly PRP billings for the six-months ended February 2018.</t>
  </si>
  <si>
    <t>Net PRP Rate Base, as of December 31, 2017</t>
  </si>
  <si>
    <t>Less: Actual Collections of Prior Year PRP Adjustment May 2017 through February 2018</t>
  </si>
  <si>
    <t>Less: Estimated Collections March 2018 and April 2018</t>
  </si>
  <si>
    <t>October 31, 2017</t>
  </si>
  <si>
    <t>2017</t>
  </si>
  <si>
    <t>Current Year Actual Expense</t>
  </si>
  <si>
    <t>Decrease in Operating Expense</t>
  </si>
  <si>
    <t>Maintenance of Transmission and Distribution Mains, per Case 2010-0116</t>
  </si>
  <si>
    <t>PRP Net Book Value</t>
  </si>
  <si>
    <t>PRP Property Tax</t>
  </si>
  <si>
    <t>Property Tax Expense 1.408.02</t>
  </si>
  <si>
    <t>December 31, 2016</t>
  </si>
  <si>
    <t>Total increased cost of service</t>
  </si>
  <si>
    <t>Property tax expense for current year is based on plant balances at the end of the prior year</t>
  </si>
  <si>
    <t>Net Book Value, PSC Report Page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</si>
</sst>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0%"/>
    <numFmt numFmtId="168" formatCode="_(* #,##0.00000_);_(* \(#,##0.00000\);_(* &quot;-&quot;??_);_(@_)"/>
    <numFmt numFmtId="169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4" fillId="0" borderId="0" xfId="1" applyNumberFormat="1" applyFont="1" applyFill="1"/>
    <xf numFmtId="164" fontId="4" fillId="0" borderId="0" xfId="1" applyNumberFormat="1" applyFont="1" applyFill="1" applyBorder="1"/>
    <xf numFmtId="164" fontId="4" fillId="0" borderId="1" xfId="1" applyNumberFormat="1" applyFont="1" applyFill="1" applyBorder="1"/>
    <xf numFmtId="165" fontId="4" fillId="0" borderId="0" xfId="3" applyNumberFormat="1" applyFont="1" applyFill="1"/>
    <xf numFmtId="165" fontId="0" fillId="0" borderId="0" xfId="3" applyNumberFormat="1" applyFont="1" applyFill="1"/>
    <xf numFmtId="169" fontId="0" fillId="0" borderId="0" xfId="2" applyNumberFormat="1" applyFont="1"/>
    <xf numFmtId="10" fontId="4" fillId="0" borderId="0" xfId="0" applyNumberFormat="1" applyFont="1" applyFill="1"/>
    <xf numFmtId="164" fontId="4" fillId="0" borderId="1" xfId="1" applyNumberFormat="1" applyFont="1" applyFill="1" applyBorder="1" applyAlignment="1">
      <alignment horizontal="center"/>
    </xf>
    <xf numFmtId="164" fontId="0" fillId="0" borderId="0" xfId="1" applyNumberFormat="1" applyFont="1" applyFill="1"/>
    <xf numFmtId="166" fontId="4" fillId="0" borderId="0" xfId="0" applyNumberFormat="1" applyFont="1" applyFill="1"/>
    <xf numFmtId="9" fontId="4" fillId="0" borderId="1" xfId="0" applyNumberFormat="1" applyFont="1" applyFill="1" applyBorder="1" applyAlignment="1">
      <alignment horizontal="center"/>
    </xf>
    <xf numFmtId="166" fontId="8" fillId="0" borderId="0" xfId="0" applyNumberFormat="1" applyFont="1" applyFill="1"/>
    <xf numFmtId="0" fontId="0" fillId="0" borderId="0" xfId="0" applyFill="1"/>
    <xf numFmtId="0" fontId="0" fillId="0" borderId="0" xfId="0" applyFill="1" applyBorder="1"/>
    <xf numFmtId="164" fontId="0" fillId="0" borderId="1" xfId="1" applyNumberFormat="1" applyFont="1" applyFill="1" applyBorder="1"/>
    <xf numFmtId="44" fontId="0" fillId="0" borderId="0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4" fontId="0" fillId="0" borderId="1" xfId="0" applyNumberFormat="1" applyFill="1" applyBorder="1"/>
    <xf numFmtId="0" fontId="2" fillId="0" borderId="0" xfId="0" applyFont="1" applyFill="1"/>
    <xf numFmtId="164" fontId="2" fillId="0" borderId="1" xfId="1" quotePrefix="1" applyNumberFormat="1" applyFont="1" applyFill="1" applyBorder="1" applyAlignment="1">
      <alignment horizontal="center"/>
    </xf>
    <xf numFmtId="0" fontId="0" fillId="0" borderId="0" xfId="0" applyFill="1" applyAlignment="1">
      <alignment horizontal="left" indent="2"/>
    </xf>
    <xf numFmtId="164" fontId="0" fillId="0" borderId="0" xfId="1" applyNumberFormat="1" applyFont="1" applyFill="1" applyBorder="1"/>
    <xf numFmtId="167" fontId="0" fillId="0" borderId="1" xfId="2" applyNumberFormat="1" applyFont="1" applyFill="1" applyBorder="1"/>
    <xf numFmtId="168" fontId="0" fillId="0" borderId="1" xfId="1" applyNumberFormat="1" applyFont="1" applyFill="1" applyBorder="1"/>
    <xf numFmtId="165" fontId="1" fillId="0" borderId="0" xfId="3" applyNumberFormat="1" applyFont="1" applyFill="1"/>
    <xf numFmtId="165" fontId="2" fillId="0" borderId="0" xfId="3" applyNumberFormat="1" applyFont="1" applyFill="1"/>
    <xf numFmtId="164" fontId="1" fillId="0" borderId="0" xfId="1" applyNumberFormat="1" applyFont="1" applyFill="1"/>
    <xf numFmtId="0" fontId="0" fillId="0" borderId="0" xfId="0" applyFill="1" applyAlignment="1">
      <alignment horizontal="left" indent="1"/>
    </xf>
    <xf numFmtId="165" fontId="0" fillId="0" borderId="0" xfId="0" applyNumberFormat="1" applyFill="1" applyBorder="1"/>
    <xf numFmtId="165" fontId="2" fillId="0" borderId="0" xfId="0" applyNumberFormat="1" applyFont="1" applyFill="1"/>
    <xf numFmtId="164" fontId="2" fillId="0" borderId="0" xfId="1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66" fontId="0" fillId="0" borderId="0" xfId="2" applyNumberFormat="1" applyFont="1" applyFill="1"/>
    <xf numFmtId="165" fontId="0" fillId="0" borderId="0" xfId="0" applyNumberFormat="1" applyFill="1"/>
    <xf numFmtId="44" fontId="0" fillId="0" borderId="0" xfId="0" applyNumberFormat="1" applyFill="1"/>
    <xf numFmtId="166" fontId="0" fillId="0" borderId="0" xfId="2" applyNumberFormat="1" applyFont="1" applyFill="1" applyBorder="1"/>
    <xf numFmtId="166" fontId="0" fillId="0" borderId="1" xfId="2" applyNumberFormat="1" applyFont="1" applyFill="1" applyBorder="1"/>
    <xf numFmtId="44" fontId="0" fillId="0" borderId="1" xfId="0" applyNumberFormat="1" applyFill="1" applyBorder="1"/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0" fontId="0" fillId="0" borderId="0" xfId="2" applyNumberFormat="1" applyFont="1" applyFill="1"/>
    <xf numFmtId="0" fontId="9" fillId="0" borderId="0" xfId="0" applyFont="1" applyFill="1" applyAlignment="1">
      <alignment horizontal="right"/>
    </xf>
    <xf numFmtId="10" fontId="0" fillId="0" borderId="1" xfId="2" applyNumberFormat="1" applyFont="1" applyFill="1" applyBorder="1"/>
    <xf numFmtId="9" fontId="3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/>
    <xf numFmtId="164" fontId="2" fillId="0" borderId="0" xfId="0" applyNumberFormat="1" applyFont="1" applyFill="1"/>
    <xf numFmtId="169" fontId="0" fillId="0" borderId="0" xfId="0" applyNumberFormat="1" applyFill="1"/>
    <xf numFmtId="164" fontId="3" fillId="0" borderId="0" xfId="1" applyNumberFormat="1" applyFont="1" applyFill="1"/>
    <xf numFmtId="164" fontId="2" fillId="0" borderId="0" xfId="1" applyNumberFormat="1" applyFont="1" applyFill="1"/>
    <xf numFmtId="164" fontId="2" fillId="0" borderId="1" xfId="0" applyNumberFormat="1" applyFont="1" applyFill="1" applyBorder="1"/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164" fontId="3" fillId="0" borderId="1" xfId="1" applyNumberFormat="1" applyFont="1" applyFill="1" applyBorder="1"/>
    <xf numFmtId="43" fontId="0" fillId="0" borderId="1" xfId="0" applyNumberFormat="1" applyFill="1" applyBorder="1"/>
    <xf numFmtId="164" fontId="2" fillId="0" borderId="1" xfId="1" applyNumberFormat="1" applyFont="1" applyFill="1" applyBorder="1"/>
    <xf numFmtId="164" fontId="0" fillId="0" borderId="1" xfId="0" applyNumberFormat="1" applyFill="1" applyBorder="1" applyAlignment="1">
      <alignment horizontal="center"/>
    </xf>
    <xf numFmtId="10" fontId="0" fillId="0" borderId="0" xfId="0" applyNumberFormat="1" applyFill="1"/>
    <xf numFmtId="10" fontId="0" fillId="0" borderId="1" xfId="0" applyNumberForma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3" applyNumberFormat="1" applyFont="1" applyFill="1"/>
    <xf numFmtId="164" fontId="0" fillId="0" borderId="0" xfId="1" applyNumberFormat="1" applyFont="1" applyFill="1"/>
    <xf numFmtId="0" fontId="0" fillId="0" borderId="0" xfId="0" applyFill="1"/>
    <xf numFmtId="0" fontId="0" fillId="0" borderId="0" xfId="0" applyFill="1" applyBorder="1"/>
    <xf numFmtId="164" fontId="0" fillId="0" borderId="1" xfId="1" applyNumberFormat="1" applyFont="1" applyFill="1" applyBorder="1"/>
    <xf numFmtId="0" fontId="2" fillId="0" borderId="0" xfId="0" applyFont="1" applyFill="1"/>
    <xf numFmtId="164" fontId="2" fillId="0" borderId="1" xfId="1" quotePrefix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7" fontId="0" fillId="0" borderId="1" xfId="2" applyNumberFormat="1" applyFont="1" applyFill="1" applyBorder="1"/>
    <xf numFmtId="168" fontId="0" fillId="0" borderId="1" xfId="1" applyNumberFormat="1" applyFont="1" applyFill="1" applyBorder="1"/>
    <xf numFmtId="165" fontId="1" fillId="0" borderId="0" xfId="3" applyNumberFormat="1" applyFont="1" applyFill="1"/>
    <xf numFmtId="164" fontId="2" fillId="0" borderId="0" xfId="1" applyNumberFormat="1" applyFont="1" applyFill="1" applyBorder="1" applyAlignment="1">
      <alignment horizontal="center"/>
    </xf>
    <xf numFmtId="44" fontId="0" fillId="0" borderId="0" xfId="0" applyNumberFormat="1" applyFill="1"/>
    <xf numFmtId="165" fontId="0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10" fontId="0" fillId="0" borderId="1" xfId="2" applyNumberFormat="1" applyFont="1" applyFill="1" applyBorder="1"/>
    <xf numFmtId="0" fontId="0" fillId="0" borderId="1" xfId="0" applyFill="1" applyBorder="1"/>
    <xf numFmtId="165" fontId="0" fillId="0" borderId="0" xfId="3" applyNumberFormat="1" applyFont="1" applyFill="1" applyBorder="1"/>
    <xf numFmtId="165" fontId="0" fillId="0" borderId="1" xfId="1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10" fontId="4" fillId="2" borderId="0" xfId="0" applyNumberFormat="1" applyFont="1" applyFill="1"/>
    <xf numFmtId="0" fontId="0" fillId="0" borderId="0" xfId="0" applyFill="1" applyAlignment="1">
      <alignment horizontal="right" vertical="top"/>
    </xf>
    <xf numFmtId="169" fontId="0" fillId="0" borderId="0" xfId="2" applyNumberFormat="1" applyFont="1" applyFill="1"/>
    <xf numFmtId="15" fontId="0" fillId="0" borderId="0" xfId="0" quotePrefix="1" applyNumberFormat="1" applyFont="1" applyFill="1"/>
    <xf numFmtId="0" fontId="12" fillId="0" borderId="0" xfId="0" applyFont="1" applyFill="1"/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</cellXfs>
  <cellStyles count="6">
    <cellStyle name="Comma" xfId="1" builtinId="3"/>
    <cellStyle name="Comma 2" xfId="5"/>
    <cellStyle name="Currency" xfId="3" builtinId="4"/>
    <cellStyle name="Normal" xfId="0" builtinId="0"/>
    <cellStyle name="Normal 2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view="pageLayout" zoomScaleNormal="100" workbookViewId="0">
      <selection activeCell="L9" sqref="L9:M9"/>
    </sheetView>
  </sheetViews>
  <sheetFormatPr defaultColWidth="9.140625" defaultRowHeight="15" x14ac:dyDescent="0.25"/>
  <cols>
    <col min="1" max="1" width="9.140625" style="15"/>
    <col min="2" max="2" width="33.7109375" style="15" customWidth="1"/>
    <col min="3" max="3" width="26" style="15" customWidth="1"/>
    <col min="4" max="5" width="12.7109375" style="15" customWidth="1"/>
    <col min="6" max="6" width="16.7109375" style="15" bestFit="1" customWidth="1"/>
    <col min="7" max="7" width="12.7109375" style="15" customWidth="1"/>
    <col min="8" max="11" width="12.7109375" style="74" customWidth="1"/>
    <col min="12" max="12" width="12.7109375" style="15" customWidth="1"/>
    <col min="13" max="13" width="22.140625" style="15" bestFit="1" customWidth="1"/>
    <col min="14" max="14" width="12.7109375" style="15" customWidth="1"/>
    <col min="15" max="15" width="13.7109375" style="15" bestFit="1" customWidth="1"/>
    <col min="16" max="16384" width="9.140625" style="15"/>
  </cols>
  <sheetData>
    <row r="1" spans="1:12" x14ac:dyDescent="0.25">
      <c r="A1" s="22" t="s">
        <v>51</v>
      </c>
    </row>
    <row r="2" spans="1:12" x14ac:dyDescent="0.25">
      <c r="A2" s="22" t="s">
        <v>52</v>
      </c>
      <c r="B2" s="74"/>
    </row>
    <row r="3" spans="1:12" x14ac:dyDescent="0.25">
      <c r="A3" s="22" t="s">
        <v>91</v>
      </c>
      <c r="B3" s="74"/>
    </row>
    <row r="4" spans="1:12" x14ac:dyDescent="0.25">
      <c r="A4" s="77" t="s">
        <v>92</v>
      </c>
      <c r="B4" s="74"/>
    </row>
    <row r="5" spans="1:12" ht="14.25" x14ac:dyDescent="0.45">
      <c r="B5" s="74"/>
    </row>
    <row r="6" spans="1:12" ht="14.25" x14ac:dyDescent="0.45">
      <c r="B6" s="74"/>
    </row>
    <row r="7" spans="1:12" x14ac:dyDescent="0.25">
      <c r="B7" s="74"/>
      <c r="D7" s="23" t="s">
        <v>50</v>
      </c>
      <c r="E7" s="23" t="s">
        <v>67</v>
      </c>
      <c r="F7" s="23" t="s">
        <v>81</v>
      </c>
      <c r="G7" s="23" t="s">
        <v>83</v>
      </c>
      <c r="H7" s="78" t="s">
        <v>86</v>
      </c>
      <c r="I7" s="78" t="s">
        <v>87</v>
      </c>
      <c r="J7" s="78" t="s">
        <v>88</v>
      </c>
      <c r="K7" s="78" t="s">
        <v>98</v>
      </c>
      <c r="L7" s="23" t="s">
        <v>68</v>
      </c>
    </row>
    <row r="8" spans="1:12" x14ac:dyDescent="0.25">
      <c r="A8" s="15">
        <v>1</v>
      </c>
      <c r="B8" s="15" t="s">
        <v>79</v>
      </c>
      <c r="D8" s="7">
        <f>'2010'!C12</f>
        <v>1574788</v>
      </c>
      <c r="E8" s="7">
        <f>'2011'!C12</f>
        <v>1730104</v>
      </c>
      <c r="F8" s="7">
        <f>'2012'!C12</f>
        <v>3796271</v>
      </c>
      <c r="G8" s="7">
        <f>'2013'!C12</f>
        <v>2961542</v>
      </c>
      <c r="H8" s="72">
        <f>'2014'!C12</f>
        <v>1843366</v>
      </c>
      <c r="I8" s="72">
        <f>'2015'!C12</f>
        <v>1758827</v>
      </c>
      <c r="J8" s="72">
        <f>'2016'!C12</f>
        <v>3190348</v>
      </c>
      <c r="K8" s="72">
        <f>'2017'!C12</f>
        <v>2479950</v>
      </c>
    </row>
    <row r="9" spans="1:12" x14ac:dyDescent="0.25">
      <c r="A9" s="15">
        <v>2</v>
      </c>
      <c r="B9" s="15" t="s">
        <v>44</v>
      </c>
      <c r="D9" s="11"/>
      <c r="E9" s="11"/>
      <c r="F9" s="11"/>
      <c r="G9" s="11"/>
      <c r="H9" s="73"/>
      <c r="I9" s="73"/>
      <c r="J9" s="73"/>
      <c r="K9" s="73"/>
    </row>
    <row r="10" spans="1:12" x14ac:dyDescent="0.25">
      <c r="A10" s="15">
        <v>3</v>
      </c>
      <c r="B10" s="24" t="s">
        <v>45</v>
      </c>
      <c r="D10" s="11">
        <f>ROUND('2010'!H12,0)</f>
        <v>-222322</v>
      </c>
      <c r="E10" s="11">
        <f>ROUND('2011'!H12,0)</f>
        <v>-258505</v>
      </c>
      <c r="F10" s="11">
        <f>ROUND('2012'!H12,0)</f>
        <v>-499548</v>
      </c>
      <c r="G10" s="11">
        <f>ROUND('2013'!H12,0)</f>
        <v>-306860</v>
      </c>
      <c r="H10" s="73">
        <f>ROUND('2014'!H12,0)</f>
        <v>-182651</v>
      </c>
      <c r="I10" s="73">
        <f>ROUND('2015'!H12,0)</f>
        <v>-109302</v>
      </c>
      <c r="J10" s="73">
        <f>ROUND('2016'!H12,0)</f>
        <v>-127980</v>
      </c>
      <c r="K10" s="73">
        <f>ROUND('2017'!H12,0)</f>
        <v>-33362</v>
      </c>
    </row>
    <row r="11" spans="1:12" x14ac:dyDescent="0.25">
      <c r="A11" s="15">
        <v>4</v>
      </c>
      <c r="B11" s="24" t="s">
        <v>46</v>
      </c>
      <c r="D11" s="17">
        <f>ROUND('2010'!H37,0)</f>
        <v>-498263</v>
      </c>
      <c r="E11" s="17">
        <f>ROUND('2011'!H37,0)</f>
        <v>-558619</v>
      </c>
      <c r="F11" s="17">
        <f>ROUND('2012'!H37,0)</f>
        <v>-1231984</v>
      </c>
      <c r="G11" s="17">
        <f>ROUND('2013'!H37,0)</f>
        <v>-1007718</v>
      </c>
      <c r="H11" s="76">
        <f>ROUND('2014'!H37,0)</f>
        <v>-630342</v>
      </c>
      <c r="I11" s="76">
        <f>ROUND('2015'!H37,0)</f>
        <v>-602424</v>
      </c>
      <c r="J11" s="76">
        <f>ROUND('2016'!H37,0)</f>
        <v>-1117775</v>
      </c>
      <c r="K11" s="76">
        <f>ROUND('2017'!H37,0)</f>
        <v>-907315</v>
      </c>
    </row>
    <row r="12" spans="1:12" x14ac:dyDescent="0.25">
      <c r="A12" s="15">
        <v>5</v>
      </c>
      <c r="B12" s="15" t="s">
        <v>94</v>
      </c>
      <c r="D12" s="11">
        <f t="shared" ref="D12:K12" si="0">SUM(D8:D11)</f>
        <v>854203</v>
      </c>
      <c r="E12" s="11">
        <f t="shared" si="0"/>
        <v>912980</v>
      </c>
      <c r="F12" s="11">
        <f t="shared" si="0"/>
        <v>2064739</v>
      </c>
      <c r="G12" s="11">
        <f t="shared" si="0"/>
        <v>1646964</v>
      </c>
      <c r="H12" s="73">
        <f t="shared" si="0"/>
        <v>1030373</v>
      </c>
      <c r="I12" s="73">
        <f t="shared" si="0"/>
        <v>1047101</v>
      </c>
      <c r="J12" s="73">
        <f t="shared" si="0"/>
        <v>1944593</v>
      </c>
      <c r="K12" s="73">
        <f t="shared" si="0"/>
        <v>1539273</v>
      </c>
    </row>
    <row r="13" spans="1:12" x14ac:dyDescent="0.25">
      <c r="D13" s="11"/>
      <c r="E13" s="11"/>
      <c r="F13" s="11"/>
      <c r="G13" s="11"/>
      <c r="H13" s="73"/>
      <c r="I13" s="73"/>
      <c r="J13" s="73"/>
      <c r="K13" s="73"/>
    </row>
    <row r="14" spans="1:12" x14ac:dyDescent="0.25">
      <c r="A14" s="15">
        <v>6</v>
      </c>
      <c r="B14" s="15" t="s">
        <v>13</v>
      </c>
      <c r="D14" s="26">
        <v>7.9702499999999996E-2</v>
      </c>
      <c r="E14" s="26">
        <v>7.9702499999999996E-2</v>
      </c>
      <c r="F14" s="26">
        <v>7.9702499999999996E-2</v>
      </c>
      <c r="G14" s="26">
        <v>7.9702499999999996E-2</v>
      </c>
      <c r="H14" s="80">
        <v>7.9702499999999996E-2</v>
      </c>
      <c r="I14" s="80">
        <v>7.9702499999999996E-2</v>
      </c>
      <c r="J14" s="80">
        <v>7.9702499999999996E-2</v>
      </c>
      <c r="K14" s="80">
        <v>7.9702499999999996E-2</v>
      </c>
    </row>
    <row r="15" spans="1:12" x14ac:dyDescent="0.25">
      <c r="A15" s="15">
        <v>7</v>
      </c>
      <c r="B15" s="15" t="s">
        <v>55</v>
      </c>
      <c r="D15" s="11">
        <f t="shared" ref="D15:K15" si="1">ROUND(D12*D14,0)</f>
        <v>68082</v>
      </c>
      <c r="E15" s="11">
        <f t="shared" si="1"/>
        <v>72767</v>
      </c>
      <c r="F15" s="11">
        <f t="shared" si="1"/>
        <v>164565</v>
      </c>
      <c r="G15" s="11">
        <f t="shared" si="1"/>
        <v>131267</v>
      </c>
      <c r="H15" s="73">
        <f t="shared" si="1"/>
        <v>82123</v>
      </c>
      <c r="I15" s="73">
        <f t="shared" si="1"/>
        <v>83457</v>
      </c>
      <c r="J15" s="73">
        <f t="shared" si="1"/>
        <v>154989</v>
      </c>
      <c r="K15" s="73">
        <f t="shared" si="1"/>
        <v>122684</v>
      </c>
    </row>
    <row r="16" spans="1:12" x14ac:dyDescent="0.25">
      <c r="A16" s="15">
        <v>8</v>
      </c>
      <c r="B16" s="15" t="s">
        <v>53</v>
      </c>
      <c r="D16" s="27">
        <v>1.6065821</v>
      </c>
      <c r="E16" s="27">
        <v>1.6065821</v>
      </c>
      <c r="F16" s="27">
        <v>1.6065821</v>
      </c>
      <c r="G16" s="27">
        <v>1.6065821</v>
      </c>
      <c r="H16" s="81">
        <v>1.6065821</v>
      </c>
      <c r="I16" s="81">
        <v>1.6065821</v>
      </c>
      <c r="J16" s="81">
        <v>1.6065821</v>
      </c>
      <c r="K16" s="81">
        <v>1.6065821</v>
      </c>
    </row>
    <row r="17" spans="1:19" x14ac:dyDescent="0.25">
      <c r="A17" s="15">
        <v>9</v>
      </c>
      <c r="B17" s="15" t="s">
        <v>56</v>
      </c>
      <c r="D17" s="72">
        <f>ROUND(D15*D16,0)</f>
        <v>109379</v>
      </c>
      <c r="E17" s="72">
        <f t="shared" ref="E17:J17" si="2">ROUND(E15*E16,0)</f>
        <v>116906</v>
      </c>
      <c r="F17" s="72">
        <f t="shared" si="2"/>
        <v>264387</v>
      </c>
      <c r="G17" s="72">
        <f t="shared" si="2"/>
        <v>210891</v>
      </c>
      <c r="H17" s="72">
        <f t="shared" si="2"/>
        <v>131937</v>
      </c>
      <c r="I17" s="72">
        <f t="shared" si="2"/>
        <v>134081</v>
      </c>
      <c r="J17" s="72">
        <f t="shared" si="2"/>
        <v>249003</v>
      </c>
      <c r="K17" s="72">
        <f t="shared" ref="K17" si="3">ROUND(K15*K16,0)</f>
        <v>197102</v>
      </c>
      <c r="L17" s="72">
        <f>D17+E17+F17+G17+H17+I17+J17+K17</f>
        <v>1413686</v>
      </c>
    </row>
    <row r="18" spans="1:19" x14ac:dyDescent="0.25">
      <c r="A18" s="15">
        <v>10</v>
      </c>
      <c r="B18" s="15" t="s">
        <v>80</v>
      </c>
      <c r="D18" s="38"/>
      <c r="E18" s="38"/>
      <c r="F18" s="38"/>
      <c r="G18" s="38"/>
      <c r="H18" s="38"/>
      <c r="I18" s="38"/>
      <c r="J18" s="38"/>
      <c r="K18" s="38"/>
      <c r="L18" s="90">
        <f>'Schedule III'!C42</f>
        <v>771743.36062004673</v>
      </c>
    </row>
    <row r="19" spans="1:19" x14ac:dyDescent="0.25">
      <c r="A19" s="15">
        <v>12</v>
      </c>
      <c r="B19" s="15" t="s">
        <v>57</v>
      </c>
      <c r="D19" s="28"/>
      <c r="E19" s="28"/>
      <c r="F19" s="28"/>
      <c r="G19" s="28"/>
      <c r="H19" s="82"/>
      <c r="I19" s="82"/>
      <c r="J19" s="82"/>
      <c r="K19" s="82"/>
      <c r="L19" s="29">
        <f>L17+L18</f>
        <v>2185429.360620047</v>
      </c>
    </row>
    <row r="20" spans="1:19" s="16" customFormat="1" x14ac:dyDescent="0.25">
      <c r="A20" s="15">
        <v>13</v>
      </c>
      <c r="B20" s="15" t="s">
        <v>69</v>
      </c>
      <c r="C20" s="15"/>
      <c r="D20" s="30"/>
      <c r="E20" s="30"/>
      <c r="F20" s="15"/>
      <c r="G20" s="15"/>
      <c r="H20" s="74"/>
      <c r="I20" s="74"/>
      <c r="J20" s="74"/>
      <c r="K20" s="74"/>
      <c r="L20" s="15"/>
    </row>
    <row r="21" spans="1:19" s="16" customFormat="1" x14ac:dyDescent="0.25">
      <c r="A21" s="15">
        <v>14</v>
      </c>
      <c r="B21" s="31" t="s">
        <v>58</v>
      </c>
      <c r="C21" s="15"/>
      <c r="D21" s="25"/>
      <c r="F21" s="15"/>
      <c r="G21" s="15"/>
      <c r="H21" s="74"/>
      <c r="I21" s="74"/>
      <c r="J21" s="74"/>
      <c r="K21" s="74"/>
      <c r="L21" s="3">
        <v>1760725</v>
      </c>
    </row>
    <row r="22" spans="1:19" s="16" customFormat="1" x14ac:dyDescent="0.25">
      <c r="A22" s="15">
        <v>15</v>
      </c>
      <c r="B22" s="31" t="s">
        <v>95</v>
      </c>
      <c r="C22" s="15"/>
      <c r="D22" s="25"/>
      <c r="F22" s="15"/>
      <c r="G22" s="15"/>
      <c r="H22" s="74"/>
      <c r="I22" s="74"/>
      <c r="J22" s="74"/>
      <c r="K22" s="74"/>
      <c r="L22" s="4">
        <v>-1467300</v>
      </c>
      <c r="Q22" s="75"/>
      <c r="S22" s="75"/>
    </row>
    <row r="23" spans="1:19" s="16" customFormat="1" x14ac:dyDescent="0.25">
      <c r="A23" s="15">
        <v>16</v>
      </c>
      <c r="B23" s="31" t="s">
        <v>96</v>
      </c>
      <c r="C23" s="15"/>
      <c r="D23" s="25"/>
      <c r="F23" s="15"/>
      <c r="G23" s="15"/>
      <c r="H23" s="74"/>
      <c r="I23" s="74"/>
      <c r="J23" s="74"/>
      <c r="K23" s="74"/>
      <c r="L23" s="5">
        <v>-297831</v>
      </c>
      <c r="M23" s="69" t="s">
        <v>71</v>
      </c>
      <c r="Q23" s="75"/>
      <c r="S23" s="75"/>
    </row>
    <row r="24" spans="1:19" s="16" customFormat="1" x14ac:dyDescent="0.25">
      <c r="A24" s="15">
        <v>17</v>
      </c>
      <c r="B24" s="15" t="s">
        <v>59</v>
      </c>
      <c r="C24" s="15"/>
      <c r="D24" s="32"/>
      <c r="E24" s="32"/>
      <c r="F24" s="15"/>
      <c r="G24" s="15"/>
      <c r="H24" s="74"/>
      <c r="I24" s="74"/>
      <c r="J24" s="74"/>
      <c r="K24" s="74"/>
      <c r="L24" s="33">
        <f>SUM(L19:L23)</f>
        <v>2181023.360620047</v>
      </c>
      <c r="N24" s="75"/>
      <c r="O24" s="75"/>
      <c r="P24" s="75"/>
      <c r="Q24" s="75"/>
      <c r="R24" s="75"/>
      <c r="S24" s="75"/>
    </row>
    <row r="25" spans="1:19" x14ac:dyDescent="0.25">
      <c r="D25" s="16"/>
      <c r="E25" s="16"/>
      <c r="L25" s="16"/>
      <c r="M25" s="16"/>
      <c r="P25" s="74"/>
      <c r="Q25" s="74"/>
      <c r="R25" s="74"/>
      <c r="S25" s="74"/>
    </row>
    <row r="26" spans="1:19" x14ac:dyDescent="0.25">
      <c r="F26" s="83" t="s">
        <v>84</v>
      </c>
      <c r="L26" s="16"/>
      <c r="M26" s="16"/>
    </row>
    <row r="27" spans="1:19" x14ac:dyDescent="0.25">
      <c r="C27" s="34" t="s">
        <v>54</v>
      </c>
      <c r="D27" s="34"/>
      <c r="E27" s="34" t="s">
        <v>11</v>
      </c>
      <c r="F27" s="71" t="s">
        <v>85</v>
      </c>
      <c r="G27" s="34" t="s">
        <v>12</v>
      </c>
      <c r="H27" s="83"/>
      <c r="I27" s="83"/>
      <c r="J27" s="83"/>
      <c r="K27" s="83"/>
      <c r="L27" s="1"/>
    </row>
    <row r="28" spans="1:19" x14ac:dyDescent="0.25">
      <c r="C28" s="35" t="s">
        <v>60</v>
      </c>
      <c r="D28" s="1" t="s">
        <v>9</v>
      </c>
      <c r="E28" s="1" t="s">
        <v>65</v>
      </c>
      <c r="F28" s="83" t="s">
        <v>90</v>
      </c>
      <c r="G28" s="1" t="s">
        <v>65</v>
      </c>
      <c r="H28" s="71"/>
      <c r="I28" s="71"/>
      <c r="J28" s="71"/>
      <c r="K28" s="71"/>
      <c r="L28" s="1"/>
    </row>
    <row r="29" spans="1:19" x14ac:dyDescent="0.25">
      <c r="C29" s="2" t="s">
        <v>8</v>
      </c>
      <c r="D29" s="2" t="s">
        <v>10</v>
      </c>
      <c r="E29" s="2" t="s">
        <v>82</v>
      </c>
      <c r="F29" s="94" t="s">
        <v>97</v>
      </c>
      <c r="G29" s="2" t="s">
        <v>14</v>
      </c>
      <c r="H29" s="71"/>
      <c r="I29" s="71"/>
      <c r="J29" s="71"/>
      <c r="K29" s="71"/>
      <c r="L29" s="1"/>
    </row>
    <row r="30" spans="1:19" x14ac:dyDescent="0.25">
      <c r="A30" s="15">
        <v>18</v>
      </c>
      <c r="B30" s="36" t="s">
        <v>4</v>
      </c>
      <c r="C30" s="6">
        <v>14846218</v>
      </c>
      <c r="D30" s="37">
        <f>C30/C34</f>
        <v>0.54322563199912766</v>
      </c>
      <c r="E30" s="38">
        <f>ROUND(D30*$L$24,0)</f>
        <v>1184788</v>
      </c>
      <c r="F30" s="3">
        <v>355357</v>
      </c>
      <c r="G30" s="39">
        <f>E30/F30</f>
        <v>3.3340781242525122</v>
      </c>
      <c r="H30" s="48"/>
      <c r="I30" s="48"/>
      <c r="J30" s="48"/>
      <c r="K30" s="48"/>
      <c r="L30" s="18"/>
    </row>
    <row r="31" spans="1:19" x14ac:dyDescent="0.25">
      <c r="A31" s="15">
        <v>19</v>
      </c>
      <c r="B31" s="36" t="s">
        <v>5</v>
      </c>
      <c r="C31" s="3">
        <v>3991286</v>
      </c>
      <c r="D31" s="37">
        <f>C31/C34</f>
        <v>0.14604183097939627</v>
      </c>
      <c r="E31" s="11">
        <f>ROUND(D31*$L$24,0)</f>
        <v>318521</v>
      </c>
      <c r="F31" s="3">
        <v>50198</v>
      </c>
      <c r="G31" s="39">
        <f>E31/F31</f>
        <v>6.3452926411410813</v>
      </c>
      <c r="H31" s="48"/>
      <c r="I31" s="48"/>
      <c r="J31" s="48"/>
      <c r="K31" s="48"/>
      <c r="L31" s="18"/>
    </row>
    <row r="32" spans="1:19" x14ac:dyDescent="0.25">
      <c r="A32" s="15">
        <v>18</v>
      </c>
      <c r="B32" s="36" t="s">
        <v>6</v>
      </c>
      <c r="C32" s="4">
        <v>7008122</v>
      </c>
      <c r="D32" s="40">
        <f>C32/C34</f>
        <v>0.25642837135875218</v>
      </c>
      <c r="E32" s="25">
        <f>ROUND(D32*$L$24,0)</f>
        <v>559276</v>
      </c>
      <c r="F32" s="4">
        <v>11764</v>
      </c>
      <c r="G32" s="18">
        <f>E32/F32</f>
        <v>47.541312478748722</v>
      </c>
      <c r="H32" s="48"/>
      <c r="I32" s="48"/>
      <c r="J32" s="48"/>
      <c r="K32" s="48"/>
      <c r="L32" s="18"/>
    </row>
    <row r="33" spans="1:13" x14ac:dyDescent="0.25">
      <c r="A33" s="15">
        <v>19</v>
      </c>
      <c r="B33" s="36" t="s">
        <v>7</v>
      </c>
      <c r="C33" s="5">
        <v>1484119</v>
      </c>
      <c r="D33" s="41">
        <f>C33/C34</f>
        <v>5.4304165662723891E-2</v>
      </c>
      <c r="E33" s="17">
        <f>ROUND(D33*$L$24,0)</f>
        <v>118439</v>
      </c>
      <c r="F33" s="5">
        <v>321</v>
      </c>
      <c r="G33" s="42">
        <f>E33/F33</f>
        <v>368.96884735202491</v>
      </c>
      <c r="H33" s="48"/>
      <c r="I33" s="48"/>
      <c r="J33" s="48"/>
      <c r="K33" s="48"/>
      <c r="L33" s="18"/>
    </row>
    <row r="34" spans="1:13" x14ac:dyDescent="0.25">
      <c r="A34" s="15">
        <v>20</v>
      </c>
      <c r="C34" s="7">
        <f>SUM(C30:C33)</f>
        <v>27329745</v>
      </c>
      <c r="D34" s="37">
        <f>SUM(D30:D33)</f>
        <v>1</v>
      </c>
      <c r="E34" s="38">
        <f>SUM(E30:E33)</f>
        <v>2181024</v>
      </c>
      <c r="F34" s="11">
        <f>SUM(F30:F33)</f>
        <v>417640</v>
      </c>
      <c r="G34" s="39"/>
      <c r="H34" s="84"/>
      <c r="I34" s="84"/>
      <c r="J34" s="84"/>
      <c r="K34" s="84"/>
      <c r="L34" s="16"/>
    </row>
    <row r="35" spans="1:13" x14ac:dyDescent="0.25">
      <c r="L35" s="16"/>
      <c r="M35" s="16"/>
    </row>
    <row r="36" spans="1:13" x14ac:dyDescent="0.25">
      <c r="L36" s="16"/>
      <c r="M36" s="16"/>
    </row>
    <row r="39" spans="1:13" x14ac:dyDescent="0.25">
      <c r="A39" s="68" t="s">
        <v>71</v>
      </c>
      <c r="B39" s="15" t="s">
        <v>93</v>
      </c>
    </row>
  </sheetData>
  <pageMargins left="0.7" right="0.7" top="0.75" bottom="0.75" header="0.3" footer="0.3"/>
  <pageSetup scale="58" orientation="landscape" r:id="rId1"/>
  <headerFooter>
    <oddHeader>&amp;REXHIBIT I - Schedule 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Layout" zoomScaleNormal="100" workbookViewId="0">
      <selection activeCell="B37" sqref="B37"/>
    </sheetView>
  </sheetViews>
  <sheetFormatPr defaultColWidth="9.140625" defaultRowHeight="15" x14ac:dyDescent="0.25"/>
  <cols>
    <col min="1" max="1" width="4.7109375" style="74" customWidth="1"/>
    <col min="2" max="2" width="38.42578125" style="74" customWidth="1"/>
    <col min="3" max="3" width="16" style="74" bestFit="1" customWidth="1"/>
    <col min="4" max="4" width="2.7109375" style="74" customWidth="1"/>
    <col min="5" max="5" width="12.5703125" style="74" customWidth="1"/>
    <col min="6" max="16384" width="9.140625" style="74"/>
  </cols>
  <sheetData>
    <row r="1" spans="1:9" x14ac:dyDescent="0.25">
      <c r="A1" s="77" t="s">
        <v>51</v>
      </c>
    </row>
    <row r="2" spans="1:9" x14ac:dyDescent="0.25">
      <c r="A2" s="77" t="s">
        <v>76</v>
      </c>
    </row>
    <row r="3" spans="1:9" x14ac:dyDescent="0.25">
      <c r="A3" s="88"/>
      <c r="B3" s="88"/>
      <c r="C3" s="88"/>
      <c r="D3" s="88"/>
      <c r="E3" s="88"/>
      <c r="F3" s="75"/>
      <c r="G3" s="75"/>
      <c r="H3" s="75"/>
    </row>
    <row r="4" spans="1:9" x14ac:dyDescent="0.25">
      <c r="F4" s="75"/>
      <c r="G4" s="75"/>
      <c r="H4" s="75"/>
    </row>
    <row r="5" spans="1:9" x14ac:dyDescent="0.25">
      <c r="A5" s="77" t="s">
        <v>89</v>
      </c>
      <c r="F5" s="75"/>
      <c r="G5" s="75"/>
      <c r="H5" s="75"/>
      <c r="I5" s="75"/>
    </row>
    <row r="6" spans="1:9" x14ac:dyDescent="0.25">
      <c r="B6" s="77"/>
      <c r="F6" s="75"/>
      <c r="G6" s="75"/>
      <c r="H6" s="75"/>
      <c r="I6" s="75"/>
    </row>
    <row r="7" spans="1:9" x14ac:dyDescent="0.25">
      <c r="B7" s="77"/>
      <c r="F7" s="75"/>
      <c r="G7" s="75"/>
      <c r="H7" s="75"/>
      <c r="I7" s="75"/>
    </row>
    <row r="8" spans="1:9" x14ac:dyDescent="0.25">
      <c r="B8" s="77">
        <v>2010</v>
      </c>
      <c r="C8" s="89">
        <f>ROUND(-'2010'!G12,0)</f>
        <v>29643</v>
      </c>
      <c r="F8" s="75"/>
      <c r="G8" s="75"/>
      <c r="H8" s="75"/>
      <c r="I8" s="75"/>
    </row>
    <row r="9" spans="1:9" x14ac:dyDescent="0.25">
      <c r="B9" s="77">
        <v>2011</v>
      </c>
      <c r="C9" s="89">
        <f>ROUND(-'2011'!G12,0)</f>
        <v>39770</v>
      </c>
      <c r="F9" s="75"/>
      <c r="G9" s="75"/>
      <c r="H9" s="75"/>
      <c r="I9" s="75"/>
    </row>
    <row r="10" spans="1:9" x14ac:dyDescent="0.25">
      <c r="B10" s="77">
        <v>2012</v>
      </c>
      <c r="C10" s="89">
        <f>ROUND(-'2012'!G12,0)</f>
        <v>90827</v>
      </c>
      <c r="F10" s="75"/>
      <c r="G10" s="75"/>
      <c r="H10" s="75"/>
    </row>
    <row r="11" spans="1:9" x14ac:dyDescent="0.25">
      <c r="B11" s="77">
        <v>2013</v>
      </c>
      <c r="C11" s="89">
        <f>-'2013'!G12</f>
        <v>68191</v>
      </c>
      <c r="F11" s="75"/>
      <c r="G11" s="75"/>
      <c r="H11" s="75"/>
    </row>
    <row r="12" spans="1:9" x14ac:dyDescent="0.25">
      <c r="B12" s="77">
        <v>2014</v>
      </c>
      <c r="C12" s="89">
        <f>-'2014'!G12</f>
        <v>52186</v>
      </c>
      <c r="F12" s="75"/>
      <c r="G12" s="75"/>
      <c r="H12" s="75"/>
    </row>
    <row r="13" spans="1:9" x14ac:dyDescent="0.25">
      <c r="B13" s="77">
        <v>2015</v>
      </c>
      <c r="C13" s="89">
        <f>-'2015'!G12</f>
        <v>43721</v>
      </c>
      <c r="F13" s="75"/>
      <c r="G13" s="75"/>
      <c r="H13" s="75"/>
    </row>
    <row r="14" spans="1:9" x14ac:dyDescent="0.25">
      <c r="B14" s="77">
        <v>2016</v>
      </c>
      <c r="C14" s="89">
        <f>-'2016'!G12</f>
        <v>85321</v>
      </c>
      <c r="F14" s="75"/>
      <c r="G14" s="75"/>
      <c r="H14" s="75"/>
    </row>
    <row r="15" spans="1:9" x14ac:dyDescent="0.25">
      <c r="B15" s="77">
        <v>2017</v>
      </c>
      <c r="C15" s="85">
        <f>-'2017'!G12</f>
        <v>33362</v>
      </c>
      <c r="F15" s="75"/>
      <c r="G15" s="75"/>
      <c r="H15" s="75"/>
    </row>
    <row r="16" spans="1:9" x14ac:dyDescent="0.25">
      <c r="B16" s="77"/>
      <c r="C16" s="38">
        <f>SUM(C8:C15)</f>
        <v>443021</v>
      </c>
      <c r="F16" s="75"/>
      <c r="G16" s="75"/>
      <c r="H16" s="75"/>
    </row>
    <row r="17" spans="1:9" x14ac:dyDescent="0.25">
      <c r="A17" s="88"/>
      <c r="B17" s="88"/>
      <c r="C17" s="88"/>
      <c r="D17" s="88"/>
      <c r="E17" s="88"/>
      <c r="F17" s="75"/>
      <c r="G17" s="75"/>
      <c r="H17" s="75"/>
    </row>
    <row r="18" spans="1:9" x14ac:dyDescent="0.25">
      <c r="F18" s="75"/>
      <c r="G18" s="75"/>
      <c r="H18" s="75"/>
    </row>
    <row r="19" spans="1:9" x14ac:dyDescent="0.25">
      <c r="A19" s="77" t="s">
        <v>75</v>
      </c>
      <c r="F19" s="75"/>
      <c r="G19" s="75"/>
      <c r="H19" s="75"/>
    </row>
    <row r="20" spans="1:9" x14ac:dyDescent="0.25">
      <c r="E20" s="75"/>
      <c r="F20" s="75"/>
      <c r="G20" s="75"/>
      <c r="H20" s="75"/>
    </row>
    <row r="21" spans="1:9" x14ac:dyDescent="0.25">
      <c r="B21" s="101" t="s">
        <v>101</v>
      </c>
      <c r="E21" s="75"/>
      <c r="F21" s="75"/>
      <c r="G21" s="75"/>
      <c r="H21" s="75"/>
      <c r="I21" s="75"/>
    </row>
    <row r="22" spans="1:9" ht="15" customHeight="1" x14ac:dyDescent="0.25">
      <c r="A22" s="96"/>
      <c r="B22" s="101"/>
      <c r="C22" s="89">
        <v>76450</v>
      </c>
      <c r="D22" s="72"/>
      <c r="E22" s="89"/>
      <c r="F22" s="75"/>
      <c r="G22" s="75"/>
      <c r="H22" s="75"/>
      <c r="I22" s="75"/>
    </row>
    <row r="23" spans="1:9" x14ac:dyDescent="0.25">
      <c r="A23" s="75"/>
      <c r="B23" s="75"/>
      <c r="C23" s="89"/>
      <c r="D23" s="89"/>
      <c r="E23" s="89"/>
      <c r="F23" s="75"/>
      <c r="G23" s="75"/>
      <c r="H23" s="75"/>
      <c r="I23" s="75"/>
    </row>
    <row r="24" spans="1:9" x14ac:dyDescent="0.25">
      <c r="A24" s="75"/>
      <c r="B24" s="75" t="s">
        <v>99</v>
      </c>
      <c r="C24" s="76">
        <v>71597</v>
      </c>
      <c r="D24" s="89"/>
      <c r="E24" s="89"/>
      <c r="F24" s="75"/>
      <c r="G24" s="75"/>
      <c r="H24" s="75"/>
    </row>
    <row r="25" spans="1:9" x14ac:dyDescent="0.25">
      <c r="A25" s="75"/>
      <c r="B25" s="75"/>
      <c r="C25" s="89"/>
      <c r="D25" s="89"/>
      <c r="E25" s="89"/>
      <c r="F25" s="75"/>
      <c r="G25" s="75"/>
      <c r="H25" s="75"/>
    </row>
    <row r="26" spans="1:9" x14ac:dyDescent="0.25">
      <c r="A26" s="75"/>
      <c r="B26" s="75" t="s">
        <v>100</v>
      </c>
      <c r="C26" s="89">
        <f>IF(C22&gt;C24,C24-C22,0)</f>
        <v>-4853</v>
      </c>
      <c r="D26" s="89"/>
      <c r="E26" s="89"/>
      <c r="F26" s="75"/>
      <c r="G26" s="75"/>
      <c r="H26" s="75"/>
    </row>
    <row r="27" spans="1:9" x14ac:dyDescent="0.25">
      <c r="A27" s="88"/>
      <c r="B27" s="88"/>
      <c r="C27" s="85"/>
      <c r="D27" s="85"/>
      <c r="E27" s="85"/>
    </row>
    <row r="28" spans="1:9" x14ac:dyDescent="0.25">
      <c r="A28" s="75"/>
      <c r="B28" s="75"/>
      <c r="C28" s="89"/>
      <c r="D28" s="89"/>
      <c r="E28" s="89"/>
    </row>
    <row r="29" spans="1:9" x14ac:dyDescent="0.25">
      <c r="A29" s="77" t="s">
        <v>77</v>
      </c>
      <c r="C29" s="72"/>
      <c r="D29" s="72"/>
      <c r="E29" s="72"/>
    </row>
    <row r="30" spans="1:9" x14ac:dyDescent="0.25">
      <c r="A30" s="68" t="s">
        <v>71</v>
      </c>
      <c r="B30" s="98" t="s">
        <v>105</v>
      </c>
      <c r="C30" s="77"/>
      <c r="D30" s="77"/>
    </row>
    <row r="31" spans="1:9" x14ac:dyDescent="0.25">
      <c r="B31" s="24" t="s">
        <v>108</v>
      </c>
      <c r="C31" s="73">
        <v>136044453</v>
      </c>
    </row>
    <row r="33" spans="1:5" x14ac:dyDescent="0.25">
      <c r="B33" s="74" t="s">
        <v>104</v>
      </c>
      <c r="C33" s="73">
        <v>2579252</v>
      </c>
    </row>
    <row r="35" spans="1:5" x14ac:dyDescent="0.25">
      <c r="B35" s="74" t="s">
        <v>78</v>
      </c>
      <c r="C35" s="97">
        <f>C33/C31</f>
        <v>1.8958891326498993E-2</v>
      </c>
    </row>
    <row r="37" spans="1:5" x14ac:dyDescent="0.25">
      <c r="A37" s="75"/>
      <c r="B37" s="75" t="s">
        <v>102</v>
      </c>
      <c r="C37" s="76">
        <f>SUM(Summary!D8:K10)</f>
        <v>17594666</v>
      </c>
      <c r="D37" s="75"/>
      <c r="E37" s="75"/>
    </row>
    <row r="38" spans="1:5" x14ac:dyDescent="0.25">
      <c r="A38" s="75"/>
      <c r="B38" s="75"/>
      <c r="C38" s="75"/>
      <c r="D38" s="75"/>
      <c r="E38" s="75"/>
    </row>
    <row r="39" spans="1:5" x14ac:dyDescent="0.25">
      <c r="A39" s="75"/>
      <c r="B39" s="75" t="s">
        <v>103</v>
      </c>
      <c r="C39" s="32">
        <f>C35*C37</f>
        <v>333575.36062004673</v>
      </c>
      <c r="D39" s="75"/>
      <c r="E39" s="75"/>
    </row>
    <row r="40" spans="1:5" x14ac:dyDescent="0.25">
      <c r="A40" s="88"/>
      <c r="B40" s="88"/>
      <c r="C40" s="88"/>
      <c r="D40" s="88"/>
      <c r="E40" s="88"/>
    </row>
    <row r="42" spans="1:5" x14ac:dyDescent="0.25">
      <c r="A42" s="77" t="s">
        <v>106</v>
      </c>
      <c r="B42" s="77"/>
      <c r="C42" s="33">
        <f>C39+C26+C16</f>
        <v>771743.36062004673</v>
      </c>
    </row>
    <row r="44" spans="1:5" x14ac:dyDescent="0.25">
      <c r="A44" s="68" t="s">
        <v>71</v>
      </c>
      <c r="B44" s="99" t="s">
        <v>107</v>
      </c>
    </row>
  </sheetData>
  <mergeCells count="1">
    <mergeCell ref="B21:B22"/>
  </mergeCells>
  <pageMargins left="0.7" right="0.7" top="0.75" bottom="0.75" header="0.3" footer="0.3"/>
  <pageSetup orientation="portrait" verticalDpi="0" r:id="rId1"/>
  <headerFooter>
    <oddHeader>&amp;RExhibit I - Schedule III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G35" sqref="G35"/>
    </sheetView>
  </sheetViews>
  <sheetFormatPr defaultRowHeight="15" x14ac:dyDescent="0.25"/>
  <sheetData>
    <row r="1" spans="1:11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1:11" x14ac:dyDescent="0.25">
      <c r="A2">
        <v>7</v>
      </c>
      <c r="B2" s="8">
        <v>0.14285999999999999</v>
      </c>
      <c r="C2" s="8">
        <v>0.24490000000000001</v>
      </c>
      <c r="D2" s="8">
        <v>0.17491999999999999</v>
      </c>
      <c r="E2" s="8">
        <v>0.12495000000000001</v>
      </c>
      <c r="F2" s="8">
        <v>8.9249999999999996E-2</v>
      </c>
      <c r="G2" s="8">
        <v>8.9249999999999996E-2</v>
      </c>
      <c r="H2" s="8">
        <v>8.9249999999999996E-2</v>
      </c>
      <c r="I2" s="8">
        <v>4.462E-2</v>
      </c>
      <c r="J2" s="8"/>
      <c r="K2" s="8"/>
    </row>
    <row r="3" spans="1:11" x14ac:dyDescent="0.25">
      <c r="A3">
        <v>15</v>
      </c>
      <c r="B3" s="8">
        <v>0.05</v>
      </c>
      <c r="C3" s="8">
        <v>9.5000000000000001E-2</v>
      </c>
      <c r="D3" s="8">
        <v>8.5500000000000007E-2</v>
      </c>
      <c r="E3" s="8">
        <v>7.6950000000000005E-2</v>
      </c>
      <c r="F3" s="8">
        <v>6.9250000000000006E-2</v>
      </c>
      <c r="G3" s="8">
        <v>6.2330000000000003E-2</v>
      </c>
      <c r="H3" s="8">
        <v>5.9049999999999998E-2</v>
      </c>
      <c r="I3" s="8">
        <v>5.9049999999999998E-2</v>
      </c>
      <c r="J3" s="8">
        <v>5.9049999999999998E-2</v>
      </c>
      <c r="K3" s="8"/>
    </row>
    <row r="4" spans="1:11" x14ac:dyDescent="0.25">
      <c r="A4">
        <v>20</v>
      </c>
      <c r="B4" s="8">
        <v>3.7499999999999999E-2</v>
      </c>
      <c r="C4" s="8">
        <v>7.2190000000000004E-2</v>
      </c>
      <c r="D4" s="8">
        <v>6.6769999999999996E-2</v>
      </c>
      <c r="E4" s="8">
        <v>6.1769999999999999E-2</v>
      </c>
      <c r="F4" s="8">
        <v>5.713E-2</v>
      </c>
      <c r="G4" s="8">
        <v>5.2850000000000001E-2</v>
      </c>
      <c r="H4" s="8">
        <v>4.888E-2</v>
      </c>
      <c r="I4" s="8">
        <v>4.5220000000000003E-2</v>
      </c>
      <c r="J4" s="8">
        <v>4.462E-2</v>
      </c>
      <c r="K4" s="8"/>
    </row>
    <row r="21" spans="4:4" x14ac:dyDescent="0.25">
      <c r="D21" s="15"/>
    </row>
  </sheetData>
  <pageMargins left="0.7" right="0.7" top="0.75" bottom="0.75" header="0.3" footer="0.3"/>
  <pageSetup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view="pageLayout" zoomScaleNormal="100" workbookViewId="0">
      <selection activeCell="G31" sqref="G31"/>
    </sheetView>
  </sheetViews>
  <sheetFormatPr defaultColWidth="9.140625" defaultRowHeight="15" x14ac:dyDescent="0.25"/>
  <cols>
    <col min="1" max="1" width="14.42578125" style="15" customWidth="1"/>
    <col min="2" max="2" width="18.5703125" style="15" bestFit="1" customWidth="1"/>
    <col min="3" max="3" width="12.7109375" style="15" customWidth="1"/>
    <col min="4" max="4" width="14.28515625" style="15" customWidth="1"/>
    <col min="5" max="5" width="10.7109375" style="15" customWidth="1"/>
    <col min="6" max="6" width="12.7109375" style="15" customWidth="1"/>
    <col min="7" max="7" width="12.42578125" style="15" bestFit="1" customWidth="1"/>
    <col min="8" max="8" width="13.140625" style="15" bestFit="1" customWidth="1"/>
    <col min="9" max="9" width="2.7109375" style="15" customWidth="1"/>
    <col min="10" max="10" width="10.7109375" style="15" customWidth="1"/>
    <col min="11" max="11" width="8.140625" style="15" bestFit="1" customWidth="1"/>
    <col min="12" max="12" width="12.7109375" style="15" customWidth="1"/>
    <col min="13" max="14" width="11.28515625" style="15" bestFit="1" customWidth="1"/>
    <col min="15" max="15" width="8.42578125" style="15" bestFit="1" customWidth="1"/>
    <col min="16" max="16" width="11.28515625" style="15" bestFit="1" customWidth="1"/>
    <col min="17" max="17" width="2.7109375" style="15" customWidth="1"/>
    <col min="18" max="18" width="13.7109375" style="15" bestFit="1" customWidth="1"/>
    <col min="19" max="19" width="7.7109375" style="15" bestFit="1" customWidth="1"/>
    <col min="20" max="20" width="7.42578125" style="15" bestFit="1" customWidth="1"/>
    <col min="21" max="16384" width="9.140625" style="15"/>
  </cols>
  <sheetData>
    <row r="1" spans="1:21" x14ac:dyDescent="0.25">
      <c r="A1" s="22" t="s">
        <v>26</v>
      </c>
      <c r="B1" s="43">
        <v>2010</v>
      </c>
      <c r="F1" s="15" t="s">
        <v>66</v>
      </c>
    </row>
    <row r="2" spans="1:21" x14ac:dyDescent="0.25">
      <c r="A2" s="22" t="s">
        <v>47</v>
      </c>
      <c r="D2" s="44" t="s">
        <v>71</v>
      </c>
    </row>
    <row r="3" spans="1:21" x14ac:dyDescent="0.25">
      <c r="D3" s="1" t="s">
        <v>37</v>
      </c>
      <c r="F3" s="100" t="s">
        <v>35</v>
      </c>
      <c r="G3" s="100"/>
      <c r="H3" s="100"/>
      <c r="J3" s="45" t="s">
        <v>34</v>
      </c>
      <c r="T3" s="45"/>
      <c r="U3" s="45"/>
    </row>
    <row r="4" spans="1:21" x14ac:dyDescent="0.25">
      <c r="C4" s="1">
        <v>2010</v>
      </c>
      <c r="D4" s="1" t="s">
        <v>25</v>
      </c>
      <c r="F4" s="46"/>
      <c r="G4" s="46" t="s">
        <v>2</v>
      </c>
      <c r="H4" s="46"/>
      <c r="J4" s="1" t="s">
        <v>42</v>
      </c>
      <c r="O4" s="1" t="s">
        <v>70</v>
      </c>
      <c r="P4" s="1" t="s">
        <v>70</v>
      </c>
    </row>
    <row r="5" spans="1:21" x14ac:dyDescent="0.25">
      <c r="C5" s="2" t="s">
        <v>21</v>
      </c>
      <c r="D5" s="47">
        <v>8</v>
      </c>
      <c r="F5" s="2" t="s">
        <v>22</v>
      </c>
      <c r="G5" s="2" t="s">
        <v>17</v>
      </c>
      <c r="H5" s="2" t="s">
        <v>23</v>
      </c>
      <c r="J5" s="2" t="s">
        <v>43</v>
      </c>
      <c r="O5" s="2" t="s">
        <v>14</v>
      </c>
      <c r="P5" s="2" t="s">
        <v>16</v>
      </c>
    </row>
    <row r="6" spans="1:21" x14ac:dyDescent="0.25">
      <c r="A6" s="15">
        <v>1</v>
      </c>
      <c r="B6" s="15" t="s">
        <v>48</v>
      </c>
      <c r="C6" s="3">
        <f>329963+486787</f>
        <v>816750</v>
      </c>
      <c r="D6" s="9">
        <v>3.1E-2</v>
      </c>
      <c r="F6" s="3">
        <v>-164574</v>
      </c>
      <c r="G6" s="11">
        <f>ROUND(IF(D$5=1,-0.5*D6*C6,-D6*C6),0)</f>
        <v>-25319</v>
      </c>
      <c r="H6" s="11">
        <f t="shared" ref="H6:H11" si="0">SUM(F6:G6)</f>
        <v>-189893</v>
      </c>
      <c r="J6" s="19">
        <f t="shared" ref="J6:J11" si="1">C6+H6</f>
        <v>626857</v>
      </c>
      <c r="O6" s="48">
        <v>1E-4</v>
      </c>
      <c r="P6" s="7">
        <f>ROUND(IF(D$5=1,-0.5*O6*C6,-O6*C6),0)</f>
        <v>-82</v>
      </c>
    </row>
    <row r="7" spans="1:21" x14ac:dyDescent="0.25">
      <c r="A7" s="15">
        <v>2</v>
      </c>
      <c r="B7" s="15" t="s">
        <v>0</v>
      </c>
      <c r="C7" s="3">
        <f>23974</f>
        <v>23974</v>
      </c>
      <c r="D7" s="9">
        <v>2.3300000000000001E-2</v>
      </c>
      <c r="F7" s="3">
        <v>-3633</v>
      </c>
      <c r="G7" s="11">
        <f>ROUND(IF(D$5=1,-0.5*D7*C7,-D7*C7),0)</f>
        <v>-559</v>
      </c>
      <c r="H7" s="11">
        <f t="shared" si="0"/>
        <v>-4192</v>
      </c>
      <c r="J7" s="19">
        <f t="shared" si="1"/>
        <v>19782</v>
      </c>
      <c r="O7" s="48">
        <v>2.0000000000000001E-4</v>
      </c>
      <c r="P7" s="19">
        <f>ROUND(IF(D$5=1,-0.5*O7*C7,-O7*C7),0)</f>
        <v>-5</v>
      </c>
    </row>
    <row r="8" spans="1:21" x14ac:dyDescent="0.25">
      <c r="A8" s="15">
        <v>3</v>
      </c>
      <c r="B8" s="15" t="s">
        <v>1</v>
      </c>
      <c r="C8" s="3">
        <f>118268</f>
        <v>118268</v>
      </c>
      <c r="D8" s="9">
        <v>2.69E-2</v>
      </c>
      <c r="F8" s="3">
        <v>-20677</v>
      </c>
      <c r="G8" s="11">
        <f>ROUND(IF(D$5=1,-0.5*D8*C8,-D8*C8),0)</f>
        <v>-3181</v>
      </c>
      <c r="H8" s="11">
        <f t="shared" si="0"/>
        <v>-23858</v>
      </c>
      <c r="J8" s="19">
        <f t="shared" si="1"/>
        <v>94410</v>
      </c>
      <c r="O8" s="48">
        <v>4.1999999999999997E-3</v>
      </c>
      <c r="P8" s="19">
        <f>ROUND(IF(D$5=1,-0.5*O8*C8,-O8*C8),0)</f>
        <v>-497</v>
      </c>
    </row>
    <row r="9" spans="1:21" x14ac:dyDescent="0.25">
      <c r="A9" s="15">
        <v>4</v>
      </c>
      <c r="B9" s="15" t="s">
        <v>19</v>
      </c>
      <c r="C9" s="3">
        <v>0</v>
      </c>
      <c r="D9" s="9">
        <v>2.2499999999999999E-2</v>
      </c>
      <c r="F9" s="3">
        <v>0</v>
      </c>
      <c r="G9" s="11">
        <f>ROUND(IF(D$5=1,-0.5*D9*C9,-D9*C9),0)</f>
        <v>0</v>
      </c>
      <c r="H9" s="11">
        <f t="shared" si="0"/>
        <v>0</v>
      </c>
      <c r="J9" s="19">
        <f t="shared" si="1"/>
        <v>0</v>
      </c>
      <c r="O9" s="48">
        <v>0</v>
      </c>
      <c r="P9" s="19">
        <f>IF(D$5=1,-0.5*O9*C9,-O9*C9)</f>
        <v>0</v>
      </c>
    </row>
    <row r="10" spans="1:21" x14ac:dyDescent="0.25">
      <c r="A10" s="15">
        <v>5</v>
      </c>
      <c r="B10" s="15" t="s">
        <v>18</v>
      </c>
      <c r="C10" s="3">
        <v>0</v>
      </c>
      <c r="D10" s="9">
        <v>2.0500000000000001E-2</v>
      </c>
      <c r="F10" s="3">
        <v>0</v>
      </c>
      <c r="G10" s="11">
        <f>ROUND(IF(D$5=1,-0.5*D10*C10,-D10*C10),0)</f>
        <v>0</v>
      </c>
      <c r="H10" s="11">
        <f t="shared" si="0"/>
        <v>0</v>
      </c>
      <c r="J10" s="19">
        <f t="shared" si="1"/>
        <v>0</v>
      </c>
      <c r="O10" s="48">
        <v>0</v>
      </c>
      <c r="P10" s="19">
        <f>IF(D$5=1,-0.5*O10*C10,-O10*C10)</f>
        <v>0</v>
      </c>
    </row>
    <row r="11" spans="1:21" x14ac:dyDescent="0.25">
      <c r="A11" s="15">
        <v>6</v>
      </c>
      <c r="B11" s="15" t="s">
        <v>63</v>
      </c>
      <c r="C11" s="5">
        <v>615796</v>
      </c>
      <c r="D11" s="10" t="s">
        <v>62</v>
      </c>
      <c r="E11" s="49"/>
      <c r="F11" s="5">
        <v>-3795</v>
      </c>
      <c r="G11" s="17">
        <f>P12</f>
        <v>-584</v>
      </c>
      <c r="H11" s="17">
        <f t="shared" si="0"/>
        <v>-4379</v>
      </c>
      <c r="J11" s="21">
        <f t="shared" si="1"/>
        <v>611417</v>
      </c>
      <c r="O11" s="50">
        <v>0</v>
      </c>
      <c r="P11" s="21">
        <f>IF(D$5=1,-0.5*O11*C11,-O11*C11)</f>
        <v>0</v>
      </c>
    </row>
    <row r="12" spans="1:21" x14ac:dyDescent="0.25">
      <c r="C12" s="11">
        <f>SUM(C5:C11)</f>
        <v>1574788</v>
      </c>
      <c r="D12" s="11"/>
      <c r="F12" s="3">
        <f>SUM(F5:F11)</f>
        <v>-192679</v>
      </c>
      <c r="G12" s="11">
        <f>SUM(G5:G11)</f>
        <v>-29643</v>
      </c>
      <c r="H12" s="11">
        <f>SUM(H5:H11)</f>
        <v>-222322</v>
      </c>
      <c r="J12" s="19">
        <f>SUM(J6:J11)</f>
        <v>1352466</v>
      </c>
      <c r="O12" s="19"/>
      <c r="P12" s="7">
        <f>SUM(P5:P11)</f>
        <v>-584</v>
      </c>
    </row>
    <row r="13" spans="1:21" ht="14.25" customHeight="1" x14ac:dyDescent="0.25">
      <c r="C13" s="11"/>
      <c r="D13" s="11"/>
      <c r="E13" s="11"/>
      <c r="F13" s="11"/>
      <c r="M13" s="1"/>
      <c r="N13" s="16"/>
    </row>
    <row r="14" spans="1:21" x14ac:dyDescent="0.25">
      <c r="J14" s="15" t="s">
        <v>66</v>
      </c>
      <c r="M14" s="1"/>
      <c r="N14" s="16"/>
    </row>
    <row r="15" spans="1:21" x14ac:dyDescent="0.25">
      <c r="D15" s="1"/>
    </row>
    <row r="16" spans="1:21" x14ac:dyDescent="0.25">
      <c r="C16" s="16"/>
      <c r="D16" s="1" t="s">
        <v>29</v>
      </c>
      <c r="E16" s="16"/>
      <c r="F16" s="16"/>
      <c r="G16" s="51">
        <v>0.5</v>
      </c>
      <c r="H16" s="16"/>
      <c r="J16" s="52"/>
      <c r="K16" s="1" t="s">
        <v>24</v>
      </c>
      <c r="L16" s="100" t="s">
        <v>36</v>
      </c>
      <c r="M16" s="100"/>
      <c r="N16" s="100"/>
      <c r="O16" s="100"/>
      <c r="P16" s="100"/>
      <c r="R16" s="45" t="s">
        <v>15</v>
      </c>
    </row>
    <row r="17" spans="1:18" x14ac:dyDescent="0.25">
      <c r="C17" s="1" t="s">
        <v>34</v>
      </c>
      <c r="D17" s="1" t="s">
        <v>17</v>
      </c>
      <c r="E17" s="1" t="s">
        <v>15</v>
      </c>
      <c r="F17" s="1" t="s">
        <v>15</v>
      </c>
      <c r="G17" s="1" t="s">
        <v>28</v>
      </c>
      <c r="H17" s="1" t="s">
        <v>32</v>
      </c>
      <c r="J17" s="1"/>
      <c r="K17" s="1" t="s">
        <v>27</v>
      </c>
      <c r="L17" s="1"/>
      <c r="M17" s="1" t="s">
        <v>15</v>
      </c>
      <c r="N17" s="1" t="s">
        <v>28</v>
      </c>
      <c r="O17" s="1" t="s">
        <v>24</v>
      </c>
      <c r="P17" s="1"/>
      <c r="R17" s="1" t="s">
        <v>42</v>
      </c>
    </row>
    <row r="18" spans="1:18" x14ac:dyDescent="0.25">
      <c r="C18" s="2" t="s">
        <v>21</v>
      </c>
      <c r="D18" s="2" t="s">
        <v>30</v>
      </c>
      <c r="E18" s="2" t="s">
        <v>17</v>
      </c>
      <c r="F18" s="2" t="s">
        <v>31</v>
      </c>
      <c r="G18" s="2" t="s">
        <v>2</v>
      </c>
      <c r="H18" s="2" t="s">
        <v>33</v>
      </c>
      <c r="J18" s="2" t="s">
        <v>20</v>
      </c>
      <c r="K18" s="2">
        <f>D5</f>
        <v>8</v>
      </c>
      <c r="L18" s="2" t="s">
        <v>22</v>
      </c>
      <c r="M18" s="2" t="s">
        <v>17</v>
      </c>
      <c r="N18" s="2" t="s">
        <v>16</v>
      </c>
      <c r="O18" s="2" t="s">
        <v>16</v>
      </c>
      <c r="P18" s="2" t="s">
        <v>23</v>
      </c>
      <c r="R18" s="2" t="s">
        <v>43</v>
      </c>
    </row>
    <row r="19" spans="1:18" x14ac:dyDescent="0.25">
      <c r="A19" s="15">
        <v>7</v>
      </c>
      <c r="B19" s="15" t="s">
        <v>48</v>
      </c>
      <c r="C19" s="11">
        <f>'2010'!C6</f>
        <v>816750</v>
      </c>
      <c r="D19" s="12">
        <v>0.94499999999999995</v>
      </c>
      <c r="E19" s="11">
        <f>C19*-D19</f>
        <v>-771828.75</v>
      </c>
      <c r="F19" s="19">
        <f>C19+E19</f>
        <v>44921.25</v>
      </c>
      <c r="G19" s="19">
        <f>F19*-$G$16</f>
        <v>-22460.625</v>
      </c>
      <c r="H19" s="53">
        <f t="shared" ref="H19:H24" si="2">F19+G19</f>
        <v>22460.625</v>
      </c>
      <c r="J19" s="15">
        <v>15</v>
      </c>
      <c r="K19" s="54">
        <f>IFERROR(VLOOKUP(J19,'Tax Rates'!$A$1:$Z$12,'2010'!$K$18+1,FALSE),0)</f>
        <v>5.9049999999999998E-2</v>
      </c>
      <c r="L19" s="55">
        <v>-806486</v>
      </c>
      <c r="M19" s="19">
        <v>0</v>
      </c>
      <c r="N19" s="19">
        <v>0</v>
      </c>
      <c r="O19" s="11">
        <f>ROUND(K19*-H19,0)</f>
        <v>-1326</v>
      </c>
      <c r="P19" s="56">
        <f t="shared" ref="P19:P24" si="3">SUM(L19:O19)</f>
        <v>-807812</v>
      </c>
      <c r="R19" s="19">
        <f>C19+P19</f>
        <v>8938</v>
      </c>
    </row>
    <row r="20" spans="1:18" x14ac:dyDescent="0.25">
      <c r="A20" s="15">
        <v>8</v>
      </c>
      <c r="B20" s="15" t="s">
        <v>0</v>
      </c>
      <c r="C20" s="11">
        <f>'2010'!C7</f>
        <v>23974</v>
      </c>
      <c r="D20" s="12">
        <v>1</v>
      </c>
      <c r="E20" s="11">
        <f>C20*-D20</f>
        <v>-23974</v>
      </c>
      <c r="F20" s="19">
        <f>C20+E20</f>
        <v>0</v>
      </c>
      <c r="G20" s="19">
        <f>F20*-$G$16</f>
        <v>0</v>
      </c>
      <c r="H20" s="53">
        <f t="shared" si="2"/>
        <v>0</v>
      </c>
      <c r="J20" s="15">
        <v>15</v>
      </c>
      <c r="K20" s="54">
        <f>IFERROR(VLOOKUP(J20,'Tax Rates'!$A$1:$Z$12,'2010'!$K$18+1,FALSE),0)</f>
        <v>5.9049999999999998E-2</v>
      </c>
      <c r="L20" s="55">
        <v>-23974</v>
      </c>
      <c r="M20" s="19">
        <v>0</v>
      </c>
      <c r="N20" s="19">
        <v>0</v>
      </c>
      <c r="O20" s="11">
        <f>ROUND(K20*-H20,0)</f>
        <v>0</v>
      </c>
      <c r="P20" s="56">
        <f t="shared" si="3"/>
        <v>-23974</v>
      </c>
      <c r="R20" s="19">
        <f>C20+P20</f>
        <v>0</v>
      </c>
    </row>
    <row r="21" spans="1:18" x14ac:dyDescent="0.25">
      <c r="A21" s="15">
        <v>9</v>
      </c>
      <c r="B21" s="15" t="s">
        <v>1</v>
      </c>
      <c r="C21" s="11">
        <f>'2010'!C8</f>
        <v>118268</v>
      </c>
      <c r="D21" s="12">
        <v>0</v>
      </c>
      <c r="E21" s="11">
        <f>C21*-D21</f>
        <v>0</v>
      </c>
      <c r="F21" s="19">
        <f>C21+E21</f>
        <v>118268</v>
      </c>
      <c r="G21" s="19">
        <f>F21*-$G$16</f>
        <v>-59134</v>
      </c>
      <c r="H21" s="53">
        <f t="shared" si="2"/>
        <v>59134</v>
      </c>
      <c r="J21" s="15">
        <v>20</v>
      </c>
      <c r="K21" s="54">
        <f>IFERROR(VLOOKUP(J21,'Tax Rates'!$A$1:$Z$12,'2010'!$K$18+1,FALSE),0)</f>
        <v>4.5220000000000003E-2</v>
      </c>
      <c r="L21" s="55">
        <v>-84666</v>
      </c>
      <c r="M21" s="19">
        <v>0</v>
      </c>
      <c r="N21" s="19">
        <v>0</v>
      </c>
      <c r="O21" s="11">
        <f>ROUND(K21*-H21,0)</f>
        <v>-2674</v>
      </c>
      <c r="P21" s="56">
        <f t="shared" si="3"/>
        <v>-87340</v>
      </c>
      <c r="R21" s="19">
        <f>C21+P21</f>
        <v>30928</v>
      </c>
    </row>
    <row r="22" spans="1:18" x14ac:dyDescent="0.25">
      <c r="A22" s="15">
        <v>10</v>
      </c>
      <c r="B22" s="15" t="s">
        <v>19</v>
      </c>
      <c r="C22" s="11">
        <f>'2010'!C9</f>
        <v>0</v>
      </c>
      <c r="D22" s="12">
        <v>0</v>
      </c>
      <c r="E22" s="11">
        <f>C22*-D22</f>
        <v>0</v>
      </c>
      <c r="F22" s="19">
        <f>C22+E22</f>
        <v>0</v>
      </c>
      <c r="G22" s="19">
        <f>F22*-$G$16</f>
        <v>0</v>
      </c>
      <c r="H22" s="53">
        <f t="shared" si="2"/>
        <v>0</v>
      </c>
      <c r="J22" s="15">
        <v>7</v>
      </c>
      <c r="K22" s="54">
        <f>IFERROR(VLOOKUP(J22,'Tax Rates'!$A$1:$Z$12,'2010'!$K$18+1,FALSE),0)</f>
        <v>4.462E-2</v>
      </c>
      <c r="L22" s="55">
        <v>0</v>
      </c>
      <c r="M22" s="19">
        <v>0</v>
      </c>
      <c r="N22" s="19">
        <v>0</v>
      </c>
      <c r="O22" s="11">
        <f>ROUND(K22*-H22,0)</f>
        <v>0</v>
      </c>
      <c r="P22" s="56">
        <f t="shared" si="3"/>
        <v>0</v>
      </c>
      <c r="R22" s="19">
        <f>C22+P22</f>
        <v>0</v>
      </c>
    </row>
    <row r="23" spans="1:18" x14ac:dyDescent="0.25">
      <c r="A23" s="15">
        <v>11</v>
      </c>
      <c r="B23" s="15" t="s">
        <v>18</v>
      </c>
      <c r="C23" s="11">
        <f>'2010'!C10</f>
        <v>0</v>
      </c>
      <c r="D23" s="12">
        <v>0</v>
      </c>
      <c r="E23" s="11">
        <f>C23*-D23</f>
        <v>0</v>
      </c>
      <c r="F23" s="19">
        <f>C23+E23</f>
        <v>0</v>
      </c>
      <c r="G23" s="19">
        <f>F23*-$G$16</f>
        <v>0</v>
      </c>
      <c r="H23" s="53">
        <f t="shared" si="2"/>
        <v>0</v>
      </c>
      <c r="J23" s="15">
        <v>15</v>
      </c>
      <c r="K23" s="54">
        <f>IFERROR(VLOOKUP(J23,'Tax Rates'!$A$1:$Z$12,'2010'!$K$18+1,FALSE),0)</f>
        <v>5.9049999999999998E-2</v>
      </c>
      <c r="L23" s="55">
        <v>0</v>
      </c>
      <c r="M23" s="19">
        <v>0</v>
      </c>
      <c r="N23" s="19">
        <v>0</v>
      </c>
      <c r="O23" s="11">
        <f>ROUND(K23*-H23,0)</f>
        <v>0</v>
      </c>
      <c r="P23" s="56">
        <f t="shared" si="3"/>
        <v>0</v>
      </c>
      <c r="R23" s="19">
        <f>C23+P23</f>
        <v>0</v>
      </c>
    </row>
    <row r="24" spans="1:18" x14ac:dyDescent="0.25">
      <c r="A24" s="15">
        <v>12</v>
      </c>
      <c r="B24" s="15" t="s">
        <v>63</v>
      </c>
      <c r="C24" s="17">
        <f>'2010'!C11</f>
        <v>615796</v>
      </c>
      <c r="D24" s="13" t="s">
        <v>64</v>
      </c>
      <c r="E24" s="17">
        <v>0</v>
      </c>
      <c r="F24" s="21">
        <v>0</v>
      </c>
      <c r="G24" s="21">
        <v>0</v>
      </c>
      <c r="H24" s="57">
        <f t="shared" si="2"/>
        <v>0</v>
      </c>
      <c r="J24" s="58" t="s">
        <v>64</v>
      </c>
      <c r="K24" s="59" t="s">
        <v>64</v>
      </c>
      <c r="L24" s="60">
        <v>0</v>
      </c>
      <c r="M24" s="21">
        <v>0</v>
      </c>
      <c r="N24" s="61">
        <v>0</v>
      </c>
      <c r="O24" s="17">
        <v>0</v>
      </c>
      <c r="P24" s="62">
        <f t="shared" si="3"/>
        <v>0</v>
      </c>
      <c r="R24" s="63" t="s">
        <v>64</v>
      </c>
    </row>
    <row r="25" spans="1:18" x14ac:dyDescent="0.25">
      <c r="C25" s="11">
        <f>SUM(C18:C24)</f>
        <v>1574788</v>
      </c>
      <c r="E25" s="11">
        <f>SUM(E19:E24)</f>
        <v>-795802.75</v>
      </c>
      <c r="F25" s="11">
        <f>SUM(F19:F24)</f>
        <v>163189.25</v>
      </c>
      <c r="G25" s="11">
        <f>SUM(G19:G24)</f>
        <v>-81594.625</v>
      </c>
      <c r="H25" s="56">
        <f>SUM(H19:H24)</f>
        <v>81594.625</v>
      </c>
      <c r="L25" s="56">
        <f>SUM(L19:L24)</f>
        <v>-915126</v>
      </c>
      <c r="M25" s="11">
        <f>SUM(M19:M24)</f>
        <v>0</v>
      </c>
      <c r="N25" s="11">
        <f>SUM(N19:N24)</f>
        <v>0</v>
      </c>
      <c r="O25" s="11">
        <f>SUM(O19:O24)</f>
        <v>-4000</v>
      </c>
      <c r="P25" s="56">
        <f>SUM(P19:P24)</f>
        <v>-919126</v>
      </c>
      <c r="R25" s="19">
        <f>SUM(R19:R24)</f>
        <v>39866</v>
      </c>
    </row>
    <row r="26" spans="1:18" x14ac:dyDescent="0.25">
      <c r="C26" s="11"/>
      <c r="E26" s="11"/>
      <c r="F26" s="11"/>
      <c r="G26" s="11"/>
      <c r="H26" s="56"/>
      <c r="J26" s="56"/>
      <c r="K26" s="11"/>
      <c r="L26" s="11"/>
      <c r="M26" s="11"/>
      <c r="N26" s="56"/>
    </row>
    <row r="28" spans="1:18" x14ac:dyDescent="0.25">
      <c r="E28" s="11"/>
      <c r="F28" s="45" t="s">
        <v>49</v>
      </c>
      <c r="H28" s="64"/>
    </row>
    <row r="29" spans="1:18" x14ac:dyDescent="0.25">
      <c r="D29" s="100" t="s">
        <v>38</v>
      </c>
      <c r="E29" s="100"/>
      <c r="F29" s="45" t="s">
        <v>40</v>
      </c>
      <c r="G29" s="45" t="s">
        <v>61</v>
      </c>
      <c r="H29" s="1" t="s">
        <v>39</v>
      </c>
    </row>
    <row r="30" spans="1:18" x14ac:dyDescent="0.25">
      <c r="D30" s="2" t="s">
        <v>34</v>
      </c>
      <c r="E30" s="2" t="s">
        <v>15</v>
      </c>
      <c r="F30" s="2" t="s">
        <v>41</v>
      </c>
      <c r="G30" s="2" t="s">
        <v>14</v>
      </c>
      <c r="H30" s="2" t="s">
        <v>3</v>
      </c>
    </row>
    <row r="31" spans="1:18" x14ac:dyDescent="0.25">
      <c r="A31" s="15">
        <v>13</v>
      </c>
      <c r="B31" s="15" t="s">
        <v>48</v>
      </c>
      <c r="D31" s="19">
        <f>'2010'!J6</f>
        <v>626857</v>
      </c>
      <c r="E31" s="19">
        <f>'2010'!R19</f>
        <v>8938</v>
      </c>
      <c r="F31" s="19">
        <f>E31-D31</f>
        <v>-617919</v>
      </c>
      <c r="G31" s="95">
        <v>0.37959999999999999</v>
      </c>
      <c r="H31" s="19">
        <f>ROUND(F31*0.3796,0)</f>
        <v>-234562</v>
      </c>
    </row>
    <row r="32" spans="1:18" x14ac:dyDescent="0.25">
      <c r="A32" s="15">
        <v>14</v>
      </c>
      <c r="B32" s="15" t="s">
        <v>0</v>
      </c>
      <c r="D32" s="19">
        <f>'2010'!J7</f>
        <v>19782</v>
      </c>
      <c r="E32" s="19">
        <f>'2010'!R20</f>
        <v>0</v>
      </c>
      <c r="F32" s="19">
        <f>E32-D32</f>
        <v>-19782</v>
      </c>
      <c r="G32" s="64">
        <f>G31</f>
        <v>0.37959999999999999</v>
      </c>
      <c r="H32" s="19">
        <f t="shared" ref="H32:H36" si="4">ROUND(F32*0.3796,0)</f>
        <v>-7509</v>
      </c>
    </row>
    <row r="33" spans="1:8" x14ac:dyDescent="0.25">
      <c r="A33" s="15">
        <v>15</v>
      </c>
      <c r="B33" s="15" t="s">
        <v>1</v>
      </c>
      <c r="D33" s="19">
        <f>'2010'!J8</f>
        <v>94410</v>
      </c>
      <c r="E33" s="19">
        <f>'2010'!R21</f>
        <v>30928</v>
      </c>
      <c r="F33" s="19">
        <f>E33-D33</f>
        <v>-63482</v>
      </c>
      <c r="G33" s="64">
        <f>G31</f>
        <v>0.37959999999999999</v>
      </c>
      <c r="H33" s="19">
        <f t="shared" si="4"/>
        <v>-24098</v>
      </c>
    </row>
    <row r="34" spans="1:8" x14ac:dyDescent="0.25">
      <c r="A34" s="15">
        <v>16</v>
      </c>
      <c r="B34" s="15" t="s">
        <v>19</v>
      </c>
      <c r="D34" s="19">
        <f>'2010'!J9</f>
        <v>0</v>
      </c>
      <c r="E34" s="19">
        <f>'2010'!R22</f>
        <v>0</v>
      </c>
      <c r="F34" s="19">
        <f>E34-D34</f>
        <v>0</v>
      </c>
      <c r="G34" s="64">
        <f>G31</f>
        <v>0.37959999999999999</v>
      </c>
      <c r="H34" s="19">
        <f t="shared" si="4"/>
        <v>0</v>
      </c>
    </row>
    <row r="35" spans="1:8" x14ac:dyDescent="0.25">
      <c r="A35" s="15">
        <v>17</v>
      </c>
      <c r="B35" s="15" t="s">
        <v>18</v>
      </c>
      <c r="D35" s="19">
        <f>'2010'!J10</f>
        <v>0</v>
      </c>
      <c r="E35" s="19">
        <f>'2010'!R23</f>
        <v>0</v>
      </c>
      <c r="F35" s="19">
        <f>E35-D35</f>
        <v>0</v>
      </c>
      <c r="G35" s="64">
        <f>G31</f>
        <v>0.37959999999999999</v>
      </c>
      <c r="H35" s="19">
        <f t="shared" si="4"/>
        <v>0</v>
      </c>
    </row>
    <row r="36" spans="1:8" x14ac:dyDescent="0.25">
      <c r="A36" s="15">
        <v>18</v>
      </c>
      <c r="B36" s="15" t="s">
        <v>63</v>
      </c>
      <c r="D36" s="21">
        <f>'2010'!J11</f>
        <v>611417</v>
      </c>
      <c r="E36" s="63" t="s">
        <v>64</v>
      </c>
      <c r="F36" s="21">
        <f>-D36</f>
        <v>-611417</v>
      </c>
      <c r="G36" s="65">
        <f>G31</f>
        <v>0.37959999999999999</v>
      </c>
      <c r="H36" s="21">
        <f t="shared" si="4"/>
        <v>-232094</v>
      </c>
    </row>
    <row r="37" spans="1:8" x14ac:dyDescent="0.25">
      <c r="D37" s="19">
        <f>SUM(D31:D36)</f>
        <v>1352466</v>
      </c>
      <c r="E37" s="19">
        <f>SUM(E31:E36)</f>
        <v>39866</v>
      </c>
      <c r="F37" s="19">
        <f>SUM(F31:F36)</f>
        <v>-1312600</v>
      </c>
      <c r="H37" s="19">
        <f>SUM(H31:H36)</f>
        <v>-498263</v>
      </c>
    </row>
    <row r="39" spans="1:8" x14ac:dyDescent="0.25">
      <c r="A39" s="49" t="s">
        <v>71</v>
      </c>
      <c r="B39" s="15" t="s">
        <v>74</v>
      </c>
    </row>
    <row r="40" spans="1:8" x14ac:dyDescent="0.25">
      <c r="A40" s="49"/>
    </row>
  </sheetData>
  <mergeCells count="3">
    <mergeCell ref="D29:E29"/>
    <mergeCell ref="F3:H3"/>
    <mergeCell ref="L16:P16"/>
  </mergeCells>
  <pageMargins left="0.7" right="0.7" top="0.75" bottom="0.75" header="0.3" footer="0.3"/>
  <pageSetup scale="60" orientation="landscape" cellComments="asDisplayed" r:id="rId1"/>
  <headerFooter>
    <oddHeader>&amp;RSchedule II - 2010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Normal="100" workbookViewId="0">
      <selection activeCell="D15" sqref="D15"/>
    </sheetView>
  </sheetViews>
  <sheetFormatPr defaultColWidth="9.140625" defaultRowHeight="15" x14ac:dyDescent="0.25"/>
  <cols>
    <col min="1" max="1" width="14.42578125" style="15" customWidth="1"/>
    <col min="2" max="2" width="18.5703125" style="15" bestFit="1" customWidth="1"/>
    <col min="3" max="4" width="12.7109375" style="15" customWidth="1"/>
    <col min="5" max="5" width="11.28515625" style="15" bestFit="1" customWidth="1"/>
    <col min="6" max="6" width="12.7109375" style="15" customWidth="1"/>
    <col min="7" max="7" width="12.42578125" style="15" bestFit="1" customWidth="1"/>
    <col min="8" max="8" width="13.140625" style="15" bestFit="1" customWidth="1"/>
    <col min="9" max="9" width="2.7109375" style="15" customWidth="1"/>
    <col min="10" max="10" width="10.7109375" style="15" customWidth="1"/>
    <col min="11" max="11" width="8.140625" style="15" bestFit="1" customWidth="1"/>
    <col min="12" max="12" width="12.7109375" style="15" customWidth="1"/>
    <col min="13" max="14" width="11.28515625" style="15" bestFit="1" customWidth="1"/>
    <col min="15" max="15" width="8.42578125" style="15" bestFit="1" customWidth="1"/>
    <col min="16" max="16" width="11.28515625" style="15" bestFit="1" customWidth="1"/>
    <col min="17" max="17" width="2.7109375" style="15" customWidth="1"/>
    <col min="18" max="18" width="13.7109375" style="15" bestFit="1" customWidth="1"/>
    <col min="19" max="19" width="7.7109375" style="15" bestFit="1" customWidth="1"/>
    <col min="20" max="20" width="7.42578125" style="15" bestFit="1" customWidth="1"/>
    <col min="21" max="16384" width="9.140625" style="15"/>
  </cols>
  <sheetData>
    <row r="1" spans="1:18" x14ac:dyDescent="0.25">
      <c r="A1" s="22" t="s">
        <v>26</v>
      </c>
      <c r="B1" s="43">
        <v>2011</v>
      </c>
    </row>
    <row r="2" spans="1:18" x14ac:dyDescent="0.25">
      <c r="A2" s="22" t="s">
        <v>47</v>
      </c>
      <c r="D2" s="66" t="s">
        <v>71</v>
      </c>
      <c r="F2" s="100" t="s">
        <v>35</v>
      </c>
      <c r="G2" s="100"/>
      <c r="H2" s="100"/>
    </row>
    <row r="3" spans="1:18" x14ac:dyDescent="0.25">
      <c r="D3" s="1" t="s">
        <v>37</v>
      </c>
      <c r="F3" s="16"/>
      <c r="G3" s="66" t="s">
        <v>71</v>
      </c>
      <c r="H3" s="16"/>
      <c r="J3" s="45" t="s">
        <v>34</v>
      </c>
    </row>
    <row r="4" spans="1:18" x14ac:dyDescent="0.25">
      <c r="C4" s="1">
        <v>2011</v>
      </c>
      <c r="D4" s="1" t="s">
        <v>25</v>
      </c>
      <c r="F4" s="1"/>
      <c r="G4" s="1" t="s">
        <v>2</v>
      </c>
      <c r="H4" s="1"/>
      <c r="J4" s="1" t="s">
        <v>42</v>
      </c>
      <c r="O4" s="1" t="s">
        <v>70</v>
      </c>
      <c r="P4" s="1" t="s">
        <v>70</v>
      </c>
    </row>
    <row r="5" spans="1:18" x14ac:dyDescent="0.25">
      <c r="C5" s="2" t="s">
        <v>21</v>
      </c>
      <c r="D5" s="47">
        <v>7</v>
      </c>
      <c r="F5" s="2" t="s">
        <v>22</v>
      </c>
      <c r="G5" s="2" t="s">
        <v>17</v>
      </c>
      <c r="H5" s="2" t="s">
        <v>23</v>
      </c>
      <c r="J5" s="2" t="s">
        <v>43</v>
      </c>
      <c r="O5" s="2" t="s">
        <v>14</v>
      </c>
      <c r="P5" s="2" t="s">
        <v>16</v>
      </c>
    </row>
    <row r="6" spans="1:18" x14ac:dyDescent="0.25">
      <c r="A6" s="15">
        <v>1</v>
      </c>
      <c r="B6" s="15" t="s">
        <v>48</v>
      </c>
      <c r="C6" s="3">
        <f>467774+361177</f>
        <v>828951</v>
      </c>
      <c r="D6" s="9">
        <v>3.1E-2</v>
      </c>
      <c r="F6" s="3">
        <v>-141334</v>
      </c>
      <c r="G6" s="11">
        <f>ROUND(IF(D$5=1,-0.5*D6*C6,-D6*C6),0)</f>
        <v>-25697</v>
      </c>
      <c r="H6" s="11">
        <f t="shared" ref="H6:H11" si="0">SUM(F6:G6)</f>
        <v>-167031</v>
      </c>
      <c r="J6" s="19">
        <f t="shared" ref="J6:J11" si="1">C6+H6</f>
        <v>661920</v>
      </c>
      <c r="O6" s="48">
        <v>1E-4</v>
      </c>
      <c r="P6" s="7">
        <f>ROUND(IF(D$5=1,-0.5*O6*C6,-O6*C6),0)</f>
        <v>-83</v>
      </c>
    </row>
    <row r="7" spans="1:18" x14ac:dyDescent="0.25">
      <c r="A7" s="15">
        <v>2</v>
      </c>
      <c r="B7" s="15" t="s">
        <v>0</v>
      </c>
      <c r="C7" s="3">
        <v>88312</v>
      </c>
      <c r="D7" s="9">
        <v>2.3300000000000001E-2</v>
      </c>
      <c r="F7" s="3">
        <v>-11319</v>
      </c>
      <c r="G7" s="11">
        <f>ROUND(IF(D$5=1,-0.5*D7*C7,-D7*C7),0)</f>
        <v>-2058</v>
      </c>
      <c r="H7" s="11">
        <f t="shared" si="0"/>
        <v>-13377</v>
      </c>
      <c r="J7" s="19">
        <f t="shared" si="1"/>
        <v>74935</v>
      </c>
      <c r="O7" s="48">
        <v>2.0000000000000001E-4</v>
      </c>
      <c r="P7" s="19">
        <f>ROUND(IF(D$5=1,-0.5*O7*C7,-O7*C7),0)</f>
        <v>-18</v>
      </c>
    </row>
    <row r="8" spans="1:18" x14ac:dyDescent="0.25">
      <c r="A8" s="15">
        <v>3</v>
      </c>
      <c r="B8" s="15" t="s">
        <v>1</v>
      </c>
      <c r="C8" s="3">
        <f>120134+262941</f>
        <v>383075</v>
      </c>
      <c r="D8" s="9">
        <v>2.69E-2</v>
      </c>
      <c r="F8" s="3">
        <v>-56677</v>
      </c>
      <c r="G8" s="11">
        <f>ROUND(IF(D$5=1,-0.5*D8*C8,-D8*C8),0)</f>
        <v>-10305</v>
      </c>
      <c r="H8" s="11">
        <f t="shared" si="0"/>
        <v>-66982</v>
      </c>
      <c r="J8" s="19">
        <f t="shared" si="1"/>
        <v>316093</v>
      </c>
      <c r="O8" s="48">
        <v>4.1999999999999997E-3</v>
      </c>
      <c r="P8" s="19">
        <f>ROUND(IF(D$5=1,-0.5*O8*C8,-O8*C8),0)</f>
        <v>-1609</v>
      </c>
    </row>
    <row r="9" spans="1:18" x14ac:dyDescent="0.25">
      <c r="A9" s="15">
        <v>4</v>
      </c>
      <c r="B9" s="15" t="s">
        <v>19</v>
      </c>
      <c r="C9" s="3">
        <v>0</v>
      </c>
      <c r="D9" s="9">
        <v>2.2499999999999999E-2</v>
      </c>
      <c r="F9" s="3">
        <v>0</v>
      </c>
      <c r="G9" s="11">
        <f>ROUND(IF(D$5=1,-0.5*D9*C9,-D9*C9),0)</f>
        <v>0</v>
      </c>
      <c r="H9" s="11">
        <f t="shared" si="0"/>
        <v>0</v>
      </c>
      <c r="J9" s="19">
        <f t="shared" si="1"/>
        <v>0</v>
      </c>
      <c r="O9" s="48">
        <v>0</v>
      </c>
      <c r="P9" s="19">
        <f>IF(D$5=1,-0.5*O9*C9,-O9*C9)</f>
        <v>0</v>
      </c>
    </row>
    <row r="10" spans="1:18" x14ac:dyDescent="0.25">
      <c r="A10" s="15">
        <v>5</v>
      </c>
      <c r="B10" s="15" t="s">
        <v>18</v>
      </c>
      <c r="C10" s="3">
        <v>0</v>
      </c>
      <c r="D10" s="9">
        <v>2.0500000000000001E-2</v>
      </c>
      <c r="F10" s="3">
        <v>0</v>
      </c>
      <c r="G10" s="11">
        <f>ROUND(IF(D$5=1,-0.5*D10*C10,-D10*C10),0)</f>
        <v>0</v>
      </c>
      <c r="H10" s="11">
        <f t="shared" si="0"/>
        <v>0</v>
      </c>
      <c r="J10" s="19">
        <f t="shared" si="1"/>
        <v>0</v>
      </c>
      <c r="O10" s="48">
        <v>0</v>
      </c>
      <c r="P10" s="19">
        <f>IF(D$5=1,-0.5*O10*C10,-O10*C10)</f>
        <v>0</v>
      </c>
    </row>
    <row r="11" spans="1:18" x14ac:dyDescent="0.25">
      <c r="A11" s="15">
        <v>6</v>
      </c>
      <c r="B11" s="15" t="s">
        <v>63</v>
      </c>
      <c r="C11" s="5">
        <f>3849+425917</f>
        <v>429766</v>
      </c>
      <c r="D11" s="10" t="s">
        <v>62</v>
      </c>
      <c r="F11" s="5">
        <v>-9405</v>
      </c>
      <c r="G11" s="17">
        <f>P12</f>
        <v>-1710</v>
      </c>
      <c r="H11" s="17">
        <f t="shared" si="0"/>
        <v>-11115</v>
      </c>
      <c r="J11" s="21">
        <f t="shared" si="1"/>
        <v>418651</v>
      </c>
      <c r="O11" s="50">
        <v>0</v>
      </c>
      <c r="P11" s="21">
        <f>IF(D$5=1,-0.5*O11*C11,-O11*C11)</f>
        <v>0</v>
      </c>
    </row>
    <row r="12" spans="1:18" x14ac:dyDescent="0.25">
      <c r="C12" s="11">
        <f>SUM(C6:C11)</f>
        <v>1730104</v>
      </c>
      <c r="D12" s="11"/>
      <c r="F12" s="3">
        <f>SUM(F5:F11)</f>
        <v>-218735</v>
      </c>
      <c r="G12" s="11">
        <f>SUM(G5:G11)</f>
        <v>-39770</v>
      </c>
      <c r="H12" s="11">
        <f>SUM(H5:H11)</f>
        <v>-258505</v>
      </c>
      <c r="J12" s="19">
        <f>SUM(J6:J11)</f>
        <v>1471599</v>
      </c>
      <c r="O12" s="19"/>
      <c r="P12" s="7">
        <f>SUM(P5:P11)</f>
        <v>-1710</v>
      </c>
    </row>
    <row r="13" spans="1:18" ht="14.25" customHeight="1" x14ac:dyDescent="0.25">
      <c r="C13" s="11"/>
      <c r="D13" s="11"/>
      <c r="E13" s="11"/>
      <c r="F13" s="11"/>
      <c r="M13" s="1"/>
      <c r="N13" s="16"/>
    </row>
    <row r="14" spans="1:18" x14ac:dyDescent="0.25">
      <c r="M14" s="1"/>
      <c r="N14" s="16"/>
    </row>
    <row r="15" spans="1:18" x14ac:dyDescent="0.25">
      <c r="D15" s="1"/>
    </row>
    <row r="16" spans="1:18" x14ac:dyDescent="0.25">
      <c r="C16" s="16"/>
      <c r="D16" s="1" t="s">
        <v>29</v>
      </c>
      <c r="E16" s="16"/>
      <c r="F16" s="16"/>
      <c r="G16" s="51">
        <v>1</v>
      </c>
      <c r="H16" s="16"/>
      <c r="J16" s="52"/>
      <c r="K16" s="1" t="s">
        <v>24</v>
      </c>
      <c r="L16" s="100" t="s">
        <v>36</v>
      </c>
      <c r="M16" s="100"/>
      <c r="N16" s="100"/>
      <c r="O16" s="100"/>
      <c r="P16" s="100"/>
      <c r="R16" s="45" t="s">
        <v>15</v>
      </c>
    </row>
    <row r="17" spans="1:18" x14ac:dyDescent="0.25">
      <c r="C17" s="1" t="s">
        <v>34</v>
      </c>
      <c r="D17" s="1" t="s">
        <v>17</v>
      </c>
      <c r="E17" s="1" t="s">
        <v>15</v>
      </c>
      <c r="F17" s="1" t="s">
        <v>15</v>
      </c>
      <c r="G17" s="1" t="s">
        <v>28</v>
      </c>
      <c r="H17" s="1" t="s">
        <v>32</v>
      </c>
      <c r="J17" s="1"/>
      <c r="K17" s="1" t="s">
        <v>27</v>
      </c>
      <c r="L17" s="1"/>
      <c r="M17" s="1" t="s">
        <v>15</v>
      </c>
      <c r="N17" s="1" t="s">
        <v>28</v>
      </c>
      <c r="O17" s="1" t="s">
        <v>24</v>
      </c>
      <c r="P17" s="1"/>
      <c r="R17" s="1" t="s">
        <v>42</v>
      </c>
    </row>
    <row r="18" spans="1:18" x14ac:dyDescent="0.25">
      <c r="C18" s="2" t="s">
        <v>21</v>
      </c>
      <c r="D18" s="2" t="s">
        <v>30</v>
      </c>
      <c r="E18" s="2" t="s">
        <v>17</v>
      </c>
      <c r="F18" s="2" t="s">
        <v>31</v>
      </c>
      <c r="G18" s="2" t="s">
        <v>2</v>
      </c>
      <c r="H18" s="2" t="s">
        <v>33</v>
      </c>
      <c r="J18" s="2" t="s">
        <v>20</v>
      </c>
      <c r="K18" s="2">
        <f>D5</f>
        <v>7</v>
      </c>
      <c r="L18" s="2" t="s">
        <v>22</v>
      </c>
      <c r="M18" s="2" t="s">
        <v>17</v>
      </c>
      <c r="N18" s="2" t="s">
        <v>16</v>
      </c>
      <c r="O18" s="2" t="s">
        <v>16</v>
      </c>
      <c r="P18" s="2" t="s">
        <v>23</v>
      </c>
      <c r="R18" s="2" t="s">
        <v>43</v>
      </c>
    </row>
    <row r="19" spans="1:18" x14ac:dyDescent="0.25">
      <c r="A19" s="15">
        <v>7</v>
      </c>
      <c r="B19" s="15" t="s">
        <v>48</v>
      </c>
      <c r="C19" s="11">
        <f t="shared" ref="C19:C24" si="2">C6</f>
        <v>828951</v>
      </c>
      <c r="D19" s="12">
        <v>0.71</v>
      </c>
      <c r="E19" s="11">
        <f>C19*-D19</f>
        <v>-588555.21</v>
      </c>
      <c r="F19" s="19">
        <f>C19+E19</f>
        <v>240395.79000000004</v>
      </c>
      <c r="G19" s="19">
        <f>F19*-$G$16</f>
        <v>-240395.79000000004</v>
      </c>
      <c r="H19" s="53">
        <f t="shared" ref="H19:H24" si="3">F19+G19</f>
        <v>0</v>
      </c>
      <c r="J19" s="15">
        <v>15</v>
      </c>
      <c r="K19" s="54">
        <f>IFERROR(VLOOKUP(J19,'Tax Rates'!$A$1:$Z$12,$K$18+1,FALSE),0)</f>
        <v>5.9049999999999998E-2</v>
      </c>
      <c r="L19" s="55">
        <v>-828951</v>
      </c>
      <c r="M19" s="19">
        <v>0</v>
      </c>
      <c r="N19" s="19">
        <v>0</v>
      </c>
      <c r="O19" s="11">
        <f>ROUND(K19*-H19,0)</f>
        <v>0</v>
      </c>
      <c r="P19" s="56">
        <f t="shared" ref="P19:P24" si="4">SUM(L19:O19)</f>
        <v>-828951</v>
      </c>
      <c r="R19" s="19">
        <f>C19+P19</f>
        <v>0</v>
      </c>
    </row>
    <row r="20" spans="1:18" x14ac:dyDescent="0.25">
      <c r="A20" s="15">
        <v>8</v>
      </c>
      <c r="B20" s="15" t="s">
        <v>0</v>
      </c>
      <c r="C20" s="25">
        <f t="shared" si="2"/>
        <v>88312</v>
      </c>
      <c r="D20" s="14">
        <f>-E20/C20</f>
        <v>0.93963447776066678</v>
      </c>
      <c r="E20" s="3">
        <f>-21362-61619</f>
        <v>-82981</v>
      </c>
      <c r="F20" s="19">
        <f>C20+E20</f>
        <v>5331</v>
      </c>
      <c r="G20" s="19">
        <f>F20*-$G$16</f>
        <v>-5331</v>
      </c>
      <c r="H20" s="53">
        <f t="shared" si="3"/>
        <v>0</v>
      </c>
      <c r="J20" s="15">
        <v>15</v>
      </c>
      <c r="K20" s="54">
        <f>IFERROR(VLOOKUP(J20,'Tax Rates'!$A$1:$Z$12,$K$18+1,FALSE),0)</f>
        <v>5.9049999999999998E-2</v>
      </c>
      <c r="L20" s="55">
        <v>-88312</v>
      </c>
      <c r="M20" s="19">
        <v>0</v>
      </c>
      <c r="N20" s="19">
        <v>0</v>
      </c>
      <c r="O20" s="11">
        <f>ROUND(K20*-H20,0)</f>
        <v>0</v>
      </c>
      <c r="P20" s="56">
        <f t="shared" si="4"/>
        <v>-88312</v>
      </c>
      <c r="R20" s="19">
        <f>C20+P20</f>
        <v>0</v>
      </c>
    </row>
    <row r="21" spans="1:18" x14ac:dyDescent="0.25">
      <c r="A21" s="15">
        <v>9</v>
      </c>
      <c r="B21" s="15" t="s">
        <v>1</v>
      </c>
      <c r="C21" s="25">
        <f t="shared" si="2"/>
        <v>383075</v>
      </c>
      <c r="D21" s="12">
        <v>1</v>
      </c>
      <c r="E21" s="11">
        <f>C21*-D21</f>
        <v>-383075</v>
      </c>
      <c r="F21" s="19">
        <f>C21+E21</f>
        <v>0</v>
      </c>
      <c r="G21" s="19">
        <f>F21*-$G$16</f>
        <v>0</v>
      </c>
      <c r="H21" s="53">
        <f t="shared" si="3"/>
        <v>0</v>
      </c>
      <c r="J21" s="15">
        <v>20</v>
      </c>
      <c r="K21" s="54">
        <f>IFERROR(VLOOKUP(J21,'Tax Rates'!$A$1:$Z$12,$K$18+1,FALSE),0)</f>
        <v>4.888E-2</v>
      </c>
      <c r="L21" s="55">
        <v>-383075</v>
      </c>
      <c r="M21" s="19">
        <v>0</v>
      </c>
      <c r="N21" s="19">
        <v>0</v>
      </c>
      <c r="O21" s="11">
        <f>ROUND(K21*-H21,0)</f>
        <v>0</v>
      </c>
      <c r="P21" s="56">
        <f t="shared" si="4"/>
        <v>-383075</v>
      </c>
      <c r="R21" s="19">
        <f>C21+P21</f>
        <v>0</v>
      </c>
    </row>
    <row r="22" spans="1:18" x14ac:dyDescent="0.25">
      <c r="A22" s="15">
        <v>10</v>
      </c>
      <c r="B22" s="15" t="s">
        <v>19</v>
      </c>
      <c r="C22" s="25">
        <f t="shared" si="2"/>
        <v>0</v>
      </c>
      <c r="D22" s="12">
        <v>0</v>
      </c>
      <c r="E22" s="11">
        <f>C22*-D22</f>
        <v>0</v>
      </c>
      <c r="F22" s="19">
        <f>C22+E22</f>
        <v>0</v>
      </c>
      <c r="G22" s="19">
        <f>F22*-$G$16</f>
        <v>0</v>
      </c>
      <c r="H22" s="53">
        <f t="shared" si="3"/>
        <v>0</v>
      </c>
      <c r="J22" s="15">
        <v>7</v>
      </c>
      <c r="K22" s="54">
        <f>IFERROR(VLOOKUP(J22,'Tax Rates'!$A$1:$Z$12,$K$18+1,FALSE),0)</f>
        <v>8.9249999999999996E-2</v>
      </c>
      <c r="L22" s="55">
        <v>0</v>
      </c>
      <c r="M22" s="19">
        <f>E22</f>
        <v>0</v>
      </c>
      <c r="N22" s="19">
        <v>0</v>
      </c>
      <c r="O22" s="11">
        <f>ROUND(K22*-H22,0)</f>
        <v>0</v>
      </c>
      <c r="P22" s="56">
        <f t="shared" si="4"/>
        <v>0</v>
      </c>
      <c r="R22" s="19">
        <f>C22+P22</f>
        <v>0</v>
      </c>
    </row>
    <row r="23" spans="1:18" x14ac:dyDescent="0.25">
      <c r="A23" s="15">
        <v>11</v>
      </c>
      <c r="B23" s="15" t="s">
        <v>18</v>
      </c>
      <c r="C23" s="25">
        <f t="shared" si="2"/>
        <v>0</v>
      </c>
      <c r="D23" s="12">
        <v>0</v>
      </c>
      <c r="E23" s="11">
        <f>C23*-D23</f>
        <v>0</v>
      </c>
      <c r="F23" s="19">
        <f>C23+E23</f>
        <v>0</v>
      </c>
      <c r="G23" s="19">
        <f>F23*-$G$16</f>
        <v>0</v>
      </c>
      <c r="H23" s="53">
        <f t="shared" si="3"/>
        <v>0</v>
      </c>
      <c r="J23" s="15">
        <v>15</v>
      </c>
      <c r="K23" s="54">
        <f>IFERROR(VLOOKUP(J23,'Tax Rates'!$A$1:$Z$12,$K$18+1,FALSE),0)</f>
        <v>5.9049999999999998E-2</v>
      </c>
      <c r="L23" s="55">
        <v>0</v>
      </c>
      <c r="M23" s="19">
        <f>E23</f>
        <v>0</v>
      </c>
      <c r="N23" s="19">
        <v>0</v>
      </c>
      <c r="O23" s="11">
        <f>ROUND(K23*-H23,0)</f>
        <v>0</v>
      </c>
      <c r="P23" s="56">
        <f t="shared" si="4"/>
        <v>0</v>
      </c>
      <c r="R23" s="19">
        <f>C23+P23</f>
        <v>0</v>
      </c>
    </row>
    <row r="24" spans="1:18" x14ac:dyDescent="0.25">
      <c r="A24" s="15">
        <v>12</v>
      </c>
      <c r="B24" s="15" t="s">
        <v>63</v>
      </c>
      <c r="C24" s="17">
        <f t="shared" si="2"/>
        <v>429766</v>
      </c>
      <c r="D24" s="13" t="s">
        <v>64</v>
      </c>
      <c r="E24" s="17">
        <v>0</v>
      </c>
      <c r="F24" s="21">
        <v>0</v>
      </c>
      <c r="G24" s="21">
        <v>0</v>
      </c>
      <c r="H24" s="57">
        <f t="shared" si="3"/>
        <v>0</v>
      </c>
      <c r="J24" s="58" t="s">
        <v>64</v>
      </c>
      <c r="K24" s="59" t="s">
        <v>64</v>
      </c>
      <c r="L24" s="60">
        <v>0</v>
      </c>
      <c r="M24" s="21">
        <f>E24</f>
        <v>0</v>
      </c>
      <c r="N24" s="61">
        <f>G24</f>
        <v>0</v>
      </c>
      <c r="O24" s="17">
        <v>0</v>
      </c>
      <c r="P24" s="62">
        <f t="shared" si="4"/>
        <v>0</v>
      </c>
      <c r="R24" s="63" t="s">
        <v>64</v>
      </c>
    </row>
    <row r="25" spans="1:18" x14ac:dyDescent="0.25">
      <c r="C25" s="11">
        <f>SUM(C18:C24)</f>
        <v>1730104</v>
      </c>
      <c r="E25" s="11">
        <f>SUM(E19:E24)</f>
        <v>-1054611.21</v>
      </c>
      <c r="F25" s="11">
        <f>SUM(F19:F24)</f>
        <v>245726.79000000004</v>
      </c>
      <c r="G25" s="11">
        <f>SUM(G19:G24)</f>
        <v>-245726.79000000004</v>
      </c>
      <c r="H25" s="56">
        <f>SUM(H19:H24)</f>
        <v>0</v>
      </c>
      <c r="L25" s="56">
        <f>SUM(L19:L24)</f>
        <v>-1300338</v>
      </c>
      <c r="M25" s="11">
        <f>SUM(M19:M24)</f>
        <v>0</v>
      </c>
      <c r="N25" s="11">
        <f>SUM(N19:N24)</f>
        <v>0</v>
      </c>
      <c r="O25" s="11">
        <f>SUM(O19:O24)</f>
        <v>0</v>
      </c>
      <c r="P25" s="56">
        <f>SUM(P19:P24)</f>
        <v>-1300338</v>
      </c>
      <c r="R25" s="19">
        <f>SUM(R19:R24)</f>
        <v>0</v>
      </c>
    </row>
    <row r="26" spans="1:18" x14ac:dyDescent="0.25">
      <c r="C26" s="11"/>
      <c r="E26" s="11"/>
      <c r="F26" s="11"/>
      <c r="G26" s="11"/>
      <c r="H26" s="56"/>
      <c r="J26" s="56"/>
      <c r="K26" s="11"/>
      <c r="L26" s="11"/>
      <c r="M26" s="11"/>
      <c r="N26" s="56"/>
    </row>
    <row r="28" spans="1:18" x14ac:dyDescent="0.25">
      <c r="E28" s="11"/>
      <c r="F28" s="45" t="s">
        <v>49</v>
      </c>
      <c r="H28" s="64"/>
    </row>
    <row r="29" spans="1:18" x14ac:dyDescent="0.25">
      <c r="D29" s="100" t="s">
        <v>38</v>
      </c>
      <c r="E29" s="100"/>
      <c r="F29" s="45" t="s">
        <v>40</v>
      </c>
      <c r="G29" s="45" t="s">
        <v>61</v>
      </c>
      <c r="H29" s="1" t="s">
        <v>39</v>
      </c>
    </row>
    <row r="30" spans="1:18" x14ac:dyDescent="0.25">
      <c r="D30" s="2" t="s">
        <v>34</v>
      </c>
      <c r="E30" s="2" t="s">
        <v>15</v>
      </c>
      <c r="F30" s="2" t="s">
        <v>41</v>
      </c>
      <c r="G30" s="2" t="s">
        <v>14</v>
      </c>
      <c r="H30" s="2" t="s">
        <v>3</v>
      </c>
    </row>
    <row r="31" spans="1:18" x14ac:dyDescent="0.25">
      <c r="A31" s="15">
        <v>13</v>
      </c>
      <c r="B31" s="15" t="s">
        <v>48</v>
      </c>
      <c r="D31" s="19">
        <f t="shared" ref="D31:D36" si="5">J6</f>
        <v>661920</v>
      </c>
      <c r="E31" s="19">
        <f t="shared" ref="E31:E36" si="6">R19</f>
        <v>0</v>
      </c>
      <c r="F31" s="19">
        <f>E31-D31</f>
        <v>-661920</v>
      </c>
      <c r="G31" s="9">
        <v>0.37959999999999999</v>
      </c>
      <c r="H31" s="19">
        <f t="shared" ref="H31:H36" si="7">F31*0.3796</f>
        <v>-251264.83199999999</v>
      </c>
    </row>
    <row r="32" spans="1:18" x14ac:dyDescent="0.25">
      <c r="A32" s="15">
        <v>14</v>
      </c>
      <c r="B32" s="15" t="s">
        <v>0</v>
      </c>
      <c r="D32" s="20">
        <f t="shared" si="5"/>
        <v>74935</v>
      </c>
      <c r="E32" s="19">
        <f t="shared" si="6"/>
        <v>0</v>
      </c>
      <c r="F32" s="19">
        <f>E32-D32</f>
        <v>-74935</v>
      </c>
      <c r="G32" s="64">
        <f>G31</f>
        <v>0.37959999999999999</v>
      </c>
      <c r="H32" s="19">
        <f t="shared" si="7"/>
        <v>-28445.326000000001</v>
      </c>
    </row>
    <row r="33" spans="1:8" x14ac:dyDescent="0.25">
      <c r="A33" s="15">
        <v>15</v>
      </c>
      <c r="B33" s="15" t="s">
        <v>1</v>
      </c>
      <c r="D33" s="20">
        <f t="shared" si="5"/>
        <v>316093</v>
      </c>
      <c r="E33" s="19">
        <f t="shared" si="6"/>
        <v>0</v>
      </c>
      <c r="F33" s="19">
        <f>E33-D33</f>
        <v>-316093</v>
      </c>
      <c r="G33" s="64">
        <f>G31</f>
        <v>0.37959999999999999</v>
      </c>
      <c r="H33" s="19">
        <f t="shared" si="7"/>
        <v>-119988.9028</v>
      </c>
    </row>
    <row r="34" spans="1:8" x14ac:dyDescent="0.25">
      <c r="A34" s="15">
        <v>16</v>
      </c>
      <c r="B34" s="15" t="s">
        <v>19</v>
      </c>
      <c r="D34" s="20">
        <f t="shared" si="5"/>
        <v>0</v>
      </c>
      <c r="E34" s="19">
        <f t="shared" si="6"/>
        <v>0</v>
      </c>
      <c r="F34" s="19">
        <f>E34-D34</f>
        <v>0</v>
      </c>
      <c r="G34" s="64">
        <f>G31</f>
        <v>0.37959999999999999</v>
      </c>
      <c r="H34" s="19">
        <f t="shared" si="7"/>
        <v>0</v>
      </c>
    </row>
    <row r="35" spans="1:8" x14ac:dyDescent="0.25">
      <c r="A35" s="15">
        <v>17</v>
      </c>
      <c r="B35" s="15" t="s">
        <v>18</v>
      </c>
      <c r="D35" s="20">
        <f t="shared" si="5"/>
        <v>0</v>
      </c>
      <c r="E35" s="19">
        <f t="shared" si="6"/>
        <v>0</v>
      </c>
      <c r="F35" s="19">
        <f>E35-D35</f>
        <v>0</v>
      </c>
      <c r="G35" s="64">
        <f>G31</f>
        <v>0.37959999999999999</v>
      </c>
      <c r="H35" s="19">
        <f t="shared" si="7"/>
        <v>0</v>
      </c>
    </row>
    <row r="36" spans="1:8" x14ac:dyDescent="0.25">
      <c r="A36" s="15">
        <v>18</v>
      </c>
      <c r="B36" s="15" t="s">
        <v>63</v>
      </c>
      <c r="D36" s="21">
        <f t="shared" si="5"/>
        <v>418651</v>
      </c>
      <c r="E36" s="63" t="str">
        <f t="shared" si="6"/>
        <v>NA</v>
      </c>
      <c r="F36" s="21">
        <f>-D36</f>
        <v>-418651</v>
      </c>
      <c r="G36" s="65">
        <f>G31</f>
        <v>0.37959999999999999</v>
      </c>
      <c r="H36" s="21">
        <f t="shared" si="7"/>
        <v>-158919.91959999999</v>
      </c>
    </row>
    <row r="37" spans="1:8" x14ac:dyDescent="0.25">
      <c r="D37" s="19">
        <f>SUM(D31:D36)</f>
        <v>1471599</v>
      </c>
      <c r="E37" s="19">
        <f>SUM(E31:E36)</f>
        <v>0</v>
      </c>
      <c r="F37" s="19">
        <f>SUM(F31:F36)</f>
        <v>-1471599</v>
      </c>
      <c r="H37" s="19">
        <f>SUM(H31:H36)</f>
        <v>-558618.9804</v>
      </c>
    </row>
    <row r="39" spans="1:8" x14ac:dyDescent="0.25">
      <c r="A39" s="67" t="s">
        <v>71</v>
      </c>
      <c r="B39" s="15" t="s">
        <v>74</v>
      </c>
    </row>
    <row r="40" spans="1:8" x14ac:dyDescent="0.25">
      <c r="A40" s="67"/>
    </row>
  </sheetData>
  <mergeCells count="3">
    <mergeCell ref="F2:H2"/>
    <mergeCell ref="L16:P16"/>
    <mergeCell ref="D29:E29"/>
  </mergeCells>
  <pageMargins left="0.7" right="0.7" top="0.75" bottom="0.75" header="0.3" footer="0.3"/>
  <pageSetup scale="60" orientation="landscape" r:id="rId1"/>
  <headerFooter>
    <oddHeader>&amp;RSchedule II - 2011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Normal="100" workbookViewId="0">
      <selection activeCell="D39" sqref="D39"/>
    </sheetView>
  </sheetViews>
  <sheetFormatPr defaultColWidth="9.140625" defaultRowHeight="15" x14ac:dyDescent="0.25"/>
  <cols>
    <col min="1" max="1" width="14.42578125" style="15" customWidth="1"/>
    <col min="2" max="2" width="18.5703125" style="15" bestFit="1" customWidth="1"/>
    <col min="3" max="4" width="12.7109375" style="15" customWidth="1"/>
    <col min="5" max="5" width="11.28515625" style="15" bestFit="1" customWidth="1"/>
    <col min="6" max="6" width="12.7109375" style="15" customWidth="1"/>
    <col min="7" max="7" width="12.42578125" style="15" bestFit="1" customWidth="1"/>
    <col min="8" max="8" width="13.140625" style="15" bestFit="1" customWidth="1"/>
    <col min="9" max="9" width="2.7109375" style="15" customWidth="1"/>
    <col min="10" max="10" width="10.7109375" style="15" customWidth="1"/>
    <col min="11" max="11" width="8.140625" style="15" bestFit="1" customWidth="1"/>
    <col min="12" max="12" width="12.7109375" style="15" customWidth="1"/>
    <col min="13" max="14" width="11.28515625" style="15" bestFit="1" customWidth="1"/>
    <col min="15" max="15" width="8.42578125" style="15" bestFit="1" customWidth="1"/>
    <col min="16" max="16" width="11.28515625" style="15" bestFit="1" customWidth="1"/>
    <col min="17" max="17" width="2.7109375" style="15" customWidth="1"/>
    <col min="18" max="18" width="13.7109375" style="15" bestFit="1" customWidth="1"/>
    <col min="19" max="19" width="7.7109375" style="15" bestFit="1" customWidth="1"/>
    <col min="20" max="20" width="7.42578125" style="15" bestFit="1" customWidth="1"/>
    <col min="21" max="16384" width="9.140625" style="15"/>
  </cols>
  <sheetData>
    <row r="1" spans="1:18" x14ac:dyDescent="0.25">
      <c r="A1" s="22" t="s">
        <v>26</v>
      </c>
      <c r="B1" s="43">
        <v>2012</v>
      </c>
    </row>
    <row r="2" spans="1:18" x14ac:dyDescent="0.25">
      <c r="A2" s="22" t="s">
        <v>47</v>
      </c>
      <c r="D2" s="66" t="s">
        <v>71</v>
      </c>
      <c r="F2" s="100" t="s">
        <v>35</v>
      </c>
      <c r="G2" s="100"/>
      <c r="H2" s="100"/>
    </row>
    <row r="3" spans="1:18" x14ac:dyDescent="0.25">
      <c r="D3" s="1" t="s">
        <v>37</v>
      </c>
      <c r="F3" s="16"/>
      <c r="G3" s="66" t="s">
        <v>71</v>
      </c>
      <c r="H3" s="16"/>
      <c r="J3" s="45" t="s">
        <v>34</v>
      </c>
    </row>
    <row r="4" spans="1:18" x14ac:dyDescent="0.25">
      <c r="C4" s="1">
        <v>2012</v>
      </c>
      <c r="D4" s="1" t="s">
        <v>25</v>
      </c>
      <c r="F4" s="1"/>
      <c r="G4" s="1" t="s">
        <v>2</v>
      </c>
      <c r="H4" s="1"/>
      <c r="J4" s="1" t="s">
        <v>42</v>
      </c>
      <c r="O4" s="1" t="s">
        <v>70</v>
      </c>
      <c r="P4" s="1" t="s">
        <v>70</v>
      </c>
    </row>
    <row r="5" spans="1:18" x14ac:dyDescent="0.25">
      <c r="C5" s="2" t="s">
        <v>21</v>
      </c>
      <c r="D5" s="47">
        <v>6</v>
      </c>
      <c r="F5" s="2" t="s">
        <v>22</v>
      </c>
      <c r="G5" s="2" t="s">
        <v>17</v>
      </c>
      <c r="H5" s="2" t="s">
        <v>23</v>
      </c>
      <c r="J5" s="2" t="s">
        <v>43</v>
      </c>
      <c r="O5" s="2" t="s">
        <v>14</v>
      </c>
      <c r="P5" s="2" t="s">
        <v>16</v>
      </c>
    </row>
    <row r="6" spans="1:18" x14ac:dyDescent="0.25">
      <c r="A6" s="15">
        <v>1</v>
      </c>
      <c r="B6" s="15" t="s">
        <v>48</v>
      </c>
      <c r="C6" s="3">
        <f>1546783+617748</f>
        <v>2164531</v>
      </c>
      <c r="D6" s="9">
        <v>3.1E-2</v>
      </c>
      <c r="F6" s="3">
        <v>-301950</v>
      </c>
      <c r="G6" s="11">
        <f>ROUND(IF(D$5=1,-0.5*D6*C6,-D6*C6),0)</f>
        <v>-67100</v>
      </c>
      <c r="H6" s="11">
        <f t="shared" ref="H6:H11" si="0">SUM(F6:G6)</f>
        <v>-369050</v>
      </c>
      <c r="J6" s="19">
        <f t="shared" ref="J6:J11" si="1">C6+H6</f>
        <v>1795481</v>
      </c>
      <c r="O6" s="48">
        <v>1E-4</v>
      </c>
      <c r="P6" s="7">
        <f>ROUND(IF(D$5=1,-0.5*O6*C6,-O6*C6),0)</f>
        <v>-216</v>
      </c>
    </row>
    <row r="7" spans="1:18" x14ac:dyDescent="0.25">
      <c r="A7" s="15">
        <v>2</v>
      </c>
      <c r="B7" s="15" t="s">
        <v>0</v>
      </c>
      <c r="C7" s="3">
        <v>31604</v>
      </c>
      <c r="D7" s="9">
        <v>2.3300000000000001E-2</v>
      </c>
      <c r="F7" s="3">
        <v>-3312</v>
      </c>
      <c r="G7" s="11">
        <f>ROUND(IF(D$5=1,-0.5*D7*C7,-D7*C7),0)</f>
        <v>-736</v>
      </c>
      <c r="H7" s="11">
        <f t="shared" si="0"/>
        <v>-4048</v>
      </c>
      <c r="J7" s="19">
        <f t="shared" si="1"/>
        <v>27556</v>
      </c>
      <c r="O7" s="48">
        <v>2.0000000000000001E-4</v>
      </c>
      <c r="P7" s="19">
        <f>ROUND(IF(D$5=1,-0.5*O7*C7,-O7*C7),0)</f>
        <v>-6</v>
      </c>
    </row>
    <row r="8" spans="1:18" x14ac:dyDescent="0.25">
      <c r="A8" s="15">
        <v>3</v>
      </c>
      <c r="B8" s="15" t="s">
        <v>1</v>
      </c>
      <c r="C8" s="3">
        <f>306201+425927</f>
        <v>732128</v>
      </c>
      <c r="D8" s="9">
        <v>2.69E-2</v>
      </c>
      <c r="F8" s="3">
        <v>-88623</v>
      </c>
      <c r="G8" s="11">
        <f>ROUND(IF(D$5=1,-0.5*D8*C8,-D8*C8),0)</f>
        <v>-19694</v>
      </c>
      <c r="H8" s="11">
        <f t="shared" si="0"/>
        <v>-108317</v>
      </c>
      <c r="J8" s="19">
        <f t="shared" si="1"/>
        <v>623811</v>
      </c>
      <c r="O8" s="48">
        <v>4.1999999999999997E-3</v>
      </c>
      <c r="P8" s="19">
        <f>ROUND(IF(D$5=1,-0.5*O8*C8,-O8*C8),0)</f>
        <v>-3075</v>
      </c>
    </row>
    <row r="9" spans="1:18" x14ac:dyDescent="0.25">
      <c r="A9" s="15">
        <v>4</v>
      </c>
      <c r="B9" s="15" t="s">
        <v>19</v>
      </c>
      <c r="C9" s="3">
        <v>0</v>
      </c>
      <c r="D9" s="9">
        <v>2.2499999999999999E-2</v>
      </c>
      <c r="F9" s="3">
        <v>0</v>
      </c>
      <c r="G9" s="11">
        <f>ROUND(IF(D$5=1,-0.5*D9*C9,-D9*C9),0)</f>
        <v>0</v>
      </c>
      <c r="H9" s="11">
        <f t="shared" si="0"/>
        <v>0</v>
      </c>
      <c r="J9" s="19">
        <f t="shared" si="1"/>
        <v>0</v>
      </c>
      <c r="O9" s="48">
        <v>0</v>
      </c>
      <c r="P9" s="19">
        <f>IF(D$5=1,-0.5*O9*C9,-O9*C9)</f>
        <v>0</v>
      </c>
    </row>
    <row r="10" spans="1:18" x14ac:dyDescent="0.25">
      <c r="A10" s="15">
        <v>5</v>
      </c>
      <c r="B10" s="15" t="s">
        <v>18</v>
      </c>
      <c r="C10" s="3">
        <v>0</v>
      </c>
      <c r="D10" s="9">
        <v>2.0500000000000001E-2</v>
      </c>
      <c r="F10" s="3">
        <v>0</v>
      </c>
      <c r="G10" s="11">
        <f>ROUND(IF(D$5=1,-0.5*D10*C10,-D10*C10),0)</f>
        <v>0</v>
      </c>
      <c r="H10" s="11">
        <f t="shared" si="0"/>
        <v>0</v>
      </c>
      <c r="J10" s="19">
        <f t="shared" si="1"/>
        <v>0</v>
      </c>
      <c r="O10" s="48">
        <v>0</v>
      </c>
      <c r="P10" s="19">
        <f>IF(D$5=1,-0.5*O10*C10,-O10*C10)</f>
        <v>0</v>
      </c>
    </row>
    <row r="11" spans="1:18" x14ac:dyDescent="0.25">
      <c r="A11" s="15">
        <v>6</v>
      </c>
      <c r="B11" s="15" t="s">
        <v>63</v>
      </c>
      <c r="C11" s="5">
        <v>868008</v>
      </c>
      <c r="D11" s="10" t="s">
        <v>62</v>
      </c>
      <c r="F11" s="5">
        <v>-14836</v>
      </c>
      <c r="G11" s="17">
        <f>P12</f>
        <v>-3297</v>
      </c>
      <c r="H11" s="17">
        <f t="shared" si="0"/>
        <v>-18133</v>
      </c>
      <c r="J11" s="21">
        <f t="shared" si="1"/>
        <v>849875</v>
      </c>
      <c r="O11" s="50">
        <v>0</v>
      </c>
      <c r="P11" s="21">
        <f>IF(D$5=1,-0.5*O11*C11,-O11*C11)</f>
        <v>0</v>
      </c>
    </row>
    <row r="12" spans="1:18" x14ac:dyDescent="0.25">
      <c r="C12" s="11">
        <f>SUM(C6:C11)</f>
        <v>3796271</v>
      </c>
      <c r="D12" s="11"/>
      <c r="F12" s="3">
        <f>SUM(F5:F11)</f>
        <v>-408721</v>
      </c>
      <c r="G12" s="11">
        <f>SUM(G5:G11)</f>
        <v>-90827</v>
      </c>
      <c r="H12" s="11">
        <f>SUM(H5:H11)</f>
        <v>-499548</v>
      </c>
      <c r="J12" s="19">
        <f>SUM(J6:J11)</f>
        <v>3296723</v>
      </c>
      <c r="O12" s="19"/>
      <c r="P12" s="7">
        <f>SUM(P5:P11)</f>
        <v>-3297</v>
      </c>
    </row>
    <row r="13" spans="1:18" ht="14.25" customHeight="1" x14ac:dyDescent="0.25">
      <c r="C13" s="11"/>
      <c r="D13" s="11"/>
      <c r="E13" s="11"/>
      <c r="F13" s="11"/>
      <c r="M13" s="1"/>
      <c r="N13" s="16"/>
    </row>
    <row r="14" spans="1:18" x14ac:dyDescent="0.25">
      <c r="M14" s="1"/>
      <c r="N14" s="16"/>
    </row>
    <row r="15" spans="1:18" x14ac:dyDescent="0.25">
      <c r="D15" s="1"/>
    </row>
    <row r="16" spans="1:18" x14ac:dyDescent="0.25">
      <c r="C16" s="16"/>
      <c r="D16" s="1" t="s">
        <v>29</v>
      </c>
      <c r="E16" s="16"/>
      <c r="F16" s="16"/>
      <c r="G16" s="51">
        <v>0.5</v>
      </c>
      <c r="H16" s="16"/>
      <c r="J16" s="52"/>
      <c r="K16" s="1" t="s">
        <v>24</v>
      </c>
      <c r="L16" s="100" t="s">
        <v>36</v>
      </c>
      <c r="M16" s="100"/>
      <c r="N16" s="100"/>
      <c r="O16" s="100"/>
      <c r="P16" s="100"/>
      <c r="R16" s="45" t="s">
        <v>15</v>
      </c>
    </row>
    <row r="17" spans="1:18" x14ac:dyDescent="0.25">
      <c r="C17" s="1" t="s">
        <v>34</v>
      </c>
      <c r="D17" s="1" t="s">
        <v>17</v>
      </c>
      <c r="E17" s="1" t="s">
        <v>15</v>
      </c>
      <c r="F17" s="1" t="s">
        <v>15</v>
      </c>
      <c r="G17" s="1" t="s">
        <v>28</v>
      </c>
      <c r="H17" s="1" t="s">
        <v>32</v>
      </c>
      <c r="J17" s="1"/>
      <c r="K17" s="1" t="s">
        <v>27</v>
      </c>
      <c r="L17" s="1"/>
      <c r="M17" s="1" t="s">
        <v>15</v>
      </c>
      <c r="N17" s="1" t="s">
        <v>28</v>
      </c>
      <c r="O17" s="1" t="s">
        <v>24</v>
      </c>
      <c r="P17" s="1"/>
      <c r="R17" s="1" t="s">
        <v>42</v>
      </c>
    </row>
    <row r="18" spans="1:18" x14ac:dyDescent="0.25">
      <c r="C18" s="2" t="s">
        <v>21</v>
      </c>
      <c r="D18" s="2" t="s">
        <v>30</v>
      </c>
      <c r="E18" s="2" t="s">
        <v>17</v>
      </c>
      <c r="F18" s="2" t="s">
        <v>31</v>
      </c>
      <c r="G18" s="2" t="s">
        <v>2</v>
      </c>
      <c r="H18" s="2" t="s">
        <v>33</v>
      </c>
      <c r="J18" s="2" t="s">
        <v>20</v>
      </c>
      <c r="K18" s="2">
        <f>D5</f>
        <v>6</v>
      </c>
      <c r="L18" s="2" t="s">
        <v>22</v>
      </c>
      <c r="M18" s="2" t="s">
        <v>17</v>
      </c>
      <c r="N18" s="2" t="s">
        <v>16</v>
      </c>
      <c r="O18" s="2" t="s">
        <v>16</v>
      </c>
      <c r="P18" s="2" t="s">
        <v>23</v>
      </c>
      <c r="R18" s="2" t="s">
        <v>43</v>
      </c>
    </row>
    <row r="19" spans="1:18" x14ac:dyDescent="0.25">
      <c r="A19" s="15">
        <v>7</v>
      </c>
      <c r="B19" s="15" t="s">
        <v>48</v>
      </c>
      <c r="C19" s="11">
        <f t="shared" ref="C19:C24" si="2">C6</f>
        <v>2164531</v>
      </c>
      <c r="D19" s="12">
        <v>0.93</v>
      </c>
      <c r="E19" s="11">
        <f>ROUND(C19*-D19,0)</f>
        <v>-2013014</v>
      </c>
      <c r="F19" s="19">
        <f>C19+E19</f>
        <v>151517</v>
      </c>
      <c r="G19" s="19">
        <f t="shared" ref="G19:G24" si="3">ROUND(F19*-$G$16,0)</f>
        <v>-75759</v>
      </c>
      <c r="H19" s="53">
        <f t="shared" ref="H19:H24" si="4">F19+G19</f>
        <v>75758</v>
      </c>
      <c r="J19" s="15">
        <v>15</v>
      </c>
      <c r="K19" s="54">
        <f>IFERROR(VLOOKUP(J19,'Tax Rates'!$A$1:$Z$12,$K$18+1,FALSE),0)</f>
        <v>6.2330000000000003E-2</v>
      </c>
      <c r="L19" s="55">
        <v>-2117311</v>
      </c>
      <c r="M19" s="19">
        <v>0</v>
      </c>
      <c r="N19" s="19">
        <v>0</v>
      </c>
      <c r="O19" s="11">
        <f>ROUND(K19*-H19,0)</f>
        <v>-4722</v>
      </c>
      <c r="P19" s="56">
        <f t="shared" ref="P19:P24" si="5">SUM(L19:O19)</f>
        <v>-2122033</v>
      </c>
      <c r="R19" s="19">
        <f>C19+P19</f>
        <v>42498</v>
      </c>
    </row>
    <row r="20" spans="1:18" x14ac:dyDescent="0.25">
      <c r="A20" s="15">
        <v>8</v>
      </c>
      <c r="B20" s="15" t="s">
        <v>0</v>
      </c>
      <c r="C20" s="25">
        <f t="shared" si="2"/>
        <v>31604</v>
      </c>
      <c r="D20" s="14">
        <v>1.3162890773319801E-2</v>
      </c>
      <c r="E20" s="11">
        <f>ROUND(C20*-D20,0)</f>
        <v>-416</v>
      </c>
      <c r="F20" s="19">
        <f>C20+E20</f>
        <v>31188</v>
      </c>
      <c r="G20" s="19">
        <f t="shared" si="3"/>
        <v>-15594</v>
      </c>
      <c r="H20" s="53">
        <f t="shared" si="4"/>
        <v>15594</v>
      </c>
      <c r="J20" s="15">
        <v>15</v>
      </c>
      <c r="K20" s="54">
        <f>IFERROR(VLOOKUP(J20,'Tax Rates'!$A$1:$Z$12,$K$18+1,FALSE),0)</f>
        <v>6.2330000000000003E-2</v>
      </c>
      <c r="L20" s="55">
        <v>-21884</v>
      </c>
      <c r="M20" s="19">
        <v>0</v>
      </c>
      <c r="N20" s="19">
        <v>0</v>
      </c>
      <c r="O20" s="11">
        <f>ROUND(K20*-H20,0)</f>
        <v>-972</v>
      </c>
      <c r="P20" s="56">
        <f t="shared" si="5"/>
        <v>-22856</v>
      </c>
      <c r="R20" s="19">
        <f>C20+P20</f>
        <v>8748</v>
      </c>
    </row>
    <row r="21" spans="1:18" x14ac:dyDescent="0.25">
      <c r="A21" s="15">
        <v>9</v>
      </c>
      <c r="B21" s="15" t="s">
        <v>1</v>
      </c>
      <c r="C21" s="25">
        <f t="shared" si="2"/>
        <v>732128</v>
      </c>
      <c r="D21" s="12">
        <v>1</v>
      </c>
      <c r="E21" s="11">
        <f>ROUND(C21*-D21,0)</f>
        <v>-732128</v>
      </c>
      <c r="F21" s="19">
        <f>C21+E21</f>
        <v>0</v>
      </c>
      <c r="G21" s="20">
        <f t="shared" si="3"/>
        <v>0</v>
      </c>
      <c r="H21" s="53">
        <f t="shared" si="4"/>
        <v>0</v>
      </c>
      <c r="J21" s="15">
        <v>20</v>
      </c>
      <c r="K21" s="54">
        <f>IFERROR(VLOOKUP(J21,'Tax Rates'!$A$1:$Z$12,$K$18+1,FALSE),0)</f>
        <v>5.2850000000000001E-2</v>
      </c>
      <c r="L21" s="55">
        <v>-732128</v>
      </c>
      <c r="M21" s="19">
        <v>0</v>
      </c>
      <c r="N21" s="19">
        <f>G21</f>
        <v>0</v>
      </c>
      <c r="O21" s="11">
        <f>ROUND(K21*-H21,0)</f>
        <v>0</v>
      </c>
      <c r="P21" s="56">
        <f t="shared" si="5"/>
        <v>-732128</v>
      </c>
      <c r="R21" s="19">
        <f>C21+P21</f>
        <v>0</v>
      </c>
    </row>
    <row r="22" spans="1:18" x14ac:dyDescent="0.25">
      <c r="A22" s="15">
        <v>10</v>
      </c>
      <c r="B22" s="15" t="s">
        <v>19</v>
      </c>
      <c r="C22" s="25">
        <f t="shared" si="2"/>
        <v>0</v>
      </c>
      <c r="D22" s="12">
        <v>0</v>
      </c>
      <c r="E22" s="11">
        <f>ROUND(C22*-D22,0)</f>
        <v>0</v>
      </c>
      <c r="F22" s="19">
        <f>C22+E22</f>
        <v>0</v>
      </c>
      <c r="G22" s="20">
        <f t="shared" si="3"/>
        <v>0</v>
      </c>
      <c r="H22" s="53">
        <f t="shared" si="4"/>
        <v>0</v>
      </c>
      <c r="J22" s="15">
        <v>7</v>
      </c>
      <c r="K22" s="54">
        <f>IFERROR(VLOOKUP(J22,'Tax Rates'!$A$1:$Z$12,$K$18+1,FALSE),0)</f>
        <v>8.9249999999999996E-2</v>
      </c>
      <c r="L22" s="55">
        <v>0</v>
      </c>
      <c r="M22" s="19">
        <f>E22</f>
        <v>0</v>
      </c>
      <c r="N22" s="19">
        <f>G22</f>
        <v>0</v>
      </c>
      <c r="O22" s="11">
        <f>ROUND(K22*-H22,0)</f>
        <v>0</v>
      </c>
      <c r="P22" s="56">
        <f t="shared" si="5"/>
        <v>0</v>
      </c>
      <c r="R22" s="19">
        <f>C22+P22</f>
        <v>0</v>
      </c>
    </row>
    <row r="23" spans="1:18" x14ac:dyDescent="0.25">
      <c r="A23" s="15">
        <v>11</v>
      </c>
      <c r="B23" s="15" t="s">
        <v>18</v>
      </c>
      <c r="C23" s="25">
        <f t="shared" si="2"/>
        <v>0</v>
      </c>
      <c r="D23" s="12">
        <v>0</v>
      </c>
      <c r="E23" s="11">
        <f>ROUND(C23*-D23,0)</f>
        <v>0</v>
      </c>
      <c r="F23" s="19">
        <f>C23+E23</f>
        <v>0</v>
      </c>
      <c r="G23" s="20">
        <f t="shared" si="3"/>
        <v>0</v>
      </c>
      <c r="H23" s="53">
        <f t="shared" si="4"/>
        <v>0</v>
      </c>
      <c r="J23" s="15">
        <v>15</v>
      </c>
      <c r="K23" s="54">
        <f>IFERROR(VLOOKUP(J23,'Tax Rates'!$A$1:$Z$12,$K$18+1,FALSE),0)</f>
        <v>6.2330000000000003E-2</v>
      </c>
      <c r="L23" s="55">
        <v>0</v>
      </c>
      <c r="M23" s="19">
        <f>E23</f>
        <v>0</v>
      </c>
      <c r="N23" s="19">
        <f>G23</f>
        <v>0</v>
      </c>
      <c r="O23" s="11">
        <f>ROUND(K23*-H23,0)</f>
        <v>0</v>
      </c>
      <c r="P23" s="56">
        <f t="shared" si="5"/>
        <v>0</v>
      </c>
      <c r="R23" s="19">
        <f>C23+P23</f>
        <v>0</v>
      </c>
    </row>
    <row r="24" spans="1:18" x14ac:dyDescent="0.25">
      <c r="A24" s="15">
        <v>12</v>
      </c>
      <c r="B24" s="15" t="s">
        <v>63</v>
      </c>
      <c r="C24" s="17">
        <f t="shared" si="2"/>
        <v>868008</v>
      </c>
      <c r="D24" s="13" t="s">
        <v>64</v>
      </c>
      <c r="E24" s="17">
        <v>0</v>
      </c>
      <c r="F24" s="21">
        <v>0</v>
      </c>
      <c r="G24" s="21">
        <f t="shared" si="3"/>
        <v>0</v>
      </c>
      <c r="H24" s="57">
        <f t="shared" si="4"/>
        <v>0</v>
      </c>
      <c r="J24" s="58" t="s">
        <v>64</v>
      </c>
      <c r="K24" s="59" t="s">
        <v>64</v>
      </c>
      <c r="L24" s="60">
        <v>0</v>
      </c>
      <c r="M24" s="21">
        <f>E24</f>
        <v>0</v>
      </c>
      <c r="N24" s="61">
        <f>G24</f>
        <v>0</v>
      </c>
      <c r="O24" s="17">
        <v>0</v>
      </c>
      <c r="P24" s="62">
        <f t="shared" si="5"/>
        <v>0</v>
      </c>
      <c r="R24" s="63" t="s">
        <v>64</v>
      </c>
    </row>
    <row r="25" spans="1:18" x14ac:dyDescent="0.25">
      <c r="C25" s="11">
        <f>SUM(C18:C24)</f>
        <v>3796271</v>
      </c>
      <c r="E25" s="11">
        <f>SUM(E19:E24)</f>
        <v>-2745558</v>
      </c>
      <c r="F25" s="11">
        <f>SUM(F19:F24)</f>
        <v>182705</v>
      </c>
      <c r="G25" s="11">
        <f>SUM(G19:G24)</f>
        <v>-91353</v>
      </c>
      <c r="H25" s="56">
        <f>SUM(H19:H24)</f>
        <v>91352</v>
      </c>
      <c r="L25" s="56">
        <f>SUM(L19:L24)</f>
        <v>-2871323</v>
      </c>
      <c r="M25" s="11">
        <f>SUM(M19:M24)</f>
        <v>0</v>
      </c>
      <c r="N25" s="11">
        <f>SUM(N19:N24)</f>
        <v>0</v>
      </c>
      <c r="O25" s="11">
        <f>SUM(O19:O24)</f>
        <v>-5694</v>
      </c>
      <c r="P25" s="56">
        <f>SUM(P19:P24)</f>
        <v>-2877017</v>
      </c>
      <c r="R25" s="19">
        <f>SUM(R19:R24)</f>
        <v>51246</v>
      </c>
    </row>
    <row r="26" spans="1:18" x14ac:dyDescent="0.25">
      <c r="C26" s="11"/>
      <c r="E26" s="11"/>
      <c r="F26" s="11"/>
      <c r="G26" s="11"/>
      <c r="H26" s="56"/>
      <c r="J26" s="56"/>
      <c r="K26" s="11"/>
      <c r="L26" s="11"/>
      <c r="M26" s="11"/>
      <c r="N26" s="56"/>
    </row>
    <row r="28" spans="1:18" x14ac:dyDescent="0.25">
      <c r="E28" s="11"/>
      <c r="F28" s="45" t="s">
        <v>49</v>
      </c>
      <c r="H28" s="64"/>
    </row>
    <row r="29" spans="1:18" x14ac:dyDescent="0.25">
      <c r="D29" s="100" t="s">
        <v>38</v>
      </c>
      <c r="E29" s="100"/>
      <c r="F29" s="45" t="s">
        <v>40</v>
      </c>
      <c r="G29" s="45" t="s">
        <v>61</v>
      </c>
      <c r="H29" s="1" t="s">
        <v>39</v>
      </c>
    </row>
    <row r="30" spans="1:18" x14ac:dyDescent="0.25">
      <c r="D30" s="2" t="s">
        <v>34</v>
      </c>
      <c r="E30" s="2" t="s">
        <v>15</v>
      </c>
      <c r="F30" s="2" t="s">
        <v>41</v>
      </c>
      <c r="G30" s="2" t="s">
        <v>14</v>
      </c>
      <c r="H30" s="2" t="s">
        <v>3</v>
      </c>
    </row>
    <row r="31" spans="1:18" x14ac:dyDescent="0.25">
      <c r="A31" s="15">
        <v>13</v>
      </c>
      <c r="B31" s="15" t="s">
        <v>48</v>
      </c>
      <c r="D31" s="19">
        <f t="shared" ref="D31:D36" si="6">J6</f>
        <v>1795481</v>
      </c>
      <c r="E31" s="19">
        <f t="shared" ref="E31:E36" si="7">R19</f>
        <v>42498</v>
      </c>
      <c r="F31" s="19">
        <f>E31-D31</f>
        <v>-1752983</v>
      </c>
      <c r="G31" s="95">
        <v>0.37959999999999999</v>
      </c>
      <c r="H31" s="19">
        <f>ROUND(F31*0.3796,0)</f>
        <v>-665432</v>
      </c>
    </row>
    <row r="32" spans="1:18" x14ac:dyDescent="0.25">
      <c r="A32" s="15">
        <v>14</v>
      </c>
      <c r="B32" s="15" t="s">
        <v>0</v>
      </c>
      <c r="D32" s="20">
        <f t="shared" si="6"/>
        <v>27556</v>
      </c>
      <c r="E32" s="19">
        <f t="shared" si="7"/>
        <v>8748</v>
      </c>
      <c r="F32" s="19">
        <f>E32-D32</f>
        <v>-18808</v>
      </c>
      <c r="G32" s="64">
        <f>G31</f>
        <v>0.37959999999999999</v>
      </c>
      <c r="H32" s="19">
        <f t="shared" ref="H32:H36" si="8">ROUND(F32*0.3796,0)</f>
        <v>-7140</v>
      </c>
    </row>
    <row r="33" spans="1:8" x14ac:dyDescent="0.25">
      <c r="A33" s="15">
        <v>15</v>
      </c>
      <c r="B33" s="15" t="s">
        <v>1</v>
      </c>
      <c r="D33" s="20">
        <f t="shared" si="6"/>
        <v>623811</v>
      </c>
      <c r="E33" s="19">
        <f t="shared" si="7"/>
        <v>0</v>
      </c>
      <c r="F33" s="19">
        <f>E33-D33</f>
        <v>-623811</v>
      </c>
      <c r="G33" s="64">
        <f>G31</f>
        <v>0.37959999999999999</v>
      </c>
      <c r="H33" s="19">
        <f t="shared" si="8"/>
        <v>-236799</v>
      </c>
    </row>
    <row r="34" spans="1:8" x14ac:dyDescent="0.25">
      <c r="A34" s="15">
        <v>16</v>
      </c>
      <c r="B34" s="15" t="s">
        <v>19</v>
      </c>
      <c r="D34" s="20">
        <f t="shared" si="6"/>
        <v>0</v>
      </c>
      <c r="E34" s="19">
        <f t="shared" si="7"/>
        <v>0</v>
      </c>
      <c r="F34" s="19">
        <f>E34-D34</f>
        <v>0</v>
      </c>
      <c r="G34" s="64">
        <f>G31</f>
        <v>0.37959999999999999</v>
      </c>
      <c r="H34" s="19">
        <f t="shared" si="8"/>
        <v>0</v>
      </c>
    </row>
    <row r="35" spans="1:8" x14ac:dyDescent="0.25">
      <c r="A35" s="15">
        <v>17</v>
      </c>
      <c r="B35" s="15" t="s">
        <v>18</v>
      </c>
      <c r="D35" s="20">
        <f t="shared" si="6"/>
        <v>0</v>
      </c>
      <c r="E35" s="19">
        <f t="shared" si="7"/>
        <v>0</v>
      </c>
      <c r="F35" s="19">
        <f>E35-D35</f>
        <v>0</v>
      </c>
      <c r="G35" s="64">
        <f>G31</f>
        <v>0.37959999999999999</v>
      </c>
      <c r="H35" s="19">
        <f t="shared" si="8"/>
        <v>0</v>
      </c>
    </row>
    <row r="36" spans="1:8" x14ac:dyDescent="0.25">
      <c r="A36" s="15">
        <v>18</v>
      </c>
      <c r="B36" s="15" t="s">
        <v>63</v>
      </c>
      <c r="D36" s="21">
        <f t="shared" si="6"/>
        <v>849875</v>
      </c>
      <c r="E36" s="63" t="str">
        <f t="shared" si="7"/>
        <v>NA</v>
      </c>
      <c r="F36" s="21">
        <f>-D36</f>
        <v>-849875</v>
      </c>
      <c r="G36" s="65">
        <f>G31</f>
        <v>0.37959999999999999</v>
      </c>
      <c r="H36" s="21">
        <f t="shared" si="8"/>
        <v>-322613</v>
      </c>
    </row>
    <row r="37" spans="1:8" x14ac:dyDescent="0.25">
      <c r="D37" s="19">
        <f>SUM(D31:D36)</f>
        <v>3296723</v>
      </c>
      <c r="E37" s="19">
        <f>SUM(E31:E36)</f>
        <v>51246</v>
      </c>
      <c r="F37" s="19">
        <f>SUM(F31:F36)</f>
        <v>-3245477</v>
      </c>
      <c r="H37" s="19">
        <f>SUM(H31:H36)</f>
        <v>-1231984</v>
      </c>
    </row>
    <row r="39" spans="1:8" x14ac:dyDescent="0.25">
      <c r="A39" s="67" t="s">
        <v>71</v>
      </c>
      <c r="B39" s="15" t="s">
        <v>74</v>
      </c>
    </row>
    <row r="40" spans="1:8" x14ac:dyDescent="0.25">
      <c r="A40" s="67"/>
    </row>
  </sheetData>
  <mergeCells count="3">
    <mergeCell ref="F2:H2"/>
    <mergeCell ref="L16:P16"/>
    <mergeCell ref="D29:E29"/>
  </mergeCells>
  <pageMargins left="0.7" right="0.7" top="0.75" bottom="0.75" header="0.3" footer="0.3"/>
  <pageSetup scale="60" orientation="landscape" verticalDpi="0" r:id="rId1"/>
  <headerFooter>
    <oddHeader>&amp;RSchedule II - 2012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Normal="100" workbookViewId="0">
      <selection activeCell="G31" sqref="G31"/>
    </sheetView>
  </sheetViews>
  <sheetFormatPr defaultColWidth="9.140625" defaultRowHeight="15" x14ac:dyDescent="0.25"/>
  <cols>
    <col min="1" max="1" width="14.42578125" style="15" customWidth="1"/>
    <col min="2" max="2" width="18.5703125" style="15" bestFit="1" customWidth="1"/>
    <col min="3" max="4" width="12.7109375" style="15" customWidth="1"/>
    <col min="5" max="5" width="11.28515625" style="15" bestFit="1" customWidth="1"/>
    <col min="6" max="6" width="12.7109375" style="15" customWidth="1"/>
    <col min="7" max="7" width="12.42578125" style="15" bestFit="1" customWidth="1"/>
    <col min="8" max="8" width="13.140625" style="15" bestFit="1" customWidth="1"/>
    <col min="9" max="9" width="2.7109375" style="15" customWidth="1"/>
    <col min="10" max="10" width="10.7109375" style="15" customWidth="1"/>
    <col min="11" max="11" width="8.140625" style="15" bestFit="1" customWidth="1"/>
    <col min="12" max="12" width="12.7109375" style="15" customWidth="1"/>
    <col min="13" max="14" width="11.28515625" style="15" bestFit="1" customWidth="1"/>
    <col min="15" max="15" width="8.42578125" style="15" bestFit="1" customWidth="1"/>
    <col min="16" max="16" width="11.28515625" style="15" bestFit="1" customWidth="1"/>
    <col min="17" max="17" width="2.7109375" style="15" customWidth="1"/>
    <col min="18" max="18" width="13.7109375" style="15" bestFit="1" customWidth="1"/>
    <col min="19" max="19" width="7.7109375" style="15" bestFit="1" customWidth="1"/>
    <col min="20" max="20" width="7.42578125" style="15" bestFit="1" customWidth="1"/>
    <col min="21" max="16384" width="9.140625" style="15"/>
  </cols>
  <sheetData>
    <row r="1" spans="1:18" x14ac:dyDescent="0.25">
      <c r="A1" s="22" t="s">
        <v>26</v>
      </c>
      <c r="B1" s="43">
        <v>2013</v>
      </c>
    </row>
    <row r="2" spans="1:18" x14ac:dyDescent="0.25">
      <c r="A2" s="22" t="s">
        <v>47</v>
      </c>
      <c r="D2" s="66" t="s">
        <v>71</v>
      </c>
      <c r="F2" s="100" t="s">
        <v>35</v>
      </c>
      <c r="G2" s="100"/>
      <c r="H2" s="100"/>
    </row>
    <row r="3" spans="1:18" x14ac:dyDescent="0.25">
      <c r="D3" s="1" t="s">
        <v>37</v>
      </c>
      <c r="F3" s="16"/>
      <c r="G3" s="66" t="s">
        <v>71</v>
      </c>
      <c r="H3" s="16"/>
      <c r="J3" s="45" t="s">
        <v>34</v>
      </c>
    </row>
    <row r="4" spans="1:18" x14ac:dyDescent="0.25">
      <c r="C4" s="1">
        <v>2013</v>
      </c>
      <c r="D4" s="1" t="s">
        <v>25</v>
      </c>
      <c r="F4" s="1"/>
      <c r="G4" s="1" t="s">
        <v>2</v>
      </c>
      <c r="H4" s="1"/>
      <c r="J4" s="1" t="s">
        <v>42</v>
      </c>
      <c r="O4" s="1" t="s">
        <v>70</v>
      </c>
      <c r="P4" s="1" t="s">
        <v>70</v>
      </c>
    </row>
    <row r="5" spans="1:18" x14ac:dyDescent="0.25">
      <c r="C5" s="2" t="s">
        <v>21</v>
      </c>
      <c r="D5" s="47">
        <v>5</v>
      </c>
      <c r="F5" s="2" t="s">
        <v>22</v>
      </c>
      <c r="G5" s="2" t="s">
        <v>17</v>
      </c>
      <c r="H5" s="2" t="s">
        <v>23</v>
      </c>
      <c r="J5" s="2" t="s">
        <v>43</v>
      </c>
      <c r="O5" s="2" t="s">
        <v>14</v>
      </c>
      <c r="P5" s="2" t="s">
        <v>16</v>
      </c>
    </row>
    <row r="6" spans="1:18" x14ac:dyDescent="0.25">
      <c r="A6" s="15">
        <v>1</v>
      </c>
      <c r="B6" s="15" t="s">
        <v>48</v>
      </c>
      <c r="C6" s="3">
        <v>1672265</v>
      </c>
      <c r="D6" s="9">
        <v>3.1E-2</v>
      </c>
      <c r="F6" s="3">
        <v>-181440</v>
      </c>
      <c r="G6" s="11">
        <f>ROUND(IF(D$5=1,-0.5*D6*C6,-D6*C6),0)</f>
        <v>-51840</v>
      </c>
      <c r="H6" s="11">
        <f t="shared" ref="H6:H11" si="0">SUM(F6:G6)</f>
        <v>-233280</v>
      </c>
      <c r="J6" s="19">
        <f t="shared" ref="J6:J11" si="1">C6+H6</f>
        <v>1438985</v>
      </c>
      <c r="O6" s="48">
        <v>1E-4</v>
      </c>
      <c r="P6" s="7">
        <f>ROUND(IF(D$5=1,-0.5*O6*C6,-O6*C6),0)</f>
        <v>-167</v>
      </c>
    </row>
    <row r="7" spans="1:18" x14ac:dyDescent="0.25">
      <c r="A7" s="15">
        <v>2</v>
      </c>
      <c r="B7" s="15" t="s">
        <v>0</v>
      </c>
      <c r="C7" s="3">
        <v>0</v>
      </c>
      <c r="D7" s="9">
        <v>2.3300000000000001E-2</v>
      </c>
      <c r="F7" s="3">
        <v>0</v>
      </c>
      <c r="G7" s="11">
        <f>ROUND(IF(D$5=1,-0.5*D7*C7,-D7*C7),0)</f>
        <v>0</v>
      </c>
      <c r="H7" s="11">
        <f t="shared" si="0"/>
        <v>0</v>
      </c>
      <c r="J7" s="19">
        <f t="shared" si="1"/>
        <v>0</v>
      </c>
      <c r="O7" s="48">
        <v>2.0000000000000001E-4</v>
      </c>
      <c r="P7" s="19">
        <f>ROUND(IF(D$5=1,-0.5*O7*C7,-O7*C7),0)</f>
        <v>0</v>
      </c>
    </row>
    <row r="8" spans="1:18" x14ac:dyDescent="0.25">
      <c r="A8" s="15">
        <v>3</v>
      </c>
      <c r="B8" s="15" t="s">
        <v>1</v>
      </c>
      <c r="C8" s="3">
        <v>520370</v>
      </c>
      <c r="D8" s="9">
        <v>2.69E-2</v>
      </c>
      <c r="F8" s="3">
        <v>-48993</v>
      </c>
      <c r="G8" s="11">
        <f>ROUND(IF(D$5=1,-0.5*D8*C8,-D8*C8),0)</f>
        <v>-13998</v>
      </c>
      <c r="H8" s="11">
        <f t="shared" si="0"/>
        <v>-62991</v>
      </c>
      <c r="J8" s="19">
        <f t="shared" si="1"/>
        <v>457379</v>
      </c>
      <c r="O8" s="48">
        <v>4.1999999999999997E-3</v>
      </c>
      <c r="P8" s="19">
        <f>ROUND(IF(D$5=1,-0.5*O8*C8,-O8*C8),0)</f>
        <v>-2186</v>
      </c>
    </row>
    <row r="9" spans="1:18" x14ac:dyDescent="0.25">
      <c r="A9" s="15">
        <v>4</v>
      </c>
      <c r="B9" s="15" t="s">
        <v>19</v>
      </c>
      <c r="C9" s="3">
        <v>0</v>
      </c>
      <c r="D9" s="9">
        <v>2.2499999999999999E-2</v>
      </c>
      <c r="F9" s="3">
        <v>0</v>
      </c>
      <c r="G9" s="11">
        <f>ROUND(IF(D$5=1,-0.5*D9*C9,-D9*C9),0)</f>
        <v>0</v>
      </c>
      <c r="H9" s="11">
        <f t="shared" si="0"/>
        <v>0</v>
      </c>
      <c r="J9" s="19">
        <f t="shared" si="1"/>
        <v>0</v>
      </c>
      <c r="O9" s="48">
        <v>0</v>
      </c>
      <c r="P9" s="19">
        <f>IF(D$5=1,-0.5*O9*C9,-O9*C9)</f>
        <v>0</v>
      </c>
    </row>
    <row r="10" spans="1:18" x14ac:dyDescent="0.25">
      <c r="A10" s="15">
        <v>5</v>
      </c>
      <c r="B10" s="15" t="s">
        <v>18</v>
      </c>
      <c r="C10" s="3">
        <v>0</v>
      </c>
      <c r="D10" s="9">
        <v>2.0500000000000001E-2</v>
      </c>
      <c r="F10" s="3">
        <v>0</v>
      </c>
      <c r="G10" s="11">
        <f>ROUND(IF(D$5=1,-0.5*D10*C10,-D10*C10),0)</f>
        <v>0</v>
      </c>
      <c r="H10" s="11">
        <f t="shared" si="0"/>
        <v>0</v>
      </c>
      <c r="J10" s="19">
        <f t="shared" si="1"/>
        <v>0</v>
      </c>
      <c r="O10" s="48">
        <v>0</v>
      </c>
      <c r="P10" s="19">
        <f>IF(D$5=1,-0.5*O10*C10,-O10*C10)</f>
        <v>0</v>
      </c>
    </row>
    <row r="11" spans="1:18" x14ac:dyDescent="0.25">
      <c r="A11" s="15">
        <v>6</v>
      </c>
      <c r="B11" s="15" t="s">
        <v>63</v>
      </c>
      <c r="C11" s="5">
        <v>768907</v>
      </c>
      <c r="D11" s="10" t="s">
        <v>62</v>
      </c>
      <c r="F11" s="5">
        <v>-8236</v>
      </c>
      <c r="G11" s="17">
        <f>P12</f>
        <v>-2353</v>
      </c>
      <c r="H11" s="17">
        <f t="shared" si="0"/>
        <v>-10589</v>
      </c>
      <c r="J11" s="21">
        <f t="shared" si="1"/>
        <v>758318</v>
      </c>
      <c r="O11" s="50">
        <v>0</v>
      </c>
      <c r="P11" s="21">
        <f>IF(D$5=1,-0.5*O11*C11,-O11*C11)</f>
        <v>0</v>
      </c>
    </row>
    <row r="12" spans="1:18" x14ac:dyDescent="0.25">
      <c r="C12" s="11">
        <f>SUM(C6:C11)</f>
        <v>2961542</v>
      </c>
      <c r="D12" s="11"/>
      <c r="F12" s="3">
        <f>SUM(F5:F11)</f>
        <v>-238669</v>
      </c>
      <c r="G12" s="11">
        <f>SUM(G5:G11)</f>
        <v>-68191</v>
      </c>
      <c r="H12" s="11">
        <f>SUM(H5:H11)</f>
        <v>-306860</v>
      </c>
      <c r="J12" s="19">
        <f>SUM(J6:J11)</f>
        <v>2654682</v>
      </c>
      <c r="O12" s="19"/>
      <c r="P12" s="7">
        <f>SUM(P5:P11)</f>
        <v>-2353</v>
      </c>
    </row>
    <row r="13" spans="1:18" ht="14.25" customHeight="1" x14ac:dyDescent="0.25">
      <c r="C13" s="11"/>
      <c r="D13" s="11"/>
      <c r="E13" s="11"/>
      <c r="F13" s="11"/>
      <c r="M13" s="1"/>
      <c r="N13" s="16"/>
    </row>
    <row r="14" spans="1:18" x14ac:dyDescent="0.25">
      <c r="M14" s="1"/>
      <c r="N14" s="16"/>
    </row>
    <row r="15" spans="1:18" x14ac:dyDescent="0.25">
      <c r="D15" s="1"/>
    </row>
    <row r="16" spans="1:18" x14ac:dyDescent="0.25">
      <c r="C16" s="16"/>
      <c r="D16" s="1" t="s">
        <v>29</v>
      </c>
      <c r="E16" s="16"/>
      <c r="F16" s="16"/>
      <c r="G16" s="51">
        <v>0.5</v>
      </c>
      <c r="H16" s="16"/>
      <c r="J16" s="52"/>
      <c r="K16" s="1" t="s">
        <v>24</v>
      </c>
      <c r="L16" s="100" t="s">
        <v>36</v>
      </c>
      <c r="M16" s="100"/>
      <c r="N16" s="100"/>
      <c r="O16" s="100"/>
      <c r="P16" s="100"/>
      <c r="R16" s="45" t="s">
        <v>15</v>
      </c>
    </row>
    <row r="17" spans="1:18" x14ac:dyDescent="0.25">
      <c r="C17" s="1" t="s">
        <v>34</v>
      </c>
      <c r="D17" s="1" t="s">
        <v>17</v>
      </c>
      <c r="E17" s="1" t="s">
        <v>15</v>
      </c>
      <c r="F17" s="1" t="s">
        <v>15</v>
      </c>
      <c r="G17" s="1" t="s">
        <v>28</v>
      </c>
      <c r="H17" s="1" t="s">
        <v>32</v>
      </c>
      <c r="J17" s="1"/>
      <c r="K17" s="1" t="s">
        <v>27</v>
      </c>
      <c r="L17" s="1"/>
      <c r="M17" s="1" t="s">
        <v>15</v>
      </c>
      <c r="N17" s="1" t="s">
        <v>28</v>
      </c>
      <c r="O17" s="1" t="s">
        <v>24</v>
      </c>
      <c r="P17" s="1"/>
      <c r="R17" s="1" t="s">
        <v>42</v>
      </c>
    </row>
    <row r="18" spans="1:18" x14ac:dyDescent="0.25">
      <c r="C18" s="2" t="s">
        <v>21</v>
      </c>
      <c r="D18" s="2" t="s">
        <v>30</v>
      </c>
      <c r="E18" s="2" t="s">
        <v>17</v>
      </c>
      <c r="F18" s="2" t="s">
        <v>31</v>
      </c>
      <c r="G18" s="2" t="s">
        <v>2</v>
      </c>
      <c r="H18" s="2" t="s">
        <v>33</v>
      </c>
      <c r="J18" s="2" t="s">
        <v>20</v>
      </c>
      <c r="K18" s="2">
        <f>D5</f>
        <v>5</v>
      </c>
      <c r="L18" s="2" t="s">
        <v>22</v>
      </c>
      <c r="M18" s="2" t="s">
        <v>17</v>
      </c>
      <c r="N18" s="2" t="s">
        <v>16</v>
      </c>
      <c r="O18" s="2" t="s">
        <v>16</v>
      </c>
      <c r="P18" s="2" t="s">
        <v>23</v>
      </c>
      <c r="R18" s="2" t="s">
        <v>43</v>
      </c>
    </row>
    <row r="19" spans="1:18" x14ac:dyDescent="0.25">
      <c r="A19" s="15">
        <v>7</v>
      </c>
      <c r="B19" s="15" t="s">
        <v>48</v>
      </c>
      <c r="C19" s="11">
        <f t="shared" ref="C19:C24" si="2">C6</f>
        <v>1672265</v>
      </c>
      <c r="D19" s="12">
        <v>1</v>
      </c>
      <c r="E19" s="11">
        <f>ROUND(C19*-D19,0)</f>
        <v>-1672265</v>
      </c>
      <c r="F19" s="19">
        <f>C19+E19</f>
        <v>0</v>
      </c>
      <c r="G19" s="19">
        <f t="shared" ref="G19:G24" si="3">ROUND(F19*-$G$16,0)</f>
        <v>0</v>
      </c>
      <c r="H19" s="53">
        <f t="shared" ref="H19:H24" si="4">F19+G19</f>
        <v>0</v>
      </c>
      <c r="J19" s="15">
        <v>15</v>
      </c>
      <c r="K19" s="54">
        <f>IFERROR(VLOOKUP(J19,'Tax Rates'!$A$1:$Z$12,$K$18+1,FALSE),0)</f>
        <v>6.9250000000000006E-2</v>
      </c>
      <c r="L19" s="55">
        <v>-1672265</v>
      </c>
      <c r="M19" s="19"/>
      <c r="N19" s="19">
        <f t="shared" ref="N19:N24" si="5">G19</f>
        <v>0</v>
      </c>
      <c r="O19" s="11">
        <f>ROUND(K19*-H19,0)</f>
        <v>0</v>
      </c>
      <c r="P19" s="56">
        <f t="shared" ref="P19:P24" si="6">SUM(L19:O19)</f>
        <v>-1672265</v>
      </c>
      <c r="R19" s="19">
        <f>C19+P19</f>
        <v>0</v>
      </c>
    </row>
    <row r="20" spans="1:18" x14ac:dyDescent="0.25">
      <c r="A20" s="15">
        <v>8</v>
      </c>
      <c r="B20" s="15" t="s">
        <v>0</v>
      </c>
      <c r="C20" s="25">
        <f t="shared" si="2"/>
        <v>0</v>
      </c>
      <c r="D20" s="14">
        <v>0</v>
      </c>
      <c r="E20" s="11">
        <f>ROUND(C20*-D20,0)</f>
        <v>0</v>
      </c>
      <c r="F20" s="19">
        <f>C20+E20</f>
        <v>0</v>
      </c>
      <c r="G20" s="19">
        <f t="shared" si="3"/>
        <v>0</v>
      </c>
      <c r="H20" s="53">
        <f t="shared" si="4"/>
        <v>0</v>
      </c>
      <c r="J20" s="15">
        <v>15</v>
      </c>
      <c r="K20" s="54">
        <f>IFERROR(VLOOKUP(J20,'Tax Rates'!$A$1:$Z$12,$K$18+1,FALSE),0)</f>
        <v>6.9250000000000006E-2</v>
      </c>
      <c r="L20" s="55">
        <v>0</v>
      </c>
      <c r="M20" s="19">
        <f>E20</f>
        <v>0</v>
      </c>
      <c r="N20" s="19">
        <f t="shared" si="5"/>
        <v>0</v>
      </c>
      <c r="O20" s="11">
        <f>ROUND(K20*-H20,0)</f>
        <v>0</v>
      </c>
      <c r="P20" s="56">
        <f t="shared" si="6"/>
        <v>0</v>
      </c>
      <c r="R20" s="19">
        <f>C20+P20</f>
        <v>0</v>
      </c>
    </row>
    <row r="21" spans="1:18" x14ac:dyDescent="0.25">
      <c r="A21" s="15">
        <v>9</v>
      </c>
      <c r="B21" s="15" t="s">
        <v>1</v>
      </c>
      <c r="C21" s="25">
        <f t="shared" si="2"/>
        <v>520370</v>
      </c>
      <c r="D21" s="12">
        <v>1</v>
      </c>
      <c r="E21" s="11">
        <f>ROUND(C21*-D21,0)</f>
        <v>-520370</v>
      </c>
      <c r="F21" s="19">
        <f>C21+E21</f>
        <v>0</v>
      </c>
      <c r="G21" s="20">
        <f t="shared" si="3"/>
        <v>0</v>
      </c>
      <c r="H21" s="53">
        <f t="shared" si="4"/>
        <v>0</v>
      </c>
      <c r="J21" s="15">
        <v>20</v>
      </c>
      <c r="K21" s="54">
        <f>IFERROR(VLOOKUP(J21,'Tax Rates'!$A$1:$Z$12,$K$18+1,FALSE),0)</f>
        <v>5.713E-2</v>
      </c>
      <c r="L21" s="55">
        <v>-520370</v>
      </c>
      <c r="M21" s="19"/>
      <c r="N21" s="19">
        <f t="shared" si="5"/>
        <v>0</v>
      </c>
      <c r="O21" s="11">
        <f>ROUND(K21*-H21,0)</f>
        <v>0</v>
      </c>
      <c r="P21" s="56">
        <f t="shared" si="6"/>
        <v>-520370</v>
      </c>
      <c r="R21" s="19">
        <f>C21+P21</f>
        <v>0</v>
      </c>
    </row>
    <row r="22" spans="1:18" x14ac:dyDescent="0.25">
      <c r="A22" s="15">
        <v>10</v>
      </c>
      <c r="B22" s="15" t="s">
        <v>19</v>
      </c>
      <c r="C22" s="25">
        <f t="shared" si="2"/>
        <v>0</v>
      </c>
      <c r="D22" s="12">
        <v>0</v>
      </c>
      <c r="E22" s="11">
        <f>ROUND(C22*-D22,0)</f>
        <v>0</v>
      </c>
      <c r="F22" s="19">
        <f>C22+E22</f>
        <v>0</v>
      </c>
      <c r="G22" s="20">
        <f t="shared" si="3"/>
        <v>0</v>
      </c>
      <c r="H22" s="53">
        <f t="shared" si="4"/>
        <v>0</v>
      </c>
      <c r="J22" s="15">
        <v>7</v>
      </c>
      <c r="K22" s="54">
        <f>IFERROR(VLOOKUP(J22,'Tax Rates'!$A$1:$Z$12,$K$18+1,FALSE),0)</f>
        <v>8.9249999999999996E-2</v>
      </c>
      <c r="L22" s="55">
        <v>0</v>
      </c>
      <c r="M22" s="19">
        <f>E22</f>
        <v>0</v>
      </c>
      <c r="N22" s="19">
        <f t="shared" si="5"/>
        <v>0</v>
      </c>
      <c r="O22" s="11">
        <f>ROUND(K22*-H22,0)</f>
        <v>0</v>
      </c>
      <c r="P22" s="56">
        <f t="shared" si="6"/>
        <v>0</v>
      </c>
      <c r="R22" s="19">
        <f>C22+P22</f>
        <v>0</v>
      </c>
    </row>
    <row r="23" spans="1:18" x14ac:dyDescent="0.25">
      <c r="A23" s="15">
        <v>11</v>
      </c>
      <c r="B23" s="15" t="s">
        <v>18</v>
      </c>
      <c r="C23" s="25">
        <f t="shared" si="2"/>
        <v>0</v>
      </c>
      <c r="D23" s="12">
        <v>0</v>
      </c>
      <c r="E23" s="11">
        <f>ROUND(C23*-D23,0)</f>
        <v>0</v>
      </c>
      <c r="F23" s="19">
        <f>C23+E23</f>
        <v>0</v>
      </c>
      <c r="G23" s="20">
        <f t="shared" si="3"/>
        <v>0</v>
      </c>
      <c r="H23" s="53">
        <f t="shared" si="4"/>
        <v>0</v>
      </c>
      <c r="J23" s="15">
        <v>15</v>
      </c>
      <c r="K23" s="54">
        <f>IFERROR(VLOOKUP(J23,'Tax Rates'!$A$1:$Z$12,$K$18+1,FALSE),0)</f>
        <v>6.9250000000000006E-2</v>
      </c>
      <c r="L23" s="55">
        <v>0</v>
      </c>
      <c r="M23" s="19">
        <f>E23</f>
        <v>0</v>
      </c>
      <c r="N23" s="19">
        <f t="shared" si="5"/>
        <v>0</v>
      </c>
      <c r="O23" s="11">
        <f>ROUND(K23*-H23,0)</f>
        <v>0</v>
      </c>
      <c r="P23" s="56">
        <f t="shared" si="6"/>
        <v>0</v>
      </c>
      <c r="R23" s="19">
        <f>C23+P23</f>
        <v>0</v>
      </c>
    </row>
    <row r="24" spans="1:18" x14ac:dyDescent="0.25">
      <c r="A24" s="15">
        <v>12</v>
      </c>
      <c r="B24" s="15" t="s">
        <v>63</v>
      </c>
      <c r="C24" s="17">
        <f t="shared" si="2"/>
        <v>768907</v>
      </c>
      <c r="D24" s="13" t="s">
        <v>64</v>
      </c>
      <c r="E24" s="17">
        <v>0</v>
      </c>
      <c r="F24" s="21">
        <v>0</v>
      </c>
      <c r="G24" s="21">
        <f t="shared" si="3"/>
        <v>0</v>
      </c>
      <c r="H24" s="57">
        <f t="shared" si="4"/>
        <v>0</v>
      </c>
      <c r="J24" s="58" t="s">
        <v>64</v>
      </c>
      <c r="K24" s="59" t="s">
        <v>64</v>
      </c>
      <c r="L24" s="60">
        <v>0</v>
      </c>
      <c r="M24" s="21">
        <f>E24</f>
        <v>0</v>
      </c>
      <c r="N24" s="61">
        <f t="shared" si="5"/>
        <v>0</v>
      </c>
      <c r="O24" s="17">
        <v>0</v>
      </c>
      <c r="P24" s="62">
        <f t="shared" si="6"/>
        <v>0</v>
      </c>
      <c r="R24" s="63" t="s">
        <v>64</v>
      </c>
    </row>
    <row r="25" spans="1:18" x14ac:dyDescent="0.25">
      <c r="C25" s="11">
        <f>SUM(C18:C24)</f>
        <v>2961542</v>
      </c>
      <c r="E25" s="11">
        <f>SUM(E19:E24)</f>
        <v>-2192635</v>
      </c>
      <c r="F25" s="11">
        <f>SUM(F19:F24)</f>
        <v>0</v>
      </c>
      <c r="G25" s="11">
        <f>SUM(G19:G24)</f>
        <v>0</v>
      </c>
      <c r="H25" s="56">
        <f>SUM(H19:H24)</f>
        <v>0</v>
      </c>
      <c r="L25" s="56">
        <f>SUM(L19:L24)</f>
        <v>-2192635</v>
      </c>
      <c r="M25" s="11">
        <f>SUM(M19:M24)</f>
        <v>0</v>
      </c>
      <c r="N25" s="11">
        <f>SUM(N19:N24)</f>
        <v>0</v>
      </c>
      <c r="O25" s="11">
        <f>SUM(O19:O24)</f>
        <v>0</v>
      </c>
      <c r="P25" s="56">
        <f>SUM(P19:P24)</f>
        <v>-2192635</v>
      </c>
      <c r="R25" s="19">
        <f>SUM(R19:R24)</f>
        <v>0</v>
      </c>
    </row>
    <row r="26" spans="1:18" x14ac:dyDescent="0.25">
      <c r="C26" s="11"/>
      <c r="E26" s="11"/>
      <c r="F26" s="11"/>
      <c r="G26" s="11"/>
      <c r="H26" s="56"/>
      <c r="J26" s="56"/>
      <c r="K26" s="11"/>
      <c r="L26" s="11"/>
      <c r="M26" s="11"/>
      <c r="N26" s="56"/>
    </row>
    <row r="28" spans="1:18" x14ac:dyDescent="0.25">
      <c r="E28" s="11"/>
      <c r="F28" s="45" t="s">
        <v>49</v>
      </c>
      <c r="H28" s="64"/>
    </row>
    <row r="29" spans="1:18" x14ac:dyDescent="0.25">
      <c r="D29" s="100" t="s">
        <v>38</v>
      </c>
      <c r="E29" s="100"/>
      <c r="F29" s="45" t="s">
        <v>40</v>
      </c>
      <c r="G29" s="45" t="s">
        <v>61</v>
      </c>
      <c r="H29" s="1" t="s">
        <v>39</v>
      </c>
    </row>
    <row r="30" spans="1:18" x14ac:dyDescent="0.25">
      <c r="D30" s="2" t="s">
        <v>34</v>
      </c>
      <c r="E30" s="2" t="s">
        <v>15</v>
      </c>
      <c r="F30" s="2" t="s">
        <v>41</v>
      </c>
      <c r="G30" s="2" t="s">
        <v>14</v>
      </c>
      <c r="H30" s="2" t="s">
        <v>3</v>
      </c>
    </row>
    <row r="31" spans="1:18" x14ac:dyDescent="0.25">
      <c r="A31" s="15">
        <v>13</v>
      </c>
      <c r="B31" s="15" t="s">
        <v>48</v>
      </c>
      <c r="D31" s="19">
        <f t="shared" ref="D31:D36" si="7">J6</f>
        <v>1438985</v>
      </c>
      <c r="E31" s="19">
        <f t="shared" ref="E31:E36" si="8">R19</f>
        <v>0</v>
      </c>
      <c r="F31" s="19">
        <f>E31-D31</f>
        <v>-1438985</v>
      </c>
      <c r="G31" s="95">
        <v>0.37959999999999999</v>
      </c>
      <c r="H31" s="19">
        <f>ROUND(F31*0.3796,0)</f>
        <v>-546239</v>
      </c>
    </row>
    <row r="32" spans="1:18" x14ac:dyDescent="0.25">
      <c r="A32" s="15">
        <v>14</v>
      </c>
      <c r="B32" s="15" t="s">
        <v>0</v>
      </c>
      <c r="D32" s="20">
        <f t="shared" si="7"/>
        <v>0</v>
      </c>
      <c r="E32" s="19">
        <f t="shared" si="8"/>
        <v>0</v>
      </c>
      <c r="F32" s="19">
        <f>E32-D32</f>
        <v>0</v>
      </c>
      <c r="G32" s="64">
        <f>G31</f>
        <v>0.37959999999999999</v>
      </c>
      <c r="H32" s="19">
        <f t="shared" ref="H32:H36" si="9">ROUND(F32*0.3796,0)</f>
        <v>0</v>
      </c>
    </row>
    <row r="33" spans="1:8" x14ac:dyDescent="0.25">
      <c r="A33" s="15">
        <v>15</v>
      </c>
      <c r="B33" s="15" t="s">
        <v>1</v>
      </c>
      <c r="D33" s="20">
        <f t="shared" si="7"/>
        <v>457379</v>
      </c>
      <c r="E33" s="19">
        <f t="shared" si="8"/>
        <v>0</v>
      </c>
      <c r="F33" s="19">
        <f>E33-D33</f>
        <v>-457379</v>
      </c>
      <c r="G33" s="64">
        <f>G31</f>
        <v>0.37959999999999999</v>
      </c>
      <c r="H33" s="19">
        <f t="shared" si="9"/>
        <v>-173621</v>
      </c>
    </row>
    <row r="34" spans="1:8" x14ac:dyDescent="0.25">
      <c r="A34" s="15">
        <v>16</v>
      </c>
      <c r="B34" s="15" t="s">
        <v>19</v>
      </c>
      <c r="D34" s="20">
        <f t="shared" si="7"/>
        <v>0</v>
      </c>
      <c r="E34" s="19">
        <f t="shared" si="8"/>
        <v>0</v>
      </c>
      <c r="F34" s="19">
        <f>E34-D34</f>
        <v>0</v>
      </c>
      <c r="G34" s="64">
        <f>G31</f>
        <v>0.37959999999999999</v>
      </c>
      <c r="H34" s="19">
        <f t="shared" si="9"/>
        <v>0</v>
      </c>
    </row>
    <row r="35" spans="1:8" x14ac:dyDescent="0.25">
      <c r="A35" s="15">
        <v>17</v>
      </c>
      <c r="B35" s="15" t="s">
        <v>18</v>
      </c>
      <c r="D35" s="20">
        <f t="shared" si="7"/>
        <v>0</v>
      </c>
      <c r="E35" s="19">
        <f t="shared" si="8"/>
        <v>0</v>
      </c>
      <c r="F35" s="19">
        <f>E35-D35</f>
        <v>0</v>
      </c>
      <c r="G35" s="64">
        <f>G31</f>
        <v>0.37959999999999999</v>
      </c>
      <c r="H35" s="19">
        <f t="shared" si="9"/>
        <v>0</v>
      </c>
    </row>
    <row r="36" spans="1:8" x14ac:dyDescent="0.25">
      <c r="A36" s="15">
        <v>18</v>
      </c>
      <c r="B36" s="15" t="s">
        <v>63</v>
      </c>
      <c r="D36" s="21">
        <f t="shared" si="7"/>
        <v>758318</v>
      </c>
      <c r="E36" s="63" t="str">
        <f t="shared" si="8"/>
        <v>NA</v>
      </c>
      <c r="F36" s="21">
        <f>-D36</f>
        <v>-758318</v>
      </c>
      <c r="G36" s="65">
        <f>G31</f>
        <v>0.37959999999999999</v>
      </c>
      <c r="H36" s="21">
        <f t="shared" si="9"/>
        <v>-287858</v>
      </c>
    </row>
    <row r="37" spans="1:8" x14ac:dyDescent="0.25">
      <c r="D37" s="19">
        <f>SUM(D31:D36)</f>
        <v>2654682</v>
      </c>
      <c r="E37" s="19">
        <f>SUM(E31:E36)</f>
        <v>0</v>
      </c>
      <c r="F37" s="19">
        <f>SUM(F31:F36)</f>
        <v>-2654682</v>
      </c>
      <c r="H37" s="19">
        <f>SUM(H31:H36)</f>
        <v>-1007718</v>
      </c>
    </row>
    <row r="39" spans="1:8" x14ac:dyDescent="0.25">
      <c r="A39" s="67" t="s">
        <v>71</v>
      </c>
      <c r="B39" s="15" t="s">
        <v>74</v>
      </c>
    </row>
    <row r="40" spans="1:8" x14ac:dyDescent="0.25">
      <c r="A40" s="67"/>
    </row>
  </sheetData>
  <mergeCells count="3">
    <mergeCell ref="F2:H2"/>
    <mergeCell ref="L16:P16"/>
    <mergeCell ref="D29:E29"/>
  </mergeCells>
  <pageMargins left="0.7" right="0.7" top="0.75" bottom="0.75" header="0.3" footer="0.3"/>
  <pageSetup scale="60" orientation="landscape" verticalDpi="0" r:id="rId1"/>
  <headerFooter>
    <oddHeader>&amp;RSchedule II - 2013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Normal="100" workbookViewId="0">
      <selection activeCell="G31" sqref="G31"/>
    </sheetView>
  </sheetViews>
  <sheetFormatPr defaultColWidth="9.140625" defaultRowHeight="15" x14ac:dyDescent="0.25"/>
  <cols>
    <col min="1" max="1" width="14.42578125" style="15" customWidth="1"/>
    <col min="2" max="2" width="18.5703125" style="15" bestFit="1" customWidth="1"/>
    <col min="3" max="4" width="12.7109375" style="15" customWidth="1"/>
    <col min="5" max="5" width="11.28515625" style="15" bestFit="1" customWidth="1"/>
    <col min="6" max="6" width="12.7109375" style="15" customWidth="1"/>
    <col min="7" max="7" width="12.42578125" style="15" bestFit="1" customWidth="1"/>
    <col min="8" max="8" width="13.140625" style="15" bestFit="1" customWidth="1"/>
    <col min="9" max="9" width="2.7109375" style="15" customWidth="1"/>
    <col min="10" max="10" width="10.7109375" style="15" customWidth="1"/>
    <col min="11" max="11" width="8.140625" style="15" bestFit="1" customWidth="1"/>
    <col min="12" max="12" width="12.7109375" style="15" customWidth="1"/>
    <col min="13" max="14" width="11.28515625" style="15" bestFit="1" customWidth="1"/>
    <col min="15" max="15" width="8.42578125" style="15" bestFit="1" customWidth="1"/>
    <col min="16" max="16" width="11.28515625" style="15" bestFit="1" customWidth="1"/>
    <col min="17" max="17" width="2.7109375" style="15" customWidth="1"/>
    <col min="18" max="18" width="13.7109375" style="15" bestFit="1" customWidth="1"/>
    <col min="19" max="19" width="7.7109375" style="15" bestFit="1" customWidth="1"/>
    <col min="20" max="20" width="7.42578125" style="15" bestFit="1" customWidth="1"/>
    <col min="21" max="16384" width="9.140625" style="15"/>
  </cols>
  <sheetData>
    <row r="1" spans="1:18" x14ac:dyDescent="0.25">
      <c r="A1" s="22" t="s">
        <v>26</v>
      </c>
      <c r="B1" s="43">
        <v>2014</v>
      </c>
    </row>
    <row r="2" spans="1:18" x14ac:dyDescent="0.25">
      <c r="A2" s="22" t="s">
        <v>47</v>
      </c>
      <c r="D2" s="66" t="s">
        <v>71</v>
      </c>
      <c r="F2" s="100" t="s">
        <v>35</v>
      </c>
      <c r="G2" s="100"/>
      <c r="H2" s="100"/>
    </row>
    <row r="3" spans="1:18" x14ac:dyDescent="0.25">
      <c r="D3" s="1" t="s">
        <v>37</v>
      </c>
      <c r="F3" s="16"/>
      <c r="G3" s="66" t="s">
        <v>71</v>
      </c>
      <c r="H3" s="16"/>
      <c r="J3" s="45" t="s">
        <v>34</v>
      </c>
    </row>
    <row r="4" spans="1:18" x14ac:dyDescent="0.25">
      <c r="C4" s="1">
        <v>2014</v>
      </c>
      <c r="D4" s="1" t="s">
        <v>25</v>
      </c>
      <c r="F4" s="1"/>
      <c r="G4" s="1" t="s">
        <v>2</v>
      </c>
      <c r="H4" s="1"/>
      <c r="J4" s="1" t="s">
        <v>42</v>
      </c>
      <c r="O4" s="1" t="s">
        <v>70</v>
      </c>
      <c r="P4" s="1" t="s">
        <v>70</v>
      </c>
    </row>
    <row r="5" spans="1:18" x14ac:dyDescent="0.25">
      <c r="C5" s="70" t="s">
        <v>21</v>
      </c>
      <c r="D5" s="47">
        <v>4</v>
      </c>
      <c r="F5" s="70" t="s">
        <v>22</v>
      </c>
      <c r="G5" s="70" t="s">
        <v>17</v>
      </c>
      <c r="H5" s="70" t="s">
        <v>23</v>
      </c>
      <c r="J5" s="70" t="s">
        <v>43</v>
      </c>
      <c r="O5" s="70" t="s">
        <v>14</v>
      </c>
      <c r="P5" s="70" t="s">
        <v>16</v>
      </c>
    </row>
    <row r="6" spans="1:18" x14ac:dyDescent="0.25">
      <c r="A6" s="15">
        <v>1</v>
      </c>
      <c r="B6" s="15" t="s">
        <v>48</v>
      </c>
      <c r="C6" s="3">
        <v>1281613</v>
      </c>
      <c r="D6" s="9">
        <v>3.1E-2</v>
      </c>
      <c r="F6" s="3">
        <v>-99325</v>
      </c>
      <c r="G6" s="11">
        <f>ROUND(IF(D$5=1,-0.5*D6*C6,-D6*C6),0)</f>
        <v>-39730</v>
      </c>
      <c r="H6" s="11">
        <f t="shared" ref="H6:H11" si="0">SUM(F6:G6)</f>
        <v>-139055</v>
      </c>
      <c r="J6" s="19">
        <f t="shared" ref="J6:J11" si="1">C6+H6</f>
        <v>1142558</v>
      </c>
      <c r="O6" s="48">
        <v>1E-4</v>
      </c>
      <c r="P6" s="7">
        <f>ROUND(IF(D$5=1,-0.5*O6*C6,-O6*C6),0)</f>
        <v>-128</v>
      </c>
    </row>
    <row r="7" spans="1:18" x14ac:dyDescent="0.25">
      <c r="A7" s="15">
        <v>2</v>
      </c>
      <c r="B7" s="15" t="s">
        <v>0</v>
      </c>
      <c r="C7" s="3">
        <v>500</v>
      </c>
      <c r="D7" s="9">
        <v>2.3300000000000001E-2</v>
      </c>
      <c r="F7" s="3">
        <v>-30</v>
      </c>
      <c r="G7" s="11">
        <f>ROUND(IF(D$5=1,-0.5*D7*C7,-D7*C7),0)</f>
        <v>-12</v>
      </c>
      <c r="H7" s="11">
        <f t="shared" si="0"/>
        <v>-42</v>
      </c>
      <c r="J7" s="19">
        <f t="shared" si="1"/>
        <v>458</v>
      </c>
      <c r="O7" s="48">
        <v>2.0000000000000001E-4</v>
      </c>
      <c r="P7" s="19">
        <f>ROUND(IF(D$5=1,-0.5*O7*C7,-O7*C7),0)</f>
        <v>0</v>
      </c>
    </row>
    <row r="8" spans="1:18" x14ac:dyDescent="0.25">
      <c r="A8" s="15">
        <v>3</v>
      </c>
      <c r="B8" s="15" t="s">
        <v>1</v>
      </c>
      <c r="C8" s="3">
        <v>396014</v>
      </c>
      <c r="D8" s="9">
        <v>2.69E-2</v>
      </c>
      <c r="F8" s="3">
        <v>-26632</v>
      </c>
      <c r="G8" s="11">
        <f>ROUND(IF(D$5=1,-0.5*D8*C8,-D8*C8),0)</f>
        <v>-10653</v>
      </c>
      <c r="H8" s="11">
        <f t="shared" si="0"/>
        <v>-37285</v>
      </c>
      <c r="J8" s="19">
        <f t="shared" si="1"/>
        <v>358729</v>
      </c>
      <c r="O8" s="48">
        <v>4.1999999999999997E-3</v>
      </c>
      <c r="P8" s="19">
        <f>ROUND(IF(D$5=1,-0.5*O8*C8,-O8*C8),0)</f>
        <v>-1663</v>
      </c>
    </row>
    <row r="9" spans="1:18" x14ac:dyDescent="0.25">
      <c r="A9" s="15">
        <v>4</v>
      </c>
      <c r="B9" s="15" t="s">
        <v>19</v>
      </c>
      <c r="C9" s="3">
        <v>0</v>
      </c>
      <c r="D9" s="9">
        <v>2.2499999999999999E-2</v>
      </c>
      <c r="F9" s="3">
        <v>0</v>
      </c>
      <c r="G9" s="11">
        <f>ROUND(IF(D$5=1,-0.5*D9*C9,-D9*C9),0)</f>
        <v>0</v>
      </c>
      <c r="H9" s="11">
        <f t="shared" si="0"/>
        <v>0</v>
      </c>
      <c r="J9" s="19">
        <f t="shared" si="1"/>
        <v>0</v>
      </c>
      <c r="O9" s="48">
        <v>0</v>
      </c>
      <c r="P9" s="19">
        <f>IF(D$5=1,-0.5*O9*C9,-O9*C9)</f>
        <v>0</v>
      </c>
    </row>
    <row r="10" spans="1:18" x14ac:dyDescent="0.25">
      <c r="A10" s="15">
        <v>5</v>
      </c>
      <c r="B10" s="15" t="s">
        <v>18</v>
      </c>
      <c r="C10" s="3">
        <v>0</v>
      </c>
      <c r="D10" s="9">
        <v>2.0500000000000001E-2</v>
      </c>
      <c r="F10" s="3">
        <v>0</v>
      </c>
      <c r="G10" s="11">
        <f>ROUND(IF(D$5=1,-0.5*D10*C10,-D10*C10),0)</f>
        <v>0</v>
      </c>
      <c r="H10" s="11">
        <f t="shared" si="0"/>
        <v>0</v>
      </c>
      <c r="J10" s="19">
        <f t="shared" si="1"/>
        <v>0</v>
      </c>
      <c r="O10" s="48">
        <v>0</v>
      </c>
      <c r="P10" s="19">
        <f>IF(D$5=1,-0.5*O10*C10,-O10*C10)</f>
        <v>0</v>
      </c>
    </row>
    <row r="11" spans="1:18" x14ac:dyDescent="0.25">
      <c r="A11" s="15">
        <v>6</v>
      </c>
      <c r="B11" s="15" t="s">
        <v>63</v>
      </c>
      <c r="C11" s="5">
        <v>165239</v>
      </c>
      <c r="D11" s="10" t="s">
        <v>62</v>
      </c>
      <c r="F11" s="5">
        <v>-4478</v>
      </c>
      <c r="G11" s="17">
        <f>P12</f>
        <v>-1791</v>
      </c>
      <c r="H11" s="17">
        <f t="shared" si="0"/>
        <v>-6269</v>
      </c>
      <c r="J11" s="21">
        <f t="shared" si="1"/>
        <v>158970</v>
      </c>
      <c r="O11" s="50">
        <v>0</v>
      </c>
      <c r="P11" s="21">
        <f>IF(D$5=1,-0.5*O11*C11,-O11*C11)</f>
        <v>0</v>
      </c>
    </row>
    <row r="12" spans="1:18" x14ac:dyDescent="0.25">
      <c r="C12" s="11">
        <f>SUM(C6:C11)</f>
        <v>1843366</v>
      </c>
      <c r="D12" s="11"/>
      <c r="F12" s="3">
        <f>SUM(F5:F11)</f>
        <v>-130465</v>
      </c>
      <c r="G12" s="11">
        <f>SUM(G5:G11)</f>
        <v>-52186</v>
      </c>
      <c r="H12" s="11">
        <f>SUM(H5:H11)</f>
        <v>-182651</v>
      </c>
      <c r="J12" s="19">
        <f>SUM(J6:J11)</f>
        <v>1660715</v>
      </c>
      <c r="O12" s="19"/>
      <c r="P12" s="7">
        <f>SUM(P5:P11)</f>
        <v>-1791</v>
      </c>
    </row>
    <row r="13" spans="1:18" ht="14.25" customHeight="1" x14ac:dyDescent="0.25">
      <c r="C13" s="11"/>
      <c r="D13" s="11"/>
      <c r="E13" s="11"/>
      <c r="F13" s="11"/>
      <c r="M13" s="1"/>
      <c r="N13" s="16"/>
    </row>
    <row r="14" spans="1:18" x14ac:dyDescent="0.25">
      <c r="M14" s="1"/>
      <c r="N14" s="16"/>
    </row>
    <row r="15" spans="1:18" x14ac:dyDescent="0.25">
      <c r="D15" s="1"/>
    </row>
    <row r="16" spans="1:18" x14ac:dyDescent="0.25">
      <c r="C16" s="16"/>
      <c r="D16" s="1" t="s">
        <v>29</v>
      </c>
      <c r="E16" s="16"/>
      <c r="F16" s="16"/>
      <c r="G16" s="51">
        <v>0.5</v>
      </c>
      <c r="H16" s="16"/>
      <c r="J16" s="52"/>
      <c r="K16" s="1" t="s">
        <v>24</v>
      </c>
      <c r="L16" s="100" t="s">
        <v>36</v>
      </c>
      <c r="M16" s="100"/>
      <c r="N16" s="100"/>
      <c r="O16" s="100"/>
      <c r="P16" s="100"/>
      <c r="R16" s="45" t="s">
        <v>15</v>
      </c>
    </row>
    <row r="17" spans="1:18" x14ac:dyDescent="0.25">
      <c r="C17" s="1" t="s">
        <v>34</v>
      </c>
      <c r="D17" s="1" t="s">
        <v>17</v>
      </c>
      <c r="E17" s="1" t="s">
        <v>15</v>
      </c>
      <c r="F17" s="1" t="s">
        <v>15</v>
      </c>
      <c r="G17" s="1" t="s">
        <v>28</v>
      </c>
      <c r="H17" s="1" t="s">
        <v>32</v>
      </c>
      <c r="J17" s="1"/>
      <c r="K17" s="1" t="s">
        <v>27</v>
      </c>
      <c r="L17" s="1"/>
      <c r="M17" s="1" t="s">
        <v>15</v>
      </c>
      <c r="N17" s="1" t="s">
        <v>28</v>
      </c>
      <c r="O17" s="1" t="s">
        <v>24</v>
      </c>
      <c r="P17" s="1"/>
      <c r="R17" s="1" t="s">
        <v>42</v>
      </c>
    </row>
    <row r="18" spans="1:18" x14ac:dyDescent="0.25">
      <c r="C18" s="70" t="s">
        <v>21</v>
      </c>
      <c r="D18" s="70" t="s">
        <v>30</v>
      </c>
      <c r="E18" s="70" t="s">
        <v>17</v>
      </c>
      <c r="F18" s="70" t="s">
        <v>31</v>
      </c>
      <c r="G18" s="70" t="s">
        <v>2</v>
      </c>
      <c r="H18" s="70" t="s">
        <v>33</v>
      </c>
      <c r="J18" s="70" t="s">
        <v>20</v>
      </c>
      <c r="K18" s="70">
        <f>D5</f>
        <v>4</v>
      </c>
      <c r="L18" s="70" t="s">
        <v>22</v>
      </c>
      <c r="M18" s="70" t="s">
        <v>17</v>
      </c>
      <c r="N18" s="70" t="s">
        <v>16</v>
      </c>
      <c r="O18" s="70" t="s">
        <v>16</v>
      </c>
      <c r="P18" s="70" t="s">
        <v>23</v>
      </c>
      <c r="R18" s="70" t="s">
        <v>43</v>
      </c>
    </row>
    <row r="19" spans="1:18" x14ac:dyDescent="0.25">
      <c r="A19" s="15">
        <v>7</v>
      </c>
      <c r="B19" s="15" t="s">
        <v>48</v>
      </c>
      <c r="C19" s="11">
        <f t="shared" ref="C19:C24" si="2">C6</f>
        <v>1281613</v>
      </c>
      <c r="D19" s="12">
        <v>1</v>
      </c>
      <c r="E19" s="11">
        <f>ROUND(C19*-D19,0)</f>
        <v>-1281613</v>
      </c>
      <c r="F19" s="19">
        <f>C19+E19</f>
        <v>0</v>
      </c>
      <c r="G19" s="19">
        <f t="shared" ref="G19:G24" si="3">ROUND(F19*-$G$16,0)</f>
        <v>0</v>
      </c>
      <c r="H19" s="53">
        <f t="shared" ref="H19:H24" si="4">F19+G19</f>
        <v>0</v>
      </c>
      <c r="J19" s="15">
        <v>15</v>
      </c>
      <c r="K19" s="54">
        <f>IFERROR(VLOOKUP(J19,'Tax Rates'!$A$1:$Z$12,$K$18+1,FALSE),0)</f>
        <v>7.6950000000000005E-2</v>
      </c>
      <c r="L19" s="55">
        <v>-1281613</v>
      </c>
      <c r="M19" s="19">
        <v>0</v>
      </c>
      <c r="N19" s="19">
        <f t="shared" ref="N19:N24" si="5">G19</f>
        <v>0</v>
      </c>
      <c r="O19" s="11">
        <f>ROUND(K19*-H19,0)</f>
        <v>0</v>
      </c>
      <c r="P19" s="56">
        <f t="shared" ref="P19:P24" si="6">SUM(L19:O19)</f>
        <v>-1281613</v>
      </c>
      <c r="R19" s="19">
        <f>C19+P19</f>
        <v>0</v>
      </c>
    </row>
    <row r="20" spans="1:18" x14ac:dyDescent="0.25">
      <c r="A20" s="15">
        <v>8</v>
      </c>
      <c r="B20" s="15" t="s">
        <v>0</v>
      </c>
      <c r="C20" s="25">
        <f t="shared" si="2"/>
        <v>500</v>
      </c>
      <c r="D20" s="14">
        <v>0</v>
      </c>
      <c r="E20" s="11">
        <f>ROUND(C20*-D20,0)</f>
        <v>0</v>
      </c>
      <c r="F20" s="19">
        <f>C20+E20</f>
        <v>500</v>
      </c>
      <c r="G20" s="19">
        <f t="shared" si="3"/>
        <v>-250</v>
      </c>
      <c r="H20" s="53">
        <f t="shared" si="4"/>
        <v>250</v>
      </c>
      <c r="J20" s="15">
        <v>15</v>
      </c>
      <c r="K20" s="54">
        <f>IFERROR(VLOOKUP(J20,'Tax Rates'!$A$1:$Z$12,$K$18+1,FALSE),0)</f>
        <v>7.6950000000000005E-2</v>
      </c>
      <c r="L20" s="55">
        <v>-308</v>
      </c>
      <c r="M20" s="19">
        <f>E20</f>
        <v>0</v>
      </c>
      <c r="N20" s="19">
        <v>0</v>
      </c>
      <c r="O20" s="11">
        <f>ROUND(K20*-H20,0)</f>
        <v>-19</v>
      </c>
      <c r="P20" s="56">
        <f t="shared" si="6"/>
        <v>-327</v>
      </c>
      <c r="R20" s="19">
        <f>C20+P20</f>
        <v>173</v>
      </c>
    </row>
    <row r="21" spans="1:18" x14ac:dyDescent="0.25">
      <c r="A21" s="15">
        <v>9</v>
      </c>
      <c r="B21" s="15" t="s">
        <v>1</v>
      </c>
      <c r="C21" s="25">
        <f t="shared" si="2"/>
        <v>396014</v>
      </c>
      <c r="D21" s="12">
        <v>1</v>
      </c>
      <c r="E21" s="11">
        <f>ROUND(C21*-D21,0)</f>
        <v>-396014</v>
      </c>
      <c r="F21" s="19">
        <f>C21+E21</f>
        <v>0</v>
      </c>
      <c r="G21" s="20">
        <f t="shared" si="3"/>
        <v>0</v>
      </c>
      <c r="H21" s="53">
        <f t="shared" si="4"/>
        <v>0</v>
      </c>
      <c r="J21" s="15">
        <v>20</v>
      </c>
      <c r="K21" s="54">
        <f>IFERROR(VLOOKUP(J21,'Tax Rates'!$A$1:$Z$12,$K$18+1,FALSE),0)</f>
        <v>6.1769999999999999E-2</v>
      </c>
      <c r="L21" s="55">
        <v>-396014</v>
      </c>
      <c r="M21" s="19">
        <v>0</v>
      </c>
      <c r="N21" s="19">
        <f t="shared" si="5"/>
        <v>0</v>
      </c>
      <c r="O21" s="11">
        <f>ROUND(K21*-H21,0)</f>
        <v>0</v>
      </c>
      <c r="P21" s="56">
        <f t="shared" si="6"/>
        <v>-396014</v>
      </c>
      <c r="R21" s="19">
        <f>C21+P21</f>
        <v>0</v>
      </c>
    </row>
    <row r="22" spans="1:18" x14ac:dyDescent="0.25">
      <c r="A22" s="15">
        <v>10</v>
      </c>
      <c r="B22" s="15" t="s">
        <v>19</v>
      </c>
      <c r="C22" s="25">
        <f t="shared" si="2"/>
        <v>0</v>
      </c>
      <c r="D22" s="12">
        <v>0</v>
      </c>
      <c r="E22" s="11">
        <f>ROUND(C22*-D22,0)</f>
        <v>0</v>
      </c>
      <c r="F22" s="19">
        <f>C22+E22</f>
        <v>0</v>
      </c>
      <c r="G22" s="20">
        <f t="shared" si="3"/>
        <v>0</v>
      </c>
      <c r="H22" s="53">
        <f t="shared" si="4"/>
        <v>0</v>
      </c>
      <c r="J22" s="15">
        <v>7</v>
      </c>
      <c r="K22" s="54">
        <f>IFERROR(VLOOKUP(J22,'Tax Rates'!$A$1:$Z$12,$K$18+1,FALSE),0)</f>
        <v>0.12495000000000001</v>
      </c>
      <c r="L22" s="55">
        <v>0</v>
      </c>
      <c r="M22" s="19">
        <f>E22</f>
        <v>0</v>
      </c>
      <c r="N22" s="19">
        <f t="shared" si="5"/>
        <v>0</v>
      </c>
      <c r="O22" s="11">
        <f>ROUND(K22*-H22,0)</f>
        <v>0</v>
      </c>
      <c r="P22" s="56">
        <f t="shared" si="6"/>
        <v>0</v>
      </c>
      <c r="R22" s="19">
        <f>C22+P22</f>
        <v>0</v>
      </c>
    </row>
    <row r="23" spans="1:18" x14ac:dyDescent="0.25">
      <c r="A23" s="15">
        <v>11</v>
      </c>
      <c r="B23" s="15" t="s">
        <v>18</v>
      </c>
      <c r="C23" s="25">
        <f t="shared" si="2"/>
        <v>0</v>
      </c>
      <c r="D23" s="12">
        <v>0</v>
      </c>
      <c r="E23" s="11">
        <f>ROUND(C23*-D23,0)</f>
        <v>0</v>
      </c>
      <c r="F23" s="19">
        <f>C23+E23</f>
        <v>0</v>
      </c>
      <c r="G23" s="20">
        <f t="shared" si="3"/>
        <v>0</v>
      </c>
      <c r="H23" s="53">
        <f t="shared" si="4"/>
        <v>0</v>
      </c>
      <c r="J23" s="15">
        <v>15</v>
      </c>
      <c r="K23" s="54">
        <f>IFERROR(VLOOKUP(J23,'Tax Rates'!$A$1:$Z$12,$K$18+1,FALSE),0)</f>
        <v>7.6950000000000005E-2</v>
      </c>
      <c r="L23" s="55">
        <v>0</v>
      </c>
      <c r="M23" s="19">
        <f>E23</f>
        <v>0</v>
      </c>
      <c r="N23" s="19">
        <f t="shared" si="5"/>
        <v>0</v>
      </c>
      <c r="O23" s="11">
        <f>ROUND(K23*-H23,0)</f>
        <v>0</v>
      </c>
      <c r="P23" s="56">
        <f t="shared" si="6"/>
        <v>0</v>
      </c>
      <c r="R23" s="19">
        <f>C23+P23</f>
        <v>0</v>
      </c>
    </row>
    <row r="24" spans="1:18" x14ac:dyDescent="0.25">
      <c r="A24" s="15">
        <v>12</v>
      </c>
      <c r="B24" s="15" t="s">
        <v>63</v>
      </c>
      <c r="C24" s="17">
        <f t="shared" si="2"/>
        <v>165239</v>
      </c>
      <c r="D24" s="13" t="s">
        <v>64</v>
      </c>
      <c r="E24" s="17">
        <v>0</v>
      </c>
      <c r="F24" s="21">
        <v>0</v>
      </c>
      <c r="G24" s="21">
        <f t="shared" si="3"/>
        <v>0</v>
      </c>
      <c r="H24" s="57">
        <f t="shared" si="4"/>
        <v>0</v>
      </c>
      <c r="J24" s="58" t="s">
        <v>64</v>
      </c>
      <c r="K24" s="59" t="s">
        <v>64</v>
      </c>
      <c r="L24" s="60">
        <v>0</v>
      </c>
      <c r="M24" s="21">
        <f>E24</f>
        <v>0</v>
      </c>
      <c r="N24" s="61">
        <f t="shared" si="5"/>
        <v>0</v>
      </c>
      <c r="O24" s="17">
        <v>0</v>
      </c>
      <c r="P24" s="62">
        <f t="shared" si="6"/>
        <v>0</v>
      </c>
      <c r="R24" s="63" t="s">
        <v>64</v>
      </c>
    </row>
    <row r="25" spans="1:18" x14ac:dyDescent="0.25">
      <c r="C25" s="11">
        <f>SUM(C18:C24)</f>
        <v>1843366</v>
      </c>
      <c r="E25" s="11">
        <f>SUM(E19:E24)</f>
        <v>-1677627</v>
      </c>
      <c r="F25" s="11">
        <f>SUM(F19:F24)</f>
        <v>500</v>
      </c>
      <c r="G25" s="11">
        <f>SUM(G19:G24)</f>
        <v>-250</v>
      </c>
      <c r="H25" s="56">
        <f>SUM(H19:H24)</f>
        <v>250</v>
      </c>
      <c r="L25" s="56">
        <f>SUM(L19:L24)</f>
        <v>-1677935</v>
      </c>
      <c r="M25" s="11">
        <f>SUM(M19:M24)</f>
        <v>0</v>
      </c>
      <c r="N25" s="11">
        <f>SUM(N19:N24)</f>
        <v>0</v>
      </c>
      <c r="O25" s="11">
        <f>SUM(O19:O24)</f>
        <v>-19</v>
      </c>
      <c r="P25" s="56">
        <f>SUM(P19:P24)</f>
        <v>-1677954</v>
      </c>
      <c r="R25" s="19">
        <f>SUM(R19:R24)</f>
        <v>173</v>
      </c>
    </row>
    <row r="26" spans="1:18" x14ac:dyDescent="0.25">
      <c r="C26" s="11"/>
      <c r="E26" s="11"/>
      <c r="F26" s="11"/>
      <c r="G26" s="11"/>
      <c r="H26" s="56"/>
      <c r="J26" s="56"/>
      <c r="K26" s="11"/>
      <c r="L26" s="11"/>
      <c r="M26" s="11"/>
      <c r="N26" s="56"/>
    </row>
    <row r="28" spans="1:18" x14ac:dyDescent="0.25">
      <c r="E28" s="11"/>
      <c r="F28" s="45" t="s">
        <v>49</v>
      </c>
      <c r="H28" s="64"/>
    </row>
    <row r="29" spans="1:18" x14ac:dyDescent="0.25">
      <c r="D29" s="100" t="s">
        <v>38</v>
      </c>
      <c r="E29" s="100"/>
      <c r="F29" s="45" t="s">
        <v>40</v>
      </c>
      <c r="G29" s="45" t="s">
        <v>61</v>
      </c>
      <c r="H29" s="1" t="s">
        <v>39</v>
      </c>
    </row>
    <row r="30" spans="1:18" x14ac:dyDescent="0.25">
      <c r="D30" s="70" t="s">
        <v>34</v>
      </c>
      <c r="E30" s="70" t="s">
        <v>15</v>
      </c>
      <c r="F30" s="70" t="s">
        <v>41</v>
      </c>
      <c r="G30" s="70" t="s">
        <v>14</v>
      </c>
      <c r="H30" s="70" t="s">
        <v>3</v>
      </c>
    </row>
    <row r="31" spans="1:18" x14ac:dyDescent="0.25">
      <c r="A31" s="15">
        <v>13</v>
      </c>
      <c r="B31" s="15" t="s">
        <v>48</v>
      </c>
      <c r="D31" s="19">
        <f t="shared" ref="D31:D36" si="7">J6</f>
        <v>1142558</v>
      </c>
      <c r="E31" s="19">
        <f t="shared" ref="E31:E36" si="8">R19</f>
        <v>0</v>
      </c>
      <c r="F31" s="19">
        <f>E31-D31</f>
        <v>-1142558</v>
      </c>
      <c r="G31" s="95">
        <v>0.37959999999999999</v>
      </c>
      <c r="H31" s="19">
        <f>ROUND(F31*0.3796,0)</f>
        <v>-433715</v>
      </c>
    </row>
    <row r="32" spans="1:18" x14ac:dyDescent="0.25">
      <c r="A32" s="15">
        <v>14</v>
      </c>
      <c r="B32" s="15" t="s">
        <v>0</v>
      </c>
      <c r="D32" s="20">
        <f t="shared" si="7"/>
        <v>458</v>
      </c>
      <c r="E32" s="19">
        <f t="shared" si="8"/>
        <v>173</v>
      </c>
      <c r="F32" s="19">
        <f>E32-D32</f>
        <v>-285</v>
      </c>
      <c r="G32" s="64">
        <f>G31</f>
        <v>0.37959999999999999</v>
      </c>
      <c r="H32" s="19">
        <f t="shared" ref="H32:H36" si="9">ROUND(F32*0.3796,0)</f>
        <v>-108</v>
      </c>
    </row>
    <row r="33" spans="1:8" x14ac:dyDescent="0.25">
      <c r="A33" s="15">
        <v>15</v>
      </c>
      <c r="B33" s="15" t="s">
        <v>1</v>
      </c>
      <c r="D33" s="20">
        <f t="shared" si="7"/>
        <v>358729</v>
      </c>
      <c r="E33" s="19">
        <f t="shared" si="8"/>
        <v>0</v>
      </c>
      <c r="F33" s="19">
        <f>E33-D33</f>
        <v>-358729</v>
      </c>
      <c r="G33" s="64">
        <f>G31</f>
        <v>0.37959999999999999</v>
      </c>
      <c r="H33" s="19">
        <f t="shared" si="9"/>
        <v>-136174</v>
      </c>
    </row>
    <row r="34" spans="1:8" x14ac:dyDescent="0.25">
      <c r="A34" s="15">
        <v>16</v>
      </c>
      <c r="B34" s="15" t="s">
        <v>19</v>
      </c>
      <c r="D34" s="20">
        <f t="shared" si="7"/>
        <v>0</v>
      </c>
      <c r="E34" s="19">
        <f t="shared" si="8"/>
        <v>0</v>
      </c>
      <c r="F34" s="19">
        <f>E34-D34</f>
        <v>0</v>
      </c>
      <c r="G34" s="64">
        <f>G31</f>
        <v>0.37959999999999999</v>
      </c>
      <c r="H34" s="19">
        <f t="shared" si="9"/>
        <v>0</v>
      </c>
    </row>
    <row r="35" spans="1:8" x14ac:dyDescent="0.25">
      <c r="A35" s="15">
        <v>17</v>
      </c>
      <c r="B35" s="15" t="s">
        <v>18</v>
      </c>
      <c r="D35" s="20">
        <f t="shared" si="7"/>
        <v>0</v>
      </c>
      <c r="E35" s="19">
        <f t="shared" si="8"/>
        <v>0</v>
      </c>
      <c r="F35" s="19">
        <f>E35-D35</f>
        <v>0</v>
      </c>
      <c r="G35" s="64">
        <f>G31</f>
        <v>0.37959999999999999</v>
      </c>
      <c r="H35" s="19">
        <f t="shared" si="9"/>
        <v>0</v>
      </c>
    </row>
    <row r="36" spans="1:8" x14ac:dyDescent="0.25">
      <c r="A36" s="15">
        <v>18</v>
      </c>
      <c r="B36" s="15" t="s">
        <v>63</v>
      </c>
      <c r="D36" s="21">
        <f t="shared" si="7"/>
        <v>158970</v>
      </c>
      <c r="E36" s="63" t="str">
        <f t="shared" si="8"/>
        <v>NA</v>
      </c>
      <c r="F36" s="21">
        <f>-D36</f>
        <v>-158970</v>
      </c>
      <c r="G36" s="65">
        <f>G31</f>
        <v>0.37959999999999999</v>
      </c>
      <c r="H36" s="21">
        <f t="shared" si="9"/>
        <v>-60345</v>
      </c>
    </row>
    <row r="37" spans="1:8" x14ac:dyDescent="0.25">
      <c r="D37" s="19">
        <f>SUM(D31:D36)</f>
        <v>1660715</v>
      </c>
      <c r="E37" s="19">
        <f>SUM(E31:E36)</f>
        <v>173</v>
      </c>
      <c r="F37" s="19">
        <f>SUM(F31:F36)</f>
        <v>-1660542</v>
      </c>
      <c r="H37" s="19">
        <f>SUM(H31:H36)</f>
        <v>-630342</v>
      </c>
    </row>
    <row r="39" spans="1:8" x14ac:dyDescent="0.25">
      <c r="A39" s="67" t="s">
        <v>71</v>
      </c>
      <c r="B39" s="15" t="s">
        <v>74</v>
      </c>
    </row>
    <row r="40" spans="1:8" x14ac:dyDescent="0.25">
      <c r="A40" s="67"/>
    </row>
  </sheetData>
  <mergeCells count="3">
    <mergeCell ref="F2:H2"/>
    <mergeCell ref="L16:P16"/>
    <mergeCell ref="D29:E29"/>
  </mergeCells>
  <pageMargins left="0.7" right="0.7" top="0.75" bottom="0.75" header="0.3" footer="0.3"/>
  <pageSetup scale="60" orientation="landscape" verticalDpi="0" r:id="rId1"/>
  <headerFooter>
    <oddHeader>&amp;RSchedule II - 2014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Normal="100" workbookViewId="0">
      <selection activeCell="D39" sqref="D39"/>
    </sheetView>
  </sheetViews>
  <sheetFormatPr defaultColWidth="9.140625" defaultRowHeight="15" x14ac:dyDescent="0.25"/>
  <cols>
    <col min="1" max="1" width="14.42578125" style="74" customWidth="1"/>
    <col min="2" max="2" width="18.5703125" style="74" bestFit="1" customWidth="1"/>
    <col min="3" max="4" width="12.7109375" style="74" customWidth="1"/>
    <col min="5" max="5" width="11.28515625" style="74" bestFit="1" customWidth="1"/>
    <col min="6" max="6" width="12.7109375" style="74" customWidth="1"/>
    <col min="7" max="7" width="12.42578125" style="74" bestFit="1" customWidth="1"/>
    <col min="8" max="8" width="13.140625" style="74" bestFit="1" customWidth="1"/>
    <col min="9" max="9" width="2.7109375" style="74" customWidth="1"/>
    <col min="10" max="10" width="10.7109375" style="74" customWidth="1"/>
    <col min="11" max="11" width="8.140625" style="74" bestFit="1" customWidth="1"/>
    <col min="12" max="12" width="12.7109375" style="74" customWidth="1"/>
    <col min="13" max="14" width="11.28515625" style="74" bestFit="1" customWidth="1"/>
    <col min="15" max="15" width="8.42578125" style="74" bestFit="1" customWidth="1"/>
    <col min="16" max="16" width="11.28515625" style="74" bestFit="1" customWidth="1"/>
    <col min="17" max="17" width="2.7109375" style="74" customWidth="1"/>
    <col min="18" max="18" width="13.7109375" style="74" bestFit="1" customWidth="1"/>
    <col min="19" max="19" width="7.7109375" style="74" bestFit="1" customWidth="1"/>
    <col min="20" max="20" width="7.42578125" style="74" bestFit="1" customWidth="1"/>
    <col min="21" max="16384" width="9.140625" style="74"/>
  </cols>
  <sheetData>
    <row r="1" spans="1:18" x14ac:dyDescent="0.25">
      <c r="A1" s="77" t="s">
        <v>26</v>
      </c>
      <c r="B1" s="43">
        <v>2015</v>
      </c>
    </row>
    <row r="2" spans="1:18" x14ac:dyDescent="0.25">
      <c r="A2" s="77" t="s">
        <v>47</v>
      </c>
      <c r="D2" s="66" t="s">
        <v>71</v>
      </c>
      <c r="F2" s="100" t="s">
        <v>35</v>
      </c>
      <c r="G2" s="100"/>
      <c r="H2" s="100"/>
    </row>
    <row r="3" spans="1:18" x14ac:dyDescent="0.25">
      <c r="D3" s="71" t="s">
        <v>37</v>
      </c>
      <c r="F3" s="75"/>
      <c r="G3" s="66"/>
      <c r="H3" s="75"/>
      <c r="J3" s="86" t="s">
        <v>34</v>
      </c>
    </row>
    <row r="4" spans="1:18" x14ac:dyDescent="0.25">
      <c r="C4" s="71">
        <v>2015</v>
      </c>
      <c r="D4" s="71" t="s">
        <v>25</v>
      </c>
      <c r="F4" s="71"/>
      <c r="G4" s="71" t="s">
        <v>2</v>
      </c>
      <c r="H4" s="71"/>
      <c r="J4" s="71" t="s">
        <v>42</v>
      </c>
      <c r="O4" s="71" t="s">
        <v>70</v>
      </c>
      <c r="P4" s="71" t="s">
        <v>70</v>
      </c>
    </row>
    <row r="5" spans="1:18" x14ac:dyDescent="0.25">
      <c r="C5" s="91" t="s">
        <v>21</v>
      </c>
      <c r="D5" s="47">
        <v>3</v>
      </c>
      <c r="F5" s="91" t="s">
        <v>22</v>
      </c>
      <c r="G5" s="91" t="s">
        <v>17</v>
      </c>
      <c r="H5" s="91" t="s">
        <v>23</v>
      </c>
      <c r="J5" s="91" t="s">
        <v>43</v>
      </c>
      <c r="O5" s="91" t="s">
        <v>14</v>
      </c>
      <c r="P5" s="91" t="s">
        <v>16</v>
      </c>
    </row>
    <row r="6" spans="1:18" x14ac:dyDescent="0.25">
      <c r="A6" s="74">
        <v>1</v>
      </c>
      <c r="B6" s="74" t="s">
        <v>48</v>
      </c>
      <c r="C6" s="3">
        <v>1201977</v>
      </c>
      <c r="D6" s="9">
        <v>3.1E-2</v>
      </c>
      <c r="F6" s="3">
        <v>-55892</v>
      </c>
      <c r="G6" s="73">
        <f>ROUND(IF(D$5=1,-0.5*D6*C6,-D6*C6),0)</f>
        <v>-37261</v>
      </c>
      <c r="H6" s="73">
        <f t="shared" ref="H6:H11" si="0">SUM(F6:G6)</f>
        <v>-93153</v>
      </c>
      <c r="J6" s="19">
        <f t="shared" ref="J6:J11" si="1">C6+H6</f>
        <v>1108824</v>
      </c>
      <c r="O6" s="48">
        <v>1E-4</v>
      </c>
      <c r="P6" s="72">
        <f>ROUND(IF(D$5=1,-0.5*O6*C6,-O6*C6),0)</f>
        <v>-120</v>
      </c>
    </row>
    <row r="7" spans="1:18" x14ac:dyDescent="0.25">
      <c r="A7" s="74">
        <v>2</v>
      </c>
      <c r="B7" s="74" t="s">
        <v>0</v>
      </c>
      <c r="C7" s="3">
        <v>87414</v>
      </c>
      <c r="D7" s="9">
        <v>2.3300000000000001E-2</v>
      </c>
      <c r="F7" s="3">
        <v>-3055</v>
      </c>
      <c r="G7" s="73">
        <f>ROUND(IF(D$5=1,-0.5*D7*C7,-D7*C7),0)</f>
        <v>-2037</v>
      </c>
      <c r="H7" s="73">
        <f t="shared" si="0"/>
        <v>-5092</v>
      </c>
      <c r="J7" s="19">
        <f t="shared" si="1"/>
        <v>82322</v>
      </c>
      <c r="O7" s="48">
        <v>2.0000000000000001E-4</v>
      </c>
      <c r="P7" s="19">
        <f>ROUND(IF(D$5=1,-0.5*O7*C7,-O7*C7),0)</f>
        <v>-17</v>
      </c>
    </row>
    <row r="8" spans="1:18" x14ac:dyDescent="0.25">
      <c r="A8" s="74">
        <v>3</v>
      </c>
      <c r="B8" s="74" t="s">
        <v>1</v>
      </c>
      <c r="C8" s="3">
        <v>137797</v>
      </c>
      <c r="D8" s="9">
        <v>2.69E-2</v>
      </c>
      <c r="F8" s="3">
        <v>-5560</v>
      </c>
      <c r="G8" s="73">
        <f>ROUND(IF(D$5=1,-0.5*D8*C8,-D8*C8),0)</f>
        <v>-3707</v>
      </c>
      <c r="H8" s="73">
        <f t="shared" si="0"/>
        <v>-9267</v>
      </c>
      <c r="J8" s="19">
        <f t="shared" si="1"/>
        <v>128530</v>
      </c>
      <c r="O8" s="48">
        <v>4.1999999999999997E-3</v>
      </c>
      <c r="P8" s="19">
        <f>ROUND(IF(D$5=1,-0.5*O8*C8,-O8*C8),0)</f>
        <v>-579</v>
      </c>
    </row>
    <row r="9" spans="1:18" x14ac:dyDescent="0.25">
      <c r="A9" s="74">
        <v>4</v>
      </c>
      <c r="B9" s="74" t="s">
        <v>19</v>
      </c>
      <c r="C9" s="3">
        <v>0</v>
      </c>
      <c r="D9" s="9">
        <v>2.2499999999999999E-2</v>
      </c>
      <c r="F9" s="3">
        <v>0</v>
      </c>
      <c r="G9" s="73">
        <f>ROUND(IF(D$5=1,-0.5*D9*C9,-D9*C9),0)</f>
        <v>0</v>
      </c>
      <c r="H9" s="73">
        <f t="shared" si="0"/>
        <v>0</v>
      </c>
      <c r="J9" s="19">
        <f t="shared" si="1"/>
        <v>0</v>
      </c>
      <c r="O9" s="48">
        <v>0</v>
      </c>
      <c r="P9" s="19">
        <f>IF(D$5=1,-0.5*O9*C9,-O9*C9)</f>
        <v>0</v>
      </c>
    </row>
    <row r="10" spans="1:18" x14ac:dyDescent="0.25">
      <c r="A10" s="74">
        <v>5</v>
      </c>
      <c r="B10" s="74" t="s">
        <v>18</v>
      </c>
      <c r="C10" s="3">
        <v>0</v>
      </c>
      <c r="D10" s="9">
        <v>2.0500000000000001E-2</v>
      </c>
      <c r="F10" s="3">
        <v>0</v>
      </c>
      <c r="G10" s="73">
        <f>ROUND(IF(D$5=1,-0.5*D10*C10,-D10*C10),0)</f>
        <v>0</v>
      </c>
      <c r="H10" s="73">
        <f t="shared" si="0"/>
        <v>0</v>
      </c>
      <c r="J10" s="19">
        <f t="shared" si="1"/>
        <v>0</v>
      </c>
      <c r="O10" s="48">
        <v>0</v>
      </c>
      <c r="P10" s="19">
        <f>IF(D$5=1,-0.5*O10*C10,-O10*C10)</f>
        <v>0</v>
      </c>
    </row>
    <row r="11" spans="1:18" x14ac:dyDescent="0.25">
      <c r="A11" s="74">
        <v>6</v>
      </c>
      <c r="B11" s="74" t="s">
        <v>63</v>
      </c>
      <c r="C11" s="5">
        <v>331639</v>
      </c>
      <c r="D11" s="10" t="s">
        <v>62</v>
      </c>
      <c r="F11" s="5">
        <v>-1074</v>
      </c>
      <c r="G11" s="76">
        <f>P12</f>
        <v>-716</v>
      </c>
      <c r="H11" s="76">
        <f t="shared" si="0"/>
        <v>-1790</v>
      </c>
      <c r="J11" s="21">
        <f t="shared" si="1"/>
        <v>329849</v>
      </c>
      <c r="O11" s="87">
        <v>0</v>
      </c>
      <c r="P11" s="21">
        <f>IF(D$5=1,-0.5*O11*C11,-O11*C11)</f>
        <v>0</v>
      </c>
    </row>
    <row r="12" spans="1:18" x14ac:dyDescent="0.25">
      <c r="C12" s="73">
        <f>SUM(C6:C11)</f>
        <v>1758827</v>
      </c>
      <c r="D12" s="73"/>
      <c r="F12" s="3">
        <f>SUM(F5:F11)</f>
        <v>-65581</v>
      </c>
      <c r="G12" s="73">
        <f>SUM(G5:G11)</f>
        <v>-43721</v>
      </c>
      <c r="H12" s="73">
        <f>SUM(H5:H11)</f>
        <v>-109302</v>
      </c>
      <c r="J12" s="19">
        <f>SUM(J6:J11)</f>
        <v>1649525</v>
      </c>
      <c r="O12" s="19"/>
      <c r="P12" s="72">
        <f>SUM(P5:P11)</f>
        <v>-716</v>
      </c>
    </row>
    <row r="13" spans="1:18" ht="14.25" customHeight="1" x14ac:dyDescent="0.25">
      <c r="C13" s="73"/>
      <c r="D13" s="73"/>
      <c r="E13" s="73"/>
      <c r="F13" s="73"/>
      <c r="M13" s="71"/>
      <c r="N13" s="75"/>
    </row>
    <row r="14" spans="1:18" x14ac:dyDescent="0.25">
      <c r="M14" s="71"/>
      <c r="N14" s="75"/>
    </row>
    <row r="15" spans="1:18" x14ac:dyDescent="0.25">
      <c r="D15" s="71"/>
    </row>
    <row r="16" spans="1:18" x14ac:dyDescent="0.25">
      <c r="C16" s="75"/>
      <c r="D16" s="71" t="s">
        <v>29</v>
      </c>
      <c r="E16" s="75"/>
      <c r="F16" s="75"/>
      <c r="G16" s="51">
        <v>0.5</v>
      </c>
      <c r="H16" s="75"/>
      <c r="J16" s="52"/>
      <c r="K16" s="71" t="s">
        <v>24</v>
      </c>
      <c r="L16" s="100" t="s">
        <v>36</v>
      </c>
      <c r="M16" s="100"/>
      <c r="N16" s="100"/>
      <c r="O16" s="100"/>
      <c r="P16" s="100"/>
      <c r="R16" s="86" t="s">
        <v>15</v>
      </c>
    </row>
    <row r="17" spans="1:18" x14ac:dyDescent="0.25">
      <c r="C17" s="71" t="s">
        <v>34</v>
      </c>
      <c r="D17" s="71" t="s">
        <v>17</v>
      </c>
      <c r="E17" s="71" t="s">
        <v>15</v>
      </c>
      <c r="F17" s="71" t="s">
        <v>15</v>
      </c>
      <c r="G17" s="71" t="s">
        <v>28</v>
      </c>
      <c r="H17" s="71" t="s">
        <v>32</v>
      </c>
      <c r="J17" s="71"/>
      <c r="K17" s="71" t="s">
        <v>27</v>
      </c>
      <c r="L17" s="71"/>
      <c r="M17" s="71" t="s">
        <v>15</v>
      </c>
      <c r="N17" s="71" t="s">
        <v>28</v>
      </c>
      <c r="O17" s="71" t="s">
        <v>24</v>
      </c>
      <c r="P17" s="71"/>
      <c r="R17" s="71" t="s">
        <v>42</v>
      </c>
    </row>
    <row r="18" spans="1:18" x14ac:dyDescent="0.25">
      <c r="C18" s="91" t="s">
        <v>21</v>
      </c>
      <c r="D18" s="91" t="s">
        <v>30</v>
      </c>
      <c r="E18" s="91" t="s">
        <v>17</v>
      </c>
      <c r="F18" s="91" t="s">
        <v>31</v>
      </c>
      <c r="G18" s="91" t="s">
        <v>2</v>
      </c>
      <c r="H18" s="91" t="s">
        <v>33</v>
      </c>
      <c r="J18" s="91" t="s">
        <v>20</v>
      </c>
      <c r="K18" s="91">
        <f>D5</f>
        <v>3</v>
      </c>
      <c r="L18" s="91" t="s">
        <v>22</v>
      </c>
      <c r="M18" s="91" t="s">
        <v>17</v>
      </c>
      <c r="N18" s="91" t="s">
        <v>16</v>
      </c>
      <c r="O18" s="91" t="s">
        <v>16</v>
      </c>
      <c r="P18" s="91" t="s">
        <v>23</v>
      </c>
      <c r="R18" s="91" t="s">
        <v>43</v>
      </c>
    </row>
    <row r="19" spans="1:18" x14ac:dyDescent="0.25">
      <c r="A19" s="74">
        <v>7</v>
      </c>
      <c r="B19" s="74" t="s">
        <v>48</v>
      </c>
      <c r="C19" s="73">
        <f t="shared" ref="C19:C24" si="2">C6</f>
        <v>1201977</v>
      </c>
      <c r="D19" s="12">
        <v>0.91900000000000004</v>
      </c>
      <c r="E19" s="73">
        <f>ROUND(C19*-D19,0)</f>
        <v>-1104617</v>
      </c>
      <c r="F19" s="19">
        <f>C19+E19</f>
        <v>97360</v>
      </c>
      <c r="G19" s="19">
        <f t="shared" ref="G19:G24" si="3">ROUND(F19*-$G$16,0)</f>
        <v>-48680</v>
      </c>
      <c r="H19" s="53">
        <f t="shared" ref="H19:H24" si="4">F19+G19</f>
        <v>48680</v>
      </c>
      <c r="J19" s="74">
        <v>15</v>
      </c>
      <c r="K19" s="54">
        <f>IFERROR(VLOOKUP(J19,'Tax Rates'!$A$1:$Z$12,$K$18+1,FALSE),0)</f>
        <v>8.5500000000000007E-2</v>
      </c>
      <c r="L19" s="55">
        <v>-1160356</v>
      </c>
      <c r="M19" s="19">
        <v>0</v>
      </c>
      <c r="N19" s="19">
        <v>0</v>
      </c>
      <c r="O19" s="73">
        <f>ROUND(K19*-H19,0)</f>
        <v>-4162</v>
      </c>
      <c r="P19" s="56">
        <f t="shared" ref="P19:P24" si="5">SUM(L19:O19)</f>
        <v>-1164518</v>
      </c>
      <c r="R19" s="19">
        <f>C19+P19</f>
        <v>37459</v>
      </c>
    </row>
    <row r="20" spans="1:18" x14ac:dyDescent="0.25">
      <c r="A20" s="74">
        <v>8</v>
      </c>
      <c r="B20" s="74" t="s">
        <v>0</v>
      </c>
      <c r="C20" s="79">
        <f t="shared" si="2"/>
        <v>87414</v>
      </c>
      <c r="D20" s="14">
        <f>-E20/C20</f>
        <v>0.25458164596060129</v>
      </c>
      <c r="E20" s="3">
        <v>-22254</v>
      </c>
      <c r="F20" s="19">
        <f>C20+E20</f>
        <v>65160</v>
      </c>
      <c r="G20" s="19">
        <f t="shared" si="3"/>
        <v>-32580</v>
      </c>
      <c r="H20" s="53">
        <f t="shared" si="4"/>
        <v>32580</v>
      </c>
      <c r="J20" s="74">
        <v>15</v>
      </c>
      <c r="K20" s="54">
        <f>IFERROR(VLOOKUP(J20,'Tax Rates'!$A$1:$Z$12,$K$18+1,FALSE),0)</f>
        <v>8.5500000000000007E-2</v>
      </c>
      <c r="L20" s="55">
        <v>-59558</v>
      </c>
      <c r="M20" s="19">
        <v>0</v>
      </c>
      <c r="N20" s="19">
        <v>0</v>
      </c>
      <c r="O20" s="73">
        <f>ROUND(K20*-H20,0)</f>
        <v>-2786</v>
      </c>
      <c r="P20" s="56">
        <f t="shared" si="5"/>
        <v>-62344</v>
      </c>
      <c r="R20" s="19">
        <f>C20+P20</f>
        <v>25070</v>
      </c>
    </row>
    <row r="21" spans="1:18" x14ac:dyDescent="0.25">
      <c r="A21" s="74">
        <v>9</v>
      </c>
      <c r="B21" s="74" t="s">
        <v>1</v>
      </c>
      <c r="C21" s="79">
        <f t="shared" si="2"/>
        <v>137797</v>
      </c>
      <c r="D21" s="12">
        <v>1</v>
      </c>
      <c r="E21" s="73">
        <f>ROUND(C21*-D21,0)</f>
        <v>-137797</v>
      </c>
      <c r="F21" s="19">
        <f>C21+E21</f>
        <v>0</v>
      </c>
      <c r="G21" s="20">
        <f t="shared" si="3"/>
        <v>0</v>
      </c>
      <c r="H21" s="53">
        <f t="shared" si="4"/>
        <v>0</v>
      </c>
      <c r="J21" s="74">
        <v>20</v>
      </c>
      <c r="K21" s="54">
        <f>IFERROR(VLOOKUP(J21,'Tax Rates'!$A$1:$Z$12,$K$18+1,FALSE),0)</f>
        <v>6.6769999999999996E-2</v>
      </c>
      <c r="L21" s="55">
        <v>-137797</v>
      </c>
      <c r="M21" s="19">
        <v>0</v>
      </c>
      <c r="N21" s="19">
        <f t="shared" ref="N21:N24" si="6">G21</f>
        <v>0</v>
      </c>
      <c r="O21" s="73">
        <f>ROUND(K21*-H21,0)</f>
        <v>0</v>
      </c>
      <c r="P21" s="56">
        <f t="shared" si="5"/>
        <v>-137797</v>
      </c>
      <c r="R21" s="19">
        <f>C21+P21</f>
        <v>0</v>
      </c>
    </row>
    <row r="22" spans="1:18" x14ac:dyDescent="0.25">
      <c r="A22" s="74">
        <v>10</v>
      </c>
      <c r="B22" s="74" t="s">
        <v>19</v>
      </c>
      <c r="C22" s="79">
        <f t="shared" si="2"/>
        <v>0</v>
      </c>
      <c r="D22" s="12">
        <v>0</v>
      </c>
      <c r="E22" s="73">
        <f>ROUND(C22*-D22,0)</f>
        <v>0</v>
      </c>
      <c r="F22" s="19">
        <f>C22+E22</f>
        <v>0</v>
      </c>
      <c r="G22" s="20">
        <f t="shared" si="3"/>
        <v>0</v>
      </c>
      <c r="H22" s="53">
        <f t="shared" si="4"/>
        <v>0</v>
      </c>
      <c r="J22" s="74">
        <v>7</v>
      </c>
      <c r="K22" s="54">
        <f>IFERROR(VLOOKUP(J22,'Tax Rates'!$A$1:$Z$12,$K$18+1,FALSE),0)</f>
        <v>0.17491999999999999</v>
      </c>
      <c r="L22" s="55">
        <v>0</v>
      </c>
      <c r="M22" s="19">
        <f t="shared" ref="M22:M24" si="7">E22</f>
        <v>0</v>
      </c>
      <c r="N22" s="19">
        <f t="shared" si="6"/>
        <v>0</v>
      </c>
      <c r="O22" s="73">
        <f>ROUND(K22*-H22,0)</f>
        <v>0</v>
      </c>
      <c r="P22" s="56">
        <f t="shared" si="5"/>
        <v>0</v>
      </c>
      <c r="R22" s="19">
        <f>C22+P22</f>
        <v>0</v>
      </c>
    </row>
    <row r="23" spans="1:18" x14ac:dyDescent="0.25">
      <c r="A23" s="74">
        <v>11</v>
      </c>
      <c r="B23" s="74" t="s">
        <v>18</v>
      </c>
      <c r="C23" s="79">
        <f t="shared" si="2"/>
        <v>0</v>
      </c>
      <c r="D23" s="12">
        <v>0</v>
      </c>
      <c r="E23" s="73">
        <f>ROUND(C23*-D23,0)</f>
        <v>0</v>
      </c>
      <c r="F23" s="19">
        <f>C23+E23</f>
        <v>0</v>
      </c>
      <c r="G23" s="20">
        <f t="shared" si="3"/>
        <v>0</v>
      </c>
      <c r="H23" s="53">
        <f t="shared" si="4"/>
        <v>0</v>
      </c>
      <c r="J23" s="74">
        <v>15</v>
      </c>
      <c r="K23" s="54">
        <f>IFERROR(VLOOKUP(J23,'Tax Rates'!$A$1:$Z$12,$K$18+1,FALSE),0)</f>
        <v>8.5500000000000007E-2</v>
      </c>
      <c r="L23" s="55">
        <v>0</v>
      </c>
      <c r="M23" s="19">
        <f t="shared" si="7"/>
        <v>0</v>
      </c>
      <c r="N23" s="19">
        <f t="shared" si="6"/>
        <v>0</v>
      </c>
      <c r="O23" s="73">
        <f>ROUND(K23*-H23,0)</f>
        <v>0</v>
      </c>
      <c r="P23" s="56">
        <f t="shared" si="5"/>
        <v>0</v>
      </c>
      <c r="R23" s="19">
        <f>C23+P23</f>
        <v>0</v>
      </c>
    </row>
    <row r="24" spans="1:18" x14ac:dyDescent="0.25">
      <c r="A24" s="74">
        <v>12</v>
      </c>
      <c r="B24" s="74" t="s">
        <v>63</v>
      </c>
      <c r="C24" s="76">
        <f t="shared" si="2"/>
        <v>331639</v>
      </c>
      <c r="D24" s="13" t="s">
        <v>64</v>
      </c>
      <c r="E24" s="76">
        <v>0</v>
      </c>
      <c r="F24" s="21">
        <v>0</v>
      </c>
      <c r="G24" s="21">
        <f t="shared" si="3"/>
        <v>0</v>
      </c>
      <c r="H24" s="57">
        <f t="shared" si="4"/>
        <v>0</v>
      </c>
      <c r="J24" s="58" t="s">
        <v>64</v>
      </c>
      <c r="K24" s="59" t="s">
        <v>64</v>
      </c>
      <c r="L24" s="60">
        <v>0</v>
      </c>
      <c r="M24" s="21">
        <f t="shared" si="7"/>
        <v>0</v>
      </c>
      <c r="N24" s="61">
        <f t="shared" si="6"/>
        <v>0</v>
      </c>
      <c r="O24" s="76">
        <v>0</v>
      </c>
      <c r="P24" s="62">
        <f t="shared" si="5"/>
        <v>0</v>
      </c>
      <c r="R24" s="63" t="s">
        <v>64</v>
      </c>
    </row>
    <row r="25" spans="1:18" x14ac:dyDescent="0.25">
      <c r="C25" s="73">
        <f>SUM(C18:C24)</f>
        <v>1758827</v>
      </c>
      <c r="E25" s="73">
        <f>SUM(E19:E24)</f>
        <v>-1264668</v>
      </c>
      <c r="F25" s="73">
        <f>SUM(F19:F24)</f>
        <v>162520</v>
      </c>
      <c r="G25" s="73">
        <f>SUM(G19:G24)</f>
        <v>-81260</v>
      </c>
      <c r="H25" s="56">
        <f>SUM(H19:H24)</f>
        <v>81260</v>
      </c>
      <c r="L25" s="56">
        <f>SUM(L19:L24)</f>
        <v>-1357711</v>
      </c>
      <c r="M25" s="73">
        <f>SUM(M19:M24)</f>
        <v>0</v>
      </c>
      <c r="N25" s="73">
        <f>SUM(N19:N24)</f>
        <v>0</v>
      </c>
      <c r="O25" s="73">
        <f>SUM(O19:O24)</f>
        <v>-6948</v>
      </c>
      <c r="P25" s="56">
        <f>SUM(P19:P24)</f>
        <v>-1364659</v>
      </c>
      <c r="R25" s="19">
        <f>SUM(R19:R24)</f>
        <v>62529</v>
      </c>
    </row>
    <row r="26" spans="1:18" x14ac:dyDescent="0.25">
      <c r="C26" s="73"/>
      <c r="E26" s="73"/>
      <c r="F26" s="73"/>
      <c r="G26" s="73"/>
      <c r="H26" s="56"/>
      <c r="J26" s="56"/>
      <c r="K26" s="73"/>
      <c r="L26" s="73"/>
      <c r="M26" s="73"/>
      <c r="N26" s="56"/>
    </row>
    <row r="28" spans="1:18" x14ac:dyDescent="0.25">
      <c r="E28" s="73"/>
      <c r="F28" s="86" t="s">
        <v>49</v>
      </c>
      <c r="H28" s="64"/>
    </row>
    <row r="29" spans="1:18" x14ac:dyDescent="0.25">
      <c r="D29" s="100" t="s">
        <v>38</v>
      </c>
      <c r="E29" s="100"/>
      <c r="F29" s="86" t="s">
        <v>40</v>
      </c>
      <c r="G29" s="86" t="s">
        <v>61</v>
      </c>
      <c r="H29" s="71" t="s">
        <v>39</v>
      </c>
    </row>
    <row r="30" spans="1:18" x14ac:dyDescent="0.25">
      <c r="D30" s="91" t="s">
        <v>34</v>
      </c>
      <c r="E30" s="91" t="s">
        <v>15</v>
      </c>
      <c r="F30" s="91" t="s">
        <v>41</v>
      </c>
      <c r="G30" s="91" t="s">
        <v>14</v>
      </c>
      <c r="H30" s="91" t="s">
        <v>3</v>
      </c>
    </row>
    <row r="31" spans="1:18" x14ac:dyDescent="0.25">
      <c r="A31" s="74">
        <v>13</v>
      </c>
      <c r="B31" s="74" t="s">
        <v>48</v>
      </c>
      <c r="D31" s="19">
        <f t="shared" ref="D31:D36" si="8">J6</f>
        <v>1108824</v>
      </c>
      <c r="E31" s="19">
        <f t="shared" ref="E31:E36" si="9">R19</f>
        <v>37459</v>
      </c>
      <c r="F31" s="19">
        <f>E31-D31</f>
        <v>-1071365</v>
      </c>
      <c r="G31" s="95">
        <v>0.37959999999999999</v>
      </c>
      <c r="H31" s="19">
        <f>ROUND(F31*0.3796,0)</f>
        <v>-406690</v>
      </c>
    </row>
    <row r="32" spans="1:18" x14ac:dyDescent="0.25">
      <c r="A32" s="74">
        <v>14</v>
      </c>
      <c r="B32" s="74" t="s">
        <v>0</v>
      </c>
      <c r="D32" s="20">
        <f t="shared" si="8"/>
        <v>82322</v>
      </c>
      <c r="E32" s="19">
        <f t="shared" si="9"/>
        <v>25070</v>
      </c>
      <c r="F32" s="19">
        <f>E32-D32</f>
        <v>-57252</v>
      </c>
      <c r="G32" s="64">
        <f>G31</f>
        <v>0.37959999999999999</v>
      </c>
      <c r="H32" s="19">
        <f t="shared" ref="H32:H36" si="10">ROUND(F32*0.3796,0)</f>
        <v>-21733</v>
      </c>
    </row>
    <row r="33" spans="1:8" x14ac:dyDescent="0.25">
      <c r="A33" s="74">
        <v>15</v>
      </c>
      <c r="B33" s="74" t="s">
        <v>1</v>
      </c>
      <c r="D33" s="20">
        <f t="shared" si="8"/>
        <v>128530</v>
      </c>
      <c r="E33" s="19">
        <f t="shared" si="9"/>
        <v>0</v>
      </c>
      <c r="F33" s="19">
        <f>E33-D33</f>
        <v>-128530</v>
      </c>
      <c r="G33" s="64">
        <f>G31</f>
        <v>0.37959999999999999</v>
      </c>
      <c r="H33" s="19">
        <f t="shared" si="10"/>
        <v>-48790</v>
      </c>
    </row>
    <row r="34" spans="1:8" x14ac:dyDescent="0.25">
      <c r="A34" s="74">
        <v>16</v>
      </c>
      <c r="B34" s="74" t="s">
        <v>19</v>
      </c>
      <c r="D34" s="20">
        <f t="shared" si="8"/>
        <v>0</v>
      </c>
      <c r="E34" s="19">
        <f t="shared" si="9"/>
        <v>0</v>
      </c>
      <c r="F34" s="19">
        <f>E34-D34</f>
        <v>0</v>
      </c>
      <c r="G34" s="64">
        <f>G31</f>
        <v>0.37959999999999999</v>
      </c>
      <c r="H34" s="19">
        <f t="shared" si="10"/>
        <v>0</v>
      </c>
    </row>
    <row r="35" spans="1:8" x14ac:dyDescent="0.25">
      <c r="A35" s="74">
        <v>17</v>
      </c>
      <c r="B35" s="74" t="s">
        <v>18</v>
      </c>
      <c r="D35" s="20">
        <f t="shared" si="8"/>
        <v>0</v>
      </c>
      <c r="E35" s="19">
        <f t="shared" si="9"/>
        <v>0</v>
      </c>
      <c r="F35" s="19">
        <f>E35-D35</f>
        <v>0</v>
      </c>
      <c r="G35" s="64">
        <f>G31</f>
        <v>0.37959999999999999</v>
      </c>
      <c r="H35" s="19">
        <f t="shared" si="10"/>
        <v>0</v>
      </c>
    </row>
    <row r="36" spans="1:8" x14ac:dyDescent="0.25">
      <c r="A36" s="74">
        <v>18</v>
      </c>
      <c r="B36" s="74" t="s">
        <v>63</v>
      </c>
      <c r="D36" s="21">
        <f t="shared" si="8"/>
        <v>329849</v>
      </c>
      <c r="E36" s="63" t="str">
        <f t="shared" si="9"/>
        <v>NA</v>
      </c>
      <c r="F36" s="21">
        <f>-D36</f>
        <v>-329849</v>
      </c>
      <c r="G36" s="65">
        <f>G31</f>
        <v>0.37959999999999999</v>
      </c>
      <c r="H36" s="21">
        <f t="shared" si="10"/>
        <v>-125211</v>
      </c>
    </row>
    <row r="37" spans="1:8" x14ac:dyDescent="0.25">
      <c r="D37" s="19">
        <f>SUM(D31:D36)</f>
        <v>1649525</v>
      </c>
      <c r="E37" s="19">
        <f>SUM(E31:E36)</f>
        <v>62529</v>
      </c>
      <c r="F37" s="19">
        <f>SUM(F31:F36)</f>
        <v>-1586996</v>
      </c>
      <c r="H37" s="19">
        <f>SUM(H31:H36)</f>
        <v>-602424</v>
      </c>
    </row>
    <row r="39" spans="1:8" x14ac:dyDescent="0.25">
      <c r="A39" s="67" t="s">
        <v>71</v>
      </c>
      <c r="B39" s="74" t="s">
        <v>74</v>
      </c>
    </row>
    <row r="40" spans="1:8" x14ac:dyDescent="0.25">
      <c r="A40" s="67"/>
    </row>
  </sheetData>
  <mergeCells count="3">
    <mergeCell ref="F2:H2"/>
    <mergeCell ref="L16:P16"/>
    <mergeCell ref="D29:E29"/>
  </mergeCells>
  <pageMargins left="0.7" right="0.7" top="0.75" bottom="0.75" header="0.3" footer="0.3"/>
  <pageSetup scale="60" orientation="landscape" verticalDpi="0" r:id="rId1"/>
  <headerFooter>
    <oddHeader>&amp;RSchedule II - 2015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Normal="100" workbookViewId="0">
      <selection activeCell="D19" sqref="D19"/>
    </sheetView>
  </sheetViews>
  <sheetFormatPr defaultColWidth="9.140625" defaultRowHeight="15" x14ac:dyDescent="0.25"/>
  <cols>
    <col min="1" max="1" width="14.42578125" style="74" customWidth="1"/>
    <col min="2" max="2" width="18.5703125" style="74" bestFit="1" customWidth="1"/>
    <col min="3" max="4" width="12.7109375" style="74" customWidth="1"/>
    <col min="5" max="5" width="11.28515625" style="74" bestFit="1" customWidth="1"/>
    <col min="6" max="6" width="12.7109375" style="74" customWidth="1"/>
    <col min="7" max="7" width="12.42578125" style="74" bestFit="1" customWidth="1"/>
    <col min="8" max="8" width="13.140625" style="74" bestFit="1" customWidth="1"/>
    <col min="9" max="9" width="2.7109375" style="74" customWidth="1"/>
    <col min="10" max="10" width="10.7109375" style="74" customWidth="1"/>
    <col min="11" max="11" width="8.140625" style="74" bestFit="1" customWidth="1"/>
    <col min="12" max="12" width="12.7109375" style="74" customWidth="1"/>
    <col min="13" max="14" width="11.28515625" style="74" bestFit="1" customWidth="1"/>
    <col min="15" max="15" width="8.42578125" style="74" bestFit="1" customWidth="1"/>
    <col min="16" max="16" width="11.28515625" style="74" bestFit="1" customWidth="1"/>
    <col min="17" max="17" width="2.7109375" style="74" customWidth="1"/>
    <col min="18" max="18" width="13.7109375" style="74" bestFit="1" customWidth="1"/>
    <col min="19" max="19" width="7.7109375" style="74" bestFit="1" customWidth="1"/>
    <col min="20" max="20" width="7.42578125" style="74" bestFit="1" customWidth="1"/>
    <col min="21" max="16384" width="9.140625" style="74"/>
  </cols>
  <sheetData>
    <row r="1" spans="1:18" x14ac:dyDescent="0.25">
      <c r="A1" s="77" t="s">
        <v>26</v>
      </c>
      <c r="B1" s="43">
        <v>2016</v>
      </c>
    </row>
    <row r="2" spans="1:18" x14ac:dyDescent="0.25">
      <c r="A2" s="77" t="s">
        <v>47</v>
      </c>
      <c r="D2" s="66" t="s">
        <v>71</v>
      </c>
      <c r="F2" s="100" t="s">
        <v>35</v>
      </c>
      <c r="G2" s="100"/>
      <c r="H2" s="100"/>
    </row>
    <row r="3" spans="1:18" x14ac:dyDescent="0.25">
      <c r="D3" s="71" t="s">
        <v>37</v>
      </c>
      <c r="F3" s="75"/>
      <c r="G3" s="66" t="s">
        <v>72</v>
      </c>
      <c r="H3" s="75"/>
      <c r="J3" s="86" t="s">
        <v>34</v>
      </c>
    </row>
    <row r="4" spans="1:18" x14ac:dyDescent="0.25">
      <c r="C4" s="71">
        <v>2016</v>
      </c>
      <c r="D4" s="71" t="s">
        <v>25</v>
      </c>
      <c r="F4" s="71"/>
      <c r="G4" s="71" t="s">
        <v>2</v>
      </c>
      <c r="H4" s="71"/>
      <c r="J4" s="71" t="s">
        <v>42</v>
      </c>
      <c r="O4" s="71" t="s">
        <v>70</v>
      </c>
      <c r="P4" s="71" t="s">
        <v>70</v>
      </c>
    </row>
    <row r="5" spans="1:18" x14ac:dyDescent="0.25">
      <c r="C5" s="92" t="s">
        <v>21</v>
      </c>
      <c r="D5" s="47">
        <v>2</v>
      </c>
      <c r="F5" s="92" t="s">
        <v>22</v>
      </c>
      <c r="G5" s="92" t="s">
        <v>17</v>
      </c>
      <c r="H5" s="92" t="s">
        <v>23</v>
      </c>
      <c r="J5" s="92" t="s">
        <v>43</v>
      </c>
      <c r="O5" s="92" t="s">
        <v>14</v>
      </c>
      <c r="P5" s="92" t="s">
        <v>16</v>
      </c>
    </row>
    <row r="6" spans="1:18" x14ac:dyDescent="0.25">
      <c r="A6" s="74">
        <v>1</v>
      </c>
      <c r="B6" s="74" t="s">
        <v>48</v>
      </c>
      <c r="C6" s="3">
        <v>2328216</v>
      </c>
      <c r="D6" s="9">
        <v>3.1E-2</v>
      </c>
      <c r="F6" s="3">
        <v>-36087</v>
      </c>
      <c r="G6" s="73">
        <f>ROUND(IF(D$5=1,-0.5*D6*C6,-D6*C6),0)</f>
        <v>-72175</v>
      </c>
      <c r="H6" s="73">
        <f t="shared" ref="H6:H11" si="0">SUM(F6:G6)</f>
        <v>-108262</v>
      </c>
      <c r="J6" s="19">
        <f t="shared" ref="J6:J11" si="1">C6+H6</f>
        <v>2219954</v>
      </c>
      <c r="O6" s="48">
        <v>1E-4</v>
      </c>
      <c r="P6" s="72">
        <f>ROUND(IF(D$5=1,-0.5*O6*C6,-O6*C6),0)</f>
        <v>-233</v>
      </c>
    </row>
    <row r="7" spans="1:18" x14ac:dyDescent="0.25">
      <c r="A7" s="74">
        <v>2</v>
      </c>
      <c r="B7" s="74" t="s">
        <v>0</v>
      </c>
      <c r="C7" s="3">
        <v>219764</v>
      </c>
      <c r="D7" s="9">
        <v>2.3300000000000001E-2</v>
      </c>
      <c r="F7" s="3">
        <v>-2560</v>
      </c>
      <c r="G7" s="73">
        <f>ROUND(IF(D$5=1,-0.5*D7*C7,-D7*C7),0)</f>
        <v>-5121</v>
      </c>
      <c r="H7" s="73">
        <f t="shared" si="0"/>
        <v>-7681</v>
      </c>
      <c r="J7" s="19">
        <f t="shared" si="1"/>
        <v>212083</v>
      </c>
      <c r="O7" s="48">
        <v>2.0000000000000001E-4</v>
      </c>
      <c r="P7" s="19">
        <f>ROUND(IF(D$5=1,-0.5*O7*C7,-O7*C7),0)</f>
        <v>-44</v>
      </c>
    </row>
    <row r="8" spans="1:18" x14ac:dyDescent="0.25">
      <c r="A8" s="74">
        <v>3</v>
      </c>
      <c r="B8" s="74" t="s">
        <v>1</v>
      </c>
      <c r="C8" s="3">
        <v>249152</v>
      </c>
      <c r="D8" s="9">
        <v>2.69E-2</v>
      </c>
      <c r="F8" s="3">
        <v>-3351</v>
      </c>
      <c r="G8" s="73">
        <f>ROUND(IF(D$5=1,-0.5*D8*C8,-D8*C8),0)</f>
        <v>-6702</v>
      </c>
      <c r="H8" s="73">
        <f t="shared" si="0"/>
        <v>-10053</v>
      </c>
      <c r="J8" s="19">
        <f t="shared" si="1"/>
        <v>239099</v>
      </c>
      <c r="O8" s="48">
        <v>4.1999999999999997E-3</v>
      </c>
      <c r="P8" s="19">
        <f>ROUND(IF(D$5=1,-0.5*O8*C8,-O8*C8),0)</f>
        <v>-1046</v>
      </c>
    </row>
    <row r="9" spans="1:18" x14ac:dyDescent="0.25">
      <c r="A9" s="74">
        <v>4</v>
      </c>
      <c r="B9" s="74" t="s">
        <v>19</v>
      </c>
      <c r="C9" s="3">
        <v>0</v>
      </c>
      <c r="D9" s="9">
        <v>2.2499999999999999E-2</v>
      </c>
      <c r="F9" s="3">
        <v>0</v>
      </c>
      <c r="G9" s="73">
        <f>ROUND(IF(D$5=1,-0.5*D9*C9,-D9*C9),0)</f>
        <v>0</v>
      </c>
      <c r="H9" s="73">
        <f t="shared" si="0"/>
        <v>0</v>
      </c>
      <c r="J9" s="19">
        <f t="shared" si="1"/>
        <v>0</v>
      </c>
      <c r="O9" s="48">
        <v>0</v>
      </c>
      <c r="P9" s="19">
        <f>IF(D$5=1,-0.5*O9*C9,-O9*C9)</f>
        <v>0</v>
      </c>
    </row>
    <row r="10" spans="1:18" x14ac:dyDescent="0.25">
      <c r="A10" s="74">
        <v>5</v>
      </c>
      <c r="B10" s="74" t="s">
        <v>18</v>
      </c>
      <c r="C10" s="3">
        <v>0</v>
      </c>
      <c r="D10" s="9">
        <v>2.0500000000000001E-2</v>
      </c>
      <c r="F10" s="3">
        <v>0</v>
      </c>
      <c r="G10" s="73">
        <f>ROUND(IF(D$5=1,-0.5*D10*C10,-D10*C10),0)</f>
        <v>0</v>
      </c>
      <c r="H10" s="73">
        <f t="shared" si="0"/>
        <v>0</v>
      </c>
      <c r="J10" s="19">
        <f t="shared" si="1"/>
        <v>0</v>
      </c>
      <c r="O10" s="48">
        <v>0</v>
      </c>
      <c r="P10" s="19">
        <f>IF(D$5=1,-0.5*O10*C10,-O10*C10)</f>
        <v>0</v>
      </c>
    </row>
    <row r="11" spans="1:18" x14ac:dyDescent="0.25">
      <c r="A11" s="74">
        <v>6</v>
      </c>
      <c r="B11" s="74" t="s">
        <v>63</v>
      </c>
      <c r="C11" s="5">
        <v>393216</v>
      </c>
      <c r="D11" s="10" t="s">
        <v>62</v>
      </c>
      <c r="F11" s="5">
        <v>-661</v>
      </c>
      <c r="G11" s="76">
        <f>P12</f>
        <v>-1323</v>
      </c>
      <c r="H11" s="76">
        <f t="shared" si="0"/>
        <v>-1984</v>
      </c>
      <c r="J11" s="21">
        <f t="shared" si="1"/>
        <v>391232</v>
      </c>
      <c r="O11" s="87">
        <v>0</v>
      </c>
      <c r="P11" s="21">
        <f>IF(D$5=1,-0.5*O11*C11,-O11*C11)</f>
        <v>0</v>
      </c>
    </row>
    <row r="12" spans="1:18" x14ac:dyDescent="0.25">
      <c r="C12" s="73">
        <f>SUM(C6:C11)</f>
        <v>3190348</v>
      </c>
      <c r="D12" s="73"/>
      <c r="F12" s="3">
        <f>SUM(F5:F11)</f>
        <v>-42659</v>
      </c>
      <c r="G12" s="73">
        <f>SUM(G5:G11)</f>
        <v>-85321</v>
      </c>
      <c r="H12" s="73">
        <f>SUM(H5:H11)</f>
        <v>-127980</v>
      </c>
      <c r="J12" s="19">
        <f>SUM(J6:J11)</f>
        <v>3062368</v>
      </c>
      <c r="O12" s="19"/>
      <c r="P12" s="72">
        <f>SUM(P5:P11)</f>
        <v>-1323</v>
      </c>
    </row>
    <row r="13" spans="1:18" ht="14.25" customHeight="1" x14ac:dyDescent="0.25">
      <c r="C13" s="73"/>
      <c r="D13" s="73"/>
      <c r="E13" s="73"/>
      <c r="F13" s="73"/>
      <c r="M13" s="71"/>
      <c r="N13" s="75"/>
    </row>
    <row r="14" spans="1:18" x14ac:dyDescent="0.25">
      <c r="M14" s="71"/>
      <c r="N14" s="75"/>
    </row>
    <row r="15" spans="1:18" x14ac:dyDescent="0.25">
      <c r="D15" s="71"/>
    </row>
    <row r="16" spans="1:18" x14ac:dyDescent="0.25">
      <c r="C16" s="75"/>
      <c r="D16" s="71" t="s">
        <v>29</v>
      </c>
      <c r="E16" s="75"/>
      <c r="F16" s="75"/>
      <c r="G16" s="51">
        <v>0.5</v>
      </c>
      <c r="H16" s="75"/>
      <c r="J16" s="52"/>
      <c r="K16" s="71" t="s">
        <v>24</v>
      </c>
      <c r="L16" s="100" t="s">
        <v>36</v>
      </c>
      <c r="M16" s="100"/>
      <c r="N16" s="100"/>
      <c r="O16" s="100"/>
      <c r="P16" s="100"/>
      <c r="R16" s="86" t="s">
        <v>15</v>
      </c>
    </row>
    <row r="17" spans="1:18" x14ac:dyDescent="0.25">
      <c r="C17" s="71" t="s">
        <v>34</v>
      </c>
      <c r="D17" s="71" t="s">
        <v>17</v>
      </c>
      <c r="E17" s="71" t="s">
        <v>15</v>
      </c>
      <c r="F17" s="71" t="s">
        <v>15</v>
      </c>
      <c r="G17" s="71" t="s">
        <v>28</v>
      </c>
      <c r="H17" s="71" t="s">
        <v>32</v>
      </c>
      <c r="J17" s="71"/>
      <c r="K17" s="71" t="s">
        <v>27</v>
      </c>
      <c r="L17" s="71"/>
      <c r="M17" s="71" t="s">
        <v>15</v>
      </c>
      <c r="N17" s="71" t="s">
        <v>28</v>
      </c>
      <c r="O17" s="71" t="s">
        <v>24</v>
      </c>
      <c r="P17" s="71"/>
      <c r="R17" s="71" t="s">
        <v>42</v>
      </c>
    </row>
    <row r="18" spans="1:18" x14ac:dyDescent="0.25">
      <c r="C18" s="92" t="s">
        <v>21</v>
      </c>
      <c r="D18" s="92" t="s">
        <v>30</v>
      </c>
      <c r="E18" s="92" t="s">
        <v>17</v>
      </c>
      <c r="F18" s="92" t="s">
        <v>31</v>
      </c>
      <c r="G18" s="92" t="s">
        <v>2</v>
      </c>
      <c r="H18" s="92" t="s">
        <v>33</v>
      </c>
      <c r="J18" s="92" t="s">
        <v>20</v>
      </c>
      <c r="K18" s="92">
        <f>D5</f>
        <v>2</v>
      </c>
      <c r="L18" s="92" t="s">
        <v>22</v>
      </c>
      <c r="M18" s="92" t="s">
        <v>17</v>
      </c>
      <c r="N18" s="92" t="s">
        <v>16</v>
      </c>
      <c r="O18" s="92" t="s">
        <v>16</v>
      </c>
      <c r="P18" s="92" t="s">
        <v>23</v>
      </c>
      <c r="R18" s="92" t="s">
        <v>43</v>
      </c>
    </row>
    <row r="19" spans="1:18" x14ac:dyDescent="0.25">
      <c r="A19" s="74">
        <v>7</v>
      </c>
      <c r="B19" s="74" t="s">
        <v>48</v>
      </c>
      <c r="C19" s="73">
        <f t="shared" ref="C19:C24" si="2">C6</f>
        <v>2328216</v>
      </c>
      <c r="D19" s="12">
        <v>0.96899999999999997</v>
      </c>
      <c r="E19" s="73">
        <f>ROUND(C19*-D19,0)</f>
        <v>-2256041</v>
      </c>
      <c r="F19" s="19">
        <f>C19+E19</f>
        <v>72175</v>
      </c>
      <c r="G19" s="19">
        <f t="shared" ref="G19:G24" si="3">ROUND(F19*-$G$16,0)</f>
        <v>-36088</v>
      </c>
      <c r="H19" s="53">
        <f t="shared" ref="H19:H24" si="4">F19+G19</f>
        <v>36087</v>
      </c>
      <c r="J19" s="74">
        <v>15</v>
      </c>
      <c r="K19" s="54">
        <f>IFERROR(VLOOKUP(J19,'Tax Rates'!$A$1:$Z$12,$K$18+1,FALSE),0)</f>
        <v>9.5000000000000001E-2</v>
      </c>
      <c r="L19" s="55">
        <v>-2293933</v>
      </c>
      <c r="M19" s="19">
        <v>0</v>
      </c>
      <c r="N19" s="19">
        <v>0</v>
      </c>
      <c r="O19" s="73">
        <f>ROUND(K19*-H19,0)</f>
        <v>-3428</v>
      </c>
      <c r="P19" s="56">
        <f t="shared" ref="P19:P24" si="5">SUM(L19:O19)</f>
        <v>-2297361</v>
      </c>
      <c r="R19" s="19">
        <f>C19+P19</f>
        <v>30855</v>
      </c>
    </row>
    <row r="20" spans="1:18" x14ac:dyDescent="0.25">
      <c r="A20" s="74">
        <v>8</v>
      </c>
      <c r="B20" s="74" t="s">
        <v>0</v>
      </c>
      <c r="C20" s="79">
        <f t="shared" si="2"/>
        <v>219764</v>
      </c>
      <c r="D20" s="14">
        <f>-E20/C20</f>
        <v>7.5003185235070352E-2</v>
      </c>
      <c r="E20" s="3">
        <v>-16483</v>
      </c>
      <c r="F20" s="19">
        <f>C20+E20</f>
        <v>203281</v>
      </c>
      <c r="G20" s="19">
        <f t="shared" si="3"/>
        <v>-101641</v>
      </c>
      <c r="H20" s="53">
        <f t="shared" si="4"/>
        <v>101640</v>
      </c>
      <c r="J20" s="74">
        <v>15</v>
      </c>
      <c r="K20" s="54">
        <f>IFERROR(VLOOKUP(J20,'Tax Rates'!$A$1:$Z$12,$K$18+1,FALSE),0)</f>
        <v>9.5000000000000001E-2</v>
      </c>
      <c r="L20" s="55">
        <v>-123206</v>
      </c>
      <c r="M20" s="19">
        <v>0</v>
      </c>
      <c r="N20" s="19">
        <v>0</v>
      </c>
      <c r="O20" s="73">
        <f>ROUND(K20*-H20,0)</f>
        <v>-9656</v>
      </c>
      <c r="P20" s="56">
        <f t="shared" si="5"/>
        <v>-132862</v>
      </c>
      <c r="R20" s="19">
        <f>C20+P20</f>
        <v>86902</v>
      </c>
    </row>
    <row r="21" spans="1:18" x14ac:dyDescent="0.25">
      <c r="A21" s="74">
        <v>9</v>
      </c>
      <c r="B21" s="74" t="s">
        <v>1</v>
      </c>
      <c r="C21" s="79">
        <f t="shared" si="2"/>
        <v>249152</v>
      </c>
      <c r="D21" s="12">
        <v>1</v>
      </c>
      <c r="E21" s="73">
        <f>ROUND(C21*-D21,0)</f>
        <v>-249152</v>
      </c>
      <c r="F21" s="19">
        <f>C21+E21</f>
        <v>0</v>
      </c>
      <c r="G21" s="20">
        <f t="shared" si="3"/>
        <v>0</v>
      </c>
      <c r="H21" s="53">
        <f t="shared" si="4"/>
        <v>0</v>
      </c>
      <c r="J21" s="74">
        <v>20</v>
      </c>
      <c r="K21" s="54">
        <f>IFERROR(VLOOKUP(J21,'Tax Rates'!$A$1:$Z$12,$K$18+1,FALSE),0)</f>
        <v>7.2190000000000004E-2</v>
      </c>
      <c r="L21" s="55">
        <v>-249152</v>
      </c>
      <c r="M21" s="19">
        <v>0</v>
      </c>
      <c r="N21" s="19">
        <f t="shared" ref="N21:N24" si="6">G21</f>
        <v>0</v>
      </c>
      <c r="O21" s="73">
        <f>ROUND(K21*-H21,0)</f>
        <v>0</v>
      </c>
      <c r="P21" s="56">
        <f t="shared" si="5"/>
        <v>-249152</v>
      </c>
      <c r="R21" s="19">
        <f>C21+P21</f>
        <v>0</v>
      </c>
    </row>
    <row r="22" spans="1:18" x14ac:dyDescent="0.25">
      <c r="A22" s="74">
        <v>10</v>
      </c>
      <c r="B22" s="74" t="s">
        <v>19</v>
      </c>
      <c r="C22" s="79">
        <f t="shared" si="2"/>
        <v>0</v>
      </c>
      <c r="D22" s="12">
        <v>0</v>
      </c>
      <c r="E22" s="73">
        <f>ROUND(C22*-D22,0)</f>
        <v>0</v>
      </c>
      <c r="F22" s="19">
        <f>C22+E22</f>
        <v>0</v>
      </c>
      <c r="G22" s="20">
        <f t="shared" si="3"/>
        <v>0</v>
      </c>
      <c r="H22" s="53">
        <f t="shared" si="4"/>
        <v>0</v>
      </c>
      <c r="J22" s="74">
        <v>7</v>
      </c>
      <c r="K22" s="54">
        <f>IFERROR(VLOOKUP(J22,'Tax Rates'!$A$1:$Z$12,$K$18+1,FALSE),0)</f>
        <v>0.24490000000000001</v>
      </c>
      <c r="L22" s="55">
        <v>0</v>
      </c>
      <c r="M22" s="19">
        <f t="shared" ref="M22:M24" si="7">E22</f>
        <v>0</v>
      </c>
      <c r="N22" s="19">
        <f t="shared" si="6"/>
        <v>0</v>
      </c>
      <c r="O22" s="73">
        <f>ROUND(K22*-H22,0)</f>
        <v>0</v>
      </c>
      <c r="P22" s="56">
        <f t="shared" si="5"/>
        <v>0</v>
      </c>
      <c r="R22" s="19">
        <f>C22+P22</f>
        <v>0</v>
      </c>
    </row>
    <row r="23" spans="1:18" x14ac:dyDescent="0.25">
      <c r="A23" s="74">
        <v>11</v>
      </c>
      <c r="B23" s="74" t="s">
        <v>18</v>
      </c>
      <c r="C23" s="79">
        <f t="shared" si="2"/>
        <v>0</v>
      </c>
      <c r="D23" s="12">
        <v>0</v>
      </c>
      <c r="E23" s="73">
        <f>ROUND(C23*-D23,0)</f>
        <v>0</v>
      </c>
      <c r="F23" s="19">
        <f>C23+E23</f>
        <v>0</v>
      </c>
      <c r="G23" s="20">
        <f t="shared" si="3"/>
        <v>0</v>
      </c>
      <c r="H23" s="53">
        <f t="shared" si="4"/>
        <v>0</v>
      </c>
      <c r="J23" s="74">
        <v>15</v>
      </c>
      <c r="K23" s="54">
        <f>IFERROR(VLOOKUP(J23,'Tax Rates'!$A$1:$Z$12,$K$18+1,FALSE),0)</f>
        <v>9.5000000000000001E-2</v>
      </c>
      <c r="L23" s="55">
        <v>0</v>
      </c>
      <c r="M23" s="19">
        <f t="shared" si="7"/>
        <v>0</v>
      </c>
      <c r="N23" s="19">
        <f t="shared" si="6"/>
        <v>0</v>
      </c>
      <c r="O23" s="73">
        <f>ROUND(K23*-H23,0)</f>
        <v>0</v>
      </c>
      <c r="P23" s="56">
        <f t="shared" si="5"/>
        <v>0</v>
      </c>
      <c r="R23" s="19">
        <f>C23+P23</f>
        <v>0</v>
      </c>
    </row>
    <row r="24" spans="1:18" x14ac:dyDescent="0.25">
      <c r="A24" s="74">
        <v>12</v>
      </c>
      <c r="B24" s="74" t="s">
        <v>63</v>
      </c>
      <c r="C24" s="76">
        <f t="shared" si="2"/>
        <v>393216</v>
      </c>
      <c r="D24" s="13" t="s">
        <v>64</v>
      </c>
      <c r="E24" s="76">
        <v>0</v>
      </c>
      <c r="F24" s="21">
        <v>0</v>
      </c>
      <c r="G24" s="21">
        <f t="shared" si="3"/>
        <v>0</v>
      </c>
      <c r="H24" s="57">
        <f t="shared" si="4"/>
        <v>0</v>
      </c>
      <c r="J24" s="58" t="s">
        <v>64</v>
      </c>
      <c r="K24" s="59" t="s">
        <v>64</v>
      </c>
      <c r="L24" s="60">
        <v>0</v>
      </c>
      <c r="M24" s="21">
        <f t="shared" si="7"/>
        <v>0</v>
      </c>
      <c r="N24" s="61">
        <f t="shared" si="6"/>
        <v>0</v>
      </c>
      <c r="O24" s="76">
        <v>0</v>
      </c>
      <c r="P24" s="62">
        <f t="shared" si="5"/>
        <v>0</v>
      </c>
      <c r="R24" s="63" t="s">
        <v>64</v>
      </c>
    </row>
    <row r="25" spans="1:18" x14ac:dyDescent="0.25">
      <c r="C25" s="73">
        <f>SUM(C18:C24)</f>
        <v>3190348</v>
      </c>
      <c r="E25" s="73">
        <f>SUM(E19:E24)</f>
        <v>-2521676</v>
      </c>
      <c r="F25" s="73">
        <f>SUM(F19:F24)</f>
        <v>275456</v>
      </c>
      <c r="G25" s="73">
        <f>SUM(G19:G24)</f>
        <v>-137729</v>
      </c>
      <c r="H25" s="56">
        <f>SUM(H19:H24)</f>
        <v>137727</v>
      </c>
      <c r="L25" s="56">
        <f>SUM(L19:L24)</f>
        <v>-2666291</v>
      </c>
      <c r="M25" s="73">
        <f>SUM(M19:M24)</f>
        <v>0</v>
      </c>
      <c r="N25" s="73">
        <f>SUM(N19:N24)</f>
        <v>0</v>
      </c>
      <c r="O25" s="73">
        <f>SUM(O19:O24)</f>
        <v>-13084</v>
      </c>
      <c r="P25" s="56">
        <f>SUM(P19:P24)</f>
        <v>-2679375</v>
      </c>
      <c r="R25" s="19">
        <f>SUM(R19:R24)</f>
        <v>117757</v>
      </c>
    </row>
    <row r="26" spans="1:18" x14ac:dyDescent="0.25">
      <c r="C26" s="73"/>
      <c r="E26" s="73"/>
      <c r="F26" s="73"/>
      <c r="G26" s="73"/>
      <c r="H26" s="56"/>
      <c r="J26" s="56"/>
      <c r="K26" s="73"/>
      <c r="L26" s="73"/>
      <c r="M26" s="73"/>
      <c r="N26" s="56"/>
    </row>
    <row r="28" spans="1:18" x14ac:dyDescent="0.25">
      <c r="E28" s="73"/>
      <c r="F28" s="86" t="s">
        <v>49</v>
      </c>
      <c r="H28" s="64"/>
    </row>
    <row r="29" spans="1:18" x14ac:dyDescent="0.25">
      <c r="D29" s="100" t="s">
        <v>38</v>
      </c>
      <c r="E29" s="100"/>
      <c r="F29" s="86" t="s">
        <v>40</v>
      </c>
      <c r="G29" s="86" t="s">
        <v>61</v>
      </c>
      <c r="H29" s="71" t="s">
        <v>39</v>
      </c>
    </row>
    <row r="30" spans="1:18" x14ac:dyDescent="0.25">
      <c r="D30" s="92" t="s">
        <v>34</v>
      </c>
      <c r="E30" s="92" t="s">
        <v>15</v>
      </c>
      <c r="F30" s="92" t="s">
        <v>41</v>
      </c>
      <c r="G30" s="92" t="s">
        <v>14</v>
      </c>
      <c r="H30" s="92" t="s">
        <v>3</v>
      </c>
    </row>
    <row r="31" spans="1:18" x14ac:dyDescent="0.25">
      <c r="A31" s="74">
        <v>13</v>
      </c>
      <c r="B31" s="74" t="s">
        <v>48</v>
      </c>
      <c r="D31" s="19">
        <f t="shared" ref="D31:D36" si="8">J6</f>
        <v>2219954</v>
      </c>
      <c r="E31" s="19">
        <f t="shared" ref="E31:E36" si="9">R19</f>
        <v>30855</v>
      </c>
      <c r="F31" s="19">
        <f>E31-D31</f>
        <v>-2189099</v>
      </c>
      <c r="G31" s="95">
        <v>0.37959999999999999</v>
      </c>
      <c r="H31" s="19">
        <f>ROUND(F31*0.3796,0)</f>
        <v>-830982</v>
      </c>
    </row>
    <row r="32" spans="1:18" x14ac:dyDescent="0.25">
      <c r="A32" s="74">
        <v>14</v>
      </c>
      <c r="B32" s="74" t="s">
        <v>0</v>
      </c>
      <c r="D32" s="20">
        <f t="shared" si="8"/>
        <v>212083</v>
      </c>
      <c r="E32" s="19">
        <f t="shared" si="9"/>
        <v>86902</v>
      </c>
      <c r="F32" s="19">
        <f>E32-D32</f>
        <v>-125181</v>
      </c>
      <c r="G32" s="64">
        <f>G31</f>
        <v>0.37959999999999999</v>
      </c>
      <c r="H32" s="19">
        <f t="shared" ref="H32:H36" si="10">ROUND(F32*0.3796,0)</f>
        <v>-47519</v>
      </c>
    </row>
    <row r="33" spans="1:8" x14ac:dyDescent="0.25">
      <c r="A33" s="74">
        <v>15</v>
      </c>
      <c r="B33" s="74" t="s">
        <v>1</v>
      </c>
      <c r="D33" s="20">
        <f t="shared" si="8"/>
        <v>239099</v>
      </c>
      <c r="E33" s="19">
        <f t="shared" si="9"/>
        <v>0</v>
      </c>
      <c r="F33" s="19">
        <f>E33-D33</f>
        <v>-239099</v>
      </c>
      <c r="G33" s="64">
        <f>G31</f>
        <v>0.37959999999999999</v>
      </c>
      <c r="H33" s="19">
        <f t="shared" si="10"/>
        <v>-90762</v>
      </c>
    </row>
    <row r="34" spans="1:8" x14ac:dyDescent="0.25">
      <c r="A34" s="74">
        <v>16</v>
      </c>
      <c r="B34" s="74" t="s">
        <v>19</v>
      </c>
      <c r="D34" s="20">
        <f t="shared" si="8"/>
        <v>0</v>
      </c>
      <c r="E34" s="19">
        <f t="shared" si="9"/>
        <v>0</v>
      </c>
      <c r="F34" s="19">
        <f>E34-D34</f>
        <v>0</v>
      </c>
      <c r="G34" s="64">
        <f>G31</f>
        <v>0.37959999999999999</v>
      </c>
      <c r="H34" s="19">
        <f t="shared" si="10"/>
        <v>0</v>
      </c>
    </row>
    <row r="35" spans="1:8" x14ac:dyDescent="0.25">
      <c r="A35" s="74">
        <v>17</v>
      </c>
      <c r="B35" s="74" t="s">
        <v>18</v>
      </c>
      <c r="D35" s="20">
        <f t="shared" si="8"/>
        <v>0</v>
      </c>
      <c r="E35" s="19">
        <f t="shared" si="9"/>
        <v>0</v>
      </c>
      <c r="F35" s="19">
        <f>E35-D35</f>
        <v>0</v>
      </c>
      <c r="G35" s="64">
        <f>G31</f>
        <v>0.37959999999999999</v>
      </c>
      <c r="H35" s="19">
        <f t="shared" si="10"/>
        <v>0</v>
      </c>
    </row>
    <row r="36" spans="1:8" x14ac:dyDescent="0.25">
      <c r="A36" s="74">
        <v>18</v>
      </c>
      <c r="B36" s="74" t="s">
        <v>63</v>
      </c>
      <c r="D36" s="21">
        <f t="shared" si="8"/>
        <v>391232</v>
      </c>
      <c r="E36" s="63" t="str">
        <f t="shared" si="9"/>
        <v>NA</v>
      </c>
      <c r="F36" s="21">
        <f>-D36</f>
        <v>-391232</v>
      </c>
      <c r="G36" s="65">
        <f>G31</f>
        <v>0.37959999999999999</v>
      </c>
      <c r="H36" s="21">
        <f t="shared" si="10"/>
        <v>-148512</v>
      </c>
    </row>
    <row r="37" spans="1:8" x14ac:dyDescent="0.25">
      <c r="D37" s="19">
        <f>SUM(D31:D36)</f>
        <v>3062368</v>
      </c>
      <c r="E37" s="19">
        <f>SUM(E31:E36)</f>
        <v>117757</v>
      </c>
      <c r="F37" s="19">
        <f>SUM(F31:F36)</f>
        <v>-2944611</v>
      </c>
      <c r="H37" s="19">
        <f>SUM(H31:H36)</f>
        <v>-1117775</v>
      </c>
    </row>
    <row r="39" spans="1:8" x14ac:dyDescent="0.25">
      <c r="A39" s="67" t="s">
        <v>71</v>
      </c>
      <c r="B39" s="74" t="s">
        <v>74</v>
      </c>
    </row>
    <row r="40" spans="1:8" x14ac:dyDescent="0.25">
      <c r="A40" s="67" t="s">
        <v>72</v>
      </c>
      <c r="B40" s="74" t="s">
        <v>73</v>
      </c>
    </row>
  </sheetData>
  <mergeCells count="3">
    <mergeCell ref="F2:H2"/>
    <mergeCell ref="L16:P16"/>
    <mergeCell ref="D29:E29"/>
  </mergeCells>
  <pageMargins left="0.7" right="0.7" top="0.75" bottom="0.75" header="0.3" footer="0.3"/>
  <pageSetup scale="60" orientation="landscape" verticalDpi="0" r:id="rId1"/>
  <headerFooter>
    <oddHeader>&amp;RSchedule II - 2016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Normal="100" workbookViewId="0">
      <selection activeCell="P9" sqref="P9"/>
    </sheetView>
  </sheetViews>
  <sheetFormatPr defaultColWidth="9.140625" defaultRowHeight="15" x14ac:dyDescent="0.25"/>
  <cols>
    <col min="1" max="1" width="14.42578125" style="74" customWidth="1"/>
    <col min="2" max="2" width="18.5703125" style="74" bestFit="1" customWidth="1"/>
    <col min="3" max="4" width="12.7109375" style="74" customWidth="1"/>
    <col min="5" max="5" width="11.28515625" style="74" bestFit="1" customWidth="1"/>
    <col min="6" max="6" width="12.7109375" style="74" customWidth="1"/>
    <col min="7" max="7" width="12.42578125" style="74" bestFit="1" customWidth="1"/>
    <col min="8" max="8" width="13.140625" style="74" bestFit="1" customWidth="1"/>
    <col min="9" max="9" width="2.7109375" style="74" customWidth="1"/>
    <col min="10" max="10" width="10.7109375" style="74" customWidth="1"/>
    <col min="11" max="11" width="8.140625" style="74" bestFit="1" customWidth="1"/>
    <col min="12" max="12" width="12.7109375" style="74" customWidth="1"/>
    <col min="13" max="14" width="11.28515625" style="74" bestFit="1" customWidth="1"/>
    <col min="15" max="15" width="8.42578125" style="74" bestFit="1" customWidth="1"/>
    <col min="16" max="16" width="11.28515625" style="74" bestFit="1" customWidth="1"/>
    <col min="17" max="17" width="2.7109375" style="74" customWidth="1"/>
    <col min="18" max="18" width="13.7109375" style="74" bestFit="1" customWidth="1"/>
    <col min="19" max="19" width="7.7109375" style="74" bestFit="1" customWidth="1"/>
    <col min="20" max="20" width="7.42578125" style="74" bestFit="1" customWidth="1"/>
    <col min="21" max="16384" width="9.140625" style="74"/>
  </cols>
  <sheetData>
    <row r="1" spans="1:18" x14ac:dyDescent="0.25">
      <c r="A1" s="77" t="s">
        <v>26</v>
      </c>
      <c r="B1" s="43">
        <v>2017</v>
      </c>
    </row>
    <row r="2" spans="1:18" x14ac:dyDescent="0.25">
      <c r="A2" s="77" t="s">
        <v>47</v>
      </c>
      <c r="D2" s="66" t="s">
        <v>71</v>
      </c>
      <c r="F2" s="100" t="s">
        <v>35</v>
      </c>
      <c r="G2" s="100"/>
      <c r="H2" s="100"/>
    </row>
    <row r="3" spans="1:18" x14ac:dyDescent="0.25">
      <c r="D3" s="71" t="s">
        <v>37</v>
      </c>
      <c r="F3" s="75"/>
      <c r="G3" s="66" t="s">
        <v>72</v>
      </c>
      <c r="H3" s="75"/>
      <c r="J3" s="86" t="s">
        <v>34</v>
      </c>
    </row>
    <row r="4" spans="1:18" x14ac:dyDescent="0.25">
      <c r="C4" s="71">
        <v>2016</v>
      </c>
      <c r="D4" s="71" t="s">
        <v>25</v>
      </c>
      <c r="F4" s="71"/>
      <c r="G4" s="71" t="s">
        <v>2</v>
      </c>
      <c r="H4" s="71"/>
      <c r="J4" s="71" t="s">
        <v>42</v>
      </c>
      <c r="O4" s="71" t="s">
        <v>70</v>
      </c>
      <c r="P4" s="71" t="s">
        <v>70</v>
      </c>
    </row>
    <row r="5" spans="1:18" x14ac:dyDescent="0.25">
      <c r="C5" s="93" t="s">
        <v>21</v>
      </c>
      <c r="D5" s="47">
        <v>1</v>
      </c>
      <c r="F5" s="93" t="s">
        <v>22</v>
      </c>
      <c r="G5" s="93" t="s">
        <v>17</v>
      </c>
      <c r="H5" s="93" t="s">
        <v>23</v>
      </c>
      <c r="J5" s="93" t="s">
        <v>43</v>
      </c>
      <c r="O5" s="93" t="s">
        <v>14</v>
      </c>
      <c r="P5" s="93" t="s">
        <v>16</v>
      </c>
    </row>
    <row r="6" spans="1:18" x14ac:dyDescent="0.25">
      <c r="A6" s="74">
        <v>1</v>
      </c>
      <c r="B6" s="74" t="s">
        <v>48</v>
      </c>
      <c r="C6" s="3">
        <v>1891971</v>
      </c>
      <c r="D6" s="9">
        <v>3.1E-2</v>
      </c>
      <c r="F6" s="3">
        <v>0</v>
      </c>
      <c r="G6" s="73">
        <f>ROUND(IF(D$5=1,-0.5*D6*C6,-D6*C6),0)</f>
        <v>-29326</v>
      </c>
      <c r="H6" s="73">
        <f t="shared" ref="H6:H11" si="0">SUM(F6:G6)</f>
        <v>-29326</v>
      </c>
      <c r="J6" s="19">
        <f t="shared" ref="J6:J11" si="1">C6+H6</f>
        <v>1862645</v>
      </c>
      <c r="O6" s="48">
        <v>1E-4</v>
      </c>
      <c r="P6" s="72">
        <f>ROUND(IF(D$5=1,-0.5*O6*C6,-O6*C6),0)</f>
        <v>-95</v>
      </c>
    </row>
    <row r="7" spans="1:18" x14ac:dyDescent="0.25">
      <c r="A7" s="74">
        <v>2</v>
      </c>
      <c r="B7" s="74" t="s">
        <v>0</v>
      </c>
      <c r="C7" s="3">
        <v>90359</v>
      </c>
      <c r="D7" s="9">
        <v>2.3300000000000001E-2</v>
      </c>
      <c r="F7" s="3">
        <v>0</v>
      </c>
      <c r="G7" s="73">
        <f>ROUND(IF(D$5=1,-0.5*D7*C7,-D7*C7),0)</f>
        <v>-1053</v>
      </c>
      <c r="H7" s="73">
        <f t="shared" si="0"/>
        <v>-1053</v>
      </c>
      <c r="J7" s="19">
        <f t="shared" si="1"/>
        <v>89306</v>
      </c>
      <c r="O7" s="48">
        <v>2.0000000000000001E-4</v>
      </c>
      <c r="P7" s="19">
        <f>ROUND(IF(D$5=1,-0.5*O7*C7,-O7*C7),0)</f>
        <v>-9</v>
      </c>
    </row>
    <row r="8" spans="1:18" x14ac:dyDescent="0.25">
      <c r="A8" s="74">
        <v>3</v>
      </c>
      <c r="B8" s="74" t="s">
        <v>1</v>
      </c>
      <c r="C8" s="3">
        <v>185093</v>
      </c>
      <c r="D8" s="9">
        <v>2.69E-2</v>
      </c>
      <c r="F8" s="3">
        <v>0</v>
      </c>
      <c r="G8" s="73">
        <f>ROUND(IF(D$5=1,-0.5*D8*C8,-D8*C8),0)</f>
        <v>-2490</v>
      </c>
      <c r="H8" s="73">
        <f t="shared" si="0"/>
        <v>-2490</v>
      </c>
      <c r="J8" s="19">
        <f t="shared" si="1"/>
        <v>182603</v>
      </c>
      <c r="O8" s="48">
        <v>4.1999999999999997E-3</v>
      </c>
      <c r="P8" s="19">
        <f>ROUND(IF(D$5=1,-0.5*O8*C8,-O8*C8),0)</f>
        <v>-389</v>
      </c>
    </row>
    <row r="9" spans="1:18" x14ac:dyDescent="0.25">
      <c r="A9" s="74">
        <v>4</v>
      </c>
      <c r="B9" s="74" t="s">
        <v>19</v>
      </c>
      <c r="C9" s="3">
        <v>0</v>
      </c>
      <c r="D9" s="9">
        <v>2.2499999999999999E-2</v>
      </c>
      <c r="F9" s="3">
        <v>0</v>
      </c>
      <c r="G9" s="73">
        <f>ROUND(IF(D$5=1,-0.5*D9*C9,-D9*C9),0)</f>
        <v>0</v>
      </c>
      <c r="H9" s="73">
        <f t="shared" si="0"/>
        <v>0</v>
      </c>
      <c r="J9" s="19">
        <f t="shared" si="1"/>
        <v>0</v>
      </c>
      <c r="O9" s="48">
        <v>0</v>
      </c>
      <c r="P9" s="19">
        <f>IF(D$5=1,-0.5*O9*C9,-O9*C9)</f>
        <v>0</v>
      </c>
    </row>
    <row r="10" spans="1:18" x14ac:dyDescent="0.25">
      <c r="A10" s="74">
        <v>5</v>
      </c>
      <c r="B10" s="74" t="s">
        <v>18</v>
      </c>
      <c r="C10" s="3">
        <v>0</v>
      </c>
      <c r="D10" s="9">
        <v>2.0500000000000001E-2</v>
      </c>
      <c r="F10" s="3">
        <v>0</v>
      </c>
      <c r="G10" s="73">
        <f>ROUND(IF(D$5=1,-0.5*D10*C10,-D10*C10),0)</f>
        <v>0</v>
      </c>
      <c r="H10" s="73">
        <f t="shared" si="0"/>
        <v>0</v>
      </c>
      <c r="J10" s="19">
        <f t="shared" si="1"/>
        <v>0</v>
      </c>
      <c r="O10" s="48">
        <v>0</v>
      </c>
      <c r="P10" s="19">
        <f>IF(D$5=1,-0.5*O10*C10,-O10*C10)</f>
        <v>0</v>
      </c>
    </row>
    <row r="11" spans="1:18" x14ac:dyDescent="0.25">
      <c r="A11" s="74">
        <v>6</v>
      </c>
      <c r="B11" s="74" t="s">
        <v>63</v>
      </c>
      <c r="C11" s="5">
        <v>312527</v>
      </c>
      <c r="D11" s="10" t="s">
        <v>62</v>
      </c>
      <c r="F11" s="5">
        <v>0</v>
      </c>
      <c r="G11" s="76">
        <f>P12</f>
        <v>-493</v>
      </c>
      <c r="H11" s="76">
        <f t="shared" si="0"/>
        <v>-493</v>
      </c>
      <c r="J11" s="21">
        <f t="shared" si="1"/>
        <v>312034</v>
      </c>
      <c r="O11" s="87">
        <v>0</v>
      </c>
      <c r="P11" s="21">
        <f>IF(D$5=1,-0.5*O11*C11,-O11*C11)</f>
        <v>0</v>
      </c>
    </row>
    <row r="12" spans="1:18" x14ac:dyDescent="0.25">
      <c r="C12" s="73">
        <f>SUM(C6:C11)</f>
        <v>2479950</v>
      </c>
      <c r="D12" s="73"/>
      <c r="F12" s="3">
        <f>SUM(F5:F11)</f>
        <v>0</v>
      </c>
      <c r="G12" s="73">
        <f>SUM(G5:G11)</f>
        <v>-33362</v>
      </c>
      <c r="H12" s="73">
        <f>SUM(H5:H11)</f>
        <v>-33362</v>
      </c>
      <c r="J12" s="19">
        <f>SUM(J6:J11)</f>
        <v>2446588</v>
      </c>
      <c r="O12" s="19"/>
      <c r="P12" s="72">
        <f>SUM(P5:P11)</f>
        <v>-493</v>
      </c>
    </row>
    <row r="13" spans="1:18" ht="14.25" customHeight="1" x14ac:dyDescent="0.25">
      <c r="C13" s="73"/>
      <c r="D13" s="73"/>
      <c r="E13" s="73"/>
      <c r="F13" s="73"/>
      <c r="M13" s="71"/>
      <c r="N13" s="75"/>
    </row>
    <row r="14" spans="1:18" x14ac:dyDescent="0.25">
      <c r="M14" s="71"/>
      <c r="N14" s="75"/>
    </row>
    <row r="15" spans="1:18" x14ac:dyDescent="0.25">
      <c r="D15" s="71"/>
    </row>
    <row r="16" spans="1:18" x14ac:dyDescent="0.25">
      <c r="C16" s="75"/>
      <c r="D16" s="71" t="s">
        <v>29</v>
      </c>
      <c r="E16" s="75"/>
      <c r="F16" s="75"/>
      <c r="G16" s="51">
        <v>0.5</v>
      </c>
      <c r="H16" s="75"/>
      <c r="J16" s="52"/>
      <c r="K16" s="71" t="s">
        <v>24</v>
      </c>
      <c r="L16" s="100" t="s">
        <v>36</v>
      </c>
      <c r="M16" s="100"/>
      <c r="N16" s="100"/>
      <c r="O16" s="100"/>
      <c r="P16" s="100"/>
      <c r="R16" s="86" t="s">
        <v>15</v>
      </c>
    </row>
    <row r="17" spans="1:18" x14ac:dyDescent="0.25">
      <c r="C17" s="71" t="s">
        <v>34</v>
      </c>
      <c r="D17" s="71" t="s">
        <v>17</v>
      </c>
      <c r="E17" s="71" t="s">
        <v>15</v>
      </c>
      <c r="F17" s="71" t="s">
        <v>15</v>
      </c>
      <c r="G17" s="71" t="s">
        <v>28</v>
      </c>
      <c r="H17" s="71" t="s">
        <v>32</v>
      </c>
      <c r="J17" s="71"/>
      <c r="K17" s="71" t="s">
        <v>27</v>
      </c>
      <c r="L17" s="71"/>
      <c r="M17" s="71" t="s">
        <v>15</v>
      </c>
      <c r="N17" s="71" t="s">
        <v>28</v>
      </c>
      <c r="O17" s="71" t="s">
        <v>24</v>
      </c>
      <c r="P17" s="71"/>
      <c r="R17" s="71" t="s">
        <v>42</v>
      </c>
    </row>
    <row r="18" spans="1:18" x14ac:dyDescent="0.25">
      <c r="C18" s="93" t="s">
        <v>21</v>
      </c>
      <c r="D18" s="93" t="s">
        <v>30</v>
      </c>
      <c r="E18" s="93" t="s">
        <v>17</v>
      </c>
      <c r="F18" s="93" t="s">
        <v>31</v>
      </c>
      <c r="G18" s="93" t="s">
        <v>2</v>
      </c>
      <c r="H18" s="93" t="s">
        <v>33</v>
      </c>
      <c r="J18" s="93" t="s">
        <v>20</v>
      </c>
      <c r="K18" s="93">
        <f>D5</f>
        <v>1</v>
      </c>
      <c r="L18" s="93" t="s">
        <v>22</v>
      </c>
      <c r="M18" s="93" t="s">
        <v>17</v>
      </c>
      <c r="N18" s="93" t="s">
        <v>16</v>
      </c>
      <c r="O18" s="93" t="s">
        <v>16</v>
      </c>
      <c r="P18" s="93" t="s">
        <v>23</v>
      </c>
      <c r="R18" s="93" t="s">
        <v>43</v>
      </c>
    </row>
    <row r="19" spans="1:18" x14ac:dyDescent="0.25">
      <c r="A19" s="74">
        <v>7</v>
      </c>
      <c r="B19" s="74" t="s">
        <v>48</v>
      </c>
      <c r="C19" s="73">
        <f t="shared" ref="C19:C24" si="2">C6</f>
        <v>1891971</v>
      </c>
      <c r="D19" s="12">
        <v>0.98499999999999999</v>
      </c>
      <c r="E19" s="73">
        <f>ROUND(C19*-D19,0)</f>
        <v>-1863591</v>
      </c>
      <c r="F19" s="19">
        <f>C19+E19</f>
        <v>28380</v>
      </c>
      <c r="G19" s="19">
        <f t="shared" ref="G19:G24" si="3">ROUND(F19*-$G$16,0)</f>
        <v>-14190</v>
      </c>
      <c r="H19" s="53">
        <f t="shared" ref="H19:H24" si="4">F19+G19</f>
        <v>14190</v>
      </c>
      <c r="J19" s="74">
        <v>15</v>
      </c>
      <c r="K19" s="54">
        <f>IFERROR(VLOOKUP(J19,'Tax Rates'!$A$1:$Z$12,$K$18+1,FALSE),0)</f>
        <v>0.05</v>
      </c>
      <c r="L19" s="55">
        <v>0</v>
      </c>
      <c r="M19" s="19">
        <f t="shared" ref="M19:M24" si="5">E19</f>
        <v>-1863591</v>
      </c>
      <c r="N19" s="19">
        <f t="shared" ref="N19:N24" si="6">G19</f>
        <v>-14190</v>
      </c>
      <c r="O19" s="73">
        <f>ROUND(K19*-H19,0)</f>
        <v>-710</v>
      </c>
      <c r="P19" s="56">
        <f t="shared" ref="P19:P24" si="7">SUM(L19:O19)</f>
        <v>-1878491</v>
      </c>
      <c r="R19" s="19">
        <f>C19+P19</f>
        <v>13480</v>
      </c>
    </row>
    <row r="20" spans="1:18" x14ac:dyDescent="0.25">
      <c r="A20" s="74">
        <v>8</v>
      </c>
      <c r="B20" s="74" t="s">
        <v>0</v>
      </c>
      <c r="C20" s="79">
        <f t="shared" si="2"/>
        <v>90359</v>
      </c>
      <c r="D20" s="14">
        <f>-E20/C20</f>
        <v>0</v>
      </c>
      <c r="E20" s="3">
        <v>0</v>
      </c>
      <c r="F20" s="19">
        <f>C20+E20</f>
        <v>90359</v>
      </c>
      <c r="G20" s="19">
        <f t="shared" si="3"/>
        <v>-45180</v>
      </c>
      <c r="H20" s="53">
        <f t="shared" si="4"/>
        <v>45179</v>
      </c>
      <c r="J20" s="74">
        <v>15</v>
      </c>
      <c r="K20" s="54">
        <f>IFERROR(VLOOKUP(J20,'Tax Rates'!$A$1:$Z$12,$K$18+1,FALSE),0)</f>
        <v>0.05</v>
      </c>
      <c r="L20" s="55">
        <v>0</v>
      </c>
      <c r="M20" s="19">
        <f t="shared" si="5"/>
        <v>0</v>
      </c>
      <c r="N20" s="19">
        <f t="shared" si="6"/>
        <v>-45180</v>
      </c>
      <c r="O20" s="73">
        <f>ROUND(K20*-H20,0)</f>
        <v>-2259</v>
      </c>
      <c r="P20" s="56">
        <f t="shared" si="7"/>
        <v>-47439</v>
      </c>
      <c r="R20" s="19">
        <f>C20+P20</f>
        <v>42920</v>
      </c>
    </row>
    <row r="21" spans="1:18" x14ac:dyDescent="0.25">
      <c r="A21" s="74">
        <v>9</v>
      </c>
      <c r="B21" s="74" t="s">
        <v>1</v>
      </c>
      <c r="C21" s="79">
        <f t="shared" si="2"/>
        <v>185093</v>
      </c>
      <c r="D21" s="12">
        <v>1</v>
      </c>
      <c r="E21" s="73">
        <f>ROUND(C21*-D21,0)</f>
        <v>-185093</v>
      </c>
      <c r="F21" s="19">
        <f>C21+E21</f>
        <v>0</v>
      </c>
      <c r="G21" s="20">
        <f t="shared" si="3"/>
        <v>0</v>
      </c>
      <c r="H21" s="53">
        <f t="shared" si="4"/>
        <v>0</v>
      </c>
      <c r="J21" s="74">
        <v>20</v>
      </c>
      <c r="K21" s="54">
        <f>IFERROR(VLOOKUP(J21,'Tax Rates'!$A$1:$Z$12,$K$18+1,FALSE),0)</f>
        <v>3.7499999999999999E-2</v>
      </c>
      <c r="L21" s="55">
        <v>0</v>
      </c>
      <c r="M21" s="19">
        <f t="shared" si="5"/>
        <v>-185093</v>
      </c>
      <c r="N21" s="19">
        <f t="shared" si="6"/>
        <v>0</v>
      </c>
      <c r="O21" s="73">
        <f>ROUND(K21*-H21,0)</f>
        <v>0</v>
      </c>
      <c r="P21" s="56">
        <f t="shared" si="7"/>
        <v>-185093</v>
      </c>
      <c r="R21" s="19">
        <f>C21+P21</f>
        <v>0</v>
      </c>
    </row>
    <row r="22" spans="1:18" x14ac:dyDescent="0.25">
      <c r="A22" s="74">
        <v>10</v>
      </c>
      <c r="B22" s="74" t="s">
        <v>19</v>
      </c>
      <c r="C22" s="79">
        <f t="shared" si="2"/>
        <v>0</v>
      </c>
      <c r="D22" s="12">
        <v>0</v>
      </c>
      <c r="E22" s="73">
        <f>ROUND(C22*-D22,0)</f>
        <v>0</v>
      </c>
      <c r="F22" s="19">
        <f>C22+E22</f>
        <v>0</v>
      </c>
      <c r="G22" s="20">
        <f t="shared" si="3"/>
        <v>0</v>
      </c>
      <c r="H22" s="53">
        <f t="shared" si="4"/>
        <v>0</v>
      </c>
      <c r="J22" s="74">
        <v>7</v>
      </c>
      <c r="K22" s="54">
        <f>IFERROR(VLOOKUP(J22,'Tax Rates'!$A$1:$Z$12,$K$18+1,FALSE),0)</f>
        <v>0.14285999999999999</v>
      </c>
      <c r="L22" s="55">
        <v>0</v>
      </c>
      <c r="M22" s="19">
        <f t="shared" si="5"/>
        <v>0</v>
      </c>
      <c r="N22" s="19">
        <f t="shared" si="6"/>
        <v>0</v>
      </c>
      <c r="O22" s="73">
        <f>ROUND(K22*-H22,0)</f>
        <v>0</v>
      </c>
      <c r="P22" s="56">
        <f t="shared" si="7"/>
        <v>0</v>
      </c>
      <c r="R22" s="19">
        <f>C22+P22</f>
        <v>0</v>
      </c>
    </row>
    <row r="23" spans="1:18" x14ac:dyDescent="0.25">
      <c r="A23" s="74">
        <v>11</v>
      </c>
      <c r="B23" s="74" t="s">
        <v>18</v>
      </c>
      <c r="C23" s="79">
        <f t="shared" si="2"/>
        <v>0</v>
      </c>
      <c r="D23" s="12">
        <v>0</v>
      </c>
      <c r="E23" s="73">
        <f>ROUND(C23*-D23,0)</f>
        <v>0</v>
      </c>
      <c r="F23" s="19">
        <f>C23+E23</f>
        <v>0</v>
      </c>
      <c r="G23" s="20">
        <f t="shared" si="3"/>
        <v>0</v>
      </c>
      <c r="H23" s="53">
        <f t="shared" si="4"/>
        <v>0</v>
      </c>
      <c r="J23" s="74">
        <v>15</v>
      </c>
      <c r="K23" s="54">
        <f>IFERROR(VLOOKUP(J23,'Tax Rates'!$A$1:$Z$12,$K$18+1,FALSE),0)</f>
        <v>0.05</v>
      </c>
      <c r="L23" s="55">
        <v>0</v>
      </c>
      <c r="M23" s="19">
        <f t="shared" si="5"/>
        <v>0</v>
      </c>
      <c r="N23" s="19">
        <f t="shared" si="6"/>
        <v>0</v>
      </c>
      <c r="O23" s="73">
        <f>ROUND(K23*-H23,0)</f>
        <v>0</v>
      </c>
      <c r="P23" s="56">
        <f t="shared" si="7"/>
        <v>0</v>
      </c>
      <c r="R23" s="19">
        <f>C23+P23</f>
        <v>0</v>
      </c>
    </row>
    <row r="24" spans="1:18" x14ac:dyDescent="0.25">
      <c r="A24" s="74">
        <v>12</v>
      </c>
      <c r="B24" s="74" t="s">
        <v>63</v>
      </c>
      <c r="C24" s="76">
        <f t="shared" si="2"/>
        <v>312527</v>
      </c>
      <c r="D24" s="13" t="s">
        <v>64</v>
      </c>
      <c r="E24" s="76">
        <v>0</v>
      </c>
      <c r="F24" s="21">
        <v>0</v>
      </c>
      <c r="G24" s="21">
        <f t="shared" si="3"/>
        <v>0</v>
      </c>
      <c r="H24" s="57">
        <f t="shared" si="4"/>
        <v>0</v>
      </c>
      <c r="J24" s="58" t="s">
        <v>64</v>
      </c>
      <c r="K24" s="59" t="s">
        <v>64</v>
      </c>
      <c r="L24" s="60">
        <v>0</v>
      </c>
      <c r="M24" s="21">
        <f t="shared" si="5"/>
        <v>0</v>
      </c>
      <c r="N24" s="61">
        <f t="shared" si="6"/>
        <v>0</v>
      </c>
      <c r="O24" s="76">
        <v>0</v>
      </c>
      <c r="P24" s="62">
        <f t="shared" si="7"/>
        <v>0</v>
      </c>
      <c r="R24" s="63" t="s">
        <v>64</v>
      </c>
    </row>
    <row r="25" spans="1:18" x14ac:dyDescent="0.25">
      <c r="C25" s="73">
        <f>SUM(C18:C24)</f>
        <v>2479950</v>
      </c>
      <c r="E25" s="73">
        <f>SUM(E19:E24)</f>
        <v>-2048684</v>
      </c>
      <c r="F25" s="73">
        <f>SUM(F19:F24)</f>
        <v>118739</v>
      </c>
      <c r="G25" s="73">
        <f>SUM(G19:G24)</f>
        <v>-59370</v>
      </c>
      <c r="H25" s="56">
        <f>SUM(H19:H24)</f>
        <v>59369</v>
      </c>
      <c r="L25" s="56">
        <f>SUM(L19:L24)</f>
        <v>0</v>
      </c>
      <c r="M25" s="73">
        <f>SUM(M19:M24)</f>
        <v>-2048684</v>
      </c>
      <c r="N25" s="73">
        <f>SUM(N19:N24)</f>
        <v>-59370</v>
      </c>
      <c r="O25" s="73">
        <f>SUM(O19:O24)</f>
        <v>-2969</v>
      </c>
      <c r="P25" s="56">
        <f>SUM(P19:P24)</f>
        <v>-2111023</v>
      </c>
      <c r="R25" s="19">
        <f>SUM(R19:R24)</f>
        <v>56400</v>
      </c>
    </row>
    <row r="26" spans="1:18" x14ac:dyDescent="0.25">
      <c r="C26" s="73"/>
      <c r="E26" s="73"/>
      <c r="F26" s="73"/>
      <c r="G26" s="73"/>
      <c r="H26" s="56"/>
      <c r="J26" s="56"/>
      <c r="K26" s="73"/>
      <c r="L26" s="73"/>
      <c r="M26" s="73"/>
      <c r="N26" s="56"/>
    </row>
    <row r="28" spans="1:18" x14ac:dyDescent="0.25">
      <c r="E28" s="73"/>
      <c r="F28" s="86" t="s">
        <v>49</v>
      </c>
      <c r="H28" s="64"/>
    </row>
    <row r="29" spans="1:18" x14ac:dyDescent="0.25">
      <c r="D29" s="100" t="s">
        <v>38</v>
      </c>
      <c r="E29" s="100"/>
      <c r="F29" s="86" t="s">
        <v>40</v>
      </c>
      <c r="G29" s="86" t="s">
        <v>61</v>
      </c>
      <c r="H29" s="71" t="s">
        <v>39</v>
      </c>
    </row>
    <row r="30" spans="1:18" x14ac:dyDescent="0.25">
      <c r="D30" s="93" t="s">
        <v>34</v>
      </c>
      <c r="E30" s="93" t="s">
        <v>15</v>
      </c>
      <c r="F30" s="93" t="s">
        <v>41</v>
      </c>
      <c r="G30" s="93" t="s">
        <v>14</v>
      </c>
      <c r="H30" s="93" t="s">
        <v>3</v>
      </c>
    </row>
    <row r="31" spans="1:18" x14ac:dyDescent="0.25">
      <c r="A31" s="74">
        <v>13</v>
      </c>
      <c r="B31" s="74" t="s">
        <v>48</v>
      </c>
      <c r="D31" s="19">
        <f t="shared" ref="D31:D36" si="8">J6</f>
        <v>1862645</v>
      </c>
      <c r="E31" s="19">
        <f t="shared" ref="E31:E36" si="9">R19</f>
        <v>13480</v>
      </c>
      <c r="F31" s="19">
        <f>E31-D31</f>
        <v>-1849165</v>
      </c>
      <c r="G31" s="95">
        <v>0.37959999999999999</v>
      </c>
      <c r="H31" s="19">
        <f>ROUND(F31*0.3796,0)</f>
        <v>-701943</v>
      </c>
    </row>
    <row r="32" spans="1:18" x14ac:dyDescent="0.25">
      <c r="A32" s="74">
        <v>14</v>
      </c>
      <c r="B32" s="74" t="s">
        <v>0</v>
      </c>
      <c r="D32" s="20">
        <f t="shared" si="8"/>
        <v>89306</v>
      </c>
      <c r="E32" s="19">
        <f t="shared" si="9"/>
        <v>42920</v>
      </c>
      <c r="F32" s="19">
        <f>E32-D32</f>
        <v>-46386</v>
      </c>
      <c r="G32" s="64">
        <f>G31</f>
        <v>0.37959999999999999</v>
      </c>
      <c r="H32" s="19">
        <f t="shared" ref="H32:H36" si="10">ROUND(F32*0.3796,0)</f>
        <v>-17608</v>
      </c>
    </row>
    <row r="33" spans="1:8" x14ac:dyDescent="0.25">
      <c r="A33" s="74">
        <v>15</v>
      </c>
      <c r="B33" s="74" t="s">
        <v>1</v>
      </c>
      <c r="D33" s="20">
        <f t="shared" si="8"/>
        <v>182603</v>
      </c>
      <c r="E33" s="19">
        <f t="shared" si="9"/>
        <v>0</v>
      </c>
      <c r="F33" s="19">
        <f>E33-D33</f>
        <v>-182603</v>
      </c>
      <c r="G33" s="64">
        <f>G31</f>
        <v>0.37959999999999999</v>
      </c>
      <c r="H33" s="19">
        <f t="shared" si="10"/>
        <v>-69316</v>
      </c>
    </row>
    <row r="34" spans="1:8" x14ac:dyDescent="0.25">
      <c r="A34" s="74">
        <v>16</v>
      </c>
      <c r="B34" s="74" t="s">
        <v>19</v>
      </c>
      <c r="D34" s="20">
        <f t="shared" si="8"/>
        <v>0</v>
      </c>
      <c r="E34" s="19">
        <f t="shared" si="9"/>
        <v>0</v>
      </c>
      <c r="F34" s="19">
        <f>E34-D34</f>
        <v>0</v>
      </c>
      <c r="G34" s="64">
        <f>G31</f>
        <v>0.37959999999999999</v>
      </c>
      <c r="H34" s="19">
        <f t="shared" si="10"/>
        <v>0</v>
      </c>
    </row>
    <row r="35" spans="1:8" x14ac:dyDescent="0.25">
      <c r="A35" s="74">
        <v>17</v>
      </c>
      <c r="B35" s="74" t="s">
        <v>18</v>
      </c>
      <c r="D35" s="20">
        <f t="shared" si="8"/>
        <v>0</v>
      </c>
      <c r="E35" s="19">
        <f t="shared" si="9"/>
        <v>0</v>
      </c>
      <c r="F35" s="19">
        <f>E35-D35</f>
        <v>0</v>
      </c>
      <c r="G35" s="64">
        <f>G31</f>
        <v>0.37959999999999999</v>
      </c>
      <c r="H35" s="19">
        <f t="shared" si="10"/>
        <v>0</v>
      </c>
    </row>
    <row r="36" spans="1:8" x14ac:dyDescent="0.25">
      <c r="A36" s="74">
        <v>18</v>
      </c>
      <c r="B36" s="74" t="s">
        <v>63</v>
      </c>
      <c r="D36" s="21">
        <f t="shared" si="8"/>
        <v>312034</v>
      </c>
      <c r="E36" s="63" t="str">
        <f t="shared" si="9"/>
        <v>NA</v>
      </c>
      <c r="F36" s="21">
        <f>-D36</f>
        <v>-312034</v>
      </c>
      <c r="G36" s="65">
        <f>G31</f>
        <v>0.37959999999999999</v>
      </c>
      <c r="H36" s="21">
        <f t="shared" si="10"/>
        <v>-118448</v>
      </c>
    </row>
    <row r="37" spans="1:8" x14ac:dyDescent="0.25">
      <c r="D37" s="19">
        <f>SUM(D31:D36)</f>
        <v>2446588</v>
      </c>
      <c r="E37" s="19">
        <f>SUM(E31:E36)</f>
        <v>56400</v>
      </c>
      <c r="F37" s="19">
        <f>SUM(F31:F36)</f>
        <v>-2390188</v>
      </c>
      <c r="H37" s="19">
        <f>SUM(H31:H36)</f>
        <v>-907315</v>
      </c>
    </row>
    <row r="39" spans="1:8" x14ac:dyDescent="0.25">
      <c r="A39" s="67" t="s">
        <v>71</v>
      </c>
      <c r="B39" s="74" t="s">
        <v>74</v>
      </c>
    </row>
    <row r="40" spans="1:8" x14ac:dyDescent="0.25">
      <c r="A40" s="67" t="s">
        <v>72</v>
      </c>
      <c r="B40" s="74" t="s">
        <v>73</v>
      </c>
    </row>
  </sheetData>
  <mergeCells count="3">
    <mergeCell ref="F2:H2"/>
    <mergeCell ref="L16:P16"/>
    <mergeCell ref="D29:E29"/>
  </mergeCells>
  <pageMargins left="0.7" right="0.7" top="0.75" bottom="0.75" header="0.3" footer="0.3"/>
  <pageSetup scale="60" orientation="landscape" verticalDpi="0" r:id="rId1"/>
  <headerFooter>
    <oddHeader>&amp;RSchedule II - 2017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Summary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Schedule III</vt:lpstr>
      <vt:lpstr>Tax Rates</vt:lpstr>
      <vt:lpstr>'Schedule III'!Print_Area</vt:lpstr>
    </vt:vector>
  </TitlesOfParts>
  <Company>Delta Natural Gas Company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Wesolosky</dc:creator>
  <cp:lastModifiedBy>Matthew Wesolosky</cp:lastModifiedBy>
  <cp:lastPrinted>2018-02-19T14:03:42Z</cp:lastPrinted>
  <dcterms:created xsi:type="dcterms:W3CDTF">2010-04-18T23:26:28Z</dcterms:created>
  <dcterms:modified xsi:type="dcterms:W3CDTF">2018-05-07T17:01:22Z</dcterms:modified>
</cp:coreProperties>
</file>