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 tabRatio="931"/>
  </bookViews>
  <sheets>
    <sheet name="Class Allocation" sheetId="135" r:id="rId1"/>
    <sheet name="True-up &gt;&gt;" sheetId="136" r:id="rId2"/>
    <sheet name="OU Collection" sheetId="137" r:id="rId3"/>
    <sheet name="RevReq" sheetId="138" r:id="rId4"/>
    <sheet name="Net Assets" sheetId="139" r:id="rId5"/>
    <sheet name="OpEx" sheetId="140" r:id="rId6"/>
    <sheet name="Forecast &gt;&gt;" sheetId="141" r:id="rId7"/>
    <sheet name="2018 Filing &gt;&gt;" sheetId="127" r:id="rId8"/>
    <sheet name="Rev Req 2018-Distr" sheetId="131" r:id="rId9"/>
    <sheet name="Rev Req 2018-Trans" sheetId="132" r:id="rId10"/>
    <sheet name="ROR" sheetId="8" r:id="rId11"/>
    <sheet name="Cap&amp;OpEx 2018" sheetId="114" r:id="rId12"/>
    <sheet name="201801 Bk Depr" sheetId="113" r:id="rId13"/>
    <sheet name="201802 Bk Depr" sheetId="116" r:id="rId14"/>
    <sheet name="201803 Bk Depr" sheetId="117" r:id="rId15"/>
    <sheet name="201804 Bk Depr" sheetId="118" r:id="rId16"/>
    <sheet name="201805 Bk Depr" sheetId="119" r:id="rId17"/>
    <sheet name="201806 Bk Depr" sheetId="120" r:id="rId18"/>
    <sheet name="201807 Bk Depr" sheetId="121" r:id="rId19"/>
    <sheet name="201808 Bk Depr" sheetId="122" r:id="rId20"/>
    <sheet name="201809 Bk Depr" sheetId="123" r:id="rId21"/>
    <sheet name="201810 Bk Depr" sheetId="124" r:id="rId22"/>
    <sheet name="201811 Bk Depr" sheetId="125" r:id="rId23"/>
    <sheet name="201812 Bk Depr" sheetId="126" r:id="rId24"/>
    <sheet name="Tax Depr 2018" sheetId="130" r:id="rId25"/>
    <sheet name="2018 Capital Budget" sheetId="128" r:id="rId26"/>
    <sheet name="COS Budget 2018" sheetId="129" r:id="rId27"/>
    <sheet name="2017 Support &gt;&gt;" sheetId="115" r:id="rId28"/>
    <sheet name="Rev Req 2017-Distr" sheetId="91" r:id="rId29"/>
    <sheet name="Rev Req 2017-Trans" sheetId="111" r:id="rId30"/>
    <sheet name="Cap&amp;OpEx 2017" sheetId="92" r:id="rId31"/>
    <sheet name="201707 Bk Depr" sheetId="99" r:id="rId32"/>
    <sheet name="201708 Bk Depr" sheetId="100" r:id="rId33"/>
    <sheet name="201709 Bk Depr" sheetId="101" r:id="rId34"/>
    <sheet name="201710 Bk Depr" sheetId="102" r:id="rId35"/>
    <sheet name="201711 Bk Depr" sheetId="103" r:id="rId36"/>
    <sheet name="201712 Bk Depr" sheetId="104" r:id="rId37"/>
    <sheet name="Tax Depr 2017" sheetId="108" r:id="rId38"/>
    <sheet name="Capital Budget 2017" sheetId="110" r:id="rId39"/>
    <sheet name="COS Budget 2017" sheetId="109" r:id="rId40"/>
  </sheets>
  <externalReferences>
    <externalReference r:id="rId41"/>
    <externalReference r:id="rId42"/>
    <externalReference r:id="rId43"/>
    <externalReference r:id="rId44"/>
  </externalReferences>
  <definedNames>
    <definedName name="_Order1" hidden="1">0</definedName>
    <definedName name="_Order2" hidden="1">0</definedName>
    <definedName name="CheckDataCol_49" localSheetId="0">[1]Data!$BK$74</definedName>
    <definedName name="CheckDataCol_49" localSheetId="6">#REF!</definedName>
    <definedName name="CheckDataCol_49">#REF!</definedName>
    <definedName name="ClrInptfrEst" localSheetId="0">[2]Input!$K$60,[2]Input!$K$61,[2]Input!$K$63,[2]Input!$K$67,[2]Input!#REF!,[2]Input!#REF!,[2]Input!#REF!,[2]Input!$K$64,[2]Input!$K$38,[2]Input!$K$39,[2]Input!$K$40</definedName>
    <definedName name="ClrInptfrEst" localSheetId="6">[2]Input!$K$60,[2]Input!$K$61,[2]Input!$K$63,[2]Input!$K$67,[2]Input!#REF!,[2]Input!#REF!,[2]Input!#REF!,[2]Input!$K$64,[2]Input!$K$38,[2]Input!$K$39,[2]Input!$K$40</definedName>
    <definedName name="ClrInptfrEst" localSheetId="4">[2]Input!$K$60,[2]Input!$K$61,[2]Input!$K$63,[2]Input!$K$67,[2]Input!#REF!,[2]Input!#REF!,[2]Input!#REF!,[2]Input!$K$64,[2]Input!$K$38,[2]Input!$K$39,[2]Input!$K$40</definedName>
    <definedName name="ClrInptfrEst" localSheetId="5">[2]Input!$K$60,[2]Input!$K$61,[2]Input!$K$63,[2]Input!$K$67,[2]Input!#REF!,[2]Input!#REF!,[2]Input!#REF!,[2]Input!$K$64,[2]Input!$K$38,[2]Input!$K$39,[2]Input!$K$40</definedName>
    <definedName name="ClrInptfrEst">[2]Input!$K$60,[2]Input!$K$61,[2]Input!$K$63,[2]Input!$K$67,[2]Input!#REF!,[2]Input!#REF!,[2]Input!#REF!,[2]Input!$K$64,[2]Input!$K$38,[2]Input!$K$39,[2]Input!$K$40</definedName>
    <definedName name="CurBillMonth" localSheetId="0">[1]Input!$K$4</definedName>
    <definedName name="CurBillMonth" localSheetId="6">#REF!</definedName>
    <definedName name="CurBillMonth">#REF!</definedName>
    <definedName name="DataCol_01" localSheetId="6">#REF!</definedName>
    <definedName name="DataCol_01">#REF!</definedName>
    <definedName name="DataCol_01_02" localSheetId="6">#REF!</definedName>
    <definedName name="DataCol_01_02">#REF!</definedName>
    <definedName name="DataCol_02" localSheetId="6">#REF!</definedName>
    <definedName name="DataCol_02">#REF!</definedName>
    <definedName name="DataCol_02_02" localSheetId="6">#REF!</definedName>
    <definedName name="DataCol_02_02">#REF!</definedName>
    <definedName name="DataCol_03" localSheetId="6">#REF!</definedName>
    <definedName name="DataCol_03">#REF!</definedName>
    <definedName name="DataCol_03_02" localSheetId="6">#REF!</definedName>
    <definedName name="DataCol_03_02">#REF!</definedName>
    <definedName name="DataCol_04" localSheetId="6">#REF!</definedName>
    <definedName name="DataCol_04">#REF!</definedName>
    <definedName name="DataCol_05" localSheetId="6">#REF!</definedName>
    <definedName name="DataCol_05">#REF!</definedName>
    <definedName name="DataCol_06" localSheetId="6">#REF!</definedName>
    <definedName name="DataCol_06">#REF!</definedName>
    <definedName name="DataCol_07" localSheetId="6">#REF!</definedName>
    <definedName name="DataCol_07">#REF!</definedName>
    <definedName name="DataCol_08" localSheetId="6">#REF!</definedName>
    <definedName name="DataCol_08">#REF!</definedName>
    <definedName name="DataCol_09" localSheetId="6">#REF!</definedName>
    <definedName name="DataCol_09">#REF!</definedName>
    <definedName name="DataCol_10" localSheetId="6">#REF!</definedName>
    <definedName name="DataCol_10">#REF!</definedName>
    <definedName name="DataCol_11" localSheetId="6">#REF!</definedName>
    <definedName name="DataCol_11">#REF!</definedName>
    <definedName name="DataCol_12" localSheetId="6">#REF!</definedName>
    <definedName name="DataCol_12">#REF!</definedName>
    <definedName name="DataCol_13" localSheetId="6">#REF!</definedName>
    <definedName name="DataCol_13">#REF!</definedName>
    <definedName name="DataCol_14" localSheetId="6">#REF!</definedName>
    <definedName name="DataCol_14">#REF!</definedName>
    <definedName name="DataCol_15" localSheetId="6">#REF!</definedName>
    <definedName name="DataCol_15">#REF!</definedName>
    <definedName name="DataCol_16" localSheetId="6">#REF!</definedName>
    <definedName name="DataCol_16">#REF!</definedName>
    <definedName name="DataCol_17" localSheetId="6">#REF!</definedName>
    <definedName name="DataCol_17">#REF!</definedName>
    <definedName name="DataCol_18" localSheetId="6">#REF!</definedName>
    <definedName name="DataCol_18">#REF!</definedName>
    <definedName name="DataCol_19" localSheetId="6">#REF!</definedName>
    <definedName name="DataCol_19">#REF!</definedName>
    <definedName name="DataCol_20" localSheetId="6">#REF!</definedName>
    <definedName name="DataCol_20">#REF!</definedName>
    <definedName name="DataCol_21" localSheetId="6">#REF!</definedName>
    <definedName name="DataCol_21">#REF!</definedName>
    <definedName name="DataCol_22" localSheetId="6">#REF!</definedName>
    <definedName name="DataCol_22">#REF!</definedName>
    <definedName name="DataCol_23" localSheetId="6">#REF!</definedName>
    <definedName name="DataCol_23">#REF!</definedName>
    <definedName name="DataCol_24" localSheetId="6">#REF!</definedName>
    <definedName name="DataCol_24">#REF!</definedName>
    <definedName name="DataCol_25" localSheetId="6">#REF!</definedName>
    <definedName name="DataCol_25">#REF!</definedName>
    <definedName name="DataCol_26" localSheetId="6">#REF!</definedName>
    <definedName name="DataCol_26">#REF!</definedName>
    <definedName name="DataCol_27" localSheetId="6">#REF!</definedName>
    <definedName name="DataCol_27">#REF!</definedName>
    <definedName name="DataCol_28" localSheetId="6">#REF!</definedName>
    <definedName name="DataCol_28">#REF!</definedName>
    <definedName name="DataCol_29" localSheetId="6">#REF!</definedName>
    <definedName name="DataCol_29">#REF!</definedName>
    <definedName name="DataCol_30" localSheetId="6">#REF!</definedName>
    <definedName name="DataCol_30">#REF!</definedName>
    <definedName name="DataCol_31" localSheetId="6">#REF!</definedName>
    <definedName name="DataCol_31">#REF!</definedName>
    <definedName name="DataCol_32" localSheetId="6">#REF!</definedName>
    <definedName name="DataCol_32">#REF!</definedName>
    <definedName name="DataCol_33" localSheetId="6">#REF!</definedName>
    <definedName name="DataCol_33">#REF!</definedName>
    <definedName name="DataCol_34" localSheetId="6">#REF!</definedName>
    <definedName name="DataCol_34">#REF!</definedName>
    <definedName name="DataCol_35" localSheetId="6">#REF!</definedName>
    <definedName name="DataCol_35">#REF!</definedName>
    <definedName name="DataCol_36" localSheetId="6">#REF!</definedName>
    <definedName name="DataCol_36">#REF!</definedName>
    <definedName name="DataCol_37" localSheetId="6">#REF!</definedName>
    <definedName name="DataCol_37">#REF!</definedName>
    <definedName name="DataCol_38" localSheetId="6">#REF!</definedName>
    <definedName name="DataCol_38">#REF!</definedName>
    <definedName name="DataCol_39" localSheetId="6">#REF!</definedName>
    <definedName name="DataCol_39">#REF!</definedName>
    <definedName name="DataCol_40" localSheetId="6">#REF!</definedName>
    <definedName name="DataCol_40">#REF!</definedName>
    <definedName name="DataCol_41" localSheetId="6">#REF!</definedName>
    <definedName name="DataCol_41">#REF!</definedName>
    <definedName name="DataCol_42" localSheetId="6">#REF!</definedName>
    <definedName name="DataCol_42">#REF!</definedName>
    <definedName name="DataCol_43" localSheetId="6">#REF!</definedName>
    <definedName name="DataCol_43">#REF!</definedName>
    <definedName name="DataCol_44" localSheetId="6">#REF!</definedName>
    <definedName name="DataCol_44">#REF!</definedName>
    <definedName name="DataCol_45" localSheetId="6">#REF!</definedName>
    <definedName name="DataCol_45">#REF!</definedName>
    <definedName name="DataCol_46" localSheetId="6">#REF!</definedName>
    <definedName name="DataCol_46">#REF!</definedName>
    <definedName name="DataCol_47" localSheetId="6">#REF!</definedName>
    <definedName name="DataCol_47">#REF!</definedName>
    <definedName name="DataCol_48" localSheetId="6">#REF!</definedName>
    <definedName name="DataCol_48">#REF!</definedName>
    <definedName name="DataCol_49" localSheetId="6">#REF!</definedName>
    <definedName name="DataCol_49">#REF!</definedName>
    <definedName name="InputItemsTable" localSheetId="6">#REF!</definedName>
    <definedName name="InputItemsTable">#REF!</definedName>
    <definedName name="InputSec_01" localSheetId="6">#REF!</definedName>
    <definedName name="InputSec_01">#REF!</definedName>
    <definedName name="InputSec_02A" localSheetId="6">#REF!</definedName>
    <definedName name="InputSec_02A">#REF!</definedName>
    <definedName name="InputSec_02B" localSheetId="6">#REF!</definedName>
    <definedName name="InputSec_02B">#REF!</definedName>
    <definedName name="InputSec_02C" localSheetId="6">#REF!</definedName>
    <definedName name="InputSec_02C">#REF!</definedName>
    <definedName name="NextBillMonth" localSheetId="6">#REF!</definedName>
    <definedName name="NextBillMonth">#REF!</definedName>
    <definedName name="_xlnm.Print_Area" localSheetId="38">'Capital Budget 2017'!$A$1:$S$77</definedName>
    <definedName name="_xlnm.Print_Area" localSheetId="0">'Class Allocation'!$A$1:$I$44</definedName>
    <definedName name="_xlnm.Print_Area" localSheetId="4">'Net Assets'!$A$1:$I$50</definedName>
    <definedName name="_xlnm.Print_Area" localSheetId="5">OpEx!$A$1:$F$44</definedName>
    <definedName name="_xlnm.Print_Area" localSheetId="2">'OU Collection'!$A$1:$H$44</definedName>
    <definedName name="_xlnm.Print_Area" localSheetId="28">'Rev Req 2017-Distr'!$A$1:$Q$31</definedName>
    <definedName name="_xlnm.Print_Area" localSheetId="29">'Rev Req 2017-Trans'!$A$1:$Q$31</definedName>
    <definedName name="_xlnm.Print_Area" localSheetId="8">'Rev Req 2018-Distr'!$A$1:$Q$35</definedName>
    <definedName name="_xlnm.Print_Area" localSheetId="9">'Rev Req 2018-Trans'!$A$1:$Q$35</definedName>
    <definedName name="_xlnm.Print_Area" localSheetId="3">RevReq!$A$1:$K$50</definedName>
    <definedName name="_xlnm.Print_Area" localSheetId="24">'Tax Depr 2018'!$A$1:$T$49</definedName>
    <definedName name="_xlnm.Print_Titles" localSheetId="0">'Class Allocation'!$B:$B</definedName>
    <definedName name="ReptItemsTableAll" localSheetId="0">[3]Data!$O$85:$BK$134</definedName>
    <definedName name="ReptItemsTableAll">[3]Data!$O$85:$BK$134</definedName>
    <definedName name="RevCas1AllInp" localSheetId="0">[1]Input!#REF!,[1]Input!#REF!,[1]Input!#REF!,[1]Input!#REF!,[1]Input!#REF!,[1]Input!#REF!,[1]Input!#REF!,[1]Input!#REF!,[1]Input!#REF!,[1]Input!#REF!,[1]Input!#REF!</definedName>
    <definedName name="RevCas1AllInp" localSheetId="6">#REF!,#REF!,#REF!,#REF!,#REF!,#REF!,#REF!,#REF!,#REF!,#REF!,#REF!</definedName>
    <definedName name="RevCas1AllInp" localSheetId="4">#REF!,#REF!,#REF!,#REF!,#REF!,#REF!,#REF!,#REF!,#REF!,#REF!,#REF!</definedName>
    <definedName name="RevCas1AllInp" localSheetId="5">#REF!,#REF!,#REF!,#REF!,#REF!,#REF!,#REF!,#REF!,#REF!,#REF!,#REF!</definedName>
    <definedName name="RevCas1AllInp">#REF!,#REF!,#REF!,#REF!,#REF!,#REF!,#REF!,#REF!,#REF!,#REF!,#REF!</definedName>
    <definedName name="RevCas1AmortAmt1">[2]Input!$K$110</definedName>
    <definedName name="RevCas1AmortAmt2">[2]Input!$K$112</definedName>
    <definedName name="RevCas1AmortAmt3">[2]Input!$K$114</definedName>
    <definedName name="RevCas1AmortPer1">[2]Input!$Q$110</definedName>
    <definedName name="RevCas1AmortPer2">[2]Input!$Q$112</definedName>
    <definedName name="RevCas1AmortPer3">[2]Input!$Q$114</definedName>
    <definedName name="RevCas1Bal">[2]Input!$G$110</definedName>
    <definedName name="RevCas2AllInp" localSheetId="0">[1]Input!#REF!,[1]Input!#REF!,[1]Input!#REF!,[1]Input!#REF!,[1]Input!#REF!,[1]Input!#REF!,[1]Input!#REF!,[1]Input!#REF!,[1]Input!#REF!,[1]Input!#REF!,[1]Input!#REF!</definedName>
    <definedName name="RevCas2AllInp" localSheetId="6">#REF!,#REF!,#REF!,#REF!,#REF!,#REF!,#REF!,#REF!,#REF!,#REF!,#REF!</definedName>
    <definedName name="RevCas2AllInp" localSheetId="4">#REF!,#REF!,#REF!,#REF!,#REF!,#REF!,#REF!,#REF!,#REF!,#REF!,#REF!</definedName>
    <definedName name="RevCas2AllInp" localSheetId="5">#REF!,#REF!,#REF!,#REF!,#REF!,#REF!,#REF!,#REF!,#REF!,#REF!,#REF!</definedName>
    <definedName name="RevCas2AllInp">#REF!,#REF!,#REF!,#REF!,#REF!,#REF!,#REF!,#REF!,#REF!,#REF!,#REF!</definedName>
    <definedName name="RevCas2AmortAmt1">[2]Input!$K$124</definedName>
    <definedName name="RevCas2AmortAmt2" localSheetId="6">#REF!</definedName>
    <definedName name="RevCas2AmortAmt2">#REF!</definedName>
    <definedName name="RevCas2AmortAmt3">[2]Input!$K$128</definedName>
    <definedName name="RevCas2AmortPer1">[2]Input!$Q$124</definedName>
    <definedName name="RevCas2AmortPer2" localSheetId="6">#REF!</definedName>
    <definedName name="RevCas2AmortPer2">#REF!</definedName>
    <definedName name="RevCas2AmortPer3">[2]Input!$Q$128</definedName>
    <definedName name="RevCas2Bal">[2]Input!$G$124</definedName>
    <definedName name="RevCas3AllInp" localSheetId="0">[1]Input!#REF!,[1]Input!#REF!,[1]Input!#REF!,[1]Input!#REF!,[1]Input!#REF!,[1]Input!#REF!,[1]Input!#REF!,[1]Input!#REF!,[1]Input!#REF!,[1]Input!#REF!,[1]Input!#REF!</definedName>
    <definedName name="RevCas3AllInp" localSheetId="6">#REF!,#REF!,#REF!,#REF!,#REF!,#REF!,#REF!,#REF!,#REF!,#REF!,#REF!</definedName>
    <definedName name="RevCas3AllInp" localSheetId="4">#REF!,#REF!,#REF!,#REF!,#REF!,#REF!,#REF!,#REF!,#REF!,#REF!,#REF!</definedName>
    <definedName name="RevCas3AllInp" localSheetId="5">#REF!,#REF!,#REF!,#REF!,#REF!,#REF!,#REF!,#REF!,#REF!,#REF!,#REF!</definedName>
    <definedName name="RevCas3AllInp">#REF!,#REF!,#REF!,#REF!,#REF!,#REF!,#REF!,#REF!,#REF!,#REF!,#REF!</definedName>
    <definedName name="RevCas3AmortAmt1" localSheetId="6">#REF!</definedName>
    <definedName name="RevCas3AmortAmt1">#REF!</definedName>
    <definedName name="RevCas3AmortAmt2" localSheetId="6">#REF!</definedName>
    <definedName name="RevCas3AmortAmt2">#REF!</definedName>
    <definedName name="RevCas3AmortPer1" localSheetId="6">#REF!</definedName>
    <definedName name="RevCas3AmortPer1">#REF!</definedName>
    <definedName name="RevCas3AmortPer2" localSheetId="6">#REF!</definedName>
    <definedName name="RevCas3AmortPer2">#REF!</definedName>
    <definedName name="RevCas3Bal" localSheetId="6">#REF!</definedName>
    <definedName name="RevCas3Bal">#REF!</definedName>
    <definedName name="RevCas4AllInp" localSheetId="0">[1]Input!#REF!,[1]Input!#REF!,[1]Input!#REF!,[1]Input!#REF!,[1]Input!#REF!,[1]Input!#REF!,[1]Input!#REF!,[1]Input!#REF!,[1]Input!#REF!,[1]Input!#REF!,[1]Input!#REF!</definedName>
    <definedName name="RevCas4AllInp" localSheetId="6">#REF!,#REF!,#REF!,#REF!,#REF!,#REF!,#REF!,#REF!,#REF!,#REF!,#REF!</definedName>
    <definedName name="RevCas4AllInp" localSheetId="4">#REF!,#REF!,#REF!,#REF!,#REF!,#REF!,#REF!,#REF!,#REF!,#REF!,#REF!</definedName>
    <definedName name="RevCas4AllInp" localSheetId="5">#REF!,#REF!,#REF!,#REF!,#REF!,#REF!,#REF!,#REF!,#REF!,#REF!,#REF!</definedName>
    <definedName name="RevCas4AllInp">#REF!,#REF!,#REF!,#REF!,#REF!,#REF!,#REF!,#REF!,#REF!,#REF!,#REF!</definedName>
    <definedName name="RevCas4AmortAmt1">[2]Input!$K$152</definedName>
    <definedName name="RevCas4AmortPer1">[2]Input!$Q$152</definedName>
    <definedName name="RevCas5AllInp" localSheetId="0">[1]Input!#REF!,[1]Input!#REF!,[1]Input!#REF!,[1]Input!#REF!,[1]Input!#REF!,[1]Input!#REF!,[1]Input!#REF!,[1]Input!#REF!,[1]Input!#REF!,[1]Input!#REF!,[1]Input!#REF!</definedName>
    <definedName name="RevCas5AllInp" localSheetId="6">#REF!,#REF!,#REF!,#REF!,#REF!,#REF!,#REF!,#REF!,#REF!,#REF!,#REF!</definedName>
    <definedName name="RevCas5AllInp" localSheetId="4">#REF!,#REF!,#REF!,#REF!,#REF!,#REF!,#REF!,#REF!,#REF!,#REF!,#REF!</definedName>
    <definedName name="RevCas5AllInp" localSheetId="5">#REF!,#REF!,#REF!,#REF!,#REF!,#REF!,#REF!,#REF!,#REF!,#REF!,#REF!</definedName>
    <definedName name="RevCas5AllInp">#REF!,#REF!,#REF!,#REF!,#REF!,#REF!,#REF!,#REF!,#REF!,#REF!,#REF!</definedName>
    <definedName name="RevCas5AmortPer2">[2]Input!$Q$168</definedName>
    <definedName name="StartBalance" localSheetId="0">[1]Startup!$N$8</definedName>
    <definedName name="StartBalance" localSheetId="6">#REF!</definedName>
    <definedName name="StartBalance">#REF!</definedName>
    <definedName name="StartBalanceG1">[4]Startup!$N$10</definedName>
    <definedName name="StartBillMonth" localSheetId="0">[1]Startup!$N$5</definedName>
    <definedName name="StartBillMonth" localSheetId="6">#REF!</definedName>
    <definedName name="StartBillMonth">#REF!</definedName>
    <definedName name="TableName">"Dummy"</definedName>
    <definedName name="Tickmarks" localSheetId="0">#REF!</definedName>
    <definedName name="Tickmarks" localSheetId="6">#REF!</definedName>
    <definedName name="Tickmarks" localSheetId="4">#REF!</definedName>
    <definedName name="Tickmarks" localSheetId="5">#REF!</definedName>
    <definedName name="Tickmarks">#REF!</definedName>
    <definedName name="Z_221BFF00_8F97_4909_A3F2_2B41E136B126_.wvu.PrintArea" localSheetId="0" hidden="1">'Class Allocation'!$A$1:$I$13</definedName>
    <definedName name="Z_221BFF00_8F97_4909_A3F2_2B41E136B126_.wvu.PrintTitles" localSheetId="0" hidden="1">'Class Allocation'!$B:$B</definedName>
  </definedNames>
  <calcPr calcId="152511"/>
</workbook>
</file>

<file path=xl/calcChain.xml><?xml version="1.0" encoding="utf-8"?>
<calcChain xmlns="http://schemas.openxmlformats.org/spreadsheetml/2006/main">
  <c r="F12" i="132" l="1"/>
  <c r="G12" i="132" s="1"/>
  <c r="H12" i="132" s="1"/>
  <c r="I12" i="132" s="1"/>
  <c r="J12" i="132" s="1"/>
  <c r="K12" i="132" s="1"/>
  <c r="L12" i="132" s="1"/>
  <c r="M12" i="132" s="1"/>
  <c r="N12" i="132" s="1"/>
  <c r="O12" i="132" s="1"/>
  <c r="P12" i="132" s="1"/>
  <c r="E12" i="132"/>
  <c r="R33" i="128" l="1"/>
  <c r="R32" i="128"/>
  <c r="R31" i="128"/>
  <c r="E11" i="92" l="1"/>
  <c r="F11" i="92"/>
  <c r="G11" i="92"/>
  <c r="H11" i="92"/>
  <c r="D11" i="92"/>
  <c r="O24" i="108" l="1"/>
  <c r="N14" i="100"/>
  <c r="P14" i="100" s="1"/>
  <c r="N13" i="100"/>
  <c r="P13" i="100" s="1"/>
  <c r="P15" i="100"/>
  <c r="L24" i="108" l="1"/>
  <c r="L23" i="108"/>
  <c r="L13" i="108"/>
  <c r="O28" i="108"/>
  <c r="O27" i="108"/>
  <c r="L12" i="108"/>
  <c r="O26" i="108"/>
  <c r="O25" i="108"/>
  <c r="O23" i="108"/>
  <c r="R13" i="99"/>
  <c r="R14" i="99"/>
  <c r="R15" i="99"/>
  <c r="R16" i="99"/>
  <c r="R20" i="99"/>
  <c r="R21" i="99"/>
  <c r="R22" i="99"/>
  <c r="R28" i="99"/>
  <c r="R29" i="99"/>
  <c r="R30" i="99"/>
  <c r="L25" i="108" l="1"/>
  <c r="L26" i="108"/>
  <c r="D10" i="92" l="1"/>
  <c r="E10" i="92"/>
  <c r="F10" i="92"/>
  <c r="G10" i="92"/>
  <c r="H10" i="92"/>
  <c r="D12" i="92"/>
  <c r="E12" i="92"/>
  <c r="F12" i="92"/>
  <c r="G12" i="92"/>
  <c r="H12" i="92"/>
  <c r="D13" i="92"/>
  <c r="E13" i="92"/>
  <c r="F13" i="92"/>
  <c r="G13" i="92"/>
  <c r="H13" i="92"/>
  <c r="D14" i="92"/>
  <c r="E14" i="92"/>
  <c r="F14" i="92"/>
  <c r="G14" i="92"/>
  <c r="H14" i="92"/>
  <c r="C12" i="92"/>
  <c r="C10" i="92"/>
  <c r="H22" i="113" l="1"/>
  <c r="H21" i="113"/>
  <c r="H20" i="113"/>
  <c r="H16" i="113"/>
  <c r="H15" i="113"/>
  <c r="H14" i="113"/>
  <c r="H13" i="113"/>
  <c r="H22" i="116"/>
  <c r="H21" i="116"/>
  <c r="H20" i="116"/>
  <c r="H16" i="116"/>
  <c r="H15" i="116"/>
  <c r="H14" i="116"/>
  <c r="H13" i="116"/>
  <c r="H22" i="117"/>
  <c r="H21" i="117"/>
  <c r="H20" i="117"/>
  <c r="H16" i="117"/>
  <c r="H15" i="117"/>
  <c r="H14" i="117"/>
  <c r="H13" i="117"/>
  <c r="H22" i="118"/>
  <c r="H21" i="118"/>
  <c r="H20" i="118"/>
  <c r="H16" i="118"/>
  <c r="H15" i="118"/>
  <c r="H14" i="118"/>
  <c r="H13" i="118"/>
  <c r="H22" i="119"/>
  <c r="H21" i="119"/>
  <c r="H20" i="119"/>
  <c r="H16" i="119"/>
  <c r="H15" i="119"/>
  <c r="H14" i="119"/>
  <c r="H13" i="119"/>
  <c r="H22" i="120"/>
  <c r="H21" i="120"/>
  <c r="H20" i="120"/>
  <c r="H16" i="120"/>
  <c r="H15" i="120"/>
  <c r="H14" i="120"/>
  <c r="H13" i="120"/>
  <c r="H22" i="121"/>
  <c r="H21" i="121"/>
  <c r="H20" i="121"/>
  <c r="H16" i="121"/>
  <c r="H15" i="121"/>
  <c r="H14" i="121"/>
  <c r="H13" i="121"/>
  <c r="H22" i="122"/>
  <c r="H21" i="122"/>
  <c r="H20" i="122"/>
  <c r="H16" i="122"/>
  <c r="H15" i="122"/>
  <c r="H14" i="122"/>
  <c r="H13" i="122"/>
  <c r="H22" i="123"/>
  <c r="H21" i="123"/>
  <c r="H20" i="123"/>
  <c r="H16" i="123"/>
  <c r="H15" i="123"/>
  <c r="H14" i="123"/>
  <c r="H13" i="123"/>
  <c r="H22" i="124"/>
  <c r="H21" i="124"/>
  <c r="H20" i="124"/>
  <c r="H16" i="124"/>
  <c r="H15" i="124"/>
  <c r="H14" i="124"/>
  <c r="H13" i="124"/>
  <c r="H22" i="125"/>
  <c r="H21" i="125"/>
  <c r="H20" i="125"/>
  <c r="H16" i="125"/>
  <c r="H15" i="125"/>
  <c r="H14" i="125"/>
  <c r="H13" i="125"/>
  <c r="H22" i="126"/>
  <c r="H21" i="126"/>
  <c r="H20" i="126"/>
  <c r="H16" i="126"/>
  <c r="H15" i="126"/>
  <c r="H14" i="126"/>
  <c r="H13" i="126"/>
  <c r="H22" i="99"/>
  <c r="H21" i="99"/>
  <c r="H20" i="99"/>
  <c r="H16" i="99"/>
  <c r="H15" i="99"/>
  <c r="H14" i="99"/>
  <c r="H13" i="99"/>
  <c r="H22" i="100"/>
  <c r="H21" i="100"/>
  <c r="H20" i="100"/>
  <c r="H16" i="100"/>
  <c r="H15" i="100"/>
  <c r="H14" i="100"/>
  <c r="H13" i="100"/>
  <c r="H22" i="101"/>
  <c r="H21" i="101"/>
  <c r="H20" i="101"/>
  <c r="H16" i="101"/>
  <c r="H15" i="101"/>
  <c r="H14" i="101"/>
  <c r="H13" i="101"/>
  <c r="H22" i="102"/>
  <c r="H21" i="102"/>
  <c r="H20" i="102"/>
  <c r="H16" i="102"/>
  <c r="H15" i="102"/>
  <c r="H14" i="102"/>
  <c r="H13" i="102"/>
  <c r="H22" i="103"/>
  <c r="H21" i="103"/>
  <c r="H20" i="103"/>
  <c r="H16" i="103"/>
  <c r="H15" i="103"/>
  <c r="H14" i="103"/>
  <c r="H13" i="103"/>
  <c r="H21" i="104"/>
  <c r="H22" i="104"/>
  <c r="H20" i="104"/>
  <c r="H15" i="104"/>
  <c r="H16" i="104"/>
  <c r="H14" i="104"/>
  <c r="H13" i="104"/>
  <c r="N72" i="108" l="1"/>
  <c r="N73" i="108"/>
  <c r="N74" i="108"/>
  <c r="N75" i="108"/>
  <c r="N76" i="108"/>
  <c r="N71" i="108"/>
  <c r="L27" i="111" l="1"/>
  <c r="M27" i="111"/>
  <c r="N27" i="111"/>
  <c r="O27" i="111"/>
  <c r="P27" i="111"/>
  <c r="K27" i="111"/>
  <c r="A31" i="92"/>
  <c r="I31" i="92"/>
  <c r="A14" i="126" l="1"/>
  <c r="A14" i="125"/>
  <c r="A14" i="124"/>
  <c r="A14" i="123"/>
  <c r="A14" i="122"/>
  <c r="A14" i="121"/>
  <c r="A14" i="120"/>
  <c r="A14" i="119"/>
  <c r="A14" i="118"/>
  <c r="A14" i="117"/>
  <c r="A14" i="116"/>
  <c r="A14" i="113"/>
  <c r="A14" i="104"/>
  <c r="A14" i="103"/>
  <c r="A14" i="102"/>
  <c r="A29" i="101"/>
  <c r="A21" i="101"/>
  <c r="A14" i="101"/>
  <c r="A21" i="99"/>
  <c r="A21" i="100"/>
  <c r="A14" i="100"/>
  <c r="A14" i="99"/>
  <c r="L29" i="126"/>
  <c r="L30" i="126"/>
  <c r="L28" i="126"/>
  <c r="L29" i="125"/>
  <c r="L30" i="125"/>
  <c r="L28" i="125"/>
  <c r="L29" i="124"/>
  <c r="L30" i="124"/>
  <c r="L28" i="124"/>
  <c r="L29" i="123"/>
  <c r="L30" i="123"/>
  <c r="L28" i="123"/>
  <c r="L29" i="122"/>
  <c r="L30" i="122"/>
  <c r="L28" i="122"/>
  <c r="L29" i="121"/>
  <c r="L30" i="121"/>
  <c r="L28" i="121"/>
  <c r="L29" i="120"/>
  <c r="L30" i="120"/>
  <c r="L28" i="120"/>
  <c r="L30" i="119"/>
  <c r="L29" i="119"/>
  <c r="L28" i="119"/>
  <c r="L30" i="118"/>
  <c r="L29" i="118"/>
  <c r="L28" i="118"/>
  <c r="F27" i="132"/>
  <c r="G27" i="132"/>
  <c r="H27" i="132"/>
  <c r="I27" i="132"/>
  <c r="J27" i="132"/>
  <c r="K27" i="132"/>
  <c r="L27" i="132"/>
  <c r="M27" i="132"/>
  <c r="N27" i="132"/>
  <c r="O27" i="132"/>
  <c r="P27" i="132"/>
  <c r="T27" i="129"/>
  <c r="O33" i="114"/>
  <c r="D33" i="114"/>
  <c r="E33" i="114"/>
  <c r="F33" i="114"/>
  <c r="G33" i="114"/>
  <c r="H33" i="114"/>
  <c r="I33" i="114"/>
  <c r="J33" i="114"/>
  <c r="K33" i="114"/>
  <c r="L33" i="114"/>
  <c r="M33" i="114"/>
  <c r="N33" i="114"/>
  <c r="C33" i="114"/>
  <c r="E27" i="132" s="1"/>
  <c r="T32" i="109" l="1"/>
  <c r="L11" i="108" l="1"/>
  <c r="A15" i="104" l="1"/>
  <c r="A16" i="104" s="1"/>
  <c r="A17" i="104" s="1"/>
  <c r="L21" i="103"/>
  <c r="A15" i="103"/>
  <c r="A16" i="103" s="1"/>
  <c r="A17" i="103" s="1"/>
  <c r="A15" i="102"/>
  <c r="A16" i="102" s="1"/>
  <c r="A17" i="102" s="1"/>
  <c r="L21" i="101"/>
  <c r="A15" i="101"/>
  <c r="A16" i="101" s="1"/>
  <c r="A17" i="101" s="1"/>
  <c r="A15" i="100"/>
  <c r="A16" i="100" s="1"/>
  <c r="A17" i="100" s="1"/>
  <c r="A15" i="99"/>
  <c r="A16" i="99" s="1"/>
  <c r="A17" i="99" s="1"/>
  <c r="L14" i="124" l="1"/>
  <c r="L15" i="124"/>
  <c r="L16" i="124"/>
  <c r="A15" i="124"/>
  <c r="A16" i="124" s="1"/>
  <c r="A17" i="124" s="1"/>
  <c r="L14" i="125"/>
  <c r="L15" i="125"/>
  <c r="L16" i="125"/>
  <c r="A15" i="125"/>
  <c r="A16" i="125"/>
  <c r="A17" i="125" s="1"/>
  <c r="L14" i="126"/>
  <c r="L15" i="126"/>
  <c r="L16" i="126"/>
  <c r="A15" i="126"/>
  <c r="A16" i="126" s="1"/>
  <c r="A17" i="126" s="1"/>
  <c r="L14" i="123"/>
  <c r="L15" i="123"/>
  <c r="L16" i="123"/>
  <c r="A15" i="123"/>
  <c r="A16" i="123" s="1"/>
  <c r="A17" i="123" s="1"/>
  <c r="L14" i="122"/>
  <c r="L15" i="122"/>
  <c r="L16" i="122"/>
  <c r="A15" i="122"/>
  <c r="A16" i="122" s="1"/>
  <c r="A17" i="122" s="1"/>
  <c r="L14" i="121"/>
  <c r="L15" i="121"/>
  <c r="L16" i="121"/>
  <c r="A15" i="121"/>
  <c r="A16" i="121" s="1"/>
  <c r="A17" i="121" s="1"/>
  <c r="L14" i="120"/>
  <c r="L15" i="120"/>
  <c r="L16" i="120"/>
  <c r="A15" i="120"/>
  <c r="A16" i="120" s="1"/>
  <c r="A17" i="120" s="1"/>
  <c r="L14" i="119"/>
  <c r="L15" i="119"/>
  <c r="L16" i="119"/>
  <c r="A15" i="119"/>
  <c r="A16" i="119" s="1"/>
  <c r="A17" i="119" s="1"/>
  <c r="L14" i="118"/>
  <c r="L15" i="118"/>
  <c r="L16" i="118"/>
  <c r="A15" i="118"/>
  <c r="A16" i="118" s="1"/>
  <c r="A17" i="118" s="1"/>
  <c r="L14" i="117"/>
  <c r="L15" i="117"/>
  <c r="L16" i="117"/>
  <c r="A15" i="117"/>
  <c r="A16" i="117" s="1"/>
  <c r="A17" i="117" s="1"/>
  <c r="L14" i="116"/>
  <c r="L15" i="116"/>
  <c r="L16" i="116"/>
  <c r="A15" i="116"/>
  <c r="A16" i="116" s="1"/>
  <c r="A17" i="116" s="1"/>
  <c r="L29" i="113"/>
  <c r="L30" i="113"/>
  <c r="L21" i="113"/>
  <c r="L22" i="113"/>
  <c r="A15" i="113"/>
  <c r="L14" i="113"/>
  <c r="L15" i="113"/>
  <c r="L16" i="113"/>
  <c r="O18" i="114"/>
  <c r="F31" i="135"/>
  <c r="F32" i="135"/>
  <c r="F30" i="135"/>
  <c r="N21" i="103" l="1"/>
  <c r="N21" i="101"/>
  <c r="N22" i="113"/>
  <c r="N21" i="113"/>
  <c r="N14" i="113"/>
  <c r="E44" i="140" l="1"/>
  <c r="D44" i="140"/>
  <c r="C44" i="140"/>
  <c r="B44" i="140"/>
  <c r="F43" i="140"/>
  <c r="F42" i="140"/>
  <c r="F41" i="140"/>
  <c r="F40" i="140"/>
  <c r="F39" i="140"/>
  <c r="F38" i="140"/>
  <c r="F37" i="140"/>
  <c r="F36" i="140"/>
  <c r="F44" i="140" s="1"/>
  <c r="F35" i="140"/>
  <c r="F34" i="140"/>
  <c r="F33" i="140"/>
  <c r="F32" i="140"/>
  <c r="A32" i="140"/>
  <c r="E23" i="140"/>
  <c r="D23" i="140"/>
  <c r="C23" i="140"/>
  <c r="B23" i="140"/>
  <c r="F22" i="140"/>
  <c r="F21" i="140"/>
  <c r="F20" i="140"/>
  <c r="F19" i="140"/>
  <c r="F18" i="140"/>
  <c r="F17" i="140"/>
  <c r="F16" i="140"/>
  <c r="F15" i="140"/>
  <c r="F14" i="140"/>
  <c r="F13" i="140"/>
  <c r="F12" i="140"/>
  <c r="A12" i="140"/>
  <c r="F11" i="140"/>
  <c r="F23" i="140" s="1"/>
  <c r="A3" i="140"/>
  <c r="I49" i="139"/>
  <c r="I48" i="139"/>
  <c r="I47" i="139"/>
  <c r="I46" i="139"/>
  <c r="I45" i="139"/>
  <c r="I44" i="139"/>
  <c r="I43" i="139"/>
  <c r="I42" i="139"/>
  <c r="I41" i="139"/>
  <c r="I40" i="139"/>
  <c r="I39" i="139"/>
  <c r="I38" i="139"/>
  <c r="A38" i="139"/>
  <c r="I36" i="139"/>
  <c r="A36" i="139"/>
  <c r="I25" i="139"/>
  <c r="I24" i="139"/>
  <c r="I23" i="139"/>
  <c r="I22" i="139"/>
  <c r="I21" i="139"/>
  <c r="I20" i="139"/>
  <c r="I19" i="139"/>
  <c r="I18" i="139"/>
  <c r="I17" i="139"/>
  <c r="I16" i="139"/>
  <c r="I15" i="139"/>
  <c r="A15" i="139"/>
  <c r="I14" i="139"/>
  <c r="A14" i="139"/>
  <c r="I12" i="139"/>
  <c r="A3" i="139"/>
  <c r="J50" i="138"/>
  <c r="H50" i="138"/>
  <c r="G49" i="138"/>
  <c r="I49" i="138" s="1"/>
  <c r="K49" i="138" s="1"/>
  <c r="E49" i="138"/>
  <c r="E48" i="138"/>
  <c r="G48" i="138" s="1"/>
  <c r="I48" i="138" s="1"/>
  <c r="K48" i="138" s="1"/>
  <c r="E47" i="138"/>
  <c r="G47" i="138" s="1"/>
  <c r="I47" i="138" s="1"/>
  <c r="K47" i="138" s="1"/>
  <c r="E46" i="138"/>
  <c r="G46" i="138" s="1"/>
  <c r="I46" i="138" s="1"/>
  <c r="K46" i="138" s="1"/>
  <c r="G45" i="138"/>
  <c r="I45" i="138" s="1"/>
  <c r="K45" i="138" s="1"/>
  <c r="E45" i="138"/>
  <c r="I44" i="138"/>
  <c r="K44" i="138" s="1"/>
  <c r="E44" i="138"/>
  <c r="G44" i="138" s="1"/>
  <c r="G43" i="138"/>
  <c r="I43" i="138" s="1"/>
  <c r="K43" i="138" s="1"/>
  <c r="E43" i="138"/>
  <c r="G42" i="138"/>
  <c r="I42" i="138" s="1"/>
  <c r="K42" i="138" s="1"/>
  <c r="E42" i="138"/>
  <c r="G41" i="138"/>
  <c r="I41" i="138" s="1"/>
  <c r="K41" i="138" s="1"/>
  <c r="E41" i="138"/>
  <c r="I40" i="138"/>
  <c r="K40" i="138" s="1"/>
  <c r="E40" i="138"/>
  <c r="G40" i="138" s="1"/>
  <c r="G39" i="138"/>
  <c r="I39" i="138" s="1"/>
  <c r="K39" i="138" s="1"/>
  <c r="E39" i="138"/>
  <c r="G38" i="138"/>
  <c r="E38" i="138"/>
  <c r="A36" i="138"/>
  <c r="J26" i="138"/>
  <c r="H26" i="138"/>
  <c r="E25" i="138"/>
  <c r="G25" i="138" s="1"/>
  <c r="I25" i="138" s="1"/>
  <c r="K25" i="138" s="1"/>
  <c r="I24" i="138"/>
  <c r="K24" i="138" s="1"/>
  <c r="G24" i="138"/>
  <c r="E24" i="138"/>
  <c r="E23" i="138"/>
  <c r="G23" i="138" s="1"/>
  <c r="I23" i="138" s="1"/>
  <c r="K23" i="138" s="1"/>
  <c r="E22" i="138"/>
  <c r="G22" i="138" s="1"/>
  <c r="I22" i="138" s="1"/>
  <c r="K22" i="138" s="1"/>
  <c r="E21" i="138"/>
  <c r="G21" i="138" s="1"/>
  <c r="I21" i="138" s="1"/>
  <c r="K21" i="138" s="1"/>
  <c r="I20" i="138"/>
  <c r="K20" i="138" s="1"/>
  <c r="G20" i="138"/>
  <c r="E20" i="138"/>
  <c r="E19" i="138"/>
  <c r="G19" i="138" s="1"/>
  <c r="I19" i="138" s="1"/>
  <c r="K19" i="138" s="1"/>
  <c r="E18" i="138"/>
  <c r="G18" i="138" s="1"/>
  <c r="I18" i="138" s="1"/>
  <c r="K18" i="138" s="1"/>
  <c r="E17" i="138"/>
  <c r="G17" i="138" s="1"/>
  <c r="I17" i="138" s="1"/>
  <c r="K17" i="138" s="1"/>
  <c r="I16" i="138"/>
  <c r="K16" i="138" s="1"/>
  <c r="G16" i="138"/>
  <c r="E16" i="138"/>
  <c r="E15" i="138"/>
  <c r="G15" i="138" s="1"/>
  <c r="I15" i="138" s="1"/>
  <c r="K15" i="138" s="1"/>
  <c r="E14" i="138"/>
  <c r="G14" i="138" s="1"/>
  <c r="A14" i="138"/>
  <c r="A38" i="138" s="1"/>
  <c r="A3" i="138"/>
  <c r="G43" i="137"/>
  <c r="D43" i="137"/>
  <c r="D42" i="137"/>
  <c r="G42" i="137" s="1"/>
  <c r="G41" i="137"/>
  <c r="D41" i="137"/>
  <c r="D40" i="137"/>
  <c r="G40" i="137" s="1"/>
  <c r="G39" i="137"/>
  <c r="D39" i="137"/>
  <c r="G38" i="137"/>
  <c r="D38" i="137"/>
  <c r="D37" i="137"/>
  <c r="G37" i="137" s="1"/>
  <c r="D36" i="137"/>
  <c r="G36" i="137" s="1"/>
  <c r="G35" i="137"/>
  <c r="D35" i="137"/>
  <c r="D34" i="137"/>
  <c r="G34" i="137" s="1"/>
  <c r="G33" i="137"/>
  <c r="D33" i="137"/>
  <c r="A33" i="137"/>
  <c r="D32" i="137"/>
  <c r="G32" i="137" s="1"/>
  <c r="G44" i="137" s="1"/>
  <c r="E44" i="135" s="1"/>
  <c r="A32" i="137"/>
  <c r="D22" i="137"/>
  <c r="G22" i="137" s="1"/>
  <c r="D21" i="137"/>
  <c r="G21" i="137" s="1"/>
  <c r="G20" i="137"/>
  <c r="D20" i="137"/>
  <c r="D19" i="137"/>
  <c r="G19" i="137" s="1"/>
  <c r="G18" i="137"/>
  <c r="D18" i="137"/>
  <c r="D17" i="137"/>
  <c r="G17" i="137" s="1"/>
  <c r="G16" i="137"/>
  <c r="D16" i="137"/>
  <c r="G15" i="137"/>
  <c r="D15" i="137"/>
  <c r="D14" i="137"/>
  <c r="G14" i="137" s="1"/>
  <c r="A14" i="137"/>
  <c r="A15" i="137" s="1"/>
  <c r="A36" i="137" s="1"/>
  <c r="D13" i="137"/>
  <c r="G13" i="137" s="1"/>
  <c r="A13" i="137"/>
  <c r="A34" i="137" s="1"/>
  <c r="G12" i="137"/>
  <c r="D12" i="137"/>
  <c r="A12" i="137"/>
  <c r="D11" i="137"/>
  <c r="G11" i="137" s="1"/>
  <c r="F43" i="135"/>
  <c r="C43" i="135"/>
  <c r="F42" i="135"/>
  <c r="F41" i="135"/>
  <c r="F40" i="135"/>
  <c r="F33" i="135"/>
  <c r="C32" i="135"/>
  <c r="C31" i="135"/>
  <c r="C30" i="135"/>
  <c r="F23" i="135"/>
  <c r="C21" i="135"/>
  <c r="C42" i="135" s="1"/>
  <c r="C20" i="135"/>
  <c r="C41" i="135" s="1"/>
  <c r="C19" i="135"/>
  <c r="C40" i="135" s="1"/>
  <c r="F12" i="135"/>
  <c r="C12" i="135"/>
  <c r="D10" i="135" s="1"/>
  <c r="D9" i="135" l="1"/>
  <c r="F44" i="135"/>
  <c r="C44" i="135"/>
  <c r="D11" i="135"/>
  <c r="I14" i="138"/>
  <c r="G26" i="138"/>
  <c r="G23" i="137"/>
  <c r="E33" i="135" s="1"/>
  <c r="G50" i="138"/>
  <c r="C33" i="135"/>
  <c r="D30" i="135" s="1"/>
  <c r="A16" i="137"/>
  <c r="A15" i="138"/>
  <c r="I38" i="138"/>
  <c r="A39" i="139"/>
  <c r="A16" i="139"/>
  <c r="A33" i="140"/>
  <c r="A13" i="140"/>
  <c r="C23" i="135"/>
  <c r="D21" i="135" s="1"/>
  <c r="A35" i="137"/>
  <c r="D31" i="135" l="1"/>
  <c r="E31" i="135" s="1"/>
  <c r="G31" i="135" s="1"/>
  <c r="H10" i="135" s="1"/>
  <c r="D20" i="135"/>
  <c r="D32" i="135"/>
  <c r="E32" i="135" s="1"/>
  <c r="G32" i="135" s="1"/>
  <c r="H11" i="135" s="1"/>
  <c r="D12" i="135"/>
  <c r="D19" i="135"/>
  <c r="A40" i="139"/>
  <c r="A17" i="139"/>
  <c r="A39" i="138"/>
  <c r="A16" i="138"/>
  <c r="I26" i="138"/>
  <c r="K14" i="138"/>
  <c r="K26" i="138" s="1"/>
  <c r="D43" i="135"/>
  <c r="E43" i="135" s="1"/>
  <c r="G43" i="135" s="1"/>
  <c r="H22" i="135" s="1"/>
  <c r="D22" i="135"/>
  <c r="A37" i="137"/>
  <c r="A17" i="137"/>
  <c r="E30" i="135"/>
  <c r="G30" i="135" s="1"/>
  <c r="H9" i="135" s="1"/>
  <c r="D42" i="135"/>
  <c r="E42" i="135" s="1"/>
  <c r="G42" i="135" s="1"/>
  <c r="H21" i="135" s="1"/>
  <c r="D40" i="135"/>
  <c r="A34" i="140"/>
  <c r="A14" i="140"/>
  <c r="K38" i="138"/>
  <c r="K50" i="138" s="1"/>
  <c r="I50" i="138"/>
  <c r="D41" i="135"/>
  <c r="E41" i="135" s="1"/>
  <c r="G41" i="135" s="1"/>
  <c r="H20" i="135" s="1"/>
  <c r="A35" i="140" l="1"/>
  <c r="A15" i="140"/>
  <c r="A41" i="139"/>
  <c r="A18" i="139"/>
  <c r="D33" i="135"/>
  <c r="D44" i="135"/>
  <c r="E40" i="135"/>
  <c r="G40" i="135" s="1"/>
  <c r="H19" i="135" s="1"/>
  <c r="A38" i="137"/>
  <c r="A18" i="137"/>
  <c r="A17" i="138"/>
  <c r="A40" i="138"/>
  <c r="D23" i="135"/>
  <c r="A41" i="138" l="1"/>
  <c r="A18" i="138"/>
  <c r="A16" i="140"/>
  <c r="A36" i="140"/>
  <c r="A19" i="137"/>
  <c r="A39" i="137"/>
  <c r="A19" i="139"/>
  <c r="A42" i="139"/>
  <c r="A42" i="138" l="1"/>
  <c r="A19" i="138"/>
  <c r="A20" i="137"/>
  <c r="A40" i="137"/>
  <c r="A43" i="139"/>
  <c r="A20" i="139"/>
  <c r="A37" i="140"/>
  <c r="A17" i="140"/>
  <c r="A21" i="139" l="1"/>
  <c r="A44" i="139"/>
  <c r="A43" i="138"/>
  <c r="A20" i="138"/>
  <c r="A38" i="140"/>
  <c r="A18" i="140"/>
  <c r="A41" i="137"/>
  <c r="A21" i="137"/>
  <c r="A39" i="140" l="1"/>
  <c r="A19" i="140"/>
  <c r="A45" i="139"/>
  <c r="A22" i="139"/>
  <c r="A42" i="137"/>
  <c r="A22" i="137"/>
  <c r="A21" i="138"/>
  <c r="A44" i="138"/>
  <c r="F23" i="137" l="1"/>
  <c r="A43" i="137"/>
  <c r="F44" i="137" s="1"/>
  <c r="A40" i="140"/>
  <c r="A20" i="140"/>
  <c r="A23" i="139"/>
  <c r="A46" i="139"/>
  <c r="A45" i="138"/>
  <c r="A22" i="138"/>
  <c r="A47" i="139" l="1"/>
  <c r="A24" i="139"/>
  <c r="A46" i="138"/>
  <c r="A23" i="138"/>
  <c r="A41" i="140"/>
  <c r="A21" i="140"/>
  <c r="A42" i="140" l="1"/>
  <c r="A22" i="140"/>
  <c r="A48" i="139"/>
  <c r="A25" i="139"/>
  <c r="A24" i="138"/>
  <c r="A47" i="138"/>
  <c r="A43" i="140" l="1"/>
  <c r="A44" i="140" s="1"/>
  <c r="A23" i="140"/>
  <c r="A25" i="138"/>
  <c r="A48" i="138"/>
  <c r="A49" i="139"/>
  <c r="A50" i="139" s="1"/>
  <c r="A26" i="139"/>
  <c r="A49" i="138" l="1"/>
  <c r="A26" i="138"/>
  <c r="H12" i="130" l="1"/>
  <c r="H55" i="130" l="1"/>
  <c r="D25" i="92" l="1"/>
  <c r="E25" i="92"/>
  <c r="F25" i="92"/>
  <c r="G25" i="92"/>
  <c r="H25" i="92"/>
  <c r="C25" i="92"/>
  <c r="D24" i="92"/>
  <c r="E24" i="92"/>
  <c r="F24" i="92"/>
  <c r="G24" i="92"/>
  <c r="H24" i="92"/>
  <c r="C24" i="92"/>
  <c r="C14" i="92"/>
  <c r="C13" i="92"/>
  <c r="L14" i="100"/>
  <c r="L14" i="101"/>
  <c r="L14" i="102"/>
  <c r="L14" i="103"/>
  <c r="L14" i="99"/>
  <c r="N14" i="103" l="1"/>
  <c r="N14" i="102"/>
  <c r="N14" i="101"/>
  <c r="Q23" i="110"/>
  <c r="Q19" i="110" l="1"/>
  <c r="Q14" i="110"/>
  <c r="Q15" i="110"/>
  <c r="Q16" i="110"/>
  <c r="Q17" i="110"/>
  <c r="Q18" i="110"/>
  <c r="J32" i="110"/>
  <c r="H32" i="110"/>
  <c r="Q26" i="110" l="1"/>
  <c r="Q27" i="110"/>
  <c r="Q28" i="110"/>
  <c r="Q29" i="110"/>
  <c r="Q30" i="110"/>
  <c r="F26" i="131" l="1"/>
  <c r="G26" i="131"/>
  <c r="H26" i="131"/>
  <c r="I26" i="131"/>
  <c r="J26" i="131"/>
  <c r="K26" i="131"/>
  <c r="L26" i="131"/>
  <c r="M26" i="131"/>
  <c r="N26" i="131"/>
  <c r="O26" i="131"/>
  <c r="P26" i="131"/>
  <c r="F27" i="131"/>
  <c r="G27" i="131"/>
  <c r="H27" i="131"/>
  <c r="I27" i="131"/>
  <c r="J27" i="131"/>
  <c r="K27" i="131"/>
  <c r="L27" i="131"/>
  <c r="M27" i="131"/>
  <c r="N27" i="131"/>
  <c r="O27" i="131"/>
  <c r="P27" i="131"/>
  <c r="E27" i="131"/>
  <c r="E26" i="131"/>
  <c r="Q20" i="91"/>
  <c r="Q20" i="111"/>
  <c r="Q20" i="131"/>
  <c r="F20" i="131"/>
  <c r="G20" i="131"/>
  <c r="H20" i="131"/>
  <c r="I20" i="131"/>
  <c r="J20" i="131"/>
  <c r="K20" i="131"/>
  <c r="L20" i="131"/>
  <c r="M20" i="131"/>
  <c r="N20" i="131"/>
  <c r="O20" i="131"/>
  <c r="P20" i="131"/>
  <c r="E20" i="131"/>
  <c r="D29" i="132"/>
  <c r="Q26" i="131" l="1"/>
  <c r="Q27" i="131"/>
  <c r="Q26" i="132"/>
  <c r="Q20" i="132"/>
  <c r="F20" i="132" l="1"/>
  <c r="G20" i="132"/>
  <c r="H20" i="132"/>
  <c r="I20" i="132"/>
  <c r="J20" i="132"/>
  <c r="K20" i="132"/>
  <c r="L20" i="132"/>
  <c r="M20" i="132"/>
  <c r="N20" i="132"/>
  <c r="O20" i="132"/>
  <c r="P20" i="132"/>
  <c r="E20" i="132"/>
  <c r="Q16" i="132"/>
  <c r="D32" i="114" l="1"/>
  <c r="E32" i="114"/>
  <c r="F32" i="114"/>
  <c r="G32" i="114"/>
  <c r="H32" i="114"/>
  <c r="I32" i="114"/>
  <c r="J32" i="114"/>
  <c r="K32" i="114"/>
  <c r="L32" i="114"/>
  <c r="M32" i="114"/>
  <c r="N32" i="114"/>
  <c r="C32" i="114"/>
  <c r="Q6" i="131"/>
  <c r="S1048492" i="132" l="1"/>
  <c r="P29" i="132"/>
  <c r="O29" i="132"/>
  <c r="N29" i="132"/>
  <c r="M29" i="132"/>
  <c r="L29" i="132"/>
  <c r="K29" i="132"/>
  <c r="J29" i="132"/>
  <c r="I29" i="132"/>
  <c r="H29" i="132"/>
  <c r="G29" i="132"/>
  <c r="F29" i="132"/>
  <c r="E29" i="132"/>
  <c r="Q27" i="132"/>
  <c r="Q25" i="132"/>
  <c r="Q6" i="132"/>
  <c r="P6" i="132"/>
  <c r="O6" i="132"/>
  <c r="N6" i="132"/>
  <c r="M6" i="132"/>
  <c r="L6" i="132"/>
  <c r="K6" i="132"/>
  <c r="J6" i="132"/>
  <c r="I6" i="132"/>
  <c r="H6" i="132"/>
  <c r="G6" i="132"/>
  <c r="F6" i="132"/>
  <c r="S1048576" i="131"/>
  <c r="P6" i="131"/>
  <c r="O6" i="131"/>
  <c r="N6" i="131"/>
  <c r="M6" i="131"/>
  <c r="L6" i="131"/>
  <c r="K6" i="131"/>
  <c r="J6" i="131"/>
  <c r="I6" i="131"/>
  <c r="H6" i="131"/>
  <c r="G6" i="131"/>
  <c r="F6" i="131"/>
  <c r="Q29" i="132" l="1"/>
  <c r="L86" i="130" l="1"/>
  <c r="M86" i="130" s="1"/>
  <c r="Q86" i="130" s="1"/>
  <c r="L85" i="130"/>
  <c r="M85" i="130" s="1"/>
  <c r="Q85" i="130" s="1"/>
  <c r="L84" i="130"/>
  <c r="M84" i="130" s="1"/>
  <c r="Q84" i="130" s="1"/>
  <c r="L83" i="130"/>
  <c r="M83" i="130" s="1"/>
  <c r="Q83" i="130" s="1"/>
  <c r="L82" i="130"/>
  <c r="M82" i="130" s="1"/>
  <c r="Q82" i="130" s="1"/>
  <c r="L81" i="130"/>
  <c r="M81" i="130" s="1"/>
  <c r="Q81" i="130" s="1"/>
  <c r="L80" i="130"/>
  <c r="M80" i="130" s="1"/>
  <c r="Q80" i="130" s="1"/>
  <c r="L79" i="130"/>
  <c r="M79" i="130" s="1"/>
  <c r="Q79" i="130" s="1"/>
  <c r="L78" i="130"/>
  <c r="M78" i="130" s="1"/>
  <c r="Q78" i="130" s="1"/>
  <c r="L77" i="130"/>
  <c r="M77" i="130" s="1"/>
  <c r="Q77" i="130" s="1"/>
  <c r="L76" i="130"/>
  <c r="M76" i="130" s="1"/>
  <c r="Q76" i="130" s="1"/>
  <c r="L75" i="130"/>
  <c r="M75" i="130" s="1"/>
  <c r="Q75" i="130" s="1"/>
  <c r="L74" i="130"/>
  <c r="M74" i="130" s="1"/>
  <c r="Q74" i="130" s="1"/>
  <c r="L73" i="130"/>
  <c r="M73" i="130" s="1"/>
  <c r="Q73" i="130" s="1"/>
  <c r="L72" i="130"/>
  <c r="M72" i="130" s="1"/>
  <c r="Q72" i="130" s="1"/>
  <c r="A60" i="130"/>
  <c r="A61" i="130" s="1"/>
  <c r="A62" i="130" s="1"/>
  <c r="A63" i="130" s="1"/>
  <c r="A64" i="130" s="1"/>
  <c r="A65" i="130" s="1"/>
  <c r="A66" i="130" s="1"/>
  <c r="A67" i="130" s="1"/>
  <c r="A68" i="130" s="1"/>
  <c r="A69" i="130" s="1"/>
  <c r="A70" i="130" s="1"/>
  <c r="A71" i="130" s="1"/>
  <c r="A72" i="130" s="1"/>
  <c r="A73" i="130" s="1"/>
  <c r="A74" i="130" s="1"/>
  <c r="A75" i="130" s="1"/>
  <c r="A76" i="130" s="1"/>
  <c r="A77" i="130" s="1"/>
  <c r="A78" i="130" s="1"/>
  <c r="A79" i="130" s="1"/>
  <c r="A80" i="130" s="1"/>
  <c r="A81" i="130" s="1"/>
  <c r="A82" i="130" s="1"/>
  <c r="A83" i="130" s="1"/>
  <c r="A84" i="130" s="1"/>
  <c r="A85" i="130" s="1"/>
  <c r="A86" i="130" s="1"/>
  <c r="A87" i="130" s="1"/>
  <c r="Q43" i="130"/>
  <c r="P43" i="130"/>
  <c r="Q42" i="130"/>
  <c r="P42" i="130"/>
  <c r="Q41" i="130"/>
  <c r="P41" i="130"/>
  <c r="Q40" i="130"/>
  <c r="P40" i="130"/>
  <c r="Q39" i="130"/>
  <c r="P39" i="130"/>
  <c r="Q38" i="130"/>
  <c r="P38" i="130"/>
  <c r="Q37" i="130"/>
  <c r="P37" i="130"/>
  <c r="Q36" i="130"/>
  <c r="P36" i="130"/>
  <c r="Q35" i="130"/>
  <c r="P35" i="130"/>
  <c r="Q34" i="130"/>
  <c r="P34" i="130"/>
  <c r="Q33" i="130"/>
  <c r="P33" i="130"/>
  <c r="Q32" i="130"/>
  <c r="P32" i="130"/>
  <c r="Q31" i="130"/>
  <c r="P31" i="130"/>
  <c r="Q30" i="130"/>
  <c r="P30" i="130"/>
  <c r="P29" i="130"/>
  <c r="A17" i="130"/>
  <c r="A18" i="130" s="1"/>
  <c r="A19" i="130" s="1"/>
  <c r="A20" i="130" s="1"/>
  <c r="A21" i="130" s="1"/>
  <c r="A22" i="130" s="1"/>
  <c r="A23" i="130" s="1"/>
  <c r="A24" i="130" s="1"/>
  <c r="A25" i="130" s="1"/>
  <c r="A26" i="130" s="1"/>
  <c r="A27" i="130" s="1"/>
  <c r="A28" i="130" s="1"/>
  <c r="A29" i="130" s="1"/>
  <c r="A30" i="130" s="1"/>
  <c r="A31" i="130" s="1"/>
  <c r="A32" i="130" s="1"/>
  <c r="A33" i="130" s="1"/>
  <c r="A34" i="130" s="1"/>
  <c r="A35" i="130" s="1"/>
  <c r="A36" i="130" s="1"/>
  <c r="A37" i="130" s="1"/>
  <c r="A38" i="130" s="1"/>
  <c r="A39" i="130" s="1"/>
  <c r="A40" i="130" s="1"/>
  <c r="A41" i="130" s="1"/>
  <c r="A42" i="130" s="1"/>
  <c r="A43" i="130" s="1"/>
  <c r="A44" i="130" s="1"/>
  <c r="D31" i="114"/>
  <c r="E31" i="114"/>
  <c r="F31" i="114"/>
  <c r="G31" i="114"/>
  <c r="H31" i="114"/>
  <c r="I31" i="114"/>
  <c r="J31" i="114"/>
  <c r="K31" i="114"/>
  <c r="L31" i="114"/>
  <c r="M31" i="114"/>
  <c r="N31" i="114"/>
  <c r="C31" i="114"/>
  <c r="I24" i="129"/>
  <c r="J24" i="129"/>
  <c r="K24" i="129"/>
  <c r="L24" i="129"/>
  <c r="M24" i="129"/>
  <c r="N24" i="129"/>
  <c r="O24" i="129"/>
  <c r="P24" i="129"/>
  <c r="Q24" i="129"/>
  <c r="R24" i="129"/>
  <c r="S24" i="129"/>
  <c r="T24" i="129"/>
  <c r="H24" i="129"/>
  <c r="A18" i="114"/>
  <c r="A19" i="114"/>
  <c r="D25" i="114"/>
  <c r="E25" i="114"/>
  <c r="F25" i="114"/>
  <c r="G25" i="114"/>
  <c r="H25" i="114"/>
  <c r="I25" i="114"/>
  <c r="J25" i="114"/>
  <c r="K25" i="114"/>
  <c r="L25" i="114"/>
  <c r="M25" i="114"/>
  <c r="N25" i="114"/>
  <c r="D26" i="114"/>
  <c r="E26" i="114"/>
  <c r="F26" i="114"/>
  <c r="G26" i="114"/>
  <c r="H26" i="114"/>
  <c r="I26" i="114"/>
  <c r="J26" i="114"/>
  <c r="K26" i="114"/>
  <c r="L26" i="114"/>
  <c r="M26" i="114"/>
  <c r="N26" i="114"/>
  <c r="D27" i="114"/>
  <c r="E27" i="114"/>
  <c r="F27" i="114"/>
  <c r="G27" i="114"/>
  <c r="H27" i="114"/>
  <c r="I27" i="114"/>
  <c r="J27" i="114"/>
  <c r="K27" i="114"/>
  <c r="L27" i="114"/>
  <c r="M27" i="114"/>
  <c r="N27" i="114"/>
  <c r="C26" i="114"/>
  <c r="C27" i="114"/>
  <c r="C25" i="114"/>
  <c r="D10" i="114"/>
  <c r="E10" i="114"/>
  <c r="F10" i="114"/>
  <c r="G10" i="114"/>
  <c r="H10" i="114"/>
  <c r="I10" i="114"/>
  <c r="J10" i="114"/>
  <c r="K10" i="114"/>
  <c r="L10" i="114"/>
  <c r="M10" i="114"/>
  <c r="N10" i="114"/>
  <c r="D11" i="114"/>
  <c r="E11" i="114"/>
  <c r="F11" i="114"/>
  <c r="G11" i="114"/>
  <c r="H11" i="114"/>
  <c r="I11" i="114"/>
  <c r="J11" i="114"/>
  <c r="K11" i="114"/>
  <c r="L11" i="114"/>
  <c r="M11" i="114"/>
  <c r="N11" i="114"/>
  <c r="D12" i="114"/>
  <c r="E12" i="114"/>
  <c r="F12" i="114"/>
  <c r="G12" i="114"/>
  <c r="H12" i="114"/>
  <c r="I12" i="114"/>
  <c r="J12" i="114"/>
  <c r="K12" i="114"/>
  <c r="L12" i="114"/>
  <c r="M12" i="114"/>
  <c r="N12" i="114"/>
  <c r="D13" i="114"/>
  <c r="E13" i="114"/>
  <c r="F13" i="114"/>
  <c r="G13" i="114"/>
  <c r="H13" i="114"/>
  <c r="I13" i="114"/>
  <c r="J13" i="114"/>
  <c r="K13" i="114"/>
  <c r="L13" i="114"/>
  <c r="M13" i="114"/>
  <c r="N13" i="114"/>
  <c r="D14" i="114"/>
  <c r="E14" i="114"/>
  <c r="F14" i="114"/>
  <c r="G14" i="114"/>
  <c r="H14" i="114"/>
  <c r="I14" i="114"/>
  <c r="J14" i="114"/>
  <c r="K14" i="114"/>
  <c r="L14" i="114"/>
  <c r="M14" i="114"/>
  <c r="N14" i="114"/>
  <c r="C11" i="114"/>
  <c r="C10" i="114"/>
  <c r="C13" i="114"/>
  <c r="C14" i="114"/>
  <c r="O26" i="114" l="1"/>
  <c r="P44" i="130"/>
  <c r="C12" i="114"/>
  <c r="Q50" i="128"/>
  <c r="P50" i="128"/>
  <c r="O50" i="128"/>
  <c r="N50" i="128"/>
  <c r="M50" i="128"/>
  <c r="L50" i="128"/>
  <c r="K50" i="128"/>
  <c r="J50" i="128"/>
  <c r="I50" i="128"/>
  <c r="H50" i="128"/>
  <c r="G50" i="128"/>
  <c r="F50" i="128"/>
  <c r="R49" i="128"/>
  <c r="R48" i="128"/>
  <c r="R47" i="128"/>
  <c r="R46" i="128"/>
  <c r="R45" i="128"/>
  <c r="R44" i="128"/>
  <c r="R43" i="128"/>
  <c r="R42" i="128"/>
  <c r="R41" i="128"/>
  <c r="R40" i="128"/>
  <c r="R39" i="128"/>
  <c r="R50" i="128" s="1"/>
  <c r="Q36" i="128"/>
  <c r="P36" i="128"/>
  <c r="O36" i="128"/>
  <c r="N36" i="128"/>
  <c r="N52" i="128" s="1"/>
  <c r="M36" i="128"/>
  <c r="L36" i="128"/>
  <c r="K36" i="128"/>
  <c r="J36" i="128"/>
  <c r="J52" i="128" s="1"/>
  <c r="I36" i="128"/>
  <c r="H36" i="128"/>
  <c r="H52" i="128" s="1"/>
  <c r="G36" i="128"/>
  <c r="G52" i="128" s="1"/>
  <c r="F36" i="128"/>
  <c r="F52" i="128" s="1"/>
  <c r="R35" i="128"/>
  <c r="R34" i="128"/>
  <c r="R30" i="128"/>
  <c r="R29" i="128"/>
  <c r="R28" i="128"/>
  <c r="R27" i="128"/>
  <c r="R26" i="128"/>
  <c r="R25" i="128"/>
  <c r="R24" i="128"/>
  <c r="R23" i="128"/>
  <c r="R22" i="128"/>
  <c r="R21" i="128"/>
  <c r="R20" i="128"/>
  <c r="R19" i="128"/>
  <c r="R18" i="128"/>
  <c r="R17" i="128"/>
  <c r="R16" i="128"/>
  <c r="R15" i="128"/>
  <c r="R14" i="128"/>
  <c r="R13" i="128"/>
  <c r="R12" i="128"/>
  <c r="R11" i="128"/>
  <c r="R10" i="128"/>
  <c r="R9" i="128"/>
  <c r="R8" i="128"/>
  <c r="R36" i="128" s="1"/>
  <c r="K52" i="128" l="1"/>
  <c r="O52" i="128"/>
  <c r="L52" i="128"/>
  <c r="P52" i="128"/>
  <c r="I52" i="128"/>
  <c r="M52" i="128"/>
  <c r="Q52" i="128"/>
  <c r="R52" i="128"/>
  <c r="H11" i="130"/>
  <c r="H54" i="130" s="1"/>
  <c r="O32" i="114"/>
  <c r="O31" i="114"/>
  <c r="O27" i="114"/>
  <c r="O28" i="114"/>
  <c r="O25" i="114"/>
  <c r="O23" i="114"/>
  <c r="O19" i="114"/>
  <c r="O20" i="114"/>
  <c r="O17" i="114"/>
  <c r="O11" i="114"/>
  <c r="O12" i="114"/>
  <c r="O13" i="114"/>
  <c r="O14" i="114"/>
  <c r="O10" i="114"/>
  <c r="L22" i="126"/>
  <c r="N22" i="126" s="1"/>
  <c r="L21" i="126"/>
  <c r="N21" i="126" s="1"/>
  <c r="L20" i="126"/>
  <c r="N20" i="126" s="1"/>
  <c r="L13" i="126"/>
  <c r="P31" i="126"/>
  <c r="N31" i="126"/>
  <c r="J31" i="126"/>
  <c r="A20" i="126"/>
  <c r="A21" i="126" s="1"/>
  <c r="L22" i="125"/>
  <c r="N22" i="125" s="1"/>
  <c r="L21" i="125"/>
  <c r="L20" i="125"/>
  <c r="N20" i="125" s="1"/>
  <c r="L13" i="125"/>
  <c r="P31" i="125"/>
  <c r="N31" i="125"/>
  <c r="J31" i="125"/>
  <c r="A20" i="125"/>
  <c r="A21" i="125" s="1"/>
  <c r="L22" i="124"/>
  <c r="L21" i="124"/>
  <c r="L20" i="124"/>
  <c r="N20" i="124" s="1"/>
  <c r="L13" i="124"/>
  <c r="P31" i="124"/>
  <c r="N31" i="124"/>
  <c r="J31" i="124"/>
  <c r="A20" i="124"/>
  <c r="A21" i="124" s="1"/>
  <c r="L22" i="123"/>
  <c r="L21" i="123"/>
  <c r="N21" i="123" s="1"/>
  <c r="L20" i="123"/>
  <c r="N20" i="123" s="1"/>
  <c r="L13" i="123"/>
  <c r="N13" i="123" s="1"/>
  <c r="P31" i="123"/>
  <c r="N31" i="123"/>
  <c r="J31" i="123"/>
  <c r="A20" i="123"/>
  <c r="A21" i="123" s="1"/>
  <c r="L22" i="122"/>
  <c r="N22" i="122" s="1"/>
  <c r="L21" i="122"/>
  <c r="N21" i="122" s="1"/>
  <c r="L20" i="122"/>
  <c r="N20" i="122" s="1"/>
  <c r="L13" i="122"/>
  <c r="P31" i="122"/>
  <c r="N31" i="122"/>
  <c r="J31" i="122"/>
  <c r="A20" i="122"/>
  <c r="A21" i="122" s="1"/>
  <c r="L22" i="121"/>
  <c r="L21" i="121"/>
  <c r="N21" i="121" s="1"/>
  <c r="L20" i="121"/>
  <c r="N20" i="121" s="1"/>
  <c r="L13" i="121"/>
  <c r="P31" i="121"/>
  <c r="N31" i="121"/>
  <c r="J31" i="121"/>
  <c r="A20" i="121"/>
  <c r="A21" i="121" s="1"/>
  <c r="L22" i="120"/>
  <c r="N22" i="120" s="1"/>
  <c r="L21" i="120"/>
  <c r="N21" i="120" s="1"/>
  <c r="L20" i="120"/>
  <c r="N20" i="120" s="1"/>
  <c r="L13" i="120"/>
  <c r="P31" i="120"/>
  <c r="N31" i="120"/>
  <c r="J31" i="120"/>
  <c r="A20" i="120"/>
  <c r="A21" i="120" s="1"/>
  <c r="L22" i="119"/>
  <c r="L21" i="119"/>
  <c r="L20" i="119"/>
  <c r="N20" i="119" s="1"/>
  <c r="L13" i="119"/>
  <c r="P31" i="119"/>
  <c r="N31" i="119"/>
  <c r="J31" i="119"/>
  <c r="A20" i="119"/>
  <c r="A21" i="119" s="1"/>
  <c r="L31" i="118"/>
  <c r="L22" i="118"/>
  <c r="N22" i="118" s="1"/>
  <c r="L21" i="118"/>
  <c r="N21" i="118" s="1"/>
  <c r="L20" i="118"/>
  <c r="L13" i="118"/>
  <c r="L17" i="118" s="1"/>
  <c r="P31" i="118"/>
  <c r="N31" i="118"/>
  <c r="J31" i="118"/>
  <c r="A20" i="118"/>
  <c r="A21" i="118" s="1"/>
  <c r="L29" i="117"/>
  <c r="L30" i="117"/>
  <c r="L28" i="117"/>
  <c r="L21" i="117"/>
  <c r="L22" i="117"/>
  <c r="L20" i="117"/>
  <c r="N14" i="117"/>
  <c r="N15" i="117"/>
  <c r="L13" i="117"/>
  <c r="N13" i="117" s="1"/>
  <c r="P31" i="117"/>
  <c r="N31" i="117"/>
  <c r="J31" i="117"/>
  <c r="N16" i="117"/>
  <c r="A20" i="117"/>
  <c r="A21" i="117" s="1"/>
  <c r="L29" i="116"/>
  <c r="L30" i="116"/>
  <c r="L28" i="116"/>
  <c r="L21" i="116"/>
  <c r="N21" i="116" s="1"/>
  <c r="L22" i="116"/>
  <c r="N22" i="116" s="1"/>
  <c r="L20" i="116"/>
  <c r="N20" i="116" s="1"/>
  <c r="L13" i="116"/>
  <c r="P31" i="116"/>
  <c r="N31" i="116"/>
  <c r="J31" i="116"/>
  <c r="A20" i="116"/>
  <c r="A21" i="116" s="1"/>
  <c r="L28" i="113"/>
  <c r="L20" i="113"/>
  <c r="L13" i="113"/>
  <c r="N13" i="113" s="1"/>
  <c r="C29" i="114"/>
  <c r="D29" i="114"/>
  <c r="G29" i="114"/>
  <c r="H29" i="114"/>
  <c r="E29" i="114"/>
  <c r="F29" i="114"/>
  <c r="H21" i="114"/>
  <c r="G21" i="114"/>
  <c r="F21" i="114"/>
  <c r="E21" i="114"/>
  <c r="D21" i="114"/>
  <c r="C21" i="114"/>
  <c r="H15" i="114"/>
  <c r="G15" i="114"/>
  <c r="D15" i="114"/>
  <c r="C15" i="114"/>
  <c r="F15" i="114"/>
  <c r="E15" i="114"/>
  <c r="A22" i="126" l="1"/>
  <c r="A23" i="126" s="1"/>
  <c r="A25" i="126" s="1"/>
  <c r="A28" i="126" s="1"/>
  <c r="A22" i="125"/>
  <c r="A23" i="125" s="1"/>
  <c r="A25" i="125" s="1"/>
  <c r="A28" i="125" s="1"/>
  <c r="A22" i="124"/>
  <c r="A23" i="124" s="1"/>
  <c r="A25" i="124" s="1"/>
  <c r="A28" i="124" s="1"/>
  <c r="A22" i="123"/>
  <c r="A23" i="123" s="1"/>
  <c r="A25" i="123" s="1"/>
  <c r="A28" i="123" s="1"/>
  <c r="A22" i="122"/>
  <c r="A23" i="122" s="1"/>
  <c r="A25" i="122" s="1"/>
  <c r="A28" i="122" s="1"/>
  <c r="A22" i="121"/>
  <c r="A23" i="121" s="1"/>
  <c r="A25" i="121" s="1"/>
  <c r="A28" i="121" s="1"/>
  <c r="A22" i="120"/>
  <c r="A23" i="120" s="1"/>
  <c r="A25" i="120" s="1"/>
  <c r="A28" i="120" s="1"/>
  <c r="A22" i="119"/>
  <c r="A23" i="119" s="1"/>
  <c r="A25" i="119" s="1"/>
  <c r="A28" i="119" s="1"/>
  <c r="A22" i="118"/>
  <c r="A23" i="118" s="1"/>
  <c r="A25" i="118" s="1"/>
  <c r="A28" i="118" s="1"/>
  <c r="A22" i="117"/>
  <c r="A23" i="117" s="1"/>
  <c r="A25" i="117" s="1"/>
  <c r="A28" i="117" s="1"/>
  <c r="A22" i="116"/>
  <c r="A23" i="116" s="1"/>
  <c r="A25" i="116" s="1"/>
  <c r="A28" i="116" s="1"/>
  <c r="L17" i="124"/>
  <c r="L23" i="123"/>
  <c r="H63" i="130"/>
  <c r="H20" i="130"/>
  <c r="J63" i="130"/>
  <c r="J20" i="130"/>
  <c r="L23" i="125"/>
  <c r="N16" i="116"/>
  <c r="N22" i="117"/>
  <c r="L23" i="119"/>
  <c r="L31" i="116"/>
  <c r="N22" i="124"/>
  <c r="L17" i="116"/>
  <c r="L23" i="126"/>
  <c r="L23" i="121"/>
  <c r="N22" i="121"/>
  <c r="N23" i="121" s="1"/>
  <c r="N16" i="120"/>
  <c r="N23" i="120"/>
  <c r="L31" i="120"/>
  <c r="N22" i="119"/>
  <c r="L17" i="120"/>
  <c r="L23" i="120"/>
  <c r="N22" i="123"/>
  <c r="N23" i="123" s="1"/>
  <c r="N20" i="117"/>
  <c r="N15" i="118"/>
  <c r="L31" i="119"/>
  <c r="L23" i="124"/>
  <c r="N14" i="118"/>
  <c r="N13" i="116"/>
  <c r="L17" i="117"/>
  <c r="N13" i="118"/>
  <c r="N13" i="119"/>
  <c r="N16" i="119"/>
  <c r="L17" i="119"/>
  <c r="L25" i="119" s="1"/>
  <c r="N15" i="120"/>
  <c r="O15" i="114"/>
  <c r="L17" i="121"/>
  <c r="N16" i="123"/>
  <c r="L17" i="126"/>
  <c r="N23" i="126"/>
  <c r="N13" i="126"/>
  <c r="N14" i="126"/>
  <c r="N15" i="126"/>
  <c r="N16" i="126"/>
  <c r="N21" i="125"/>
  <c r="N23" i="125" s="1"/>
  <c r="L17" i="125"/>
  <c r="N13" i="125"/>
  <c r="N14" i="125"/>
  <c r="N15" i="125"/>
  <c r="N16" i="125"/>
  <c r="N21" i="124"/>
  <c r="N13" i="124"/>
  <c r="N14" i="124"/>
  <c r="N15" i="124"/>
  <c r="N16" i="124"/>
  <c r="N15" i="123"/>
  <c r="L17" i="123"/>
  <c r="N14" i="123"/>
  <c r="L23" i="122"/>
  <c r="N23" i="122"/>
  <c r="L17" i="122"/>
  <c r="N13" i="122"/>
  <c r="N14" i="122"/>
  <c r="N15" i="122"/>
  <c r="N16" i="122"/>
  <c r="N13" i="121"/>
  <c r="N14" i="121"/>
  <c r="N15" i="121"/>
  <c r="N16" i="121"/>
  <c r="N14" i="120"/>
  <c r="N13" i="120"/>
  <c r="N21" i="119"/>
  <c r="N15" i="119"/>
  <c r="N14" i="119"/>
  <c r="L23" i="118"/>
  <c r="L25" i="118" s="1"/>
  <c r="N20" i="118"/>
  <c r="N23" i="118" s="1"/>
  <c r="N16" i="118"/>
  <c r="L31" i="117"/>
  <c r="N21" i="117"/>
  <c r="L23" i="117"/>
  <c r="N17" i="117"/>
  <c r="N23" i="116"/>
  <c r="L23" i="116"/>
  <c r="N14" i="116"/>
  <c r="N15" i="116"/>
  <c r="N21" i="114"/>
  <c r="M21" i="114"/>
  <c r="L21" i="114"/>
  <c r="K21" i="114"/>
  <c r="J21" i="114"/>
  <c r="I21" i="114"/>
  <c r="O21" i="114"/>
  <c r="A11" i="114"/>
  <c r="A12" i="114" s="1"/>
  <c r="A13" i="114" s="1"/>
  <c r="A14" i="114" s="1"/>
  <c r="A15" i="114" s="1"/>
  <c r="A17" i="114" s="1"/>
  <c r="A20" i="114" s="1"/>
  <c r="A21" i="114" s="1"/>
  <c r="A23" i="114" s="1"/>
  <c r="A25" i="114" s="1"/>
  <c r="P31" i="113"/>
  <c r="N31" i="113"/>
  <c r="J31" i="113"/>
  <c r="L31" i="113"/>
  <c r="L23" i="113"/>
  <c r="N20" i="113"/>
  <c r="L17" i="113"/>
  <c r="N16" i="113"/>
  <c r="N15" i="113"/>
  <c r="A16" i="113"/>
  <c r="A17" i="113" s="1"/>
  <c r="A20" i="113" s="1"/>
  <c r="A21" i="113" s="1"/>
  <c r="A29" i="126" l="1"/>
  <c r="A30" i="126" s="1"/>
  <c r="A31" i="126" s="1"/>
  <c r="A29" i="125"/>
  <c r="A30" i="125" s="1"/>
  <c r="A31" i="125" s="1"/>
  <c r="A30" i="124"/>
  <c r="A31" i="124" s="1"/>
  <c r="A29" i="124"/>
  <c r="A30" i="123"/>
  <c r="A31" i="123" s="1"/>
  <c r="A29" i="123"/>
  <c r="A29" i="122"/>
  <c r="A30" i="122" s="1"/>
  <c r="A31" i="122" s="1"/>
  <c r="A30" i="121"/>
  <c r="A31" i="121" s="1"/>
  <c r="A29" i="121"/>
  <c r="A30" i="120"/>
  <c r="A31" i="120" s="1"/>
  <c r="A29" i="120"/>
  <c r="A30" i="119"/>
  <c r="A31" i="119" s="1"/>
  <c r="A29" i="119"/>
  <c r="A29" i="118"/>
  <c r="A30" i="118" s="1"/>
  <c r="A31" i="118" s="1"/>
  <c r="A29" i="117"/>
  <c r="A30" i="117" s="1"/>
  <c r="A31" i="117" s="1"/>
  <c r="A29" i="116"/>
  <c r="A30" i="116" s="1"/>
  <c r="A31" i="116" s="1"/>
  <c r="A22" i="113"/>
  <c r="A23" i="113" s="1"/>
  <c r="A25" i="113" s="1"/>
  <c r="A28" i="113" s="1"/>
  <c r="L25" i="120"/>
  <c r="L25" i="124"/>
  <c r="H69" i="130"/>
  <c r="H26" i="130"/>
  <c r="H70" i="130"/>
  <c r="H27" i="130"/>
  <c r="L25" i="126"/>
  <c r="H71" i="130"/>
  <c r="H28" i="130"/>
  <c r="L25" i="123"/>
  <c r="H25" i="130"/>
  <c r="H68" i="130"/>
  <c r="H24" i="130"/>
  <c r="H67" i="130"/>
  <c r="H66" i="130"/>
  <c r="H23" i="130"/>
  <c r="J65" i="130"/>
  <c r="J22" i="130"/>
  <c r="H65" i="130"/>
  <c r="H22" i="130"/>
  <c r="J64" i="130"/>
  <c r="J21" i="130"/>
  <c r="H64" i="130"/>
  <c r="H21" i="130"/>
  <c r="H62" i="130"/>
  <c r="H19" i="130"/>
  <c r="J62" i="130"/>
  <c r="J19" i="130"/>
  <c r="L25" i="117"/>
  <c r="L25" i="116"/>
  <c r="H18" i="130"/>
  <c r="H61" i="130"/>
  <c r="J61" i="130"/>
  <c r="J18" i="130"/>
  <c r="J60" i="130"/>
  <c r="J17" i="130"/>
  <c r="L25" i="113"/>
  <c r="H60" i="130"/>
  <c r="H17" i="130"/>
  <c r="N17" i="123"/>
  <c r="N25" i="123" s="1"/>
  <c r="A26" i="114"/>
  <c r="A27" i="114" s="1"/>
  <c r="A28" i="114" s="1"/>
  <c r="A29" i="114" s="1"/>
  <c r="A31" i="114" s="1"/>
  <c r="A32" i="114" s="1"/>
  <c r="N23" i="119"/>
  <c r="N23" i="124"/>
  <c r="N23" i="117"/>
  <c r="N25" i="117" s="1"/>
  <c r="L25" i="125"/>
  <c r="L25" i="121"/>
  <c r="N17" i="120"/>
  <c r="N25" i="120" s="1"/>
  <c r="N17" i="119"/>
  <c r="N17" i="116"/>
  <c r="N25" i="116" s="1"/>
  <c r="N17" i="118"/>
  <c r="N25" i="118" s="1"/>
  <c r="L25" i="122"/>
  <c r="N17" i="126"/>
  <c r="N25" i="126" s="1"/>
  <c r="N17" i="125"/>
  <c r="N25" i="125" s="1"/>
  <c r="N17" i="124"/>
  <c r="N17" i="122"/>
  <c r="N25" i="122" s="1"/>
  <c r="N17" i="121"/>
  <c r="N25" i="121" s="1"/>
  <c r="N23" i="113"/>
  <c r="L15" i="114"/>
  <c r="K29" i="114"/>
  <c r="L29" i="114"/>
  <c r="I15" i="114"/>
  <c r="M15" i="114"/>
  <c r="J15" i="114"/>
  <c r="N15" i="114"/>
  <c r="I29" i="114"/>
  <c r="M29" i="114"/>
  <c r="K15" i="114"/>
  <c r="J29" i="114"/>
  <c r="N29" i="114"/>
  <c r="N17" i="113"/>
  <c r="A29" i="113" l="1"/>
  <c r="A30" i="113" s="1"/>
  <c r="A31" i="113" s="1"/>
  <c r="N25" i="124"/>
  <c r="H87" i="130"/>
  <c r="H44" i="130"/>
  <c r="N25" i="119"/>
  <c r="L31" i="126"/>
  <c r="L31" i="121"/>
  <c r="L31" i="122"/>
  <c r="L31" i="124"/>
  <c r="L31" i="123"/>
  <c r="L31" i="125"/>
  <c r="N25" i="113"/>
  <c r="O29" i="114"/>
  <c r="J71" i="130" l="1"/>
  <c r="J28" i="130"/>
  <c r="J70" i="130"/>
  <c r="J27" i="130"/>
  <c r="J69" i="130"/>
  <c r="J26" i="130"/>
  <c r="J68" i="130"/>
  <c r="J25" i="130"/>
  <c r="J67" i="130"/>
  <c r="J24" i="130"/>
  <c r="J66" i="130"/>
  <c r="J23" i="130"/>
  <c r="C11" i="92" l="1"/>
  <c r="L60" i="108" l="1"/>
  <c r="Q16" i="111"/>
  <c r="Q13" i="111"/>
  <c r="Q12" i="111"/>
  <c r="P27" i="91" l="1"/>
  <c r="D27" i="131" s="1"/>
  <c r="O27" i="91"/>
  <c r="N27" i="91"/>
  <c r="M27" i="91"/>
  <c r="L27" i="91"/>
  <c r="K27" i="91"/>
  <c r="K92" i="108" l="1"/>
  <c r="J92" i="108"/>
  <c r="I92" i="108"/>
  <c r="H92" i="108"/>
  <c r="G92" i="108"/>
  <c r="P91" i="108"/>
  <c r="Q91" i="108" s="1"/>
  <c r="U91" i="108" s="1"/>
  <c r="P90" i="108"/>
  <c r="Q90" i="108" s="1"/>
  <c r="U90" i="108" s="1"/>
  <c r="P89" i="108"/>
  <c r="Q89" i="108" s="1"/>
  <c r="U89" i="108" s="1"/>
  <c r="P88" i="108"/>
  <c r="Q88" i="108" s="1"/>
  <c r="U88" i="108" s="1"/>
  <c r="P87" i="108"/>
  <c r="Q87" i="108" s="1"/>
  <c r="U87" i="108" s="1"/>
  <c r="P86" i="108"/>
  <c r="Q86" i="108" s="1"/>
  <c r="U86" i="108" s="1"/>
  <c r="P85" i="108"/>
  <c r="Q85" i="108" s="1"/>
  <c r="U85" i="108" s="1"/>
  <c r="P84" i="108"/>
  <c r="Q84" i="108" s="1"/>
  <c r="U84" i="108" s="1"/>
  <c r="P83" i="108"/>
  <c r="Q83" i="108" s="1"/>
  <c r="U83" i="108" s="1"/>
  <c r="P82" i="108"/>
  <c r="Q82" i="108" s="1"/>
  <c r="U82" i="108" s="1"/>
  <c r="P81" i="108"/>
  <c r="Q81" i="108" s="1"/>
  <c r="U81" i="108" s="1"/>
  <c r="P80" i="108"/>
  <c r="Q80" i="108" s="1"/>
  <c r="U80" i="108" s="1"/>
  <c r="P79" i="108"/>
  <c r="Q79" i="108" s="1"/>
  <c r="U79" i="108" s="1"/>
  <c r="P78" i="108"/>
  <c r="Q78" i="108" s="1"/>
  <c r="U78" i="108" s="1"/>
  <c r="P77" i="108"/>
  <c r="Q77" i="108" s="1"/>
  <c r="U77" i="108" s="1"/>
  <c r="A65" i="108"/>
  <c r="A66" i="108" s="1"/>
  <c r="A67" i="108" s="1"/>
  <c r="A68" i="108" s="1"/>
  <c r="A69" i="108" s="1"/>
  <c r="A70" i="108" s="1"/>
  <c r="A71" i="108" s="1"/>
  <c r="A72" i="108" s="1"/>
  <c r="A73" i="108" s="1"/>
  <c r="A74" i="108" s="1"/>
  <c r="A75" i="108" s="1"/>
  <c r="A76" i="108" s="1"/>
  <c r="A77" i="108" s="1"/>
  <c r="A78" i="108" s="1"/>
  <c r="A79" i="108" s="1"/>
  <c r="A80" i="108" s="1"/>
  <c r="A81" i="108" s="1"/>
  <c r="A82" i="108" s="1"/>
  <c r="A83" i="108" s="1"/>
  <c r="A84" i="108" s="1"/>
  <c r="A85" i="108" s="1"/>
  <c r="A86" i="108" s="1"/>
  <c r="A87" i="108" s="1"/>
  <c r="A88" i="108" s="1"/>
  <c r="A89" i="108" s="1"/>
  <c r="A90" i="108" s="1"/>
  <c r="A91" i="108" s="1"/>
  <c r="A92" i="108" s="1"/>
  <c r="U43" i="108"/>
  <c r="T43" i="108"/>
  <c r="U42" i="108"/>
  <c r="T42" i="108"/>
  <c r="U41" i="108"/>
  <c r="T41" i="108"/>
  <c r="U40" i="108"/>
  <c r="T40" i="108"/>
  <c r="U39" i="108"/>
  <c r="T39" i="108"/>
  <c r="U38" i="108"/>
  <c r="T38" i="108"/>
  <c r="U37" i="108"/>
  <c r="T37" i="108"/>
  <c r="U36" i="108"/>
  <c r="T36" i="108"/>
  <c r="U35" i="108"/>
  <c r="T35" i="108"/>
  <c r="U34" i="108"/>
  <c r="T34" i="108"/>
  <c r="U33" i="108"/>
  <c r="T33" i="108"/>
  <c r="U32" i="108"/>
  <c r="T32" i="108"/>
  <c r="U31" i="108"/>
  <c r="T31" i="108"/>
  <c r="U30" i="108"/>
  <c r="T30" i="108"/>
  <c r="T29" i="108"/>
  <c r="V22" i="108"/>
  <c r="V21" i="108"/>
  <c r="V20" i="108"/>
  <c r="V19" i="108"/>
  <c r="V18" i="108"/>
  <c r="V17" i="108"/>
  <c r="A17" i="108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X16" i="108"/>
  <c r="P31" i="104"/>
  <c r="N31" i="104"/>
  <c r="J31" i="104"/>
  <c r="L30" i="104"/>
  <c r="L22" i="104"/>
  <c r="A20" i="104"/>
  <c r="A21" i="104" s="1"/>
  <c r="P31" i="103"/>
  <c r="N31" i="103"/>
  <c r="J31" i="103"/>
  <c r="L30" i="103"/>
  <c r="A20" i="103"/>
  <c r="A21" i="103" s="1"/>
  <c r="P31" i="102"/>
  <c r="N31" i="102"/>
  <c r="J31" i="102"/>
  <c r="L30" i="102"/>
  <c r="L22" i="102"/>
  <c r="N22" i="102" s="1"/>
  <c r="A20" i="102"/>
  <c r="A21" i="102" s="1"/>
  <c r="P31" i="101"/>
  <c r="N31" i="101"/>
  <c r="J31" i="101"/>
  <c r="L30" i="101"/>
  <c r="L22" i="101"/>
  <c r="N22" i="101" s="1"/>
  <c r="A20" i="101"/>
  <c r="P31" i="100"/>
  <c r="N31" i="100"/>
  <c r="J31" i="100"/>
  <c r="L30" i="100"/>
  <c r="L22" i="100"/>
  <c r="A20" i="100"/>
  <c r="P31" i="99"/>
  <c r="N31" i="99"/>
  <c r="J31" i="99"/>
  <c r="F31" i="99"/>
  <c r="L30" i="99"/>
  <c r="F30" i="100" s="1"/>
  <c r="R30" i="100" s="1"/>
  <c r="F23" i="99"/>
  <c r="L22" i="99"/>
  <c r="J22" i="99"/>
  <c r="J21" i="99"/>
  <c r="J20" i="99"/>
  <c r="F17" i="99"/>
  <c r="J16" i="99"/>
  <c r="J15" i="99"/>
  <c r="J14" i="99"/>
  <c r="A20" i="99"/>
  <c r="J13" i="99"/>
  <c r="I30" i="92"/>
  <c r="I26" i="92"/>
  <c r="L29" i="104"/>
  <c r="L29" i="103"/>
  <c r="L29" i="102"/>
  <c r="L29" i="101"/>
  <c r="L29" i="100"/>
  <c r="L29" i="99"/>
  <c r="F29" i="100" s="1"/>
  <c r="R29" i="100" s="1"/>
  <c r="L28" i="104"/>
  <c r="L28" i="103"/>
  <c r="L28" i="102"/>
  <c r="L28" i="101"/>
  <c r="L28" i="100"/>
  <c r="L28" i="99"/>
  <c r="G22" i="92"/>
  <c r="L16" i="104"/>
  <c r="L16" i="103"/>
  <c r="L16" i="102"/>
  <c r="L16" i="101"/>
  <c r="L16" i="100"/>
  <c r="N16" i="100" s="1"/>
  <c r="L16" i="99"/>
  <c r="L15" i="104"/>
  <c r="N15" i="104" s="1"/>
  <c r="L15" i="103"/>
  <c r="L15" i="102"/>
  <c r="L15" i="101"/>
  <c r="L15" i="100"/>
  <c r="N15" i="100" s="1"/>
  <c r="L15" i="99"/>
  <c r="N15" i="99" s="1"/>
  <c r="L14" i="104"/>
  <c r="K11" i="111"/>
  <c r="A11" i="92"/>
  <c r="A12" i="92" s="1"/>
  <c r="A13" i="92" s="1"/>
  <c r="A14" i="92" s="1"/>
  <c r="A15" i="92" s="1"/>
  <c r="A17" i="92" s="1"/>
  <c r="A18" i="92" s="1"/>
  <c r="A19" i="92" s="1"/>
  <c r="A20" i="92" s="1"/>
  <c r="A22" i="92" s="1"/>
  <c r="A24" i="92" s="1"/>
  <c r="A25" i="92" s="1"/>
  <c r="A26" i="92" s="1"/>
  <c r="A27" i="92" s="1"/>
  <c r="A29" i="92" s="1"/>
  <c r="A30" i="92" s="1"/>
  <c r="L13" i="103"/>
  <c r="L13" i="99"/>
  <c r="P75" i="110"/>
  <c r="O75" i="110"/>
  <c r="N75" i="110"/>
  <c r="M75" i="110"/>
  <c r="L75" i="110"/>
  <c r="K75" i="110"/>
  <c r="J75" i="110"/>
  <c r="I75" i="110"/>
  <c r="H75" i="110"/>
  <c r="G75" i="110"/>
  <c r="F75" i="110"/>
  <c r="E75" i="110"/>
  <c r="Q74" i="110"/>
  <c r="Q73" i="110"/>
  <c r="Q72" i="110"/>
  <c r="P70" i="110"/>
  <c r="O70" i="110"/>
  <c r="N70" i="110"/>
  <c r="M70" i="110"/>
  <c r="L70" i="110"/>
  <c r="K70" i="110"/>
  <c r="J70" i="110"/>
  <c r="I70" i="110"/>
  <c r="H70" i="110"/>
  <c r="G70" i="110"/>
  <c r="F70" i="110"/>
  <c r="E70" i="110"/>
  <c r="Q69" i="110"/>
  <c r="Q68" i="110"/>
  <c r="Q67" i="110"/>
  <c r="Q66" i="110"/>
  <c r="Q65" i="110"/>
  <c r="Q64" i="110"/>
  <c r="Q63" i="110"/>
  <c r="Q62" i="110"/>
  <c r="Q61" i="110"/>
  <c r="Q60" i="110"/>
  <c r="Q59" i="110"/>
  <c r="P54" i="110"/>
  <c r="O54" i="110"/>
  <c r="N54" i="110"/>
  <c r="M54" i="110"/>
  <c r="L54" i="110"/>
  <c r="K54" i="110"/>
  <c r="J54" i="110"/>
  <c r="I54" i="110"/>
  <c r="H54" i="110"/>
  <c r="G54" i="110"/>
  <c r="F54" i="110"/>
  <c r="E54" i="110"/>
  <c r="Q53" i="110"/>
  <c r="Q52" i="110"/>
  <c r="Q51" i="110"/>
  <c r="P49" i="110"/>
  <c r="O49" i="110"/>
  <c r="N49" i="110"/>
  <c r="M49" i="110"/>
  <c r="L49" i="110"/>
  <c r="K49" i="110"/>
  <c r="J49" i="110"/>
  <c r="I49" i="110"/>
  <c r="H49" i="110"/>
  <c r="G49" i="110"/>
  <c r="F49" i="110"/>
  <c r="E49" i="110"/>
  <c r="Q48" i="110"/>
  <c r="Q47" i="110"/>
  <c r="Q46" i="110"/>
  <c r="Q45" i="110"/>
  <c r="Q44" i="110"/>
  <c r="Q43" i="110"/>
  <c r="Q42" i="110"/>
  <c r="Q41" i="110"/>
  <c r="Q40" i="110"/>
  <c r="Q39" i="110"/>
  <c r="Q38" i="110"/>
  <c r="Q37" i="110"/>
  <c r="P32" i="110"/>
  <c r="O32" i="110"/>
  <c r="N32" i="110"/>
  <c r="M32" i="110"/>
  <c r="L32" i="110"/>
  <c r="K32" i="110"/>
  <c r="I32" i="110"/>
  <c r="G32" i="110"/>
  <c r="F32" i="110"/>
  <c r="E32" i="110"/>
  <c r="Q31" i="110"/>
  <c r="P20" i="110"/>
  <c r="O20" i="110"/>
  <c r="N20" i="110"/>
  <c r="M20" i="110"/>
  <c r="L20" i="110"/>
  <c r="K20" i="110"/>
  <c r="J20" i="110"/>
  <c r="I20" i="110"/>
  <c r="I34" i="110" s="1"/>
  <c r="H20" i="110"/>
  <c r="G20" i="110"/>
  <c r="F20" i="110"/>
  <c r="Q13" i="110"/>
  <c r="Q12" i="110"/>
  <c r="Q11" i="110"/>
  <c r="Q10" i="110"/>
  <c r="Q9" i="110"/>
  <c r="Q8" i="110"/>
  <c r="Q7" i="110"/>
  <c r="Q6" i="110"/>
  <c r="Q5" i="110"/>
  <c r="Q4" i="110"/>
  <c r="Q3" i="110"/>
  <c r="S99" i="109"/>
  <c r="R99" i="109"/>
  <c r="Q99" i="109"/>
  <c r="P99" i="109"/>
  <c r="O99" i="109"/>
  <c r="N99" i="109"/>
  <c r="M99" i="109"/>
  <c r="L99" i="109"/>
  <c r="K99" i="109"/>
  <c r="J99" i="109"/>
  <c r="I99" i="109"/>
  <c r="H99" i="109"/>
  <c r="T98" i="109"/>
  <c r="T97" i="109"/>
  <c r="T96" i="109"/>
  <c r="T95" i="109"/>
  <c r="T94" i="109"/>
  <c r="T93" i="109"/>
  <c r="T92" i="109"/>
  <c r="T91" i="109"/>
  <c r="T90" i="109"/>
  <c r="T89" i="109"/>
  <c r="T88" i="109"/>
  <c r="T87" i="109"/>
  <c r="T86" i="109"/>
  <c r="T85" i="109"/>
  <c r="T84" i="109"/>
  <c r="T83" i="109"/>
  <c r="T82" i="109"/>
  <c r="T81" i="109"/>
  <c r="T80" i="109"/>
  <c r="T79" i="109"/>
  <c r="T78" i="109"/>
  <c r="T77" i="109"/>
  <c r="T76" i="109"/>
  <c r="T75" i="109"/>
  <c r="T74" i="109"/>
  <c r="T73" i="109"/>
  <c r="T72" i="109"/>
  <c r="T71" i="109"/>
  <c r="T70" i="109"/>
  <c r="T69" i="109"/>
  <c r="T68" i="109"/>
  <c r="S66" i="109"/>
  <c r="R66" i="109"/>
  <c r="Q66" i="109"/>
  <c r="P66" i="109"/>
  <c r="O66" i="109"/>
  <c r="N66" i="109"/>
  <c r="M66" i="109"/>
  <c r="L66" i="109"/>
  <c r="K66" i="109"/>
  <c r="J66" i="109"/>
  <c r="I66" i="109"/>
  <c r="H66" i="109"/>
  <c r="T65" i="109"/>
  <c r="T64" i="109"/>
  <c r="T63" i="109"/>
  <c r="T62" i="109"/>
  <c r="T61" i="109"/>
  <c r="T60" i="109"/>
  <c r="T59" i="109"/>
  <c r="T58" i="109"/>
  <c r="T57" i="109"/>
  <c r="T56" i="109"/>
  <c r="T55" i="109"/>
  <c r="T54" i="109"/>
  <c r="T53" i="109"/>
  <c r="T52" i="109"/>
  <c r="T51" i="109"/>
  <c r="T50" i="109"/>
  <c r="T49" i="109"/>
  <c r="T48" i="109"/>
  <c r="T47" i="109"/>
  <c r="T46" i="109"/>
  <c r="T45" i="109"/>
  <c r="T44" i="109"/>
  <c r="T43" i="109"/>
  <c r="T42" i="109"/>
  <c r="T41" i="109"/>
  <c r="T40" i="109"/>
  <c r="T39" i="109"/>
  <c r="T38" i="109"/>
  <c r="T37" i="109"/>
  <c r="T36" i="109"/>
  <c r="T35" i="109"/>
  <c r="S33" i="109"/>
  <c r="H29" i="92" s="1"/>
  <c r="P26" i="91" s="1"/>
  <c r="D26" i="131" s="1"/>
  <c r="R33" i="109"/>
  <c r="G29" i="92" s="1"/>
  <c r="O26" i="91" s="1"/>
  <c r="Q33" i="109"/>
  <c r="F29" i="92" s="1"/>
  <c r="N26" i="91" s="1"/>
  <c r="P33" i="109"/>
  <c r="E29" i="92" s="1"/>
  <c r="M26" i="91" s="1"/>
  <c r="O33" i="109"/>
  <c r="D29" i="92" s="1"/>
  <c r="L26" i="91" s="1"/>
  <c r="N33" i="109"/>
  <c r="C29" i="92" s="1"/>
  <c r="K26" i="91" s="1"/>
  <c r="M33" i="109"/>
  <c r="L33" i="109"/>
  <c r="K33" i="109"/>
  <c r="J33" i="109"/>
  <c r="I33" i="109"/>
  <c r="H33" i="109"/>
  <c r="T31" i="109"/>
  <c r="T30" i="109"/>
  <c r="T29" i="109"/>
  <c r="T28" i="109"/>
  <c r="T27" i="109"/>
  <c r="T26" i="109"/>
  <c r="T25" i="109"/>
  <c r="T24" i="109"/>
  <c r="T23" i="109"/>
  <c r="T22" i="109"/>
  <c r="T21" i="109"/>
  <c r="T20" i="109"/>
  <c r="T19" i="109"/>
  <c r="T18" i="109"/>
  <c r="T17" i="109"/>
  <c r="T16" i="109"/>
  <c r="T15" i="109"/>
  <c r="T14" i="109"/>
  <c r="T13" i="109"/>
  <c r="T12" i="109"/>
  <c r="T11" i="109"/>
  <c r="T10" i="109"/>
  <c r="T9" i="109"/>
  <c r="T8" i="109"/>
  <c r="T7" i="109"/>
  <c r="T6" i="109"/>
  <c r="T5" i="109"/>
  <c r="T4" i="109"/>
  <c r="T3" i="109"/>
  <c r="T2" i="109"/>
  <c r="C12" i="8"/>
  <c r="E11" i="8"/>
  <c r="E10" i="8"/>
  <c r="G10" i="8" s="1"/>
  <c r="E9" i="8"/>
  <c r="S1048576" i="111"/>
  <c r="P29" i="111"/>
  <c r="O29" i="111"/>
  <c r="N29" i="111"/>
  <c r="M29" i="111"/>
  <c r="L29" i="111"/>
  <c r="K29" i="111"/>
  <c r="J29" i="111"/>
  <c r="I29" i="111"/>
  <c r="H29" i="111"/>
  <c r="G29" i="111"/>
  <c r="F29" i="111"/>
  <c r="E29" i="111"/>
  <c r="D29" i="111"/>
  <c r="Q27" i="111"/>
  <c r="Q26" i="111"/>
  <c r="Q25" i="111"/>
  <c r="D14" i="111"/>
  <c r="D18" i="111" s="1"/>
  <c r="D22" i="111" s="1"/>
  <c r="D31" i="111" s="1"/>
  <c r="J14" i="111"/>
  <c r="J18" i="111" s="1"/>
  <c r="J22" i="111" s="1"/>
  <c r="I14" i="111"/>
  <c r="I18" i="111" s="1"/>
  <c r="I22" i="111" s="1"/>
  <c r="H14" i="111"/>
  <c r="H18" i="111" s="1"/>
  <c r="H22" i="111" s="1"/>
  <c r="G14" i="111"/>
  <c r="G18" i="111" s="1"/>
  <c r="G22" i="111" s="1"/>
  <c r="F14" i="111"/>
  <c r="F18" i="111" s="1"/>
  <c r="F22" i="111" s="1"/>
  <c r="E14" i="111"/>
  <c r="E18" i="111" s="1"/>
  <c r="E22" i="111" s="1"/>
  <c r="Q6" i="111"/>
  <c r="P6" i="111"/>
  <c r="O6" i="111"/>
  <c r="N6" i="111"/>
  <c r="M6" i="111"/>
  <c r="L6" i="111"/>
  <c r="K6" i="111"/>
  <c r="J6" i="111"/>
  <c r="I6" i="111"/>
  <c r="H6" i="111"/>
  <c r="G6" i="111"/>
  <c r="F6" i="111"/>
  <c r="S1048576" i="91"/>
  <c r="Q27" i="91"/>
  <c r="P6" i="91"/>
  <c r="O6" i="91"/>
  <c r="N6" i="91"/>
  <c r="M6" i="91"/>
  <c r="L6" i="91"/>
  <c r="K6" i="91"/>
  <c r="J6" i="91"/>
  <c r="I6" i="91"/>
  <c r="H6" i="91"/>
  <c r="G6" i="91"/>
  <c r="F6" i="91"/>
  <c r="A22" i="104" l="1"/>
  <c r="A23" i="104" s="1"/>
  <c r="A25" i="104" s="1"/>
  <c r="A28" i="104" s="1"/>
  <c r="A22" i="103"/>
  <c r="A23" i="103" s="1"/>
  <c r="A25" i="103" s="1"/>
  <c r="A28" i="103" s="1"/>
  <c r="A22" i="102"/>
  <c r="A23" i="102" s="1"/>
  <c r="A25" i="102" s="1"/>
  <c r="A28" i="102" s="1"/>
  <c r="A22" i="101"/>
  <c r="A23" i="101" s="1"/>
  <c r="A25" i="101" s="1"/>
  <c r="A28" i="101" s="1"/>
  <c r="A30" i="101" s="1"/>
  <c r="A31" i="101" s="1"/>
  <c r="A22" i="100"/>
  <c r="A23" i="100" s="1"/>
  <c r="A25" i="100" s="1"/>
  <c r="A28" i="100" s="1"/>
  <c r="A22" i="99"/>
  <c r="A23" i="99" s="1"/>
  <c r="A25" i="99" s="1"/>
  <c r="A28" i="99" s="1"/>
  <c r="A29" i="99" s="1"/>
  <c r="A30" i="99" s="1"/>
  <c r="A31" i="99" s="1"/>
  <c r="F56" i="110"/>
  <c r="J56" i="110"/>
  <c r="N56" i="110"/>
  <c r="G56" i="110"/>
  <c r="K56" i="110"/>
  <c r="O56" i="110"/>
  <c r="Q20" i="110"/>
  <c r="F34" i="110"/>
  <c r="G11" i="8"/>
  <c r="F11" i="8"/>
  <c r="F12" i="8" s="1"/>
  <c r="G34" i="110"/>
  <c r="O34" i="110"/>
  <c r="F77" i="110"/>
  <c r="L34" i="110"/>
  <c r="L11" i="111"/>
  <c r="M11" i="111" s="1"/>
  <c r="N11" i="111" s="1"/>
  <c r="O11" i="111" s="1"/>
  <c r="P11" i="111" s="1"/>
  <c r="M77" i="110"/>
  <c r="F31" i="111"/>
  <c r="J31" i="111"/>
  <c r="G31" i="111"/>
  <c r="P15" i="99"/>
  <c r="H34" i="110"/>
  <c r="P34" i="110"/>
  <c r="E77" i="110"/>
  <c r="I77" i="110"/>
  <c r="M34" i="110"/>
  <c r="Q70" i="110"/>
  <c r="J77" i="110"/>
  <c r="N77" i="110"/>
  <c r="T99" i="109"/>
  <c r="F25" i="99"/>
  <c r="H56" i="110"/>
  <c r="P56" i="110"/>
  <c r="G77" i="110"/>
  <c r="O77" i="110"/>
  <c r="Q49" i="110"/>
  <c r="E56" i="110"/>
  <c r="I56" i="110"/>
  <c r="M56" i="110"/>
  <c r="H77" i="110"/>
  <c r="L77" i="110"/>
  <c r="P77" i="110"/>
  <c r="Q32" i="110"/>
  <c r="L56" i="110"/>
  <c r="K77" i="110"/>
  <c r="E20" i="110"/>
  <c r="E34" i="110" s="1"/>
  <c r="J34" i="110"/>
  <c r="N34" i="110"/>
  <c r="Q54" i="110"/>
  <c r="Q75" i="110"/>
  <c r="Q77" i="110" s="1"/>
  <c r="T66" i="109"/>
  <c r="T33" i="109"/>
  <c r="E12" i="8"/>
  <c r="G9" i="8"/>
  <c r="E31" i="111"/>
  <c r="I31" i="111"/>
  <c r="J23" i="99"/>
  <c r="J17" i="99"/>
  <c r="X17" i="108"/>
  <c r="X18" i="108" s="1"/>
  <c r="X19" i="108" s="1"/>
  <c r="X20" i="108" s="1"/>
  <c r="X21" i="108" s="1"/>
  <c r="X22" i="108" s="1"/>
  <c r="N14" i="104"/>
  <c r="N16" i="104"/>
  <c r="N13" i="99"/>
  <c r="P13" i="99" s="1"/>
  <c r="K34" i="110"/>
  <c r="Q29" i="111"/>
  <c r="H31" i="111"/>
  <c r="T44" i="108"/>
  <c r="I44" i="108"/>
  <c r="J44" i="108"/>
  <c r="G44" i="108"/>
  <c r="K44" i="108"/>
  <c r="H44" i="108"/>
  <c r="E15" i="92"/>
  <c r="L31" i="101"/>
  <c r="F29" i="101"/>
  <c r="R29" i="101" s="1"/>
  <c r="L31" i="99"/>
  <c r="I12" i="92"/>
  <c r="I11" i="92"/>
  <c r="C15" i="92"/>
  <c r="Q26" i="91"/>
  <c r="G15" i="92"/>
  <c r="I22" i="92"/>
  <c r="N16" i="101"/>
  <c r="N15" i="101"/>
  <c r="F16" i="100"/>
  <c r="R16" i="100" s="1"/>
  <c r="N16" i="99"/>
  <c r="P16" i="99" s="1"/>
  <c r="L31" i="100"/>
  <c r="L13" i="102"/>
  <c r="F15" i="92"/>
  <c r="L31" i="104"/>
  <c r="K14" i="111"/>
  <c r="K18" i="111" s="1"/>
  <c r="I10" i="92"/>
  <c r="I13" i="92"/>
  <c r="I14" i="92"/>
  <c r="D27" i="92"/>
  <c r="F15" i="100"/>
  <c r="R15" i="100" s="1"/>
  <c r="F22" i="100"/>
  <c r="N22" i="99"/>
  <c r="P22" i="99" s="1"/>
  <c r="N22" i="100"/>
  <c r="H27" i="92"/>
  <c r="L17" i="99"/>
  <c r="L71" i="108" s="1"/>
  <c r="L17" i="103"/>
  <c r="L75" i="108" s="1"/>
  <c r="N13" i="103"/>
  <c r="N14" i="99"/>
  <c r="P14" i="99" s="1"/>
  <c r="F14" i="100"/>
  <c r="R14" i="100" s="1"/>
  <c r="N15" i="103"/>
  <c r="N16" i="103"/>
  <c r="L13" i="101"/>
  <c r="N15" i="102"/>
  <c r="L13" i="100"/>
  <c r="D15" i="92"/>
  <c r="L13" i="104"/>
  <c r="H15" i="92"/>
  <c r="I29" i="92"/>
  <c r="F30" i="101"/>
  <c r="R30" i="101" s="1"/>
  <c r="N16" i="102"/>
  <c r="I24" i="92"/>
  <c r="I25" i="92"/>
  <c r="E27" i="92"/>
  <c r="L31" i="102"/>
  <c r="F27" i="92"/>
  <c r="L31" i="103"/>
  <c r="C27" i="92"/>
  <c r="G27" i="92"/>
  <c r="N22" i="104"/>
  <c r="R17" i="100" l="1"/>
  <c r="J22" i="100"/>
  <c r="R22" i="100"/>
  <c r="P14" i="111"/>
  <c r="P18" i="111" s="1"/>
  <c r="D11" i="132"/>
  <c r="E11" i="132" s="1"/>
  <c r="F11" i="132" s="1"/>
  <c r="G11" i="132" s="1"/>
  <c r="H11" i="132" s="1"/>
  <c r="I11" i="132" s="1"/>
  <c r="J11" i="132" s="1"/>
  <c r="K11" i="132" s="1"/>
  <c r="L11" i="132" s="1"/>
  <c r="M11" i="132" s="1"/>
  <c r="N11" i="132" s="1"/>
  <c r="O11" i="132" s="1"/>
  <c r="P11" i="132" s="1"/>
  <c r="A29" i="104"/>
  <c r="A30" i="104" s="1"/>
  <c r="A31" i="104" s="1"/>
  <c r="A29" i="103"/>
  <c r="A30" i="103" s="1"/>
  <c r="A31" i="103" s="1"/>
  <c r="A29" i="102"/>
  <c r="A30" i="102" s="1"/>
  <c r="A31" i="102" s="1"/>
  <c r="A29" i="100"/>
  <c r="A30" i="100" s="1"/>
  <c r="A31" i="100" s="1"/>
  <c r="F30" i="102"/>
  <c r="R30" i="102" s="1"/>
  <c r="F30" i="103" s="1"/>
  <c r="R30" i="103" s="1"/>
  <c r="F30" i="104" s="1"/>
  <c r="R30" i="104" s="1"/>
  <c r="F30" i="113" s="1"/>
  <c r="R30" i="113" s="1"/>
  <c r="F30" i="116" s="1"/>
  <c r="R30" i="116" s="1"/>
  <c r="F30" i="117" s="1"/>
  <c r="R30" i="117" s="1"/>
  <c r="F30" i="118" s="1"/>
  <c r="R30" i="118" s="1"/>
  <c r="F30" i="119" s="1"/>
  <c r="R30" i="119" s="1"/>
  <c r="F30" i="120" s="1"/>
  <c r="R30" i="120" s="1"/>
  <c r="F30" i="121" s="1"/>
  <c r="R30" i="121" s="1"/>
  <c r="F30" i="122" s="1"/>
  <c r="R30" i="122" s="1"/>
  <c r="F30" i="123" s="1"/>
  <c r="R30" i="123" s="1"/>
  <c r="F30" i="124" s="1"/>
  <c r="R30" i="124" s="1"/>
  <c r="F30" i="125" s="1"/>
  <c r="R30" i="125" s="1"/>
  <c r="F30" i="126" s="1"/>
  <c r="R30" i="126" s="1"/>
  <c r="F29" i="102"/>
  <c r="R29" i="102" s="1"/>
  <c r="F29" i="103" s="1"/>
  <c r="R29" i="103" s="1"/>
  <c r="F29" i="104" s="1"/>
  <c r="R29" i="104" s="1"/>
  <c r="F29" i="113" s="1"/>
  <c r="R29" i="113" s="1"/>
  <c r="F29" i="116" s="1"/>
  <c r="R29" i="116" s="1"/>
  <c r="F29" i="117" s="1"/>
  <c r="R29" i="117" s="1"/>
  <c r="F29" i="118" s="1"/>
  <c r="R29" i="118" s="1"/>
  <c r="F29" i="119" s="1"/>
  <c r="R29" i="119" s="1"/>
  <c r="F29" i="120" s="1"/>
  <c r="R29" i="120" s="1"/>
  <c r="F29" i="121" s="1"/>
  <c r="R29" i="121" s="1"/>
  <c r="F29" i="122" s="1"/>
  <c r="R29" i="122" s="1"/>
  <c r="F29" i="123" s="1"/>
  <c r="R29" i="123" s="1"/>
  <c r="F29" i="124" s="1"/>
  <c r="R29" i="124" s="1"/>
  <c r="F29" i="125" s="1"/>
  <c r="R29" i="125" s="1"/>
  <c r="L59" i="108"/>
  <c r="G11" i="130"/>
  <c r="J14" i="100"/>
  <c r="F14" i="101"/>
  <c r="M23" i="108"/>
  <c r="L27" i="108"/>
  <c r="M27" i="108" s="1"/>
  <c r="N23" i="108"/>
  <c r="N25" i="108"/>
  <c r="Q11" i="111"/>
  <c r="Q14" i="111" s="1"/>
  <c r="Q18" i="111" s="1"/>
  <c r="G12" i="8"/>
  <c r="L14" i="111"/>
  <c r="L18" i="111" s="1"/>
  <c r="Q34" i="110"/>
  <c r="Q56" i="110"/>
  <c r="O14" i="111"/>
  <c r="O18" i="111" s="1"/>
  <c r="N14" i="111"/>
  <c r="N18" i="111" s="1"/>
  <c r="M14" i="111"/>
  <c r="M18" i="111" s="1"/>
  <c r="J25" i="99"/>
  <c r="I15" i="92"/>
  <c r="F22" i="101"/>
  <c r="J22" i="101" s="1"/>
  <c r="P22" i="101" s="1"/>
  <c r="N27" i="108"/>
  <c r="N26" i="108"/>
  <c r="I27" i="92"/>
  <c r="N13" i="104"/>
  <c r="L17" i="104"/>
  <c r="L76" i="108" s="1"/>
  <c r="N17" i="103"/>
  <c r="M71" i="108"/>
  <c r="L17" i="102"/>
  <c r="L74" i="108" s="1"/>
  <c r="N13" i="102"/>
  <c r="N17" i="102" s="1"/>
  <c r="J16" i="100"/>
  <c r="P16" i="100" s="1"/>
  <c r="F16" i="101"/>
  <c r="N28" i="108"/>
  <c r="P22" i="100"/>
  <c r="N17" i="99"/>
  <c r="F13" i="100"/>
  <c r="R13" i="100" s="1"/>
  <c r="R17" i="99"/>
  <c r="N17" i="100"/>
  <c r="L17" i="100"/>
  <c r="L72" i="108" s="1"/>
  <c r="L17" i="101"/>
  <c r="L73" i="108" s="1"/>
  <c r="N13" i="101"/>
  <c r="N17" i="101" s="1"/>
  <c r="F28" i="100"/>
  <c r="R28" i="100" s="1"/>
  <c r="R31" i="100" s="1"/>
  <c r="R31" i="99"/>
  <c r="K12" i="91" s="1"/>
  <c r="M75" i="108"/>
  <c r="J15" i="100"/>
  <c r="F15" i="101"/>
  <c r="N24" i="108"/>
  <c r="P17" i="99"/>
  <c r="D14" i="132" l="1"/>
  <c r="D18" i="132" s="1"/>
  <c r="D22" i="132" s="1"/>
  <c r="D31" i="132" s="1"/>
  <c r="O71" i="108"/>
  <c r="K13" i="91"/>
  <c r="J14" i="101"/>
  <c r="P14" i="101" s="1"/>
  <c r="R14" i="101"/>
  <c r="F14" i="102" s="1"/>
  <c r="G17" i="130"/>
  <c r="G23" i="130"/>
  <c r="G66" i="130" s="1"/>
  <c r="I66" i="130" s="1"/>
  <c r="G28" i="130"/>
  <c r="G71" i="130" s="1"/>
  <c r="I71" i="130" s="1"/>
  <c r="G22" i="130"/>
  <c r="G27" i="130"/>
  <c r="G70" i="130" s="1"/>
  <c r="I70" i="130" s="1"/>
  <c r="G21" i="130"/>
  <c r="G26" i="130"/>
  <c r="G69" i="130" s="1"/>
  <c r="I69" i="130" s="1"/>
  <c r="G20" i="130"/>
  <c r="G25" i="130"/>
  <c r="G68" i="130" s="1"/>
  <c r="I68" i="130" s="1"/>
  <c r="G19" i="130"/>
  <c r="G24" i="130"/>
  <c r="G67" i="130" s="1"/>
  <c r="I67" i="130" s="1"/>
  <c r="G18" i="130"/>
  <c r="G54" i="130"/>
  <c r="N17" i="104"/>
  <c r="Q12" i="132"/>
  <c r="L28" i="108"/>
  <c r="M28" i="108" s="1"/>
  <c r="M24" i="108"/>
  <c r="M25" i="108"/>
  <c r="M26" i="108"/>
  <c r="F29" i="126"/>
  <c r="R29" i="126" s="1"/>
  <c r="J87" i="130"/>
  <c r="J44" i="130"/>
  <c r="P22" i="111"/>
  <c r="P31" i="111" s="1"/>
  <c r="N44" i="108"/>
  <c r="N92" i="108"/>
  <c r="R22" i="101"/>
  <c r="J15" i="101"/>
  <c r="P15" i="101" s="1"/>
  <c r="R15" i="101"/>
  <c r="F15" i="102" s="1"/>
  <c r="M73" i="108"/>
  <c r="M72" i="108"/>
  <c r="P71" i="108"/>
  <c r="Q71" i="108" s="1"/>
  <c r="R23" i="108" s="1"/>
  <c r="S23" i="108" s="1"/>
  <c r="F31" i="100"/>
  <c r="J16" i="101"/>
  <c r="P16" i="101" s="1"/>
  <c r="R16" i="101"/>
  <c r="F16" i="102" s="1"/>
  <c r="M74" i="108"/>
  <c r="F13" i="101"/>
  <c r="F17" i="100"/>
  <c r="J13" i="100"/>
  <c r="M76" i="108"/>
  <c r="I23" i="130" l="1"/>
  <c r="I24" i="130"/>
  <c r="P23" i="108"/>
  <c r="Q23" i="108" s="1"/>
  <c r="U23" i="108" s="1"/>
  <c r="F22" i="102"/>
  <c r="J22" i="102" s="1"/>
  <c r="P22" i="102" s="1"/>
  <c r="I28" i="130"/>
  <c r="I25" i="130"/>
  <c r="I27" i="130"/>
  <c r="G60" i="130"/>
  <c r="I60" i="130" s="1"/>
  <c r="I17" i="130"/>
  <c r="G61" i="130"/>
  <c r="I61" i="130" s="1"/>
  <c r="I18" i="130"/>
  <c r="G63" i="130"/>
  <c r="I63" i="130" s="1"/>
  <c r="I20" i="130"/>
  <c r="G65" i="130"/>
  <c r="I65" i="130" s="1"/>
  <c r="I22" i="130"/>
  <c r="J14" i="102"/>
  <c r="P14" i="102" s="1"/>
  <c r="R14" i="102"/>
  <c r="F14" i="103" s="1"/>
  <c r="G62" i="130"/>
  <c r="I62" i="130" s="1"/>
  <c r="I19" i="130"/>
  <c r="G64" i="130"/>
  <c r="I64" i="130" s="1"/>
  <c r="I21" i="130"/>
  <c r="G44" i="130"/>
  <c r="I26" i="130"/>
  <c r="N22" i="111"/>
  <c r="N31" i="111" s="1"/>
  <c r="Q22" i="111"/>
  <c r="Q31" i="111" s="1"/>
  <c r="M22" i="111"/>
  <c r="M31" i="111" s="1"/>
  <c r="L22" i="111"/>
  <c r="L31" i="111" s="1"/>
  <c r="O22" i="111"/>
  <c r="O31" i="111" s="1"/>
  <c r="K22" i="111"/>
  <c r="K31" i="111" s="1"/>
  <c r="L44" i="108"/>
  <c r="L92" i="108"/>
  <c r="J13" i="101"/>
  <c r="F17" i="101"/>
  <c r="R13" i="101"/>
  <c r="F13" i="102" s="1"/>
  <c r="F17" i="102" s="1"/>
  <c r="J16" i="102"/>
  <c r="P16" i="102" s="1"/>
  <c r="R16" i="102"/>
  <c r="F16" i="103" s="1"/>
  <c r="J17" i="100"/>
  <c r="P17" i="100"/>
  <c r="F28" i="101"/>
  <c r="L12" i="91"/>
  <c r="J15" i="102"/>
  <c r="P15" i="102" s="1"/>
  <c r="R15" i="102"/>
  <c r="F15" i="103" s="1"/>
  <c r="M44" i="108"/>
  <c r="M92" i="108"/>
  <c r="O72" i="108" l="1"/>
  <c r="P72" i="108" s="1"/>
  <c r="Q72" i="108" s="1"/>
  <c r="R24" i="108" s="1"/>
  <c r="S24" i="108" s="1"/>
  <c r="L13" i="91"/>
  <c r="R22" i="102"/>
  <c r="F22" i="103" s="1"/>
  <c r="J22" i="103" s="1"/>
  <c r="I87" i="130"/>
  <c r="J14" i="103"/>
  <c r="P14" i="103" s="1"/>
  <c r="R14" i="103"/>
  <c r="F14" i="104" s="1"/>
  <c r="G87" i="130"/>
  <c r="I44" i="130"/>
  <c r="J15" i="103"/>
  <c r="P15" i="103" s="1"/>
  <c r="R15" i="103"/>
  <c r="F15" i="104" s="1"/>
  <c r="F31" i="101"/>
  <c r="R28" i="101"/>
  <c r="F28" i="102" s="1"/>
  <c r="F31" i="102" s="1"/>
  <c r="J16" i="103"/>
  <c r="P16" i="103" s="1"/>
  <c r="R16" i="103"/>
  <c r="F16" i="104" s="1"/>
  <c r="J17" i="101"/>
  <c r="P13" i="101"/>
  <c r="P17" i="101" s="1"/>
  <c r="V23" i="108"/>
  <c r="X23" i="108" s="1"/>
  <c r="R17" i="101"/>
  <c r="P24" i="108" l="1"/>
  <c r="Q24" i="108" s="1"/>
  <c r="O73" i="108"/>
  <c r="P73" i="108" s="1"/>
  <c r="Q73" i="108" s="1"/>
  <c r="R25" i="108" s="1"/>
  <c r="S25" i="108" s="1"/>
  <c r="M13" i="91"/>
  <c r="E14" i="132"/>
  <c r="E18" i="132" s="1"/>
  <c r="E22" i="132" s="1"/>
  <c r="E31" i="132" s="1"/>
  <c r="U24" i="108"/>
  <c r="V24" i="108" s="1"/>
  <c r="X24" i="108" s="1"/>
  <c r="K16" i="91"/>
  <c r="R31" i="101"/>
  <c r="M12" i="91" s="1"/>
  <c r="J13" i="102"/>
  <c r="R13" i="102"/>
  <c r="J15" i="104"/>
  <c r="P15" i="104" s="1"/>
  <c r="R15" i="104"/>
  <c r="F15" i="113" s="1"/>
  <c r="J14" i="104"/>
  <c r="P14" i="104" s="1"/>
  <c r="R14" i="104"/>
  <c r="F14" i="113" s="1"/>
  <c r="J16" i="104"/>
  <c r="P16" i="104" s="1"/>
  <c r="R16" i="104"/>
  <c r="F16" i="113" s="1"/>
  <c r="P25" i="108" l="1"/>
  <c r="Q25" i="108" s="1"/>
  <c r="U25" i="108" s="1"/>
  <c r="V25" i="108" s="1"/>
  <c r="X25" i="108" s="1"/>
  <c r="R14" i="113"/>
  <c r="F14" i="116" s="1"/>
  <c r="J14" i="113"/>
  <c r="P14" i="113" s="1"/>
  <c r="R16" i="113"/>
  <c r="F16" i="116" s="1"/>
  <c r="J16" i="113"/>
  <c r="P16" i="113" s="1"/>
  <c r="R15" i="113"/>
  <c r="F15" i="116" s="1"/>
  <c r="J15" i="113"/>
  <c r="P15" i="113" s="1"/>
  <c r="P13" i="102"/>
  <c r="P17" i="102" s="1"/>
  <c r="J17" i="102"/>
  <c r="L16" i="91"/>
  <c r="F13" i="103"/>
  <c r="R17" i="102"/>
  <c r="R28" i="102"/>
  <c r="N13" i="91" l="1"/>
  <c r="O74" i="108"/>
  <c r="P74" i="108" s="1"/>
  <c r="Q74" i="108" s="1"/>
  <c r="R26" i="108" s="1"/>
  <c r="S26" i="108" s="1"/>
  <c r="F14" i="132"/>
  <c r="F18" i="132" s="1"/>
  <c r="F22" i="132" s="1"/>
  <c r="F31" i="132" s="1"/>
  <c r="R15" i="116"/>
  <c r="F15" i="117" s="1"/>
  <c r="J15" i="116"/>
  <c r="P15" i="116" s="1"/>
  <c r="R16" i="116"/>
  <c r="F16" i="117" s="1"/>
  <c r="J16" i="116"/>
  <c r="P16" i="116" s="1"/>
  <c r="J14" i="116"/>
  <c r="P14" i="116" s="1"/>
  <c r="R14" i="116"/>
  <c r="F14" i="117" s="1"/>
  <c r="J13" i="103"/>
  <c r="F17" i="103"/>
  <c r="R13" i="103"/>
  <c r="M16" i="91"/>
  <c r="R31" i="102"/>
  <c r="N12" i="91" s="1"/>
  <c r="F28" i="103"/>
  <c r="P26" i="108" l="1"/>
  <c r="Q26" i="108" s="1"/>
  <c r="U26" i="108" s="1"/>
  <c r="V26" i="108" s="1"/>
  <c r="X26" i="108" s="1"/>
  <c r="R14" i="117"/>
  <c r="F14" i="118" s="1"/>
  <c r="J14" i="117"/>
  <c r="P14" i="117" s="1"/>
  <c r="R16" i="117"/>
  <c r="F16" i="118" s="1"/>
  <c r="J16" i="117"/>
  <c r="P16" i="117" s="1"/>
  <c r="J15" i="117"/>
  <c r="P15" i="117" s="1"/>
  <c r="R15" i="117"/>
  <c r="F15" i="118" s="1"/>
  <c r="P13" i="103"/>
  <c r="P17" i="103" s="1"/>
  <c r="J17" i="103"/>
  <c r="F31" i="103"/>
  <c r="R28" i="103"/>
  <c r="F13" i="104"/>
  <c r="R17" i="103"/>
  <c r="O13" i="91" l="1"/>
  <c r="O75" i="108"/>
  <c r="P75" i="108" s="1"/>
  <c r="Q75" i="108" s="1"/>
  <c r="R27" i="108" s="1"/>
  <c r="S27" i="108" s="1"/>
  <c r="G14" i="132"/>
  <c r="G18" i="132" s="1"/>
  <c r="G22" i="132" s="1"/>
  <c r="G31" i="132" s="1"/>
  <c r="R16" i="118"/>
  <c r="F16" i="119" s="1"/>
  <c r="J16" i="118"/>
  <c r="P16" i="118" s="1"/>
  <c r="R15" i="118"/>
  <c r="F15" i="119" s="1"/>
  <c r="J15" i="118"/>
  <c r="P15" i="118" s="1"/>
  <c r="R14" i="118"/>
  <c r="F14" i="119" s="1"/>
  <c r="J14" i="118"/>
  <c r="P14" i="118" s="1"/>
  <c r="N16" i="91"/>
  <c r="F17" i="104"/>
  <c r="J13" i="104"/>
  <c r="R13" i="104"/>
  <c r="R31" i="103"/>
  <c r="O12" i="91" s="1"/>
  <c r="F28" i="104"/>
  <c r="P27" i="108" l="1"/>
  <c r="Q27" i="108" s="1"/>
  <c r="U27" i="108" s="1"/>
  <c r="V27" i="108" s="1"/>
  <c r="X27" i="108" s="1"/>
  <c r="R14" i="119"/>
  <c r="F14" i="120" s="1"/>
  <c r="J14" i="119"/>
  <c r="P14" i="119" s="1"/>
  <c r="J15" i="119"/>
  <c r="P15" i="119" s="1"/>
  <c r="R15" i="119"/>
  <c r="F15" i="120" s="1"/>
  <c r="R17" i="104"/>
  <c r="F13" i="113"/>
  <c r="R16" i="119"/>
  <c r="F16" i="120" s="1"/>
  <c r="J16" i="119"/>
  <c r="P16" i="119" s="1"/>
  <c r="F31" i="104"/>
  <c r="R28" i="104"/>
  <c r="J17" i="104"/>
  <c r="P13" i="104"/>
  <c r="P17" i="104" s="1"/>
  <c r="O76" i="108" l="1"/>
  <c r="P76" i="108" s="1"/>
  <c r="Q76" i="108" s="1"/>
  <c r="R28" i="108" s="1"/>
  <c r="S28" i="108" s="1"/>
  <c r="P13" i="91"/>
  <c r="H14" i="132"/>
  <c r="H18" i="132" s="1"/>
  <c r="H22" i="132" s="1"/>
  <c r="H31" i="132" s="1"/>
  <c r="R16" i="120"/>
  <c r="F16" i="121" s="1"/>
  <c r="J16" i="120"/>
  <c r="P16" i="120" s="1"/>
  <c r="J14" i="120"/>
  <c r="P14" i="120" s="1"/>
  <c r="R14" i="120"/>
  <c r="F14" i="121" s="1"/>
  <c r="F17" i="113"/>
  <c r="R13" i="113"/>
  <c r="J13" i="113"/>
  <c r="R15" i="120"/>
  <c r="F15" i="121" s="1"/>
  <c r="J15" i="120"/>
  <c r="P15" i="120" s="1"/>
  <c r="R31" i="104"/>
  <c r="P12" i="91" s="1"/>
  <c r="F28" i="113"/>
  <c r="O16" i="91"/>
  <c r="P28" i="108" l="1"/>
  <c r="Q28" i="108" s="1"/>
  <c r="U28" i="108" s="1"/>
  <c r="Q16" i="130" s="1"/>
  <c r="T16" i="130" s="1"/>
  <c r="R16" i="121"/>
  <c r="F16" i="122" s="1"/>
  <c r="J16" i="121"/>
  <c r="P16" i="121" s="1"/>
  <c r="R15" i="121"/>
  <c r="F15" i="122" s="1"/>
  <c r="J15" i="121"/>
  <c r="P15" i="121" s="1"/>
  <c r="R14" i="121"/>
  <c r="F14" i="122" s="1"/>
  <c r="J14" i="121"/>
  <c r="P14" i="121" s="1"/>
  <c r="Q13" i="91"/>
  <c r="D13" i="131"/>
  <c r="J17" i="113"/>
  <c r="P13" i="113"/>
  <c r="F13" i="116"/>
  <c r="R17" i="113"/>
  <c r="Q12" i="91"/>
  <c r="D12" i="131"/>
  <c r="F31" i="113"/>
  <c r="R28" i="113"/>
  <c r="E12" i="131" s="1"/>
  <c r="I14" i="132" l="1"/>
  <c r="I18" i="132" s="1"/>
  <c r="I22" i="132" s="1"/>
  <c r="I31" i="132" s="1"/>
  <c r="P17" i="113"/>
  <c r="K60" i="130" s="1"/>
  <c r="E13" i="131"/>
  <c r="R13" i="116"/>
  <c r="J13" i="116"/>
  <c r="F17" i="116"/>
  <c r="J14" i="122"/>
  <c r="P14" i="122" s="1"/>
  <c r="R14" i="122"/>
  <c r="F14" i="123" s="1"/>
  <c r="R16" i="122"/>
  <c r="F16" i="123" s="1"/>
  <c r="J16" i="122"/>
  <c r="P16" i="122" s="1"/>
  <c r="R15" i="122"/>
  <c r="F15" i="123" s="1"/>
  <c r="J15" i="122"/>
  <c r="P15" i="122" s="1"/>
  <c r="R31" i="113"/>
  <c r="F28" i="116"/>
  <c r="V28" i="108"/>
  <c r="U44" i="108"/>
  <c r="O44" i="108"/>
  <c r="O92" i="108"/>
  <c r="K17" i="130" l="1"/>
  <c r="L17" i="130" s="1"/>
  <c r="L60" i="130"/>
  <c r="R15" i="123"/>
  <c r="F15" i="124" s="1"/>
  <c r="J15" i="123"/>
  <c r="P15" i="123" s="1"/>
  <c r="R16" i="123"/>
  <c r="F16" i="124" s="1"/>
  <c r="J16" i="123"/>
  <c r="P16" i="123" s="1"/>
  <c r="J14" i="123"/>
  <c r="P14" i="123" s="1"/>
  <c r="R14" i="123"/>
  <c r="F14" i="124" s="1"/>
  <c r="J17" i="116"/>
  <c r="P13" i="116"/>
  <c r="F13" i="117"/>
  <c r="R17" i="116"/>
  <c r="R28" i="116"/>
  <c r="F12" i="131" s="1"/>
  <c r="F31" i="116"/>
  <c r="X28" i="108"/>
  <c r="P92" i="108"/>
  <c r="Q44" i="108"/>
  <c r="P44" i="108"/>
  <c r="J14" i="132" l="1"/>
  <c r="J18" i="132" s="1"/>
  <c r="J22" i="132" s="1"/>
  <c r="J31" i="132" s="1"/>
  <c r="P17" i="116"/>
  <c r="K61" i="130" s="1"/>
  <c r="F13" i="131"/>
  <c r="M60" i="130"/>
  <c r="M17" i="130"/>
  <c r="J15" i="124"/>
  <c r="P15" i="124" s="1"/>
  <c r="R15" i="124"/>
  <c r="F15" i="125" s="1"/>
  <c r="R16" i="124"/>
  <c r="F16" i="125" s="1"/>
  <c r="J16" i="124"/>
  <c r="P16" i="124" s="1"/>
  <c r="R14" i="124"/>
  <c r="F14" i="125" s="1"/>
  <c r="J14" i="124"/>
  <c r="P14" i="124" s="1"/>
  <c r="J13" i="117"/>
  <c r="R13" i="117"/>
  <c r="F17" i="117"/>
  <c r="F28" i="117"/>
  <c r="R31" i="116"/>
  <c r="P16" i="91"/>
  <c r="Q16" i="91" s="1"/>
  <c r="D16" i="131"/>
  <c r="Q92" i="108"/>
  <c r="K18" i="130" l="1"/>
  <c r="L18" i="130" s="1"/>
  <c r="R14" i="125"/>
  <c r="F14" i="126" s="1"/>
  <c r="L61" i="130"/>
  <c r="N17" i="130"/>
  <c r="J16" i="125"/>
  <c r="P16" i="125" s="1"/>
  <c r="R16" i="125"/>
  <c r="F16" i="126" s="1"/>
  <c r="F13" i="118"/>
  <c r="R17" i="117"/>
  <c r="P13" i="117"/>
  <c r="J17" i="117"/>
  <c r="R15" i="125"/>
  <c r="F15" i="126" s="1"/>
  <c r="J15" i="125"/>
  <c r="P15" i="125" s="1"/>
  <c r="F31" i="117"/>
  <c r="R28" i="117"/>
  <c r="G12" i="131" s="1"/>
  <c r="S44" i="108"/>
  <c r="R44" i="108"/>
  <c r="I18" i="92"/>
  <c r="L21" i="104"/>
  <c r="L21" i="102"/>
  <c r="L20" i="103"/>
  <c r="L20" i="104"/>
  <c r="N20" i="104" s="1"/>
  <c r="L21" i="100"/>
  <c r="N21" i="100" s="1"/>
  <c r="L21" i="99"/>
  <c r="F21" i="100" s="1"/>
  <c r="R21" i="100" s="1"/>
  <c r="D20" i="92"/>
  <c r="L20" i="100"/>
  <c r="I17" i="92"/>
  <c r="K14" i="132" l="1"/>
  <c r="K18" i="132" s="1"/>
  <c r="K22" i="132" s="1"/>
  <c r="K31" i="132" s="1"/>
  <c r="P17" i="117"/>
  <c r="K19" i="130" s="1"/>
  <c r="G13" i="131"/>
  <c r="J14" i="125"/>
  <c r="P14" i="125" s="1"/>
  <c r="J14" i="126"/>
  <c r="P14" i="126" s="1"/>
  <c r="M61" i="130"/>
  <c r="M18" i="130"/>
  <c r="O17" i="130"/>
  <c r="R14" i="126"/>
  <c r="R13" i="118"/>
  <c r="J13" i="118"/>
  <c r="F17" i="118"/>
  <c r="R15" i="126"/>
  <c r="J15" i="126"/>
  <c r="P15" i="126" s="1"/>
  <c r="J16" i="126"/>
  <c r="P16" i="126" s="1"/>
  <c r="R16" i="126"/>
  <c r="R31" i="117"/>
  <c r="F28" i="118"/>
  <c r="L23" i="104"/>
  <c r="L25" i="104" s="1"/>
  <c r="N21" i="99"/>
  <c r="P21" i="99" s="1"/>
  <c r="J21" i="100"/>
  <c r="P21" i="100" s="1"/>
  <c r="F21" i="101"/>
  <c r="L20" i="102"/>
  <c r="F20" i="92"/>
  <c r="N20" i="103"/>
  <c r="G20" i="92"/>
  <c r="N20" i="100"/>
  <c r="N23" i="100" s="1"/>
  <c r="N25" i="100" s="1"/>
  <c r="L23" i="100"/>
  <c r="L25" i="100" s="1"/>
  <c r="E20" i="92"/>
  <c r="L20" i="101"/>
  <c r="H20" i="92"/>
  <c r="L20" i="99"/>
  <c r="C20" i="92"/>
  <c r="N21" i="102"/>
  <c r="I19" i="92"/>
  <c r="I20" i="92" s="1"/>
  <c r="L22" i="103"/>
  <c r="L23" i="103" s="1"/>
  <c r="L25" i="103" s="1"/>
  <c r="N21" i="104"/>
  <c r="N23" i="104" s="1"/>
  <c r="N25" i="104" s="1"/>
  <c r="J21" i="101" l="1"/>
  <c r="P21" i="101" s="1"/>
  <c r="R21" i="101"/>
  <c r="F21" i="102" s="1"/>
  <c r="K62" i="130"/>
  <c r="L62" i="130" s="1"/>
  <c r="L19" i="130"/>
  <c r="N18" i="130"/>
  <c r="Q17" i="130"/>
  <c r="R17" i="118"/>
  <c r="F13" i="119"/>
  <c r="P13" i="118"/>
  <c r="J17" i="118"/>
  <c r="F31" i="118"/>
  <c r="R28" i="118"/>
  <c r="H12" i="131" s="1"/>
  <c r="R22" i="103"/>
  <c r="F22" i="104" s="1"/>
  <c r="N22" i="103"/>
  <c r="P22" i="103" s="1"/>
  <c r="L23" i="99"/>
  <c r="L25" i="99" s="1"/>
  <c r="N20" i="99"/>
  <c r="L23" i="102"/>
  <c r="L25" i="102" s="1"/>
  <c r="N20" i="102"/>
  <c r="N23" i="102" s="1"/>
  <c r="N25" i="102" s="1"/>
  <c r="N20" i="101"/>
  <c r="N23" i="101" s="1"/>
  <c r="N25" i="101" s="1"/>
  <c r="L23" i="101"/>
  <c r="L25" i="101" s="1"/>
  <c r="L14" i="132" l="1"/>
  <c r="L18" i="132" s="1"/>
  <c r="L22" i="132" s="1"/>
  <c r="L31" i="132" s="1"/>
  <c r="P17" i="118"/>
  <c r="K63" i="130" s="1"/>
  <c r="H13" i="131"/>
  <c r="M62" i="130"/>
  <c r="M19" i="130"/>
  <c r="O18" i="130"/>
  <c r="R17" i="130"/>
  <c r="T17" i="130" s="1"/>
  <c r="E16" i="131" s="1"/>
  <c r="R13" i="119"/>
  <c r="F17" i="119"/>
  <c r="J13" i="119"/>
  <c r="R31" i="118"/>
  <c r="F28" i="119"/>
  <c r="N23" i="103"/>
  <c r="N25" i="103" s="1"/>
  <c r="J21" i="102"/>
  <c r="P21" i="102" s="1"/>
  <c r="R21" i="102"/>
  <c r="F21" i="103" s="1"/>
  <c r="R23" i="99"/>
  <c r="R25" i="99" s="1"/>
  <c r="K11" i="91" s="1"/>
  <c r="F20" i="100"/>
  <c r="R20" i="100" s="1"/>
  <c r="R23" i="100" s="1"/>
  <c r="R25" i="100" s="1"/>
  <c r="R22" i="104"/>
  <c r="F22" i="113" s="1"/>
  <c r="J22" i="104"/>
  <c r="P22" i="104" s="1"/>
  <c r="N23" i="99"/>
  <c r="N25" i="99" s="1"/>
  <c r="P20" i="99"/>
  <c r="P23" i="99" s="1"/>
  <c r="P25" i="99" s="1"/>
  <c r="K25" i="91" s="1"/>
  <c r="J21" i="103" l="1"/>
  <c r="P21" i="103" s="1"/>
  <c r="R21" i="103"/>
  <c r="K20" i="130"/>
  <c r="L20" i="130" s="1"/>
  <c r="J22" i="113"/>
  <c r="P22" i="113" s="1"/>
  <c r="R22" i="113"/>
  <c r="F22" i="116" s="1"/>
  <c r="L63" i="130"/>
  <c r="N19" i="130"/>
  <c r="Q18" i="130"/>
  <c r="R18" i="130" s="1"/>
  <c r="T18" i="130" s="1"/>
  <c r="F16" i="131" s="1"/>
  <c r="F13" i="120"/>
  <c r="R17" i="119"/>
  <c r="J17" i="119"/>
  <c r="P13" i="119"/>
  <c r="R28" i="119"/>
  <c r="I12" i="131" s="1"/>
  <c r="F31" i="119"/>
  <c r="K29" i="91"/>
  <c r="J20" i="100"/>
  <c r="F23" i="100"/>
  <c r="F25" i="100" s="1"/>
  <c r="K14" i="91"/>
  <c r="K18" i="91" s="1"/>
  <c r="K22" i="91" s="1"/>
  <c r="F21" i="104"/>
  <c r="P17" i="119" l="1"/>
  <c r="K21" i="130" s="1"/>
  <c r="I13" i="131"/>
  <c r="R22" i="116"/>
  <c r="F22" i="117" s="1"/>
  <c r="J22" i="116"/>
  <c r="P22" i="116" s="1"/>
  <c r="M20" i="130"/>
  <c r="M63" i="130"/>
  <c r="O19" i="130"/>
  <c r="Q19" i="130" s="1"/>
  <c r="F17" i="120"/>
  <c r="J13" i="120"/>
  <c r="R13" i="120"/>
  <c r="F28" i="120"/>
  <c r="R31" i="119"/>
  <c r="J23" i="100"/>
  <c r="J25" i="100" s="1"/>
  <c r="P20" i="100"/>
  <c r="P23" i="100" s="1"/>
  <c r="P25" i="100" s="1"/>
  <c r="L25" i="91" s="1"/>
  <c r="K31" i="91"/>
  <c r="J21" i="104"/>
  <c r="P21" i="104" s="1"/>
  <c r="R21" i="104"/>
  <c r="F21" i="113" s="1"/>
  <c r="L11" i="91"/>
  <c r="F20" i="101"/>
  <c r="M14" i="132" l="1"/>
  <c r="M18" i="132" s="1"/>
  <c r="M22" i="132" s="1"/>
  <c r="M31" i="132" s="1"/>
  <c r="K64" i="130"/>
  <c r="L64" i="130" s="1"/>
  <c r="R22" i="117"/>
  <c r="F22" i="118" s="1"/>
  <c r="J22" i="117"/>
  <c r="P22" i="117" s="1"/>
  <c r="R21" i="113"/>
  <c r="F21" i="116" s="1"/>
  <c r="J21" i="113"/>
  <c r="P21" i="113" s="1"/>
  <c r="L21" i="130"/>
  <c r="N20" i="130"/>
  <c r="R19" i="130"/>
  <c r="T19" i="130" s="1"/>
  <c r="G16" i="131" s="1"/>
  <c r="J17" i="120"/>
  <c r="P13" i="120"/>
  <c r="F13" i="121"/>
  <c r="R17" i="120"/>
  <c r="F31" i="120"/>
  <c r="R28" i="120"/>
  <c r="J12" i="131" s="1"/>
  <c r="L29" i="91"/>
  <c r="L14" i="91"/>
  <c r="L18" i="91" s="1"/>
  <c r="L22" i="91" s="1"/>
  <c r="J20" i="101"/>
  <c r="F23" i="101"/>
  <c r="F25" i="101" s="1"/>
  <c r="R20" i="101"/>
  <c r="F20" i="102" s="1"/>
  <c r="F23" i="102" s="1"/>
  <c r="F25" i="102" s="1"/>
  <c r="R21" i="116" l="1"/>
  <c r="F21" i="117" s="1"/>
  <c r="J21" i="116"/>
  <c r="P21" i="116" s="1"/>
  <c r="P17" i="120"/>
  <c r="K65" i="130" s="1"/>
  <c r="J13" i="131"/>
  <c r="J22" i="118"/>
  <c r="P22" i="118" s="1"/>
  <c r="R22" i="118"/>
  <c r="F22" i="119" s="1"/>
  <c r="M64" i="130"/>
  <c r="M21" i="130"/>
  <c r="O20" i="130"/>
  <c r="F17" i="121"/>
  <c r="R13" i="121"/>
  <c r="J13" i="121"/>
  <c r="F28" i="121"/>
  <c r="R31" i="120"/>
  <c r="L31" i="91"/>
  <c r="J23" i="101"/>
  <c r="J25" i="101" s="1"/>
  <c r="P20" i="101"/>
  <c r="P23" i="101" s="1"/>
  <c r="P25" i="101" s="1"/>
  <c r="M25" i="91" s="1"/>
  <c r="R23" i="101"/>
  <c r="R25" i="101" s="1"/>
  <c r="M11" i="91" s="1"/>
  <c r="N14" i="132" l="1"/>
  <c r="N18" i="132" s="1"/>
  <c r="N22" i="132" s="1"/>
  <c r="N31" i="132" s="1"/>
  <c r="R22" i="119"/>
  <c r="F22" i="120" s="1"/>
  <c r="J22" i="119"/>
  <c r="P22" i="119" s="1"/>
  <c r="K22" i="130"/>
  <c r="L22" i="130" s="1"/>
  <c r="R21" i="117"/>
  <c r="F21" i="118" s="1"/>
  <c r="J21" i="117"/>
  <c r="P21" i="117" s="1"/>
  <c r="L65" i="130"/>
  <c r="N21" i="130"/>
  <c r="Q20" i="130"/>
  <c r="J17" i="121"/>
  <c r="P13" i="121"/>
  <c r="F13" i="122"/>
  <c r="R17" i="121"/>
  <c r="R28" i="121"/>
  <c r="K12" i="131" s="1"/>
  <c r="F31" i="121"/>
  <c r="M29" i="91"/>
  <c r="M14" i="91"/>
  <c r="M18" i="91" s="1"/>
  <c r="M22" i="91" s="1"/>
  <c r="J20" i="102"/>
  <c r="R20" i="102"/>
  <c r="P17" i="121" l="1"/>
  <c r="K66" i="130" s="1"/>
  <c r="K13" i="131"/>
  <c r="R21" i="118"/>
  <c r="F21" i="119" s="1"/>
  <c r="J21" i="118"/>
  <c r="P21" i="118" s="1"/>
  <c r="R22" i="120"/>
  <c r="F22" i="121" s="1"/>
  <c r="J22" i="120"/>
  <c r="P22" i="120" s="1"/>
  <c r="M22" i="130"/>
  <c r="M65" i="130"/>
  <c r="O21" i="130"/>
  <c r="Q21" i="130" s="1"/>
  <c r="R20" i="130"/>
  <c r="T20" i="130" s="1"/>
  <c r="H16" i="131" s="1"/>
  <c r="J13" i="122"/>
  <c r="F17" i="122"/>
  <c r="R13" i="122"/>
  <c r="R31" i="121"/>
  <c r="F28" i="122"/>
  <c r="M31" i="91"/>
  <c r="R23" i="102"/>
  <c r="R25" i="102" s="1"/>
  <c r="N11" i="91" s="1"/>
  <c r="F20" i="103"/>
  <c r="J23" i="102"/>
  <c r="J25" i="102" s="1"/>
  <c r="P20" i="102"/>
  <c r="P23" i="102" s="1"/>
  <c r="P25" i="102" s="1"/>
  <c r="N25" i="91" s="1"/>
  <c r="O14" i="132" l="1"/>
  <c r="O18" i="132" s="1"/>
  <c r="O22" i="132" s="1"/>
  <c r="O31" i="132" s="1"/>
  <c r="Q13" i="132"/>
  <c r="K23" i="130"/>
  <c r="L23" i="130" s="1"/>
  <c r="R21" i="119"/>
  <c r="F21" i="120" s="1"/>
  <c r="J21" i="119"/>
  <c r="P21" i="119" s="1"/>
  <c r="J22" i="121"/>
  <c r="P22" i="121" s="1"/>
  <c r="R22" i="121"/>
  <c r="F22" i="122" s="1"/>
  <c r="L66" i="130"/>
  <c r="N22" i="130"/>
  <c r="R21" i="130"/>
  <c r="T21" i="130" s="1"/>
  <c r="I16" i="131" s="1"/>
  <c r="F13" i="123"/>
  <c r="R17" i="122"/>
  <c r="J17" i="122"/>
  <c r="P13" i="122"/>
  <c r="P17" i="122" s="1"/>
  <c r="R28" i="122"/>
  <c r="L12" i="131" s="1"/>
  <c r="F31" i="122"/>
  <c r="N29" i="91"/>
  <c r="N14" i="91"/>
  <c r="N18" i="91" s="1"/>
  <c r="N22" i="91" s="1"/>
  <c r="F23" i="103"/>
  <c r="F25" i="103" s="1"/>
  <c r="R20" i="103"/>
  <c r="J20" i="103"/>
  <c r="P14" i="132" l="1"/>
  <c r="P18" i="132" s="1"/>
  <c r="P22" i="132" s="1"/>
  <c r="P31" i="132" s="1"/>
  <c r="Q11" i="132"/>
  <c r="Q14" i="132" s="1"/>
  <c r="Q18" i="132" s="1"/>
  <c r="Q22" i="132" s="1"/>
  <c r="Q31" i="132" s="1"/>
  <c r="E23" i="135" s="1"/>
  <c r="L13" i="131"/>
  <c r="J22" i="122"/>
  <c r="P22" i="122" s="1"/>
  <c r="R22" i="122"/>
  <c r="F22" i="123" s="1"/>
  <c r="R21" i="120"/>
  <c r="F21" i="121" s="1"/>
  <c r="J21" i="120"/>
  <c r="P21" i="120" s="1"/>
  <c r="K67" i="130"/>
  <c r="K24" i="130"/>
  <c r="M66" i="130"/>
  <c r="M23" i="130"/>
  <c r="O22" i="130"/>
  <c r="F17" i="123"/>
  <c r="R13" i="123"/>
  <c r="J13" i="123"/>
  <c r="R31" i="122"/>
  <c r="F28" i="123"/>
  <c r="N31" i="91"/>
  <c r="P20" i="103"/>
  <c r="P23" i="103" s="1"/>
  <c r="P25" i="103" s="1"/>
  <c r="O25" i="91" s="1"/>
  <c r="J23" i="103"/>
  <c r="J25" i="103" s="1"/>
  <c r="R23" i="103"/>
  <c r="R25" i="103" s="1"/>
  <c r="O11" i="91" s="1"/>
  <c r="F20" i="104"/>
  <c r="E21" i="135" l="1"/>
  <c r="G21" i="135" s="1"/>
  <c r="I21" i="135" s="1"/>
  <c r="E19" i="135"/>
  <c r="G19" i="135" s="1"/>
  <c r="I19" i="135" s="1"/>
  <c r="E22" i="135"/>
  <c r="G22" i="135" s="1"/>
  <c r="I22" i="135" s="1"/>
  <c r="E20" i="135"/>
  <c r="G20" i="135" s="1"/>
  <c r="I20" i="135" s="1"/>
  <c r="J22" i="123"/>
  <c r="P22" i="123" s="1"/>
  <c r="R22" i="123"/>
  <c r="F22" i="124" s="1"/>
  <c r="J21" i="121"/>
  <c r="P21" i="121" s="1"/>
  <c r="R21" i="121"/>
  <c r="F21" i="122" s="1"/>
  <c r="L24" i="130"/>
  <c r="L67" i="130"/>
  <c r="N23" i="130"/>
  <c r="Q22" i="130"/>
  <c r="F13" i="124"/>
  <c r="R17" i="123"/>
  <c r="P13" i="123"/>
  <c r="P17" i="123" s="1"/>
  <c r="J17" i="123"/>
  <c r="R28" i="123"/>
  <c r="M12" i="131" s="1"/>
  <c r="F31" i="123"/>
  <c r="O14" i="91"/>
  <c r="O18" i="91" s="1"/>
  <c r="O22" i="91" s="1"/>
  <c r="O29" i="91"/>
  <c r="J20" i="104"/>
  <c r="F23" i="104"/>
  <c r="F25" i="104" s="1"/>
  <c r="R20" i="104"/>
  <c r="R23" i="104" l="1"/>
  <c r="R25" i="104" s="1"/>
  <c r="P11" i="91" s="1"/>
  <c r="F20" i="113"/>
  <c r="M13" i="131"/>
  <c r="J22" i="124"/>
  <c r="P22" i="124" s="1"/>
  <c r="R22" i="124"/>
  <c r="F22" i="125" s="1"/>
  <c r="J21" i="122"/>
  <c r="P21" i="122" s="1"/>
  <c r="R21" i="122"/>
  <c r="F21" i="123" s="1"/>
  <c r="K68" i="130"/>
  <c r="K25" i="130"/>
  <c r="M67" i="130"/>
  <c r="M24" i="130"/>
  <c r="O23" i="130"/>
  <c r="R22" i="130"/>
  <c r="T22" i="130" s="1"/>
  <c r="J16" i="131" s="1"/>
  <c r="R13" i="124"/>
  <c r="J13" i="124"/>
  <c r="F17" i="124"/>
  <c r="R31" i="123"/>
  <c r="F28" i="124"/>
  <c r="O31" i="91"/>
  <c r="J23" i="104"/>
  <c r="J25" i="104" s="1"/>
  <c r="P20" i="104"/>
  <c r="P23" i="104" s="1"/>
  <c r="P25" i="104" s="1"/>
  <c r="P25" i="91" s="1"/>
  <c r="D25" i="131" s="1"/>
  <c r="D29" i="131" s="1"/>
  <c r="D11" i="131" l="1"/>
  <c r="D14" i="131" s="1"/>
  <c r="D18" i="131" s="1"/>
  <c r="D22" i="131" s="1"/>
  <c r="D31" i="131" s="1"/>
  <c r="J21" i="123"/>
  <c r="P21" i="123" s="1"/>
  <c r="R21" i="123"/>
  <c r="F21" i="124" s="1"/>
  <c r="J20" i="113"/>
  <c r="R20" i="113"/>
  <c r="F23" i="113"/>
  <c r="F25" i="113" s="1"/>
  <c r="R22" i="125"/>
  <c r="F22" i="126" s="1"/>
  <c r="J22" i="125"/>
  <c r="P22" i="125" s="1"/>
  <c r="L68" i="130"/>
  <c r="L25" i="130"/>
  <c r="N24" i="130"/>
  <c r="Q23" i="130"/>
  <c r="R23" i="130" s="1"/>
  <c r="T23" i="130" s="1"/>
  <c r="K16" i="131" s="1"/>
  <c r="Q11" i="91"/>
  <c r="Q14" i="91" s="1"/>
  <c r="Q18" i="91" s="1"/>
  <c r="Q22" i="91" s="1"/>
  <c r="J17" i="124"/>
  <c r="P13" i="124"/>
  <c r="P17" i="124" s="1"/>
  <c r="R17" i="124"/>
  <c r="F13" i="125"/>
  <c r="R28" i="124"/>
  <c r="N12" i="131" s="1"/>
  <c r="F31" i="124"/>
  <c r="P29" i="91"/>
  <c r="Q25" i="91"/>
  <c r="Q29" i="91" s="1"/>
  <c r="P14" i="91" l="1"/>
  <c r="P18" i="91" s="1"/>
  <c r="P22" i="91" s="1"/>
  <c r="P31" i="91" s="1"/>
  <c r="F20" i="116"/>
  <c r="R23" i="113"/>
  <c r="R25" i="113" s="1"/>
  <c r="E11" i="131"/>
  <c r="E14" i="131" s="1"/>
  <c r="E18" i="131" s="1"/>
  <c r="E22" i="131" s="1"/>
  <c r="J23" i="113"/>
  <c r="J25" i="113" s="1"/>
  <c r="P20" i="113"/>
  <c r="P23" i="113" s="1"/>
  <c r="P25" i="113" s="1"/>
  <c r="J21" i="124"/>
  <c r="P21" i="124" s="1"/>
  <c r="R21" i="124"/>
  <c r="F21" i="125" s="1"/>
  <c r="R22" i="126"/>
  <c r="J22" i="126"/>
  <c r="P22" i="126" s="1"/>
  <c r="N13" i="131"/>
  <c r="K69" i="130"/>
  <c r="K26" i="130"/>
  <c r="M25" i="130"/>
  <c r="M68" i="130"/>
  <c r="O24" i="130"/>
  <c r="Q24" i="130" s="1"/>
  <c r="R24" i="130" s="1"/>
  <c r="T24" i="130" s="1"/>
  <c r="L16" i="131" s="1"/>
  <c r="F17" i="125"/>
  <c r="R13" i="125"/>
  <c r="J13" i="125"/>
  <c r="R31" i="124"/>
  <c r="F28" i="125"/>
  <c r="Q31" i="91"/>
  <c r="J21" i="125" l="1"/>
  <c r="P21" i="125" s="1"/>
  <c r="R21" i="125"/>
  <c r="F21" i="126" s="1"/>
  <c r="E25" i="131"/>
  <c r="E29" i="131" s="1"/>
  <c r="E31" i="131" s="1"/>
  <c r="F23" i="116"/>
  <c r="F25" i="116" s="1"/>
  <c r="J20" i="116"/>
  <c r="R20" i="116"/>
  <c r="L69" i="130"/>
  <c r="L26" i="130"/>
  <c r="N25" i="130"/>
  <c r="J17" i="125"/>
  <c r="P13" i="125"/>
  <c r="P17" i="125" s="1"/>
  <c r="F13" i="126"/>
  <c r="R17" i="125"/>
  <c r="R28" i="125"/>
  <c r="O12" i="131" s="1"/>
  <c r="F31" i="125"/>
  <c r="O13" i="131" l="1"/>
  <c r="F20" i="117"/>
  <c r="R23" i="116"/>
  <c r="R25" i="116" s="1"/>
  <c r="F11" i="131"/>
  <c r="F14" i="131" s="1"/>
  <c r="F18" i="131" s="1"/>
  <c r="F22" i="131" s="1"/>
  <c r="J23" i="116"/>
  <c r="J25" i="116" s="1"/>
  <c r="P20" i="116"/>
  <c r="P23" i="116" s="1"/>
  <c r="P25" i="116" s="1"/>
  <c r="F25" i="131" s="1"/>
  <c r="F29" i="131" s="1"/>
  <c r="J21" i="126"/>
  <c r="P21" i="126" s="1"/>
  <c r="R21" i="126"/>
  <c r="K70" i="130"/>
  <c r="K27" i="130"/>
  <c r="M26" i="130"/>
  <c r="M69" i="130"/>
  <c r="O25" i="130"/>
  <c r="J13" i="126"/>
  <c r="F17" i="126"/>
  <c r="R13" i="126"/>
  <c r="F28" i="126"/>
  <c r="R31" i="125"/>
  <c r="F31" i="131" l="1"/>
  <c r="R17" i="126"/>
  <c r="F23" i="117"/>
  <c r="F25" i="117" s="1"/>
  <c r="J20" i="117"/>
  <c r="R20" i="117"/>
  <c r="L27" i="130"/>
  <c r="L70" i="130"/>
  <c r="N26" i="130"/>
  <c r="Q25" i="130"/>
  <c r="J17" i="126"/>
  <c r="P13" i="126"/>
  <c r="F31" i="126"/>
  <c r="R28" i="126"/>
  <c r="P17" i="126" l="1"/>
  <c r="K28" i="130" s="1"/>
  <c r="P13" i="131"/>
  <c r="Q13" i="131" s="1"/>
  <c r="P20" i="117"/>
  <c r="P23" i="117" s="1"/>
  <c r="P25" i="117" s="1"/>
  <c r="G25" i="131" s="1"/>
  <c r="G29" i="131" s="1"/>
  <c r="J23" i="117"/>
  <c r="J25" i="117" s="1"/>
  <c r="R31" i="126"/>
  <c r="P12" i="131"/>
  <c r="Q12" i="131" s="1"/>
  <c r="F20" i="118"/>
  <c r="R23" i="117"/>
  <c r="R25" i="117" s="1"/>
  <c r="G11" i="131"/>
  <c r="G14" i="131" s="1"/>
  <c r="G18" i="131" s="1"/>
  <c r="G22" i="131" s="1"/>
  <c r="M70" i="130"/>
  <c r="M27" i="130"/>
  <c r="O26" i="130"/>
  <c r="Q26" i="130" s="1"/>
  <c r="R25" i="130"/>
  <c r="T25" i="130" s="1"/>
  <c r="M16" i="131" s="1"/>
  <c r="G31" i="131" l="1"/>
  <c r="K71" i="130"/>
  <c r="K87" i="130" s="1"/>
  <c r="F23" i="118"/>
  <c r="F25" i="118" s="1"/>
  <c r="J20" i="118"/>
  <c r="R20" i="118"/>
  <c r="L28" i="130"/>
  <c r="K44" i="130"/>
  <c r="N27" i="130"/>
  <c r="R26" i="130"/>
  <c r="T26" i="130" s="1"/>
  <c r="N16" i="131" s="1"/>
  <c r="L71" i="130" l="1"/>
  <c r="M71" i="130" s="1"/>
  <c r="R23" i="118"/>
  <c r="R25" i="118" s="1"/>
  <c r="F20" i="119"/>
  <c r="H11" i="131"/>
  <c r="H14" i="131" s="1"/>
  <c r="H18" i="131" s="1"/>
  <c r="H22" i="131" s="1"/>
  <c r="J23" i="118"/>
  <c r="J25" i="118" s="1"/>
  <c r="P20" i="118"/>
  <c r="P23" i="118" s="1"/>
  <c r="P25" i="118" s="1"/>
  <c r="H25" i="131" s="1"/>
  <c r="H29" i="131" s="1"/>
  <c r="M28" i="130"/>
  <c r="M44" i="130" s="1"/>
  <c r="L44" i="130"/>
  <c r="O27" i="130"/>
  <c r="L87" i="130" l="1"/>
  <c r="H31" i="131"/>
  <c r="R20" i="119"/>
  <c r="F23" i="119"/>
  <c r="F25" i="119" s="1"/>
  <c r="J20" i="119"/>
  <c r="N28" i="130"/>
  <c r="M87" i="130"/>
  <c r="Q27" i="130"/>
  <c r="F20" i="120" l="1"/>
  <c r="R23" i="119"/>
  <c r="R25" i="119" s="1"/>
  <c r="I11" i="131"/>
  <c r="I14" i="131" s="1"/>
  <c r="I18" i="131" s="1"/>
  <c r="I22" i="131" s="1"/>
  <c r="J23" i="119"/>
  <c r="J25" i="119" s="1"/>
  <c r="P20" i="119"/>
  <c r="P23" i="119" s="1"/>
  <c r="P25" i="119" s="1"/>
  <c r="I25" i="131" s="1"/>
  <c r="I29" i="131" s="1"/>
  <c r="O28" i="130"/>
  <c r="O44" i="130" s="1"/>
  <c r="N44" i="130"/>
  <c r="R27" i="130"/>
  <c r="T27" i="130" s="1"/>
  <c r="O16" i="131" s="1"/>
  <c r="J20" i="120" l="1"/>
  <c r="R20" i="120"/>
  <c r="F23" i="120"/>
  <c r="F25" i="120" s="1"/>
  <c r="I31" i="131"/>
  <c r="Q28" i="130"/>
  <c r="R28" i="130" s="1"/>
  <c r="T28" i="130" s="1"/>
  <c r="P16" i="131" s="1"/>
  <c r="F20" i="121" l="1"/>
  <c r="R23" i="120"/>
  <c r="R25" i="120" s="1"/>
  <c r="J11" i="131"/>
  <c r="J14" i="131" s="1"/>
  <c r="J18" i="131" s="1"/>
  <c r="J22" i="131" s="1"/>
  <c r="P20" i="120"/>
  <c r="P23" i="120" s="1"/>
  <c r="P25" i="120" s="1"/>
  <c r="J25" i="131" s="1"/>
  <c r="J29" i="131" s="1"/>
  <c r="J23" i="120"/>
  <c r="J25" i="120" s="1"/>
  <c r="Q44" i="130"/>
  <c r="Q16" i="131"/>
  <c r="F23" i="121" l="1"/>
  <c r="F25" i="121" s="1"/>
  <c r="R20" i="121"/>
  <c r="J20" i="121"/>
  <c r="J31" i="131"/>
  <c r="J23" i="121" l="1"/>
  <c r="J25" i="121" s="1"/>
  <c r="P20" i="121"/>
  <c r="P23" i="121" s="1"/>
  <c r="P25" i="121" s="1"/>
  <c r="K25" i="131" s="1"/>
  <c r="K29" i="131" s="1"/>
  <c r="F20" i="122"/>
  <c r="R23" i="121"/>
  <c r="R25" i="121" s="1"/>
  <c r="K11" i="131"/>
  <c r="K14" i="131" s="1"/>
  <c r="K18" i="131" s="1"/>
  <c r="K22" i="131" s="1"/>
  <c r="K31" i="131" l="1"/>
  <c r="F23" i="122"/>
  <c r="F25" i="122" s="1"/>
  <c r="R20" i="122"/>
  <c r="J20" i="122"/>
  <c r="P20" i="122" l="1"/>
  <c r="P23" i="122" s="1"/>
  <c r="P25" i="122" s="1"/>
  <c r="L25" i="131" s="1"/>
  <c r="L29" i="131" s="1"/>
  <c r="J23" i="122"/>
  <c r="J25" i="122" s="1"/>
  <c r="F20" i="123"/>
  <c r="R23" i="122"/>
  <c r="R25" i="122" s="1"/>
  <c r="L11" i="131"/>
  <c r="L14" i="131" s="1"/>
  <c r="L18" i="131" s="1"/>
  <c r="L22" i="131" s="1"/>
  <c r="L31" i="131" l="1"/>
  <c r="F23" i="123"/>
  <c r="F25" i="123" s="1"/>
  <c r="J20" i="123"/>
  <c r="R20" i="123"/>
  <c r="P20" i="123" l="1"/>
  <c r="P23" i="123" s="1"/>
  <c r="P25" i="123" s="1"/>
  <c r="M25" i="131" s="1"/>
  <c r="M29" i="131" s="1"/>
  <c r="J23" i="123"/>
  <c r="J25" i="123" s="1"/>
  <c r="F20" i="124"/>
  <c r="R23" i="123"/>
  <c r="R25" i="123" s="1"/>
  <c r="M11" i="131"/>
  <c r="M14" i="131" s="1"/>
  <c r="M18" i="131" s="1"/>
  <c r="M22" i="131" s="1"/>
  <c r="M31" i="131" l="1"/>
  <c r="F23" i="124"/>
  <c r="F25" i="124" s="1"/>
  <c r="J20" i="124"/>
  <c r="R20" i="124"/>
  <c r="F20" i="125" l="1"/>
  <c r="R23" i="124"/>
  <c r="R25" i="124" s="1"/>
  <c r="N11" i="131"/>
  <c r="N14" i="131" s="1"/>
  <c r="N18" i="131" s="1"/>
  <c r="N22" i="131" s="1"/>
  <c r="P20" i="124"/>
  <c r="P23" i="124" s="1"/>
  <c r="P25" i="124" s="1"/>
  <c r="N25" i="131" s="1"/>
  <c r="N29" i="131" s="1"/>
  <c r="J23" i="124"/>
  <c r="J25" i="124" s="1"/>
  <c r="N31" i="131" l="1"/>
  <c r="R20" i="125"/>
  <c r="F23" i="125"/>
  <c r="F25" i="125" s="1"/>
  <c r="J20" i="125"/>
  <c r="R23" i="125" l="1"/>
  <c r="R25" i="125" s="1"/>
  <c r="F20" i="126"/>
  <c r="O11" i="131"/>
  <c r="O14" i="131" s="1"/>
  <c r="O18" i="131" s="1"/>
  <c r="O22" i="131" s="1"/>
  <c r="J23" i="125"/>
  <c r="J25" i="125" s="1"/>
  <c r="P20" i="125"/>
  <c r="P23" i="125" s="1"/>
  <c r="P25" i="125" s="1"/>
  <c r="O25" i="131" s="1"/>
  <c r="O29" i="131" s="1"/>
  <c r="O31" i="131" l="1"/>
  <c r="R20" i="126"/>
  <c r="F23" i="126"/>
  <c r="F25" i="126" s="1"/>
  <c r="J20" i="126"/>
  <c r="R23" i="126" l="1"/>
  <c r="R25" i="126" s="1"/>
  <c r="P11" i="131"/>
  <c r="P14" i="131" s="1"/>
  <c r="P18" i="131" s="1"/>
  <c r="P22" i="131" s="1"/>
  <c r="P20" i="126"/>
  <c r="P23" i="126" s="1"/>
  <c r="P25" i="126" s="1"/>
  <c r="P25" i="131" s="1"/>
  <c r="J23" i="126"/>
  <c r="J25" i="126" s="1"/>
  <c r="Q11" i="131" l="1"/>
  <c r="Q14" i="131" s="1"/>
  <c r="Q18" i="131" s="1"/>
  <c r="Q22" i="131" s="1"/>
  <c r="Q25" i="131"/>
  <c r="Q29" i="131" s="1"/>
  <c r="P29" i="131"/>
  <c r="P31" i="131" s="1"/>
  <c r="Q31" i="131" l="1"/>
  <c r="E12" i="135" s="1"/>
  <c r="E9" i="135" s="1"/>
  <c r="G9" i="135" s="1"/>
  <c r="I9" i="135" s="1"/>
  <c r="E11" i="135" l="1"/>
  <c r="G11" i="135" s="1"/>
  <c r="I11" i="135" s="1"/>
  <c r="E10" i="135"/>
  <c r="G10" i="135" s="1"/>
  <c r="I10" i="135" s="1"/>
</calcChain>
</file>

<file path=xl/sharedStrings.xml><?xml version="1.0" encoding="utf-8"?>
<sst xmlns="http://schemas.openxmlformats.org/spreadsheetml/2006/main" count="2893" uniqueCount="492">
  <si>
    <t>Depreciation</t>
  </si>
  <si>
    <t>Plant</t>
  </si>
  <si>
    <t>Rates</t>
  </si>
  <si>
    <t>Total</t>
  </si>
  <si>
    <t>Line</t>
  </si>
  <si>
    <t>No.</t>
  </si>
  <si>
    <t>Description</t>
  </si>
  <si>
    <t>Account</t>
  </si>
  <si>
    <t>Beginning</t>
  </si>
  <si>
    <t>Balance</t>
  </si>
  <si>
    <t>Depr</t>
  </si>
  <si>
    <t>Depr on</t>
  </si>
  <si>
    <t>Retirements</t>
  </si>
  <si>
    <t>Adds/Ret</t>
  </si>
  <si>
    <t>Ending</t>
  </si>
  <si>
    <t>(5)=(3)*(4)</t>
  </si>
  <si>
    <t>(7)=(4)*(6)*50%</t>
  </si>
  <si>
    <t>(9)=(6)+(3)</t>
  </si>
  <si>
    <t>Total Plant</t>
  </si>
  <si>
    <t>Cost of Removal</t>
  </si>
  <si>
    <t>Additions</t>
  </si>
  <si>
    <t>Total Additions</t>
  </si>
  <si>
    <t>Total Retirements</t>
  </si>
  <si>
    <t>Total Cost of Removal</t>
  </si>
  <si>
    <t>MACRS</t>
  </si>
  <si>
    <t>Tax Rate</t>
  </si>
  <si>
    <t>Life</t>
  </si>
  <si>
    <t>Year</t>
  </si>
  <si>
    <t>Year 1</t>
  </si>
  <si>
    <t>Year 2</t>
  </si>
  <si>
    <t>Year 3</t>
  </si>
  <si>
    <t>Year 4</t>
  </si>
  <si>
    <t>Year 5</t>
  </si>
  <si>
    <t>Year 6</t>
  </si>
  <si>
    <t>Tax</t>
  </si>
  <si>
    <t>Cost</t>
  </si>
  <si>
    <t>of</t>
  </si>
  <si>
    <t>Removal</t>
  </si>
  <si>
    <t>Book</t>
  </si>
  <si>
    <t>Difference</t>
  </si>
  <si>
    <t>Deferred</t>
  </si>
  <si>
    <t>Accumulated</t>
  </si>
  <si>
    <t>Taxes</t>
  </si>
  <si>
    <t>Tax Depreciation</t>
  </si>
  <si>
    <t>Capital Structure</t>
  </si>
  <si>
    <t>Ratio</t>
  </si>
  <si>
    <t>Weighted</t>
  </si>
  <si>
    <t>Tax Gross-up</t>
  </si>
  <si>
    <t>Short term debt</t>
  </si>
  <si>
    <t>Common equity</t>
  </si>
  <si>
    <t>Long term debt</t>
  </si>
  <si>
    <t>Rate Base</t>
  </si>
  <si>
    <t>Accumulated Depreciation Reserve</t>
  </si>
  <si>
    <t xml:space="preserve">  Net Gas Plant</t>
  </si>
  <si>
    <t>Accumulated Deferred Taxes</t>
  </si>
  <si>
    <t>Net Rate Base</t>
  </si>
  <si>
    <t>Rate of Return</t>
  </si>
  <si>
    <t>Return on Net Rate Base</t>
  </si>
  <si>
    <t>Operating Expenses</t>
  </si>
  <si>
    <t>Incremental Operation &amp; Maintenance</t>
  </si>
  <si>
    <t xml:space="preserve">  Total Operating Expenses</t>
  </si>
  <si>
    <t>and</t>
  </si>
  <si>
    <t>Services-Lines</t>
  </si>
  <si>
    <t>Services-Risers</t>
  </si>
  <si>
    <t>Allocation Percent</t>
  </si>
  <si>
    <t>Number of Bills</t>
  </si>
  <si>
    <t>Line No.</t>
  </si>
  <si>
    <t>LOUISVILLE GAS AND ELECTRIC COMPANY</t>
  </si>
  <si>
    <t>RATE OF RETURN</t>
  </si>
  <si>
    <t>TOTAL</t>
  </si>
  <si>
    <t>20-year</t>
  </si>
  <si>
    <t>15-year</t>
  </si>
  <si>
    <t>Service Line Retirements</t>
  </si>
  <si>
    <t>Riser Retirements</t>
  </si>
  <si>
    <t>Repairs</t>
  </si>
  <si>
    <t>CLASS ALLOCATION AND BILL IMPACT</t>
  </si>
  <si>
    <t>TAX DEPRECIATION</t>
  </si>
  <si>
    <t>Adjusted for</t>
  </si>
  <si>
    <t>Income Taxes</t>
  </si>
  <si>
    <t>REVENUE REQUIREMENT</t>
  </si>
  <si>
    <t>Service Line Capex</t>
  </si>
  <si>
    <t>Riser Capex</t>
  </si>
  <si>
    <t xml:space="preserve">     Gas Plant Investment</t>
  </si>
  <si>
    <t>Service Line Cost of Removal</t>
  </si>
  <si>
    <t>Riser Cost of Removal</t>
  </si>
  <si>
    <t xml:space="preserve">     Cost of Removal</t>
  </si>
  <si>
    <t>Jan</t>
  </si>
  <si>
    <t>Feb</t>
  </si>
  <si>
    <t>May</t>
  </si>
  <si>
    <t>Jul</t>
  </si>
  <si>
    <t>Aug</t>
  </si>
  <si>
    <t>Sep</t>
  </si>
  <si>
    <t>Oct</t>
  </si>
  <si>
    <t>Nov</t>
  </si>
  <si>
    <t>Dec</t>
  </si>
  <si>
    <t>January</t>
  </si>
  <si>
    <t>Current Month</t>
  </si>
  <si>
    <t>(8)=(5)+(7)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</si>
  <si>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</si>
  <si>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</si>
  <si>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</si>
  <si>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</si>
  <si>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</si>
  <si>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</si>
  <si>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</si>
  <si>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</si>
  <si>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</si>
  <si>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</si>
  <si>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</si>
  <si>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Project</t>
  </si>
  <si>
    <t>Project Desc</t>
  </si>
  <si>
    <t>Sept</t>
  </si>
  <si>
    <t>Investment</t>
  </si>
  <si>
    <t>107001</t>
  </si>
  <si>
    <t>CCSO419</t>
  </si>
  <si>
    <t>REPL EXIST CUST SRV W RISER</t>
  </si>
  <si>
    <t>CCSO421</t>
  </si>
  <si>
    <t>REPL EXIST CS WITH RISER-MUL</t>
  </si>
  <si>
    <t>CCSO4485</t>
  </si>
  <si>
    <t>REPL EXIST CS &amp; RISER-4485</t>
  </si>
  <si>
    <t>CNBCS419</t>
  </si>
  <si>
    <t>NB CUST SRV LINE &amp; GAS RISER</t>
  </si>
  <si>
    <t>CNBCS421</t>
  </si>
  <si>
    <t>DLSMR414</t>
  </si>
  <si>
    <t>DWNTWN LRG SCALE MAIN</t>
  </si>
  <si>
    <t>GASRSR414</t>
  </si>
  <si>
    <t>LSMR414</t>
  </si>
  <si>
    <t>Large Scale Main Replacements</t>
  </si>
  <si>
    <t>PMR414</t>
  </si>
  <si>
    <t>Priority Main Replacement</t>
  </si>
  <si>
    <t>RRCS419G</t>
  </si>
  <si>
    <t>REP CO GAS SERV 419</t>
  </si>
  <si>
    <t>RRCS421</t>
  </si>
  <si>
    <t>Serv Line Repl-Muldraugh</t>
  </si>
  <si>
    <t>Total Investment</t>
  </si>
  <si>
    <t>108799</t>
  </si>
  <si>
    <t>Total Removal</t>
  </si>
  <si>
    <t>organization</t>
  </si>
  <si>
    <t>expenditure_org</t>
  </si>
  <si>
    <t>account</t>
  </si>
  <si>
    <t>expenditure_type</t>
  </si>
  <si>
    <t>project</t>
  </si>
  <si>
    <t>task</t>
  </si>
  <si>
    <t>year</t>
  </si>
  <si>
    <t xml:space="preserve">Nov </t>
  </si>
  <si>
    <t>total</t>
  </si>
  <si>
    <t>003385</t>
  </si>
  <si>
    <t>880110</t>
  </si>
  <si>
    <t>0301</t>
  </si>
  <si>
    <t>CUSTUNLO</t>
  </si>
  <si>
    <t>GAS SER UNLOC</t>
  </si>
  <si>
    <t>004190</t>
  </si>
  <si>
    <t>892110</t>
  </si>
  <si>
    <t>OCSOM419</t>
  </si>
  <si>
    <t>BUDGET</t>
  </si>
  <si>
    <t>004210</t>
  </si>
  <si>
    <t>OCSOM421</t>
  </si>
  <si>
    <t>004485</t>
  </si>
  <si>
    <t>OCSOM4485</t>
  </si>
  <si>
    <t>ORCSO419</t>
  </si>
  <si>
    <t>0111</t>
  </si>
  <si>
    <t>0520</t>
  </si>
  <si>
    <t>0752</t>
  </si>
  <si>
    <t>2017</t>
  </si>
  <si>
    <t>Total COS - 2017</t>
  </si>
  <si>
    <t>Revenue Requirement</t>
  </si>
  <si>
    <t>CAPITAL AND OPERATING COSTS</t>
  </si>
  <si>
    <t>Customer Service Capex</t>
  </si>
  <si>
    <t>Services-Customer Lines</t>
  </si>
  <si>
    <t>Monthly</t>
  </si>
  <si>
    <t>Total Revenue Requirement</t>
  </si>
  <si>
    <t>(a)</t>
  </si>
  <si>
    <t>(b)</t>
  </si>
  <si>
    <t>(c)</t>
  </si>
  <si>
    <t>GAS SERVICE RISER REPL &amp; CSO</t>
  </si>
  <si>
    <t>887110</t>
  </si>
  <si>
    <t>139084</t>
  </si>
  <si>
    <t>887COS</t>
  </si>
  <si>
    <t>004470</t>
  </si>
  <si>
    <t>0427</t>
  </si>
  <si>
    <t>0101</t>
  </si>
  <si>
    <t>0751</t>
  </si>
  <si>
    <t>874110</t>
  </si>
  <si>
    <t>(d)</t>
  </si>
  <si>
    <t>Property Taxes</t>
  </si>
  <si>
    <t>Reserve Retirements</t>
  </si>
  <si>
    <t xml:space="preserve">     Total Retirements</t>
  </si>
  <si>
    <t>Federal Deferred</t>
  </si>
  <si>
    <t>State Deferred</t>
  </si>
  <si>
    <t>@ 35%</t>
  </si>
  <si>
    <t>@ 6%</t>
  </si>
  <si>
    <t>Bonus</t>
  </si>
  <si>
    <t>Page 2</t>
  </si>
  <si>
    <t xml:space="preserve">Federal Benefit </t>
  </si>
  <si>
    <t>of State</t>
  </si>
  <si>
    <t>Deferred Tax</t>
  </si>
  <si>
    <t>on</t>
  </si>
  <si>
    <t>MACRS   Tax Rate</t>
  </si>
  <si>
    <t>AMR414</t>
  </si>
  <si>
    <t>ALDYL-A MAIN REPLACEMENT</t>
  </si>
  <si>
    <t>Total 2017</t>
  </si>
  <si>
    <t>0304</t>
  </si>
  <si>
    <t>0699</t>
  </si>
  <si>
    <t>880COS</t>
  </si>
  <si>
    <t>892COS</t>
  </si>
  <si>
    <t>874COS</t>
  </si>
  <si>
    <t>878110</t>
  </si>
  <si>
    <t>878COS</t>
  </si>
  <si>
    <t>879110</t>
  </si>
  <si>
    <t>879COS</t>
  </si>
  <si>
    <t>004480</t>
  </si>
  <si>
    <t>006250</t>
  </si>
  <si>
    <t>408109</t>
  </si>
  <si>
    <t>132554</t>
  </si>
  <si>
    <t>GLT PROP TAX</t>
  </si>
  <si>
    <t>(1)</t>
  </si>
  <si>
    <t>(2)</t>
  </si>
  <si>
    <t>(9)</t>
  </si>
  <si>
    <t>(10)</t>
  </si>
  <si>
    <t>(11)</t>
  </si>
  <si>
    <t>(12)</t>
  </si>
  <si>
    <t>(13)</t>
  </si>
  <si>
    <t>(14)</t>
  </si>
  <si>
    <t>(15)</t>
  </si>
  <si>
    <t>(e)</t>
  </si>
  <si>
    <t>JULY 2017 BOOK DEPRECIATION</t>
  </si>
  <si>
    <t>AUGUST 2017 BOOK DEPRECIATION</t>
  </si>
  <si>
    <t>SEPTEMBER 2017 BOOK DEPRECIATION</t>
  </si>
  <si>
    <t>OCTOBER 2017 BOOK DEPRECIATION</t>
  </si>
  <si>
    <t>DECEMBER 2017 BOOK DEPRECIATION</t>
  </si>
  <si>
    <t>NB INST CUST SERV LINE &amp; RSR</t>
  </si>
  <si>
    <t>TLR414</t>
  </si>
  <si>
    <t>TRANSMISSION LINE REPLACE</t>
  </si>
  <si>
    <t>*NEW PROGRAM</t>
  </si>
  <si>
    <t>CRSS414</t>
  </si>
  <si>
    <t>REPLACE STEEL SERVICE LINES</t>
  </si>
  <si>
    <t>Total 2018</t>
  </si>
  <si>
    <t>Total 2019</t>
  </si>
  <si>
    <t>2018</t>
  </si>
  <si>
    <t>Total COS - 2018</t>
  </si>
  <si>
    <t>2019</t>
  </si>
  <si>
    <t>Total COS - 2019</t>
  </si>
  <si>
    <t>NOVEMBER 2017 BOOK DEPRECIATION</t>
  </si>
  <si>
    <t>(f)</t>
  </si>
  <si>
    <t>2012 20-year additions at MACRS Year 6 tax rate (0.052850)</t>
  </si>
  <si>
    <t>2013 20-year additions at MACRS Year 5 tax rate (0.057130)</t>
  </si>
  <si>
    <t>2014 20-year additions at MACRS Year 4 tax rate (0.061770)</t>
  </si>
  <si>
    <t>2015 20-year additions at MACRS Year 3 tax rate (0.066770)</t>
  </si>
  <si>
    <t>2016 20-year additions at MACRS Year 2 tax rate (0.072190)</t>
  </si>
  <si>
    <t>2017 20-year additions at MACRS Year 1 tax rate (0.037500) plus repairs</t>
  </si>
  <si>
    <t>2017 20-year additions at MACRS Year 1 tax rate (0.037500) plus Repairs</t>
  </si>
  <si>
    <t>Prorated Accumulated</t>
  </si>
  <si>
    <t>Change</t>
  </si>
  <si>
    <t>ADIT</t>
  </si>
  <si>
    <t>Proration</t>
  </si>
  <si>
    <t>Total Forecasted Revenue in Case No. 2016-00371</t>
  </si>
  <si>
    <t>Rate Schedule - Transmission</t>
  </si>
  <si>
    <t>Rate Schedule - Distribution</t>
  </si>
  <si>
    <t>Jul - Dec 2017</t>
  </si>
  <si>
    <t>Jul-Dec</t>
  </si>
  <si>
    <t>Proposed GLT Distribution Rate Effective July 1, 2017</t>
  </si>
  <si>
    <t>Proposed GLT Transmission Rate Effective July 1, 2017</t>
  </si>
  <si>
    <t>1/184</t>
  </si>
  <si>
    <t>32/184</t>
  </si>
  <si>
    <t>62/184</t>
  </si>
  <si>
    <t>93/184</t>
  </si>
  <si>
    <t>123/184</t>
  </si>
  <si>
    <t>154/184</t>
  </si>
  <si>
    <t>Main-Distribution Capex</t>
  </si>
  <si>
    <t>Main-Transmission Capex</t>
  </si>
  <si>
    <t>Main-Distribution Retirements</t>
  </si>
  <si>
    <t>Main-Distribution Cost of Removal</t>
  </si>
  <si>
    <t>2017 Forecast Case No. 2016-00383</t>
  </si>
  <si>
    <t>ANNUAL ADJUSTMENT TO THE GAS LINE TRACKER</t>
  </si>
  <si>
    <t>Note:  Capital structure and cost rates pursuant to Case No. 2016-00371.</t>
  </si>
  <si>
    <t>@ 25.74%</t>
  </si>
  <si>
    <t>Monthly Rate Per Bill</t>
  </si>
  <si>
    <t>Rate Per Mcf</t>
  </si>
  <si>
    <t>2017 - (Over)/Under recovery</t>
  </si>
  <si>
    <t>Mcf</t>
  </si>
  <si>
    <t>Net Monthly Rate Per Bill Reflecting     True-up</t>
  </si>
  <si>
    <t>2017 Recovery True-up Rate Per Mcf</t>
  </si>
  <si>
    <t>2017 True-up Monthly Rate Per Bill</t>
  </si>
  <si>
    <t>JANUARY 2018 BOOK DEPRECIATION</t>
  </si>
  <si>
    <t>Mar</t>
  </si>
  <si>
    <t>Apr</t>
  </si>
  <si>
    <t>Jun</t>
  </si>
  <si>
    <t>FEBRUARY 2018 BOOK DEPRECIATION</t>
  </si>
  <si>
    <t>MARCH 2018 BOOK DEPRECIATION</t>
  </si>
  <si>
    <t>APRIL 2018 BOOK DEPRECIATION</t>
  </si>
  <si>
    <t>MAY 2018 BOOK DEPRECIATION</t>
  </si>
  <si>
    <t>JUNE 2018 BOOK DEPRECIATION</t>
  </si>
  <si>
    <t>JULY 2018 BOOK DEPRECIATION</t>
  </si>
  <si>
    <t>AUGUST 2018 BOOK DEPRECIATION</t>
  </si>
  <si>
    <t>SEPTEMBER 2018 BOOK DEPRECIATION</t>
  </si>
  <si>
    <t>OCTOBER 2018 BOOK DEPRECIATION</t>
  </si>
  <si>
    <t>NOVEMBER 2018 BOOK DEPRECIATION</t>
  </si>
  <si>
    <t>DECEMBER 2018 BOOK DEPRECIATION</t>
  </si>
  <si>
    <t>Gas Line Tracker</t>
  </si>
  <si>
    <t>Capital by Month</t>
  </si>
  <si>
    <t>2018 from Working Forecast (0+12) with TMP IP Estimate</t>
  </si>
  <si>
    <t>compute_0002</t>
  </si>
  <si>
    <t>bud_description</t>
  </si>
  <si>
    <t>01_Jan</t>
  </si>
  <si>
    <t>02_Feb</t>
  </si>
  <si>
    <t>03_Mar</t>
  </si>
  <si>
    <t>04_Apr</t>
  </si>
  <si>
    <t>05_May</t>
  </si>
  <si>
    <t>06_Jun</t>
  </si>
  <si>
    <t>07_Jul</t>
  </si>
  <si>
    <t>08_Aug</t>
  </si>
  <si>
    <t>09_Sep</t>
  </si>
  <si>
    <t>10_Oct</t>
  </si>
  <si>
    <t>11_Nov</t>
  </si>
  <si>
    <t>12_Dec</t>
  </si>
  <si>
    <t>Sum of total</t>
  </si>
  <si>
    <t>PPLBCW: TOTAL CONSTRUCTION WORK IN PROGRESS</t>
  </si>
  <si>
    <t>BLMR414</t>
  </si>
  <si>
    <t>Beltline Main Replacement</t>
  </si>
  <si>
    <t>CNBCS4485</t>
  </si>
  <si>
    <t>INST CUST SRV - MAGNOLIA</t>
  </si>
  <si>
    <t>CRCST419</t>
  </si>
  <si>
    <t>RELOCATING CO OWNED SERV</t>
  </si>
  <si>
    <t>CRCST421</t>
  </si>
  <si>
    <t>Relo Co Owned Services-4210</t>
  </si>
  <si>
    <t>CRCST4485</t>
  </si>
  <si>
    <t>RELOC CO OWNED SRV-4485</t>
  </si>
  <si>
    <t>CTPDC419</t>
  </si>
  <si>
    <t>REPL CUST OWNED SRV LINES</t>
  </si>
  <si>
    <t>CTPDC421</t>
  </si>
  <si>
    <t>REPL CUST OWNED SRV-MULD</t>
  </si>
  <si>
    <t>CTPDC4485</t>
  </si>
  <si>
    <t>REPL CUST OWNED SRV-MAGNOL</t>
  </si>
  <si>
    <t>GASRSR419</t>
  </si>
  <si>
    <t>Gas Service Riser Repl &amp; CSO</t>
  </si>
  <si>
    <t>NBGRSR419</t>
  </si>
  <si>
    <t>NEW BUS GAS RISER 419</t>
  </si>
  <si>
    <t>RRCS4485</t>
  </si>
  <si>
    <t>Serv Line Repl-Magnolia</t>
  </si>
  <si>
    <t>RSRSR419</t>
  </si>
  <si>
    <t>REP GAS SERV RISERS 419</t>
  </si>
  <si>
    <t>TMPPENBLN</t>
  </si>
  <si>
    <t>TMP PENILE-BLANTON LN</t>
  </si>
  <si>
    <t>TMPPENPRS</t>
  </si>
  <si>
    <t>TMP PENILE-PRESTON</t>
  </si>
  <si>
    <t>TMPPRSPIC</t>
  </si>
  <si>
    <t>TMP PRESTON-PICCADILLY</t>
  </si>
  <si>
    <t>TMPPROP1</t>
  </si>
  <si>
    <t>TMP PROPERTY PENILE-BLANTON</t>
  </si>
  <si>
    <t>PPLBCW: TOTAL CONSTRUCTION WORK IN PROGRESS Total</t>
  </si>
  <si>
    <t>PPLBRS: TOTAL REMOVAL SPEND</t>
  </si>
  <si>
    <t>PPLBRS: TOTAL REMOVAL SPEND Total</t>
  </si>
  <si>
    <t>Grand Total</t>
  </si>
  <si>
    <t>Main-Transmission Cost of Removal</t>
  </si>
  <si>
    <t>Main-Transmission Retirements</t>
  </si>
  <si>
    <t>month_01_jan</t>
  </si>
  <si>
    <t>month_02_feb</t>
  </si>
  <si>
    <t>month_03_mar</t>
  </si>
  <si>
    <t>month_04_apr</t>
  </si>
  <si>
    <t>month_05_may</t>
  </si>
  <si>
    <t>month_06_jun</t>
  </si>
  <si>
    <t>month_07_jul</t>
  </si>
  <si>
    <t>month_08_aug</t>
  </si>
  <si>
    <t>month_09_sep</t>
  </si>
  <si>
    <t>month_10_oct</t>
  </si>
  <si>
    <t>month_11_nov</t>
  </si>
  <si>
    <t>month_12_dec</t>
  </si>
  <si>
    <t>0670</t>
  </si>
  <si>
    <t>MTRCLEAR</t>
  </si>
  <si>
    <t>0456</t>
  </si>
  <si>
    <t>0786</t>
  </si>
  <si>
    <t>@ 21%</t>
  </si>
  <si>
    <t>Year*</t>
  </si>
  <si>
    <t>Note * - 2018 Year amounts based upon thirteen-month average (December 2017 - December 2018).</t>
  </si>
  <si>
    <t>Proposed GLT Transmission Rate Effective May 1, 2018</t>
  </si>
  <si>
    <t>RRCS421G</t>
  </si>
  <si>
    <t>Replacement</t>
  </si>
  <si>
    <t>NB</t>
  </si>
  <si>
    <t>UPDATED FOR 2017 ACTUALS</t>
  </si>
  <si>
    <t>Proposed GLT Distribution Rate Effective May 1, 2018</t>
  </si>
  <si>
    <t>2018 20-year additions at MACRS Year 1 tax rate (0.037500) plus repairs</t>
  </si>
  <si>
    <t>2017 20-year additions at MACRS Year 2 tax rate (0.072190) plus repairs</t>
  </si>
  <si>
    <t>2018 20-year additions at MACRS Year 1 tax rate (0.037500) plus Repairs</t>
  </si>
  <si>
    <t>2017 20-year additions at MACRS Year 2 tax rate (0.072190) plus Repairs</t>
  </si>
  <si>
    <t>1/365</t>
  </si>
  <si>
    <t>32/365</t>
  </si>
  <si>
    <t>154/365</t>
  </si>
  <si>
    <t>123/365</t>
  </si>
  <si>
    <t>93/365</t>
  </si>
  <si>
    <t>62/365</t>
  </si>
  <si>
    <t>185/365</t>
  </si>
  <si>
    <t>335/365</t>
  </si>
  <si>
    <t>307/365</t>
  </si>
  <si>
    <t>276/365</t>
  </si>
  <si>
    <t>246/365</t>
  </si>
  <si>
    <t>215/365</t>
  </si>
  <si>
    <t xml:space="preserve">2018 - Forecasted </t>
  </si>
  <si>
    <t>GLT (Over)/Under Recovery Calculation</t>
  </si>
  <si>
    <t>As of December 2017</t>
  </si>
  <si>
    <t>Distribution</t>
  </si>
  <si>
    <t>(A)</t>
  </si>
  <si>
    <t>(B)</t>
  </si>
  <si>
    <t>(C)</t>
  </si>
  <si>
    <t>(D)</t>
  </si>
  <si>
    <t>(E)</t>
  </si>
  <si>
    <t>(F)</t>
  </si>
  <si>
    <t>Expense Month</t>
  </si>
  <si>
    <t>Collections / (Refunds) for Prior Year</t>
  </si>
  <si>
    <t>Adjusted Revenue Requirement</t>
  </si>
  <si>
    <t>Billed GLT Revenues</t>
  </si>
  <si>
    <t>Unbilled GLT Revenues</t>
  </si>
  <si>
    <t>Total (Over)/Under Collection</t>
  </si>
  <si>
    <t>A + B</t>
  </si>
  <si>
    <t>C - D - E</t>
  </si>
  <si>
    <t>Transmission</t>
  </si>
  <si>
    <t>(G)</t>
  </si>
  <si>
    <t>(H)</t>
  </si>
  <si>
    <t>(I)</t>
  </si>
  <si>
    <t>(J)</t>
  </si>
  <si>
    <t>(K)</t>
  </si>
  <si>
    <t>(L)</t>
  </si>
  <si>
    <t>G + H</t>
  </si>
  <si>
    <t>I - J - K</t>
  </si>
  <si>
    <t>GLT Calculation of Revenue Requirement</t>
  </si>
  <si>
    <t>End of Month Net Assets on which to Recover</t>
  </si>
  <si>
    <t>YTD Average Net  GLT Assets</t>
  </si>
  <si>
    <t>YTD Average Net Assets Applied to Year</t>
  </si>
  <si>
    <t>YTD Average Net Assets Applied to Year / 12</t>
  </si>
  <si>
    <t>Return on Net Assets</t>
  </si>
  <si>
    <t>Operating Expenses (OE)</t>
  </si>
  <si>
    <t>Collections / (Refunds) for Prior Years</t>
  </si>
  <si>
    <t>C / 12</t>
  </si>
  <si>
    <t>D x E</t>
  </si>
  <si>
    <t>F + G</t>
  </si>
  <si>
    <t>H + I</t>
  </si>
  <si>
    <t>Start of Period Rate Base, 12/16</t>
  </si>
  <si>
    <t>N/A</t>
  </si>
  <si>
    <t>(M)</t>
  </si>
  <si>
    <t>(N)</t>
  </si>
  <si>
    <t>(O)</t>
  </si>
  <si>
    <t>(P)</t>
  </si>
  <si>
    <t>(Q)</t>
  </si>
  <si>
    <t>(R)</t>
  </si>
  <si>
    <t>(S)</t>
  </si>
  <si>
    <t>(T)</t>
  </si>
  <si>
    <t>M / 12</t>
  </si>
  <si>
    <t>N x O</t>
  </si>
  <si>
    <t>P + Q</t>
  </si>
  <si>
    <t>R + S</t>
  </si>
  <si>
    <t>TOTAL for Year, 01/17 - 12/17</t>
  </si>
  <si>
    <t>GLT Calculation of Net Assets</t>
  </si>
  <si>
    <t>End of Month</t>
  </si>
  <si>
    <t>Expense</t>
  </si>
  <si>
    <t>Rate Base - Gross</t>
  </si>
  <si>
    <t>Acc. Depreciation</t>
  </si>
  <si>
    <t>Deferred Tax on</t>
  </si>
  <si>
    <t>Retirements from</t>
  </si>
  <si>
    <t>Net Assets on which</t>
  </si>
  <si>
    <t>(RB)</t>
  </si>
  <si>
    <t>(AD)</t>
  </si>
  <si>
    <t>(CoR)</t>
  </si>
  <si>
    <t>GLT RB &amp; CoR</t>
  </si>
  <si>
    <t>Base Rates</t>
  </si>
  <si>
    <t>on Retirements</t>
  </si>
  <si>
    <t>to Recover</t>
  </si>
  <si>
    <t>A + B + C + D - E - F - G</t>
  </si>
  <si>
    <t>I + J + K + L - M - N - O</t>
  </si>
  <si>
    <t>GLT Calculation of Operating Expenses</t>
  </si>
  <si>
    <t>Incremental</t>
  </si>
  <si>
    <t>Operating</t>
  </si>
  <si>
    <t>O&amp;M</t>
  </si>
  <si>
    <t>Savings from</t>
  </si>
  <si>
    <t>Property Tax</t>
  </si>
  <si>
    <t>Expenses</t>
  </si>
  <si>
    <t>(OE)</t>
  </si>
  <si>
    <t>A + B + C + D</t>
  </si>
  <si>
    <t>F + G + H + I</t>
  </si>
  <si>
    <t>Residential Gas Service - Rates RGS, VFD</t>
  </si>
  <si>
    <t>Industrial Gas Service - Rates IGS, AAGS, DGGS</t>
  </si>
  <si>
    <t>Commercial Gas Service - Rates CGS, SSGS</t>
  </si>
  <si>
    <t>Firm Transportation Service - Rates FT, LGDS</t>
  </si>
  <si>
    <t>Gas Plant Investment - Distribution</t>
  </si>
  <si>
    <t>Mains - Distribution</t>
  </si>
  <si>
    <t>bonus</t>
  </si>
  <si>
    <t>repairs</t>
  </si>
  <si>
    <t>updated for actuals</t>
  </si>
  <si>
    <t>transmission property tax</t>
  </si>
  <si>
    <t>Property Taxes - Distribution</t>
  </si>
  <si>
    <t>Property Taxes - Transmission</t>
  </si>
  <si>
    <t>Gas Plant Investment - Transmission CWIP</t>
  </si>
  <si>
    <t>Net Monthly Rate per Mcf Reflecting     True-up</t>
  </si>
  <si>
    <t>updated 2/28/18 to remove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</si>
</sst>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_);\(0\)"/>
    <numFmt numFmtId="168" formatCode="_(* #,##0.000000_);_(* \(#,##0.000000\);_(* &quot;-&quot;??_);_(@_)"/>
    <numFmt numFmtId="169" formatCode="[$-409]mmmm\-yy;@"/>
    <numFmt numFmtId="170" formatCode="&quot;$&quot;#,##0\ ;\(&quot;$&quot;#,##0\)"/>
    <numFmt numFmtId="171" formatCode="_([$€-2]* #,##0.00_);_([$€-2]* \(#,##0.00\);_([$€-2]* &quot;-&quot;??_)"/>
    <numFmt numFmtId="172" formatCode="&quot;$&quot;#,##0.0000_);\(&quot;$&quot;#,##0.0000\)"/>
    <numFmt numFmtId="173" formatCode="_(* #,##0_);_(* \(#,##0\);_(* &quot;0&quot;_);_(@_)"/>
    <numFmt numFmtId="174" formatCode="[$-409]mmmm\ d\,\ yyyy;@"/>
    <numFmt numFmtId="175" formatCode="mmmm\ yyyy"/>
    <numFmt numFmtId="176" formatCode="mmm\-yyyy"/>
    <numFmt numFmtId="177" formatCode="_(&quot;$&quot;* #,##0_);_(&quot;$&quot;* \(#,##0\);_(&quot;$&quot;* 0_);_(@_)"/>
    <numFmt numFmtId="178" formatCode="_(&quot;$&quot;* #,##0.00_);_(&quot;$&quot;* \(#,##0.00\);_(&quot;$&quot;* 0.00_);_(@_)"/>
    <numFmt numFmtId="179" formatCode="0.000%"/>
    <numFmt numFmtId="180" formatCode="_(* &quot;$&quot;#,##0_);_(* \(&quot;$&quot;#,##0\);_(* &quot;$0&quot;_);_(@_)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 (W1)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u/>
      <sz val="16"/>
      <name val="Times New Roman"/>
      <family val="1"/>
    </font>
    <font>
      <b/>
      <u/>
      <sz val="16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trike/>
      <sz val="16"/>
      <name val="Cambria"/>
      <family val="1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39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7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0" fontId="3" fillId="1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7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0" fontId="3" fillId="1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7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0" fontId="3" fillId="1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0" fontId="3" fillId="22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7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0" fontId="3" fillId="26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0" fontId="3" fillId="30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0" fontId="3" fillId="1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7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0" fontId="3" fillId="15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7" fillId="4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0" fontId="3" fillId="19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7" fillId="3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0" fontId="3" fillId="2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0" fontId="3" fillId="27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7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0" fontId="3" fillId="31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169" fontId="29" fillId="4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0" fontId="25" fillId="12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169" fontId="29" fillId="4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0" fontId="25" fillId="1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169" fontId="29" fillId="4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0" fontId="25" fillId="20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169" fontId="29" fillId="3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0" fontId="25" fillId="24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169" fontId="29" fillId="4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0" fontId="25" fillId="28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169" fontId="29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0" fontId="25" fillId="32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169" fontId="29" fillId="5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0" fontId="25" fillId="9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169" fontId="29" fillId="4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0" fontId="25" fillId="13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169" fontId="29" fillId="4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0" fontId="25" fillId="17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169" fontId="29" fillId="5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0" fontId="25" fillId="21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169" fontId="29" fillId="4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0" fontId="25" fillId="25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169" fontId="29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0" fontId="25" fillId="29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15" fillId="3" borderId="0" applyNumberFormat="0" applyBorder="0" applyAlignment="0" applyProtection="0"/>
    <xf numFmtId="169" fontId="15" fillId="3" borderId="0" applyNumberFormat="0" applyBorder="0" applyAlignment="0" applyProtection="0"/>
    <xf numFmtId="169" fontId="15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169" fontId="31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0" fontId="15" fillId="3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19" fillId="6" borderId="10" applyNumberFormat="0" applyAlignment="0" applyProtection="0"/>
    <xf numFmtId="169" fontId="19" fillId="6" borderId="10" applyNumberFormat="0" applyAlignment="0" applyProtection="0"/>
    <xf numFmtId="169" fontId="19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0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169" fontId="35" fillId="56" borderId="18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0" fontId="19" fillId="6" borderId="10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0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21" fillId="7" borderId="13" applyNumberFormat="0" applyAlignment="0" applyProtection="0"/>
    <xf numFmtId="169" fontId="21" fillId="7" borderId="13" applyNumberFormat="0" applyAlignment="0" applyProtection="0"/>
    <xf numFmtId="169" fontId="21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0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169" fontId="36" fillId="57" borderId="19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0" fontId="21" fillId="7" borderId="13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0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0" fontId="38" fillId="58" borderId="0">
      <alignment horizontal="left"/>
    </xf>
    <xf numFmtId="0" fontId="39" fillId="58" borderId="0">
      <alignment horizontal="right"/>
    </xf>
    <xf numFmtId="0" fontId="40" fillId="56" borderId="0">
      <alignment horizontal="center"/>
    </xf>
    <xf numFmtId="0" fontId="39" fillId="58" borderId="0">
      <alignment horizontal="right"/>
    </xf>
    <xf numFmtId="0" fontId="41" fillId="56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0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0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0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0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0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2" fontId="7" fillId="0" borderId="0" applyFont="0" applyFill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14" fillId="2" borderId="0" applyNumberFormat="0" applyBorder="0" applyAlignment="0" applyProtection="0"/>
    <xf numFmtId="169" fontId="14" fillId="2" borderId="0" applyNumberFormat="0" applyBorder="0" applyAlignment="0" applyProtection="0"/>
    <xf numFmtId="169" fontId="14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0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169" fontId="49" fillId="4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0" fontId="14" fillId="2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0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11" fillId="0" borderId="7" applyNumberFormat="0" applyFill="0" applyAlignment="0" applyProtection="0"/>
    <xf numFmtId="169" fontId="11" fillId="0" borderId="7" applyNumberFormat="0" applyFill="0" applyAlignment="0" applyProtection="0"/>
    <xf numFmtId="169" fontId="11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169" fontId="54" fillId="0" borderId="21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0" fontId="11" fillId="0" borderId="7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12" fillId="0" borderId="8" applyNumberFormat="0" applyFill="0" applyAlignment="0" applyProtection="0"/>
    <xf numFmtId="169" fontId="12" fillId="0" borderId="8" applyNumberFormat="0" applyFill="0" applyAlignment="0" applyProtection="0"/>
    <xf numFmtId="169" fontId="12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169" fontId="58" fillId="0" borderId="23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0" fontId="12" fillId="0" borderId="8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13" fillId="0" borderId="9" applyNumberFormat="0" applyFill="0" applyAlignment="0" applyProtection="0"/>
    <xf numFmtId="169" fontId="13" fillId="0" borderId="9" applyNumberFormat="0" applyFill="0" applyAlignment="0" applyProtection="0"/>
    <xf numFmtId="169" fontId="13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169" fontId="61" fillId="0" borderId="25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0" fontId="13" fillId="0" borderId="9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17" fillId="5" borderId="10" applyNumberFormat="0" applyAlignment="0" applyProtection="0"/>
    <xf numFmtId="169" fontId="17" fillId="5" borderId="10" applyNumberFormat="0" applyAlignment="0" applyProtection="0"/>
    <xf numFmtId="169" fontId="17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0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169" fontId="62" fillId="43" borderId="18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0" fontId="17" fillId="5" borderId="10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0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0" fontId="38" fillId="58" borderId="0">
      <alignment horizontal="left"/>
    </xf>
    <xf numFmtId="0" fontId="64" fillId="56" borderId="0">
      <alignment horizontal="left"/>
    </xf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20" fillId="0" borderId="12" applyNumberFormat="0" applyFill="0" applyAlignment="0" applyProtection="0"/>
    <xf numFmtId="169" fontId="20" fillId="0" borderId="12" applyNumberFormat="0" applyFill="0" applyAlignment="0" applyProtection="0"/>
    <xf numFmtId="169" fontId="20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0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169" fontId="67" fillId="0" borderId="27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0" fontId="20" fillId="0" borderId="12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0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16" fillId="4" borderId="0" applyNumberFormat="0" applyBorder="0" applyAlignment="0" applyProtection="0"/>
    <xf numFmtId="169" fontId="16" fillId="4" borderId="0" applyNumberFormat="0" applyBorder="0" applyAlignment="0" applyProtection="0"/>
    <xf numFmtId="169" fontId="16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0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169" fontId="70" fillId="4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0" fontId="16" fillId="4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0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7" fillId="0" borderId="0"/>
    <xf numFmtId="0" fontId="3" fillId="0" borderId="0"/>
    <xf numFmtId="0" fontId="3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28" fillId="0" borderId="0"/>
    <xf numFmtId="169" fontId="7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28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69" fontId="28" fillId="0" borderId="0"/>
    <xf numFmtId="169" fontId="28" fillId="0" borderId="0"/>
    <xf numFmtId="169" fontId="7" fillId="0" borderId="0"/>
    <xf numFmtId="0" fontId="42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69" fontId="28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72" fillId="38" borderId="28" applyNumberFormat="0" applyFont="0" applyAlignment="0" applyProtection="0"/>
    <xf numFmtId="169" fontId="72" fillId="38" borderId="28" applyNumberFormat="0" applyFont="0" applyAlignment="0" applyProtection="0"/>
    <xf numFmtId="169" fontId="72" fillId="38" borderId="28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72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72" fillId="8" borderId="14" applyNumberFormat="0" applyFont="0" applyAlignment="0" applyProtection="0"/>
    <xf numFmtId="0" fontId="6" fillId="38" borderId="28" applyNumberFormat="0" applyFont="0" applyAlignment="0" applyProtection="0"/>
    <xf numFmtId="169" fontId="72" fillId="8" borderId="14" applyNumberFormat="0" applyFont="0" applyAlignment="0" applyProtection="0"/>
    <xf numFmtId="0" fontId="27" fillId="8" borderId="14" applyNumberFormat="0" applyFont="0" applyAlignment="0" applyProtection="0"/>
    <xf numFmtId="0" fontId="27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0" fontId="6" fillId="38" borderId="28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18" fillId="6" borderId="11" applyNumberFormat="0" applyAlignment="0" applyProtection="0"/>
    <xf numFmtId="169" fontId="18" fillId="6" borderId="11" applyNumberFormat="0" applyAlignment="0" applyProtection="0"/>
    <xf numFmtId="169" fontId="18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0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169" fontId="73" fillId="56" borderId="29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0" fontId="18" fillId="6" borderId="11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0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4" fontId="75" fillId="59" borderId="0">
      <alignment horizontal="right"/>
    </xf>
    <xf numFmtId="0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0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0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0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4" fillId="43" borderId="0">
      <alignment horizontal="center"/>
    </xf>
    <xf numFmtId="49" fontId="78" fillId="56" borderId="0">
      <alignment horizontal="center"/>
    </xf>
    <xf numFmtId="0" fontId="39" fillId="58" borderId="0">
      <alignment horizontal="center"/>
    </xf>
    <xf numFmtId="0" fontId="39" fillId="58" borderId="0">
      <alignment horizontal="centerContinuous"/>
    </xf>
    <xf numFmtId="0" fontId="79" fillId="56" borderId="0">
      <alignment horizontal="left"/>
    </xf>
    <xf numFmtId="49" fontId="79" fillId="56" borderId="0">
      <alignment horizontal="center"/>
    </xf>
    <xf numFmtId="0" fontId="38" fillId="58" borderId="0">
      <alignment horizontal="left"/>
    </xf>
    <xf numFmtId="49" fontId="79" fillId="56" borderId="0">
      <alignment horizontal="left"/>
    </xf>
    <xf numFmtId="0" fontId="38" fillId="58" borderId="0">
      <alignment horizontal="centerContinuous"/>
    </xf>
    <xf numFmtId="0" fontId="38" fillId="58" borderId="0">
      <alignment horizontal="right"/>
    </xf>
    <xf numFmtId="49" fontId="64" fillId="56" borderId="0">
      <alignment horizontal="left"/>
    </xf>
    <xf numFmtId="0" fontId="39" fillId="58" borderId="0">
      <alignment horizontal="right"/>
    </xf>
    <xf numFmtId="0" fontId="79" fillId="40" borderId="0">
      <alignment horizontal="center"/>
    </xf>
    <xf numFmtId="0" fontId="80" fillId="4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24" fillId="0" borderId="15" applyNumberFormat="0" applyFill="0" applyAlignment="0" applyProtection="0"/>
    <xf numFmtId="169" fontId="24" fillId="0" borderId="15" applyNumberFormat="0" applyFill="0" applyAlignment="0" applyProtection="0"/>
    <xf numFmtId="169" fontId="2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0" fontId="7" fillId="0" borderId="32" applyNumberFormat="0" applyFon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169" fontId="83" fillId="0" borderId="33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0" fontId="24" fillId="0" borderId="15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7" fillId="0" borderId="32" applyNumberFormat="0" applyFont="0" applyFill="0" applyAlignment="0" applyProtection="0"/>
    <xf numFmtId="169" fontId="7" fillId="0" borderId="32" applyNumberFormat="0" applyFon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0" fontId="7" fillId="0" borderId="32" applyNumberFormat="0" applyFon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0" fontId="85" fillId="56" borderId="0">
      <alignment horizontal="center"/>
    </xf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2" fillId="0" borderId="0"/>
    <xf numFmtId="174" fontId="105" fillId="0" borderId="0"/>
    <xf numFmtId="0" fontId="4" fillId="0" borderId="0"/>
    <xf numFmtId="0" fontId="4" fillId="0" borderId="0"/>
    <xf numFmtId="0" fontId="1" fillId="0" borderId="0"/>
    <xf numFmtId="43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4" fillId="0" borderId="0"/>
    <xf numFmtId="174" fontId="4" fillId="0" borderId="0"/>
  </cellStyleXfs>
  <cellXfs count="451">
    <xf numFmtId="0" fontId="0" fillId="0" borderId="0" xfId="0"/>
    <xf numFmtId="10" fontId="6" fillId="0" borderId="0" xfId="3" applyNumberFormat="1" applyFont="1" applyFill="1" applyAlignment="1">
      <alignment horizontal="center"/>
    </xf>
    <xf numFmtId="0" fontId="8" fillId="0" borderId="0" xfId="0" applyFont="1"/>
    <xf numFmtId="3" fontId="0" fillId="0" borderId="0" xfId="0" applyNumberForma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0" fontId="89" fillId="0" borderId="0" xfId="0" quotePrefix="1" applyFont="1" applyAlignment="1">
      <alignment horizontal="left"/>
    </xf>
    <xf numFmtId="0" fontId="89" fillId="0" borderId="0" xfId="0" applyFont="1"/>
    <xf numFmtId="0" fontId="5" fillId="0" borderId="0" xfId="0" applyFont="1" applyAlignment="1">
      <alignment horizontal="center"/>
    </xf>
    <xf numFmtId="0" fontId="93" fillId="0" borderId="0" xfId="0" applyFont="1" applyFill="1" applyBorder="1"/>
    <xf numFmtId="0" fontId="90" fillId="0" borderId="0" xfId="0" applyFont="1" applyFill="1" applyBorder="1"/>
    <xf numFmtId="6" fontId="90" fillId="0" borderId="0" xfId="0" applyNumberFormat="1" applyFont="1" applyFill="1" applyBorder="1" applyAlignment="1">
      <alignment horizontal="center"/>
    </xf>
    <xf numFmtId="0" fontId="90" fillId="0" borderId="0" xfId="0" quotePrefix="1" applyFont="1" applyFill="1" applyBorder="1" applyAlignment="1">
      <alignment horizontal="center"/>
    </xf>
    <xf numFmtId="165" fontId="93" fillId="0" borderId="0" xfId="2" applyNumberFormat="1" applyFont="1" applyFill="1" applyBorder="1"/>
    <xf numFmtId="165" fontId="93" fillId="0" borderId="0" xfId="2" applyNumberFormat="1" applyFont="1" applyFill="1" applyBorder="1" applyProtection="1"/>
    <xf numFmtId="6" fontId="91" fillId="0" borderId="0" xfId="0" applyNumberFormat="1" applyFont="1" applyFill="1" applyBorder="1" applyAlignment="1">
      <alignment horizontal="center"/>
    </xf>
    <xf numFmtId="0" fontId="91" fillId="0" borderId="0" xfId="0" applyFont="1" applyFill="1" applyBorder="1"/>
    <xf numFmtId="0" fontId="91" fillId="0" borderId="0" xfId="0" applyFont="1" applyFill="1" applyBorder="1" applyAlignment="1">
      <alignment horizontal="center"/>
    </xf>
    <xf numFmtId="0" fontId="91" fillId="0" borderId="0" xfId="0" quotePrefix="1" applyFont="1" applyFill="1" applyBorder="1" applyAlignment="1">
      <alignment horizontal="center"/>
    </xf>
    <xf numFmtId="0" fontId="92" fillId="0" borderId="0" xfId="0" applyFont="1" applyFill="1" applyBorder="1"/>
    <xf numFmtId="165" fontId="92" fillId="0" borderId="0" xfId="2" applyNumberFormat="1" applyFont="1" applyFill="1" applyBorder="1"/>
    <xf numFmtId="165" fontId="92" fillId="0" borderId="0" xfId="2" applyNumberFormat="1" applyFont="1" applyFill="1" applyBorder="1" applyProtection="1"/>
    <xf numFmtId="3" fontId="8" fillId="0" borderId="0" xfId="0" applyNumberFormat="1" applyFont="1"/>
    <xf numFmtId="0" fontId="6" fillId="0" borderId="0" xfId="0" applyFont="1" applyFill="1"/>
    <xf numFmtId="164" fontId="45" fillId="0" borderId="0" xfId="0" applyNumberFormat="1" applyFont="1" applyFill="1"/>
    <xf numFmtId="3" fontId="0" fillId="0" borderId="1" xfId="0" applyNumberFormat="1" applyBorder="1"/>
    <xf numFmtId="0" fontId="8" fillId="0" borderId="0" xfId="6" applyFont="1"/>
    <xf numFmtId="0" fontId="0" fillId="0" borderId="0" xfId="0" applyFill="1"/>
    <xf numFmtId="0" fontId="8" fillId="0" borderId="0" xfId="0" applyFont="1" applyFill="1"/>
    <xf numFmtId="0" fontId="93" fillId="0" borderId="0" xfId="0" applyFont="1" applyFill="1" applyAlignment="1">
      <alignment horizontal="left"/>
    </xf>
    <xf numFmtId="0" fontId="93" fillId="0" borderId="0" xfId="0" applyFont="1" applyFill="1"/>
    <xf numFmtId="0" fontId="93" fillId="0" borderId="0" xfId="0" applyFont="1" applyFill="1" applyAlignment="1">
      <alignment horizontal="center"/>
    </xf>
    <xf numFmtId="164" fontId="93" fillId="0" borderId="0" xfId="1" applyNumberFormat="1" applyFont="1" applyFill="1"/>
    <xf numFmtId="10" fontId="93" fillId="0" borderId="1" xfId="0" applyNumberFormat="1" applyFont="1" applyFill="1" applyBorder="1"/>
    <xf numFmtId="0" fontId="88" fillId="0" borderId="0" xfId="0" applyFont="1" applyFill="1" applyAlignment="1"/>
    <xf numFmtId="0" fontId="8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93" fillId="0" borderId="0" xfId="1" applyNumberFormat="1" applyFont="1" applyFill="1" applyBorder="1"/>
    <xf numFmtId="0" fontId="96" fillId="0" borderId="0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center"/>
    </xf>
    <xf numFmtId="0" fontId="45" fillId="0" borderId="0" xfId="0" applyFont="1" applyFill="1" applyBorder="1"/>
    <xf numFmtId="164" fontId="45" fillId="0" borderId="0" xfId="0" applyNumberFormat="1" applyFont="1" applyFill="1" applyBorder="1"/>
    <xf numFmtId="0" fontId="45" fillId="0" borderId="0" xfId="0" applyFont="1" applyFill="1"/>
    <xf numFmtId="0" fontId="96" fillId="0" borderId="0" xfId="0" applyFont="1" applyFill="1"/>
    <xf numFmtId="0" fontId="96" fillId="0" borderId="0" xfId="0" applyFont="1" applyFill="1" applyAlignment="1">
      <alignment horizontal="center"/>
    </xf>
    <xf numFmtId="0" fontId="96" fillId="0" borderId="0" xfId="0" applyFont="1" applyFill="1" applyAlignment="1">
      <alignment horizontal="center" wrapText="1"/>
    </xf>
    <xf numFmtId="0" fontId="96" fillId="0" borderId="1" xfId="0" quotePrefix="1" applyFont="1" applyFill="1" applyBorder="1" applyAlignment="1">
      <alignment horizontal="center"/>
    </xf>
    <xf numFmtId="167" fontId="45" fillId="0" borderId="0" xfId="0" applyNumberFormat="1" applyFont="1" applyFill="1" applyAlignment="1">
      <alignment horizontal="center"/>
    </xf>
    <xf numFmtId="167" fontId="45" fillId="0" borderId="0" xfId="0" applyNumberFormat="1" applyFont="1" applyFill="1"/>
    <xf numFmtId="0" fontId="45" fillId="0" borderId="0" xfId="0" applyFont="1" applyFill="1" applyAlignment="1">
      <alignment horizontal="center"/>
    </xf>
    <xf numFmtId="0" fontId="45" fillId="0" borderId="0" xfId="0" quotePrefix="1" applyFont="1" applyFill="1"/>
    <xf numFmtId="168" fontId="45" fillId="0" borderId="0" xfId="0" applyNumberFormat="1" applyFont="1" applyFill="1"/>
    <xf numFmtId="43" fontId="45" fillId="0" borderId="0" xfId="0" applyNumberFormat="1" applyFont="1" applyFill="1"/>
    <xf numFmtId="0" fontId="6" fillId="0" borderId="0" xfId="0" applyFont="1" applyFill="1" applyAlignment="1">
      <alignment horizontal="right"/>
    </xf>
    <xf numFmtId="3" fontId="0" fillId="0" borderId="0" xfId="0" applyNumberFormat="1" applyFill="1" applyBorder="1"/>
    <xf numFmtId="0" fontId="5" fillId="0" borderId="0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10" fontId="6" fillId="0" borderId="0" xfId="0" applyNumberFormat="1" applyFont="1" applyFill="1"/>
    <xf numFmtId="10" fontId="6" fillId="0" borderId="0" xfId="3" applyNumberFormat="1" applyFont="1" applyFill="1"/>
    <xf numFmtId="0" fontId="6" fillId="0" borderId="0" xfId="0" quotePrefix="1" applyFont="1" applyFill="1" applyAlignment="1">
      <alignment horizontal="left"/>
    </xf>
    <xf numFmtId="0" fontId="92" fillId="0" borderId="0" xfId="0" applyFont="1" applyFill="1"/>
    <xf numFmtId="37" fontId="90" fillId="0" borderId="0" xfId="0" applyNumberFormat="1" applyFont="1" applyFill="1"/>
    <xf numFmtId="0" fontId="94" fillId="0" borderId="0" xfId="0" applyFont="1" applyFill="1" applyAlignment="1">
      <alignment horizontal="center"/>
    </xf>
    <xf numFmtId="0" fontId="94" fillId="0" borderId="0" xfId="0" quotePrefix="1" applyFont="1" applyFill="1" applyBorder="1" applyAlignment="1">
      <alignment horizontal="center"/>
    </xf>
    <xf numFmtId="167" fontId="90" fillId="0" borderId="0" xfId="0" applyNumberFormat="1" applyFont="1" applyFill="1" applyAlignment="1">
      <alignment horizontal="center"/>
    </xf>
    <xf numFmtId="0" fontId="94" fillId="0" borderId="0" xfId="0" applyFont="1" applyFill="1" applyAlignment="1">
      <alignment horizontal="left"/>
    </xf>
    <xf numFmtId="0" fontId="93" fillId="0" borderId="0" xfId="0" quotePrefix="1" applyFont="1" applyFill="1" applyAlignment="1">
      <alignment horizontal="left"/>
    </xf>
    <xf numFmtId="0" fontId="93" fillId="0" borderId="0" xfId="0" quotePrefix="1" applyFont="1" applyFill="1" applyAlignment="1">
      <alignment horizontal="center"/>
    </xf>
    <xf numFmtId="164" fontId="93" fillId="0" borderId="0" xfId="0" applyNumberFormat="1" applyFont="1" applyFill="1"/>
    <xf numFmtId="166" fontId="93" fillId="0" borderId="0" xfId="3" applyNumberFormat="1" applyFont="1" applyFill="1"/>
    <xf numFmtId="164" fontId="92" fillId="0" borderId="0" xfId="0" applyNumberFormat="1" applyFont="1" applyFill="1"/>
    <xf numFmtId="0" fontId="95" fillId="0" borderId="0" xfId="0" quotePrefix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3" fontId="8" fillId="0" borderId="0" xfId="6" applyNumberFormat="1" applyFont="1"/>
    <xf numFmtId="0" fontId="5" fillId="0" borderId="0" xfId="0" quotePrefix="1" applyFont="1" applyAlignment="1">
      <alignment horizontal="center"/>
    </xf>
    <xf numFmtId="0" fontId="90" fillId="0" borderId="0" xfId="0" applyFont="1" applyFill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64" fontId="45" fillId="0" borderId="0" xfId="0" quotePrefix="1" applyNumberFormat="1" applyFont="1" applyFill="1" applyAlignment="1">
      <alignment horizontal="center"/>
    </xf>
    <xf numFmtId="0" fontId="91" fillId="0" borderId="0" xfId="0" quotePrefix="1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/>
    </xf>
    <xf numFmtId="0" fontId="90" fillId="60" borderId="0" xfId="0" applyFont="1" applyFill="1" applyBorder="1" applyAlignment="1">
      <alignment horizontal="center"/>
    </xf>
    <xf numFmtId="0" fontId="94" fillId="60" borderId="0" xfId="0" quotePrefix="1" applyFont="1" applyFill="1" applyBorder="1" applyAlignment="1">
      <alignment horizontal="center"/>
    </xf>
    <xf numFmtId="164" fontId="93" fillId="60" borderId="0" xfId="1" applyNumberFormat="1" applyFont="1" applyFill="1" applyBorder="1"/>
    <xf numFmtId="10" fontId="93" fillId="60" borderId="1" xfId="0" applyNumberFormat="1" applyFont="1" applyFill="1" applyBorder="1"/>
    <xf numFmtId="0" fontId="90" fillId="60" borderId="36" xfId="0" applyFont="1" applyFill="1" applyBorder="1" applyAlignment="1">
      <alignment horizontal="center"/>
    </xf>
    <xf numFmtId="0" fontId="90" fillId="60" borderId="30" xfId="0" applyFont="1" applyFill="1" applyBorder="1" applyAlignment="1">
      <alignment horizontal="center"/>
    </xf>
    <xf numFmtId="0" fontId="94" fillId="60" borderId="36" xfId="0" quotePrefix="1" applyFont="1" applyFill="1" applyBorder="1" applyAlignment="1">
      <alignment horizontal="center"/>
    </xf>
    <xf numFmtId="0" fontId="94" fillId="60" borderId="30" xfId="0" quotePrefix="1" applyFont="1" applyFill="1" applyBorder="1" applyAlignment="1">
      <alignment horizontal="center"/>
    </xf>
    <xf numFmtId="167" fontId="90" fillId="60" borderId="36" xfId="0" applyNumberFormat="1" applyFont="1" applyFill="1" applyBorder="1" applyAlignment="1">
      <alignment horizontal="center"/>
    </xf>
    <xf numFmtId="167" fontId="90" fillId="60" borderId="0" xfId="0" applyNumberFormat="1" applyFont="1" applyFill="1" applyBorder="1" applyAlignment="1">
      <alignment horizontal="center"/>
    </xf>
    <xf numFmtId="167" fontId="90" fillId="60" borderId="30" xfId="0" applyNumberFormat="1" applyFont="1" applyFill="1" applyBorder="1" applyAlignment="1">
      <alignment horizontal="center"/>
    </xf>
    <xf numFmtId="0" fontId="93" fillId="60" borderId="36" xfId="0" applyFont="1" applyFill="1" applyBorder="1"/>
    <xf numFmtId="0" fontId="93" fillId="60" borderId="0" xfId="0" applyFont="1" applyFill="1" applyBorder="1"/>
    <xf numFmtId="0" fontId="93" fillId="60" borderId="30" xfId="0" applyFont="1" applyFill="1" applyBorder="1"/>
    <xf numFmtId="164" fontId="93" fillId="60" borderId="36" xfId="1" applyNumberFormat="1" applyFont="1" applyFill="1" applyBorder="1"/>
    <xf numFmtId="164" fontId="93" fillId="60" borderId="30" xfId="1" applyNumberFormat="1" applyFont="1" applyFill="1" applyBorder="1"/>
    <xf numFmtId="10" fontId="93" fillId="60" borderId="37" xfId="0" applyNumberFormat="1" applyFont="1" applyFill="1" applyBorder="1"/>
    <xf numFmtId="10" fontId="93" fillId="60" borderId="38" xfId="0" applyNumberFormat="1" applyFont="1" applyFill="1" applyBorder="1"/>
    <xf numFmtId="43" fontId="93" fillId="60" borderId="36" xfId="0" applyNumberFormat="1" applyFont="1" applyFill="1" applyBorder="1"/>
    <xf numFmtId="0" fontId="90" fillId="0" borderId="36" xfId="0" applyFont="1" applyFill="1" applyBorder="1" applyAlignment="1">
      <alignment horizontal="center"/>
    </xf>
    <xf numFmtId="0" fontId="90" fillId="0" borderId="30" xfId="0" applyFont="1" applyFill="1" applyBorder="1" applyAlignment="1">
      <alignment horizontal="center"/>
    </xf>
    <xf numFmtId="0" fontId="94" fillId="0" borderId="36" xfId="0" quotePrefix="1" applyFont="1" applyFill="1" applyBorder="1" applyAlignment="1">
      <alignment horizontal="center"/>
    </xf>
    <xf numFmtId="0" fontId="94" fillId="0" borderId="30" xfId="0" quotePrefix="1" applyFont="1" applyFill="1" applyBorder="1" applyAlignment="1">
      <alignment horizontal="center"/>
    </xf>
    <xf numFmtId="167" fontId="90" fillId="0" borderId="36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67" fontId="90" fillId="0" borderId="30" xfId="0" applyNumberFormat="1" applyFont="1" applyFill="1" applyBorder="1" applyAlignment="1">
      <alignment horizontal="center"/>
    </xf>
    <xf numFmtId="0" fontId="93" fillId="0" borderId="36" xfId="0" applyFont="1" applyFill="1" applyBorder="1"/>
    <xf numFmtId="0" fontId="93" fillId="0" borderId="30" xfId="0" applyFont="1" applyFill="1" applyBorder="1"/>
    <xf numFmtId="164" fontId="93" fillId="0" borderId="36" xfId="1" applyNumberFormat="1" applyFont="1" applyFill="1" applyBorder="1"/>
    <xf numFmtId="164" fontId="93" fillId="0" borderId="30" xfId="1" applyNumberFormat="1" applyFont="1" applyFill="1" applyBorder="1"/>
    <xf numFmtId="10" fontId="93" fillId="0" borderId="37" xfId="0" applyNumberFormat="1" applyFont="1" applyFill="1" applyBorder="1"/>
    <xf numFmtId="10" fontId="93" fillId="0" borderId="38" xfId="0" applyNumberFormat="1" applyFont="1" applyFill="1" applyBorder="1"/>
    <xf numFmtId="0" fontId="101" fillId="0" borderId="0" xfId="0" applyFont="1" applyFill="1" applyAlignment="1">
      <alignment horizontal="left"/>
    </xf>
    <xf numFmtId="0" fontId="101" fillId="0" borderId="0" xfId="0" applyFont="1" applyFill="1"/>
    <xf numFmtId="164" fontId="101" fillId="0" borderId="0" xfId="0" applyNumberFormat="1" applyFont="1" applyFill="1"/>
    <xf numFmtId="0" fontId="90" fillId="0" borderId="34" xfId="0" applyFont="1" applyFill="1" applyBorder="1" applyAlignment="1">
      <alignment horizontal="center"/>
    </xf>
    <xf numFmtId="0" fontId="90" fillId="0" borderId="6" xfId="0" applyFont="1" applyFill="1" applyBorder="1" applyAlignment="1">
      <alignment horizontal="center"/>
    </xf>
    <xf numFmtId="0" fontId="90" fillId="0" borderId="35" xfId="0" applyFont="1" applyFill="1" applyBorder="1" applyAlignment="1">
      <alignment horizontal="center"/>
    </xf>
    <xf numFmtId="0" fontId="90" fillId="61" borderId="34" xfId="0" applyFont="1" applyFill="1" applyBorder="1" applyAlignment="1">
      <alignment horizontal="center"/>
    </xf>
    <xf numFmtId="0" fontId="90" fillId="61" borderId="6" xfId="0" applyFont="1" applyFill="1" applyBorder="1" applyAlignment="1">
      <alignment horizontal="center"/>
    </xf>
    <xf numFmtId="0" fontId="90" fillId="61" borderId="35" xfId="0" applyFont="1" applyFill="1" applyBorder="1" applyAlignment="1">
      <alignment horizontal="center"/>
    </xf>
    <xf numFmtId="0" fontId="94" fillId="61" borderId="36" xfId="0" quotePrefix="1" applyFont="1" applyFill="1" applyBorder="1" applyAlignment="1">
      <alignment horizontal="center"/>
    </xf>
    <xf numFmtId="0" fontId="94" fillId="61" borderId="0" xfId="0" quotePrefix="1" applyFont="1" applyFill="1" applyBorder="1" applyAlignment="1">
      <alignment horizontal="center"/>
    </xf>
    <xf numFmtId="0" fontId="94" fillId="61" borderId="30" xfId="0" quotePrefix="1" applyFont="1" applyFill="1" applyBorder="1" applyAlignment="1">
      <alignment horizontal="center"/>
    </xf>
    <xf numFmtId="167" fontId="90" fillId="61" borderId="36" xfId="0" applyNumberFormat="1" applyFont="1" applyFill="1" applyBorder="1" applyAlignment="1">
      <alignment horizontal="center"/>
    </xf>
    <xf numFmtId="167" fontId="90" fillId="61" borderId="0" xfId="0" applyNumberFormat="1" applyFont="1" applyFill="1" applyBorder="1" applyAlignment="1">
      <alignment horizontal="center"/>
    </xf>
    <xf numFmtId="167" fontId="90" fillId="61" borderId="30" xfId="0" applyNumberFormat="1" applyFont="1" applyFill="1" applyBorder="1" applyAlignment="1">
      <alignment horizontal="center"/>
    </xf>
    <xf numFmtId="0" fontId="93" fillId="61" borderId="36" xfId="0" applyFont="1" applyFill="1" applyBorder="1"/>
    <xf numFmtId="0" fontId="93" fillId="61" borderId="0" xfId="0" applyFont="1" applyFill="1" applyBorder="1"/>
    <xf numFmtId="0" fontId="93" fillId="61" borderId="30" xfId="0" applyFont="1" applyFill="1" applyBorder="1"/>
    <xf numFmtId="164" fontId="93" fillId="61" borderId="36" xfId="1" applyNumberFormat="1" applyFont="1" applyFill="1" applyBorder="1"/>
    <xf numFmtId="164" fontId="93" fillId="61" borderId="0" xfId="1" applyNumberFormat="1" applyFont="1" applyFill="1" applyBorder="1"/>
    <xf numFmtId="164" fontId="93" fillId="61" borderId="30" xfId="1" applyNumberFormat="1" applyFont="1" applyFill="1" applyBorder="1"/>
    <xf numFmtId="10" fontId="93" fillId="61" borderId="37" xfId="0" applyNumberFormat="1" applyFont="1" applyFill="1" applyBorder="1"/>
    <xf numFmtId="10" fontId="93" fillId="61" borderId="1" xfId="0" applyNumberFormat="1" applyFont="1" applyFill="1" applyBorder="1"/>
    <xf numFmtId="10" fontId="93" fillId="61" borderId="38" xfId="0" applyNumberFormat="1" applyFont="1" applyFill="1" applyBorder="1"/>
    <xf numFmtId="43" fontId="93" fillId="61" borderId="36" xfId="0" applyNumberFormat="1" applyFont="1" applyFill="1" applyBorder="1"/>
    <xf numFmtId="0" fontId="45" fillId="0" borderId="0" xfId="0" applyFont="1" applyFill="1" applyBorder="1" applyAlignment="1">
      <alignment horizontal="right"/>
    </xf>
    <xf numFmtId="0" fontId="100" fillId="0" borderId="0" xfId="0" applyFont="1" applyFill="1" applyBorder="1"/>
    <xf numFmtId="43" fontId="96" fillId="0" borderId="0" xfId="0" applyNumberFormat="1" applyFont="1" applyFill="1" applyAlignment="1">
      <alignment horizontal="center"/>
    </xf>
    <xf numFmtId="164" fontId="45" fillId="0" borderId="0" xfId="1" applyNumberFormat="1" applyFont="1" applyFill="1"/>
    <xf numFmtId="0" fontId="93" fillId="0" borderId="0" xfId="0" quotePrefix="1" applyFont="1" applyFill="1" applyBorder="1" applyAlignment="1">
      <alignment horizontal="center"/>
    </xf>
    <xf numFmtId="0" fontId="93" fillId="0" borderId="0" xfId="0" applyFont="1" applyFill="1" applyBorder="1" applyAlignment="1">
      <alignment horizontal="left"/>
    </xf>
    <xf numFmtId="0" fontId="92" fillId="0" borderId="0" xfId="0" applyFont="1" applyFill="1" applyBorder="1" applyAlignment="1">
      <alignment horizontal="center"/>
    </xf>
    <xf numFmtId="0" fontId="95" fillId="0" borderId="0" xfId="0" quotePrefix="1" applyFont="1" applyFill="1" applyBorder="1" applyAlignment="1">
      <alignment horizontal="left"/>
    </xf>
    <xf numFmtId="0" fontId="92" fillId="0" borderId="0" xfId="0" quotePrefix="1" applyFont="1" applyFill="1" applyBorder="1" applyAlignment="1">
      <alignment horizontal="left"/>
    </xf>
    <xf numFmtId="44" fontId="92" fillId="0" borderId="0" xfId="2" applyFont="1" applyFill="1" applyBorder="1"/>
    <xf numFmtId="164" fontId="92" fillId="0" borderId="0" xfId="0" applyNumberFormat="1" applyFont="1" applyFill="1" applyBorder="1"/>
    <xf numFmtId="0" fontId="92" fillId="0" borderId="0" xfId="0" applyFont="1" applyFill="1" applyBorder="1" applyAlignment="1">
      <alignment horizontal="right"/>
    </xf>
    <xf numFmtId="0" fontId="92" fillId="0" borderId="0" xfId="0" applyFont="1" applyFill="1" applyBorder="1" applyAlignment="1">
      <alignment horizontal="left"/>
    </xf>
    <xf numFmtId="5" fontId="92" fillId="0" borderId="0" xfId="0" applyNumberFormat="1" applyFont="1" applyFill="1" applyBorder="1"/>
    <xf numFmtId="0" fontId="91" fillId="0" borderId="0" xfId="0" quotePrefix="1" applyFont="1" applyFill="1" applyBorder="1" applyAlignment="1">
      <alignment horizontal="left"/>
    </xf>
    <xf numFmtId="167" fontId="91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left"/>
    </xf>
    <xf numFmtId="164" fontId="92" fillId="0" borderId="0" xfId="1" applyNumberFormat="1" applyFont="1" applyFill="1" applyBorder="1"/>
    <xf numFmtId="10" fontId="92" fillId="0" borderId="0" xfId="0" applyNumberFormat="1" applyFont="1" applyFill="1" applyBorder="1"/>
    <xf numFmtId="166" fontId="92" fillId="0" borderId="0" xfId="3" applyNumberFormat="1" applyFont="1" applyFill="1" applyBorder="1"/>
    <xf numFmtId="164" fontId="92" fillId="0" borderId="0" xfId="5" applyNumberFormat="1" applyFont="1" applyFill="1" applyBorder="1" applyAlignment="1">
      <alignment horizontal="left"/>
    </xf>
    <xf numFmtId="0" fontId="90" fillId="0" borderId="0" xfId="0" quotePrefix="1" applyFont="1" applyFill="1" applyAlignment="1"/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9" fillId="0" borderId="0" xfId="0" applyFont="1" applyFill="1"/>
    <xf numFmtId="3" fontId="0" fillId="0" borderId="0" xfId="0" applyNumberFormat="1" applyFill="1"/>
    <xf numFmtId="0" fontId="99" fillId="0" borderId="0" xfId="0" applyFont="1" applyFill="1"/>
    <xf numFmtId="3" fontId="0" fillId="0" borderId="1" xfId="0" applyNumberFormat="1" applyFill="1" applyBorder="1"/>
    <xf numFmtId="3" fontId="8" fillId="0" borderId="0" xfId="0" applyNumberFormat="1" applyFont="1" applyFill="1"/>
    <xf numFmtId="0" fontId="0" fillId="0" borderId="0" xfId="0" applyFill="1" applyBorder="1"/>
    <xf numFmtId="0" fontId="5" fillId="0" borderId="0" xfId="0" quotePrefix="1" applyFont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6" fillId="0" borderId="1" xfId="0" applyFont="1" applyFill="1" applyBorder="1"/>
    <xf numFmtId="10" fontId="6" fillId="0" borderId="1" xfId="3" applyNumberFormat="1" applyFont="1" applyFill="1" applyBorder="1"/>
    <xf numFmtId="10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6" fillId="0" borderId="0" xfId="0" applyFont="1" applyFill="1" applyAlignment="1"/>
    <xf numFmtId="0" fontId="88" fillId="0" borderId="0" xfId="0" applyFont="1" applyFill="1" applyAlignment="1">
      <alignment horizontal="centerContinuous"/>
    </xf>
    <xf numFmtId="0" fontId="90" fillId="0" borderId="0" xfId="0" quotePrefix="1" applyFont="1" applyFill="1" applyAlignment="1">
      <alignment horizontal="centerContinuous"/>
    </xf>
    <xf numFmtId="0" fontId="90" fillId="0" borderId="0" xfId="0" applyFont="1" applyFill="1" applyAlignment="1">
      <alignment horizontal="centerContinuous"/>
    </xf>
    <xf numFmtId="0" fontId="88" fillId="0" borderId="0" xfId="0" quotePrefix="1" applyFont="1" applyAlignment="1">
      <alignment horizontal="centerContinuous"/>
    </xf>
    <xf numFmtId="0" fontId="96" fillId="0" borderId="1" xfId="0" applyFont="1" applyFill="1" applyBorder="1" applyAlignment="1">
      <alignment horizontal="centerContinuous"/>
    </xf>
    <xf numFmtId="0" fontId="88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4" applyFont="1"/>
    <xf numFmtId="0" fontId="4" fillId="0" borderId="0" xfId="4"/>
    <xf numFmtId="0" fontId="102" fillId="63" borderId="39" xfId="4" applyFont="1" applyFill="1" applyBorder="1"/>
    <xf numFmtId="0" fontId="102" fillId="0" borderId="39" xfId="4" applyFont="1" applyBorder="1"/>
    <xf numFmtId="37" fontId="102" fillId="0" borderId="39" xfId="4" applyNumberFormat="1" applyFont="1" applyBorder="1"/>
    <xf numFmtId="0" fontId="102" fillId="0" borderId="0" xfId="4" applyFont="1"/>
    <xf numFmtId="37" fontId="4" fillId="0" borderId="0" xfId="4" applyNumberFormat="1"/>
    <xf numFmtId="37" fontId="4" fillId="0" borderId="0" xfId="4" applyNumberFormat="1" applyFill="1"/>
    <xf numFmtId="0" fontId="102" fillId="0" borderId="40" xfId="4" applyFont="1" applyBorder="1"/>
    <xf numFmtId="37" fontId="102" fillId="0" borderId="40" xfId="4" applyNumberFormat="1" applyFont="1" applyBorder="1"/>
    <xf numFmtId="0" fontId="102" fillId="63" borderId="41" xfId="4" applyFont="1" applyFill="1" applyBorder="1"/>
    <xf numFmtId="37" fontId="102" fillId="63" borderId="41" xfId="4" applyNumberFormat="1" applyFont="1" applyFill="1" applyBorder="1"/>
    <xf numFmtId="0" fontId="4" fillId="0" borderId="0" xfId="4" applyAlignment="1">
      <alignment horizontal="right"/>
    </xf>
    <xf numFmtId="37" fontId="4" fillId="0" borderId="0" xfId="4" applyNumberFormat="1" applyFill="1" applyBorder="1"/>
    <xf numFmtId="0" fontId="4" fillId="64" borderId="0" xfId="4" applyFill="1"/>
    <xf numFmtId="0" fontId="102" fillId="64" borderId="0" xfId="4" applyFont="1" applyFill="1"/>
    <xf numFmtId="0" fontId="4" fillId="65" borderId="0" xfId="4" applyFill="1"/>
    <xf numFmtId="0" fontId="102" fillId="65" borderId="0" xfId="4" applyFont="1" applyFill="1"/>
    <xf numFmtId="0" fontId="4" fillId="66" borderId="0" xfId="4" applyFill="1"/>
    <xf numFmtId="0" fontId="102" fillId="66" borderId="0" xfId="4" applyFont="1" applyFill="1"/>
    <xf numFmtId="0" fontId="4" fillId="62" borderId="0" xfId="4" applyFill="1"/>
    <xf numFmtId="0" fontId="102" fillId="62" borderId="0" xfId="4" applyFont="1" applyFill="1"/>
    <xf numFmtId="37" fontId="4" fillId="62" borderId="0" xfId="4" applyNumberFormat="1" applyFill="1"/>
    <xf numFmtId="0" fontId="4" fillId="60" borderId="0" xfId="4" applyFill="1"/>
    <xf numFmtId="0" fontId="102" fillId="60" borderId="0" xfId="4" applyFont="1" applyFill="1"/>
    <xf numFmtId="0" fontId="4" fillId="0" borderId="1" xfId="4" applyBorder="1"/>
    <xf numFmtId="0" fontId="90" fillId="0" borderId="0" xfId="0" applyFont="1" applyFill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90" fillId="0" borderId="16" xfId="0" applyFont="1" applyFill="1" applyBorder="1" applyAlignment="1">
      <alignment horizontal="centerContinuous"/>
    </xf>
    <xf numFmtId="0" fontId="93" fillId="0" borderId="2" xfId="0" applyFont="1" applyFill="1" applyBorder="1" applyAlignment="1">
      <alignment horizontal="centerContinuous"/>
    </xf>
    <xf numFmtId="0" fontId="90" fillId="0" borderId="2" xfId="0" applyFont="1" applyFill="1" applyBorder="1" applyAlignment="1">
      <alignment horizontal="centerContinuous"/>
    </xf>
    <xf numFmtId="0" fontId="90" fillId="0" borderId="17" xfId="0" applyFont="1" applyFill="1" applyBorder="1" applyAlignment="1">
      <alignment horizontal="centerContinuous"/>
    </xf>
    <xf numFmtId="43" fontId="93" fillId="0" borderId="36" xfId="0" applyNumberFormat="1" applyFont="1" applyFill="1" applyBorder="1"/>
    <xf numFmtId="173" fontId="45" fillId="0" borderId="0" xfId="0" applyNumberFormat="1" applyFont="1" applyFill="1"/>
    <xf numFmtId="0" fontId="96" fillId="0" borderId="1" xfId="0" applyFont="1" applyFill="1" applyBorder="1" applyAlignment="1">
      <alignment horizontal="center"/>
    </xf>
    <xf numFmtId="0" fontId="0" fillId="69" borderId="0" xfId="0" applyFill="1"/>
    <xf numFmtId="0" fontId="0" fillId="66" borderId="0" xfId="0" applyFill="1"/>
    <xf numFmtId="0" fontId="4" fillId="66" borderId="0" xfId="0" applyFont="1" applyFill="1"/>
    <xf numFmtId="0" fontId="103" fillId="66" borderId="0" xfId="0" applyFont="1" applyFill="1"/>
    <xf numFmtId="0" fontId="0" fillId="70" borderId="0" xfId="0" applyFill="1"/>
    <xf numFmtId="0" fontId="103" fillId="70" borderId="0" xfId="0" applyFont="1" applyFill="1"/>
    <xf numFmtId="0" fontId="0" fillId="71" borderId="0" xfId="0" applyFill="1"/>
    <xf numFmtId="0" fontId="0" fillId="68" borderId="0" xfId="0" applyFill="1"/>
    <xf numFmtId="3" fontId="4" fillId="0" borderId="1" xfId="0" applyNumberFormat="1" applyFont="1" applyFill="1" applyBorder="1"/>
    <xf numFmtId="0" fontId="0" fillId="67" borderId="0" xfId="0" applyFill="1"/>
    <xf numFmtId="0" fontId="104" fillId="0" borderId="0" xfId="0" applyFont="1" applyFill="1"/>
    <xf numFmtId="0" fontId="45" fillId="0" borderId="1" xfId="0" applyFont="1" applyFill="1" applyBorder="1"/>
    <xf numFmtId="0" fontId="45" fillId="72" borderId="0" xfId="0" applyFont="1" applyFill="1"/>
    <xf numFmtId="37" fontId="4" fillId="68" borderId="0" xfId="4" applyNumberFormat="1" applyFill="1"/>
    <xf numFmtId="173" fontId="45" fillId="0" borderId="0" xfId="0" quotePrefix="1" applyNumberFormat="1" applyFont="1" applyFill="1" applyAlignment="1">
      <alignment horizontal="center"/>
    </xf>
    <xf numFmtId="37" fontId="4" fillId="67" borderId="0" xfId="4" applyNumberFormat="1" applyFill="1"/>
    <xf numFmtId="3" fontId="0" fillId="72" borderId="0" xfId="0" applyNumberFormat="1" applyFill="1"/>
    <xf numFmtId="3" fontId="0" fillId="73" borderId="0" xfId="0" applyNumberFormat="1" applyFill="1"/>
    <xf numFmtId="3" fontId="0" fillId="73" borderId="1" xfId="0" applyNumberFormat="1" applyFill="1" applyBorder="1"/>
    <xf numFmtId="0" fontId="5" fillId="0" borderId="0" xfId="0" quotePrefix="1" applyFont="1" applyAlignment="1"/>
    <xf numFmtId="174" fontId="105" fillId="0" borderId="0" xfId="2387"/>
    <xf numFmtId="0" fontId="88" fillId="0" borderId="0" xfId="2389" applyFont="1" applyAlignment="1">
      <alignment horizontal="centerContinuous"/>
    </xf>
    <xf numFmtId="0" fontId="88" fillId="0" borderId="0" xfId="2389" quotePrefix="1" applyFont="1" applyAlignment="1">
      <alignment horizontal="centerContinuous"/>
    </xf>
    <xf numFmtId="0" fontId="90" fillId="0" borderId="0" xfId="2389" quotePrefix="1" applyFont="1" applyAlignment="1">
      <alignment horizontal="center"/>
    </xf>
    <xf numFmtId="0" fontId="90" fillId="0" borderId="0" xfId="2389" applyFont="1" applyAlignment="1">
      <alignment horizontal="center"/>
    </xf>
    <xf numFmtId="0" fontId="90" fillId="0" borderId="0" xfId="2389" applyFont="1" applyAlignment="1">
      <alignment horizontal="left"/>
    </xf>
    <xf numFmtId="0" fontId="93" fillId="0" borderId="0" xfId="2389" applyFont="1" applyAlignment="1">
      <alignment horizontal="center"/>
    </xf>
    <xf numFmtId="164" fontId="5" fillId="0" borderId="1" xfId="2391" applyNumberFormat="1" applyFont="1" applyBorder="1" applyAlignment="1">
      <alignment horizontal="center" vertical="center" wrapText="1"/>
    </xf>
    <xf numFmtId="164" fontId="5" fillId="0" borderId="1" xfId="2391" applyNumberFormat="1" applyFont="1" applyFill="1" applyBorder="1" applyAlignment="1">
      <alignment horizontal="center" vertical="center" wrapText="1"/>
    </xf>
    <xf numFmtId="164" fontId="5" fillId="0" borderId="1" xfId="2391" quotePrefix="1" applyNumberFormat="1" applyFont="1" applyBorder="1" applyAlignment="1">
      <alignment horizontal="center" vertical="center" wrapText="1"/>
    </xf>
    <xf numFmtId="164" fontId="5" fillId="0" borderId="1" xfId="2391" quotePrefix="1" applyNumberFormat="1" applyFont="1" applyFill="1" applyBorder="1" applyAlignment="1">
      <alignment horizontal="center" vertical="center" wrapText="1"/>
    </xf>
    <xf numFmtId="0" fontId="5" fillId="0" borderId="0" xfId="2389" applyFont="1" applyAlignment="1">
      <alignment horizontal="center"/>
    </xf>
    <xf numFmtId="164" fontId="6" fillId="0" borderId="0" xfId="2391" applyNumberFormat="1" applyFont="1" applyAlignment="1">
      <alignment horizontal="center"/>
    </xf>
    <xf numFmtId="164" fontId="5" fillId="0" borderId="0" xfId="2391" quotePrefix="1" applyNumberFormat="1" applyFont="1" applyAlignment="1">
      <alignment horizontal="center" wrapText="1"/>
    </xf>
    <xf numFmtId="164" fontId="5" fillId="0" borderId="0" xfId="2391" applyNumberFormat="1" applyFont="1" applyAlignment="1">
      <alignment horizontal="center" wrapText="1"/>
    </xf>
    <xf numFmtId="164" fontId="6" fillId="0" borderId="0" xfId="2391" applyNumberFormat="1" applyFont="1" applyAlignment="1">
      <alignment horizontal="center" wrapText="1"/>
    </xf>
    <xf numFmtId="164" fontId="6" fillId="0" borderId="0" xfId="2391" applyNumberFormat="1" applyFont="1" applyFill="1" applyAlignment="1">
      <alignment horizontal="center" wrapText="1"/>
    </xf>
    <xf numFmtId="174" fontId="45" fillId="0" borderId="0" xfId="2387" applyFont="1"/>
    <xf numFmtId="0" fontId="5" fillId="0" borderId="0" xfId="2389" applyFont="1" applyAlignment="1">
      <alignment horizontal="left"/>
    </xf>
    <xf numFmtId="0" fontId="6" fillId="0" borderId="0" xfId="2389" applyFont="1" applyAlignment="1">
      <alignment horizontal="center"/>
    </xf>
    <xf numFmtId="164" fontId="6" fillId="0" borderId="0" xfId="2391" applyNumberFormat="1" applyFont="1" applyAlignment="1">
      <alignment horizontal="left"/>
    </xf>
    <xf numFmtId="10" fontId="6" fillId="0" borderId="0" xfId="2392" applyNumberFormat="1" applyFont="1" applyBorder="1"/>
    <xf numFmtId="5" fontId="6" fillId="0" borderId="0" xfId="2391" applyNumberFormat="1" applyFont="1"/>
    <xf numFmtId="7" fontId="6" fillId="0" borderId="0" xfId="2391" applyNumberFormat="1" applyFont="1"/>
    <xf numFmtId="7" fontId="6" fillId="0" borderId="0" xfId="2391" applyNumberFormat="1" applyFont="1" applyFill="1"/>
    <xf numFmtId="10" fontId="6" fillId="0" borderId="1" xfId="2392" applyNumberFormat="1" applyFont="1" applyBorder="1"/>
    <xf numFmtId="5" fontId="6" fillId="0" borderId="1" xfId="2391" applyNumberFormat="1" applyFont="1" applyFill="1" applyBorder="1"/>
    <xf numFmtId="0" fontId="6" fillId="0" borderId="4" xfId="2389" applyFont="1" applyBorder="1" applyAlignment="1">
      <alignment horizontal="center"/>
    </xf>
    <xf numFmtId="164" fontId="5" fillId="0" borderId="4" xfId="2391" applyNumberFormat="1" applyFont="1" applyBorder="1" applyAlignment="1">
      <alignment horizontal="left"/>
    </xf>
    <xf numFmtId="5" fontId="6" fillId="0" borderId="3" xfId="2391" applyNumberFormat="1" applyFont="1" applyBorder="1"/>
    <xf numFmtId="10" fontId="6" fillId="0" borderId="3" xfId="2392" applyNumberFormat="1" applyFont="1" applyBorder="1"/>
    <xf numFmtId="164" fontId="6" fillId="0" borderId="3" xfId="2391" applyNumberFormat="1" applyFont="1" applyBorder="1"/>
    <xf numFmtId="164" fontId="6" fillId="0" borderId="0" xfId="2391" applyNumberFormat="1" applyFont="1" applyBorder="1"/>
    <xf numFmtId="7" fontId="6" fillId="0" borderId="0" xfId="2391" applyNumberFormat="1" applyFont="1" applyBorder="1"/>
    <xf numFmtId="164" fontId="5" fillId="0" borderId="0" xfId="2391" quotePrefix="1" applyNumberFormat="1" applyFont="1" applyBorder="1" applyAlignment="1">
      <alignment horizontal="center" vertical="center" wrapText="1"/>
    </xf>
    <xf numFmtId="164" fontId="5" fillId="0" borderId="0" xfId="2391" applyNumberFormat="1" applyFont="1" applyBorder="1" applyAlignment="1">
      <alignment horizontal="center" vertical="center" wrapText="1"/>
    </xf>
    <xf numFmtId="164" fontId="5" fillId="0" borderId="0" xfId="2391" applyNumberFormat="1" applyFont="1" applyFill="1" applyBorder="1" applyAlignment="1">
      <alignment horizontal="center" vertical="center" wrapText="1"/>
    </xf>
    <xf numFmtId="5" fontId="6" fillId="0" borderId="0" xfId="2390" applyNumberFormat="1" applyFont="1" applyFill="1"/>
    <xf numFmtId="172" fontId="6" fillId="0" borderId="0" xfId="2391" applyNumberFormat="1" applyFont="1"/>
    <xf numFmtId="164" fontId="5" fillId="0" borderId="0" xfId="2391" applyNumberFormat="1" applyFont="1" applyFill="1" applyAlignment="1">
      <alignment horizontal="center" wrapText="1"/>
    </xf>
    <xf numFmtId="7" fontId="6" fillId="0" borderId="0" xfId="2391" applyNumberFormat="1" applyFont="1" applyAlignment="1">
      <alignment horizontal="center" wrapText="1"/>
    </xf>
    <xf numFmtId="5" fontId="6" fillId="0" borderId="0" xfId="2391" applyNumberFormat="1" applyFont="1" applyFill="1"/>
    <xf numFmtId="39" fontId="45" fillId="0" borderId="0" xfId="2387" applyNumberFormat="1" applyFont="1"/>
    <xf numFmtId="5" fontId="6" fillId="0" borderId="0" xfId="2391" applyNumberFormat="1" applyFont="1" applyBorder="1"/>
    <xf numFmtId="173" fontId="6" fillId="0" borderId="0" xfId="2391" applyNumberFormat="1" applyFont="1" applyFill="1" applyBorder="1"/>
    <xf numFmtId="5" fontId="6" fillId="0" borderId="1" xfId="2390" applyNumberFormat="1" applyFont="1" applyFill="1" applyBorder="1"/>
    <xf numFmtId="5" fontId="6" fillId="0" borderId="1" xfId="2391" applyNumberFormat="1" applyFont="1" applyBorder="1"/>
    <xf numFmtId="173" fontId="6" fillId="0" borderId="1" xfId="2391" applyNumberFormat="1" applyFont="1" applyFill="1" applyBorder="1"/>
    <xf numFmtId="174" fontId="5" fillId="0" borderId="0" xfId="2387" applyFont="1" applyFill="1" applyAlignment="1">
      <alignment horizontal="centerContinuous"/>
    </xf>
    <xf numFmtId="174" fontId="45" fillId="0" borderId="0" xfId="2387" applyFont="1" applyFill="1" applyAlignment="1">
      <alignment horizontal="centerContinuous"/>
    </xf>
    <xf numFmtId="174" fontId="45" fillId="0" borderId="0" xfId="2387" applyFont="1" applyAlignment="1">
      <alignment horizontal="centerContinuous"/>
    </xf>
    <xf numFmtId="175" fontId="5" fillId="0" borderId="0" xfId="2387" quotePrefix="1" applyNumberFormat="1" applyFont="1" applyAlignment="1">
      <alignment horizontal="centerContinuous"/>
    </xf>
    <xf numFmtId="174" fontId="45" fillId="0" borderId="0" xfId="2387" applyFont="1" applyFill="1"/>
    <xf numFmtId="174" fontId="5" fillId="0" borderId="1" xfId="2387" applyFont="1" applyFill="1" applyBorder="1" applyAlignment="1">
      <alignment horizontal="center"/>
    </xf>
    <xf numFmtId="174" fontId="45" fillId="0" borderId="1" xfId="2387" quotePrefix="1" applyFont="1" applyFill="1" applyBorder="1" applyAlignment="1">
      <alignment horizontal="center"/>
    </xf>
    <xf numFmtId="174" fontId="6" fillId="0" borderId="2" xfId="2387" applyFont="1" applyFill="1" applyBorder="1" applyAlignment="1">
      <alignment horizontal="center"/>
    </xf>
    <xf numFmtId="174" fontId="6" fillId="0" borderId="2" xfId="2387" quotePrefix="1" applyFont="1" applyFill="1" applyBorder="1" applyAlignment="1">
      <alignment horizontal="center"/>
    </xf>
    <xf numFmtId="174" fontId="6" fillId="0" borderId="0" xfId="2387" applyFont="1" applyFill="1"/>
    <xf numFmtId="177" fontId="6" fillId="0" borderId="0" xfId="2387" quotePrefix="1" applyNumberFormat="1" applyFont="1" applyFill="1"/>
    <xf numFmtId="177" fontId="6" fillId="0" borderId="6" xfId="2387" quotePrefix="1" applyNumberFormat="1" applyFont="1" applyFill="1" applyBorder="1"/>
    <xf numFmtId="176" fontId="6" fillId="0" borderId="0" xfId="2387" applyNumberFormat="1" applyFont="1" applyFill="1" applyBorder="1" applyAlignment="1">
      <alignment horizontal="center"/>
    </xf>
    <xf numFmtId="177" fontId="6" fillId="0" borderId="0" xfId="2387" quotePrefix="1" applyNumberFormat="1" applyFont="1" applyFill="1" applyBorder="1"/>
    <xf numFmtId="176" fontId="6" fillId="0" borderId="1" xfId="2387" applyNumberFormat="1" applyFont="1" applyFill="1" applyBorder="1" applyAlignment="1">
      <alignment horizontal="center"/>
    </xf>
    <xf numFmtId="177" fontId="6" fillId="0" borderId="1" xfId="2387" quotePrefix="1" applyNumberFormat="1" applyFont="1" applyFill="1" applyBorder="1"/>
    <xf numFmtId="177" fontId="6" fillId="0" borderId="0" xfId="2387" applyNumberFormat="1" applyFont="1" applyFill="1"/>
    <xf numFmtId="177" fontId="6" fillId="0" borderId="0" xfId="2387" applyNumberFormat="1" applyFont="1" applyFill="1" applyAlignment="1">
      <alignment horizontal="right"/>
    </xf>
    <xf numFmtId="177" fontId="5" fillId="0" borderId="4" xfId="2387" quotePrefix="1" applyNumberFormat="1" applyFont="1" applyFill="1" applyBorder="1"/>
    <xf numFmtId="174" fontId="26" fillId="0" borderId="0" xfId="2387" applyFont="1" applyFill="1" applyAlignment="1">
      <alignment horizontal="left"/>
    </xf>
    <xf numFmtId="174" fontId="98" fillId="0" borderId="0" xfId="2387" applyFont="1" applyFill="1"/>
    <xf numFmtId="176" fontId="6" fillId="0" borderId="6" xfId="2387" applyNumberFormat="1" applyFont="1" applyFill="1" applyBorder="1" applyAlignment="1">
      <alignment horizontal="center"/>
    </xf>
    <xf numFmtId="174" fontId="45" fillId="0" borderId="0" xfId="2387" applyFont="1" applyAlignment="1">
      <alignment horizontal="center"/>
    </xf>
    <xf numFmtId="174" fontId="45" fillId="0" borderId="0" xfId="2387" applyFont="1" applyFill="1" applyAlignment="1">
      <alignment horizontal="center"/>
    </xf>
    <xf numFmtId="174" fontId="45" fillId="0" borderId="0" xfId="2387" quotePrefix="1" applyFont="1" applyFill="1" applyBorder="1" applyAlignment="1">
      <alignment horizontal="center"/>
    </xf>
    <xf numFmtId="174" fontId="5" fillId="0" borderId="0" xfId="2387" applyFont="1" applyFill="1" applyAlignment="1">
      <alignment horizontal="center"/>
    </xf>
    <xf numFmtId="174" fontId="6" fillId="0" borderId="1" xfId="2387" quotePrefix="1" applyFont="1" applyFill="1" applyBorder="1" applyAlignment="1">
      <alignment horizontal="center"/>
    </xf>
    <xf numFmtId="174" fontId="6" fillId="0" borderId="0" xfId="2387" applyFont="1"/>
    <xf numFmtId="174" fontId="6" fillId="0" borderId="2" xfId="2394" quotePrefix="1" applyFont="1" applyFill="1" applyBorder="1" applyAlignment="1">
      <alignment horizontal="center"/>
    </xf>
    <xf numFmtId="174" fontId="6" fillId="0" borderId="2" xfId="2394" applyFont="1" applyFill="1" applyBorder="1" applyAlignment="1">
      <alignment horizontal="center"/>
    </xf>
    <xf numFmtId="176" fontId="6" fillId="0" borderId="0" xfId="2387" applyNumberFormat="1" applyFont="1" applyFill="1" applyAlignment="1"/>
    <xf numFmtId="177" fontId="6" fillId="0" borderId="0" xfId="2387" quotePrefix="1" applyNumberFormat="1" applyFont="1" applyFill="1" applyAlignment="1">
      <alignment horizontal="center"/>
    </xf>
    <xf numFmtId="176" fontId="6" fillId="0" borderId="0" xfId="2387" applyNumberFormat="1" applyFont="1" applyFill="1" applyAlignment="1">
      <alignment horizontal="center"/>
    </xf>
    <xf numFmtId="10" fontId="6" fillId="0" borderId="0" xfId="3" quotePrefix="1" applyNumberFormat="1" applyFont="1" applyFill="1"/>
    <xf numFmtId="177" fontId="5" fillId="0" borderId="4" xfId="2387" applyNumberFormat="1" applyFont="1" applyFill="1" applyBorder="1"/>
    <xf numFmtId="176" fontId="45" fillId="0" borderId="0" xfId="2387" applyNumberFormat="1" applyFont="1" applyFill="1" applyAlignment="1">
      <alignment horizontal="center"/>
    </xf>
    <xf numFmtId="178" fontId="45" fillId="0" borderId="0" xfId="2387" quotePrefix="1" applyNumberFormat="1" applyFont="1" applyFill="1"/>
    <xf numFmtId="179" fontId="45" fillId="0" borderId="0" xfId="3" quotePrefix="1" applyNumberFormat="1" applyFont="1" applyFill="1"/>
    <xf numFmtId="44" fontId="45" fillId="0" borderId="0" xfId="2387" quotePrefix="1" applyNumberFormat="1" applyFont="1" applyFill="1"/>
    <xf numFmtId="174" fontId="26" fillId="0" borderId="0" xfId="2387" applyFont="1" applyFill="1" applyAlignment="1">
      <alignment horizontal="centerContinuous"/>
    </xf>
    <xf numFmtId="174" fontId="26" fillId="0" borderId="0" xfId="2387" applyFont="1"/>
    <xf numFmtId="174" fontId="26" fillId="0" borderId="0" xfId="2387" applyFont="1" applyFill="1"/>
    <xf numFmtId="174" fontId="26" fillId="0" borderId="0" xfId="2387" applyFont="1" applyAlignment="1">
      <alignment horizontal="center"/>
    </xf>
    <xf numFmtId="174" fontId="26" fillId="0" borderId="0" xfId="2387" applyFont="1" applyFill="1" applyAlignment="1">
      <alignment horizontal="center"/>
    </xf>
    <xf numFmtId="174" fontId="5" fillId="0" borderId="0" xfId="2387" applyFont="1"/>
    <xf numFmtId="174" fontId="5" fillId="0" borderId="0" xfId="2387" applyFont="1" applyAlignment="1">
      <alignment horizontal="center"/>
    </xf>
    <xf numFmtId="174" fontId="5" fillId="0" borderId="1" xfId="2387" applyFont="1" applyBorder="1" applyAlignment="1">
      <alignment horizontal="center"/>
    </xf>
    <xf numFmtId="174" fontId="6" fillId="0" borderId="1" xfId="2387" applyFont="1" applyBorder="1" applyAlignment="1">
      <alignment horizontal="center"/>
    </xf>
    <xf numFmtId="174" fontId="6" fillId="0" borderId="1" xfId="2394" quotePrefix="1" applyFont="1" applyFill="1" applyBorder="1" applyAlignment="1">
      <alignment horizontal="center"/>
    </xf>
    <xf numFmtId="174" fontId="5" fillId="0" borderId="0" xfId="2387" applyFont="1" applyAlignment="1">
      <alignment horizontal="centerContinuous"/>
    </xf>
    <xf numFmtId="174" fontId="6" fillId="0" borderId="2" xfId="2387" applyFont="1" applyBorder="1" applyAlignment="1">
      <alignment horizontal="center"/>
    </xf>
    <xf numFmtId="176" fontId="6" fillId="0" borderId="4" xfId="2387" applyNumberFormat="1" applyFont="1" applyFill="1" applyBorder="1" applyAlignment="1"/>
    <xf numFmtId="6" fontId="6" fillId="0" borderId="3" xfId="2391" applyNumberFormat="1" applyFont="1" applyFill="1" applyBorder="1"/>
    <xf numFmtId="5" fontId="6" fillId="0" borderId="3" xfId="2391" applyNumberFormat="1" applyFont="1" applyFill="1" applyBorder="1"/>
    <xf numFmtId="173" fontId="6" fillId="0" borderId="0" xfId="2391" applyNumberFormat="1" applyFont="1" applyBorder="1"/>
    <xf numFmtId="173" fontId="6" fillId="0" borderId="1" xfId="2391" applyNumberFormat="1" applyFont="1" applyBorder="1"/>
    <xf numFmtId="173" fontId="6" fillId="0" borderId="0" xfId="1" applyNumberFormat="1" applyFont="1" applyBorder="1"/>
    <xf numFmtId="173" fontId="6" fillId="0" borderId="1" xfId="1" applyNumberFormat="1" applyFont="1" applyBorder="1"/>
    <xf numFmtId="173" fontId="6" fillId="0" borderId="6" xfId="1" applyNumberFormat="1" applyFont="1" applyBorder="1"/>
    <xf numFmtId="173" fontId="6" fillId="0" borderId="3" xfId="1" applyNumberFormat="1" applyFont="1" applyBorder="1"/>
    <xf numFmtId="173" fontId="6" fillId="0" borderId="0" xfId="1" applyNumberFormat="1" applyFont="1"/>
    <xf numFmtId="173" fontId="6" fillId="0" borderId="0" xfId="1" applyNumberFormat="1" applyFont="1" applyFill="1" applyBorder="1"/>
    <xf numFmtId="173" fontId="6" fillId="0" borderId="1" xfId="1" applyNumberFormat="1" applyFont="1" applyFill="1" applyBorder="1"/>
    <xf numFmtId="173" fontId="93" fillId="0" borderId="0" xfId="0" applyNumberFormat="1" applyFont="1" applyFill="1" applyBorder="1"/>
    <xf numFmtId="3" fontId="0" fillId="65" borderId="1" xfId="0" applyNumberFormat="1" applyFill="1" applyBorder="1"/>
    <xf numFmtId="0" fontId="4" fillId="0" borderId="0" xfId="0" applyFont="1" applyFill="1"/>
    <xf numFmtId="3" fontId="0" fillId="65" borderId="0" xfId="0" applyNumberFormat="1" applyFill="1"/>
    <xf numFmtId="180" fontId="93" fillId="0" borderId="36" xfId="1" applyNumberFormat="1" applyFont="1" applyFill="1" applyBorder="1"/>
    <xf numFmtId="180" fontId="93" fillId="0" borderId="0" xfId="1" applyNumberFormat="1" applyFont="1" applyFill="1" applyBorder="1"/>
    <xf numFmtId="180" fontId="93" fillId="0" borderId="30" xfId="1" applyNumberFormat="1" applyFont="1" applyFill="1" applyBorder="1"/>
    <xf numFmtId="180" fontId="93" fillId="0" borderId="38" xfId="1" applyNumberFormat="1" applyFont="1" applyFill="1" applyBorder="1"/>
    <xf numFmtId="180" fontId="93" fillId="0" borderId="37" xfId="1" applyNumberFormat="1" applyFont="1" applyFill="1" applyBorder="1"/>
    <xf numFmtId="180" fontId="93" fillId="0" borderId="1" xfId="1" applyNumberFormat="1" applyFont="1" applyFill="1" applyBorder="1"/>
    <xf numFmtId="180" fontId="93" fillId="0" borderId="16" xfId="1" applyNumberFormat="1" applyFont="1" applyFill="1" applyBorder="1"/>
    <xf numFmtId="180" fontId="93" fillId="0" borderId="2" xfId="1" applyNumberFormat="1" applyFont="1" applyFill="1" applyBorder="1"/>
    <xf numFmtId="180" fontId="93" fillId="0" borderId="17" xfId="1" applyNumberFormat="1" applyFont="1" applyFill="1" applyBorder="1"/>
    <xf numFmtId="180" fontId="93" fillId="61" borderId="16" xfId="1" applyNumberFormat="1" applyFont="1" applyFill="1" applyBorder="1"/>
    <xf numFmtId="180" fontId="93" fillId="61" borderId="2" xfId="1" applyNumberFormat="1" applyFont="1" applyFill="1" applyBorder="1"/>
    <xf numFmtId="180" fontId="93" fillId="61" borderId="17" xfId="1" applyNumberFormat="1" applyFont="1" applyFill="1" applyBorder="1"/>
    <xf numFmtId="180" fontId="93" fillId="61" borderId="36" xfId="1" applyNumberFormat="1" applyFont="1" applyFill="1" applyBorder="1"/>
    <xf numFmtId="180" fontId="93" fillId="61" borderId="0" xfId="1" applyNumberFormat="1" applyFont="1" applyFill="1" applyBorder="1"/>
    <xf numFmtId="180" fontId="93" fillId="61" borderId="30" xfId="1" applyNumberFormat="1" applyFont="1" applyFill="1" applyBorder="1"/>
    <xf numFmtId="180" fontId="93" fillId="61" borderId="37" xfId="1" applyNumberFormat="1" applyFont="1" applyFill="1" applyBorder="1"/>
    <xf numFmtId="180" fontId="93" fillId="61" borderId="1" xfId="1" applyNumberFormat="1" applyFont="1" applyFill="1" applyBorder="1"/>
    <xf numFmtId="180" fontId="93" fillId="61" borderId="38" xfId="1" applyNumberFormat="1" applyFont="1" applyFill="1" applyBorder="1"/>
    <xf numFmtId="180" fontId="93" fillId="60" borderId="36" xfId="1" applyNumberFormat="1" applyFont="1" applyFill="1" applyBorder="1"/>
    <xf numFmtId="180" fontId="93" fillId="60" borderId="0" xfId="1" applyNumberFormat="1" applyFont="1" applyFill="1" applyBorder="1"/>
    <xf numFmtId="180" fontId="93" fillId="60" borderId="30" xfId="1" applyNumberFormat="1" applyFont="1" applyFill="1" applyBorder="1"/>
    <xf numFmtId="180" fontId="93" fillId="60" borderId="37" xfId="1" applyNumberFormat="1" applyFont="1" applyFill="1" applyBorder="1"/>
    <xf numFmtId="180" fontId="93" fillId="60" borderId="1" xfId="1" applyNumberFormat="1" applyFont="1" applyFill="1" applyBorder="1"/>
    <xf numFmtId="180" fontId="93" fillId="60" borderId="38" xfId="1" applyNumberFormat="1" applyFont="1" applyFill="1" applyBorder="1"/>
    <xf numFmtId="180" fontId="93" fillId="60" borderId="37" xfId="0" applyNumberFormat="1" applyFont="1" applyFill="1" applyBorder="1"/>
    <xf numFmtId="180" fontId="93" fillId="60" borderId="1" xfId="0" applyNumberFormat="1" applyFont="1" applyFill="1" applyBorder="1"/>
    <xf numFmtId="180" fontId="93" fillId="60" borderId="38" xfId="0" applyNumberFormat="1" applyFont="1" applyFill="1" applyBorder="1"/>
    <xf numFmtId="180" fontId="93" fillId="0" borderId="37" xfId="0" applyNumberFormat="1" applyFont="1" applyFill="1" applyBorder="1"/>
    <xf numFmtId="180" fontId="93" fillId="0" borderId="1" xfId="0" applyNumberFormat="1" applyFont="1" applyFill="1" applyBorder="1"/>
    <xf numFmtId="180" fontId="93" fillId="0" borderId="38" xfId="0" applyNumberFormat="1" applyFont="1" applyFill="1" applyBorder="1"/>
    <xf numFmtId="180" fontId="93" fillId="60" borderId="16" xfId="0" applyNumberFormat="1" applyFont="1" applyFill="1" applyBorder="1"/>
    <xf numFmtId="180" fontId="93" fillId="60" borderId="2" xfId="0" applyNumberFormat="1" applyFont="1" applyFill="1" applyBorder="1"/>
    <xf numFmtId="180" fontId="93" fillId="60" borderId="17" xfId="0" applyNumberFormat="1" applyFont="1" applyFill="1" applyBorder="1"/>
    <xf numFmtId="180" fontId="93" fillId="0" borderId="16" xfId="0" applyNumberFormat="1" applyFont="1" applyFill="1" applyBorder="1"/>
    <xf numFmtId="180" fontId="93" fillId="0" borderId="2" xfId="0" applyNumberFormat="1" applyFont="1" applyFill="1" applyBorder="1"/>
    <xf numFmtId="180" fontId="93" fillId="0" borderId="17" xfId="0" applyNumberFormat="1" applyFont="1" applyFill="1" applyBorder="1"/>
    <xf numFmtId="180" fontId="93" fillId="0" borderId="34" xfId="1" applyNumberFormat="1" applyFont="1" applyFill="1" applyBorder="1"/>
    <xf numFmtId="0" fontId="0" fillId="74" borderId="0" xfId="0" applyFill="1"/>
    <xf numFmtId="43" fontId="45" fillId="0" borderId="0" xfId="1" applyNumberFormat="1" applyFont="1" applyFill="1"/>
    <xf numFmtId="0" fontId="93" fillId="0" borderId="0" xfId="2390" applyFont="1"/>
    <xf numFmtId="0" fontId="6" fillId="0" borderId="0" xfId="2390" applyFont="1"/>
    <xf numFmtId="5" fontId="6" fillId="0" borderId="0" xfId="5" applyNumberFormat="1" applyFont="1" applyFill="1"/>
    <xf numFmtId="173" fontId="6" fillId="0" borderId="0" xfId="2391" applyNumberFormat="1" applyFont="1" applyFill="1"/>
    <xf numFmtId="5" fontId="6" fillId="0" borderId="1" xfId="5" applyNumberFormat="1" applyFont="1" applyFill="1" applyBorder="1"/>
    <xf numFmtId="0" fontId="6" fillId="0" borderId="0" xfId="2390" applyFont="1" applyFill="1"/>
    <xf numFmtId="7" fontId="6" fillId="0" borderId="0" xfId="2390" applyNumberFormat="1" applyFont="1"/>
    <xf numFmtId="172" fontId="6" fillId="0" borderId="0" xfId="2390" applyNumberFormat="1" applyFont="1"/>
    <xf numFmtId="174" fontId="45" fillId="0" borderId="0" xfId="2387" applyFont="1" applyFill="1" applyAlignment="1">
      <alignment horizontal="left"/>
    </xf>
    <xf numFmtId="10" fontId="6" fillId="0" borderId="1" xfId="3" quotePrefix="1" applyNumberFormat="1" applyFont="1" applyFill="1" applyBorder="1"/>
    <xf numFmtId="174" fontId="4" fillId="0" borderId="0" xfId="2387" applyFont="1" applyFill="1"/>
    <xf numFmtId="174" fontId="4" fillId="0" borderId="0" xfId="2387" applyFont="1"/>
    <xf numFmtId="1" fontId="4" fillId="0" borderId="0" xfId="2387" applyNumberFormat="1" applyFont="1"/>
    <xf numFmtId="0" fontId="4" fillId="0" borderId="0" xfId="0" applyFont="1"/>
    <xf numFmtId="37" fontId="47" fillId="0" borderId="0" xfId="0" applyNumberFormat="1" applyFont="1" applyFill="1"/>
    <xf numFmtId="10" fontId="4" fillId="0" borderId="0" xfId="0" applyNumberFormat="1" applyFont="1" applyFill="1"/>
    <xf numFmtId="10" fontId="47" fillId="0" borderId="0" xfId="0" applyNumberFormat="1" applyFont="1" applyFill="1"/>
    <xf numFmtId="37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4" fillId="0" borderId="0" xfId="2" applyNumberFormat="1" applyFont="1" applyFill="1" applyBorder="1"/>
    <xf numFmtId="5" fontId="6" fillId="0" borderId="0" xfId="0" applyNumberFormat="1" applyFont="1" applyFill="1" applyBorder="1"/>
    <xf numFmtId="5" fontId="4" fillId="0" borderId="0" xfId="0" applyNumberFormat="1" applyFont="1" applyFill="1"/>
    <xf numFmtId="5" fontId="6" fillId="0" borderId="1" xfId="0" applyNumberFormat="1" applyFont="1" applyFill="1" applyBorder="1"/>
    <xf numFmtId="5" fontId="4" fillId="0" borderId="0" xfId="0" applyNumberFormat="1" applyFont="1" applyFill="1" applyBorder="1"/>
    <xf numFmtId="5" fontId="6" fillId="0" borderId="0" xfId="0" applyNumberFormat="1" applyFont="1" applyFill="1"/>
    <xf numFmtId="0" fontId="5" fillId="0" borderId="0" xfId="0" applyFont="1" applyFill="1" applyAlignment="1">
      <alignment horizontal="centerContinuous"/>
    </xf>
    <xf numFmtId="174" fontId="6" fillId="0" borderId="0" xfId="2387" applyFont="1" applyFill="1" applyAlignment="1">
      <alignment horizontal="centerContinuous"/>
    </xf>
    <xf numFmtId="174" fontId="6" fillId="0" borderId="0" xfId="2387" applyFont="1" applyAlignment="1">
      <alignment horizontal="centerContinuous"/>
    </xf>
    <xf numFmtId="174" fontId="5" fillId="0" borderId="6" xfId="2387" applyFont="1" applyFill="1" applyBorder="1" applyAlignment="1">
      <alignment horizontal="center" vertical="center" wrapText="1"/>
    </xf>
    <xf numFmtId="174" fontId="5" fillId="0" borderId="0" xfId="2387" applyFont="1" applyFill="1" applyAlignment="1">
      <alignment horizontal="center" vertical="center" wrapText="1"/>
    </xf>
    <xf numFmtId="174" fontId="5" fillId="0" borderId="1" xfId="2387" applyFont="1" applyFill="1" applyBorder="1" applyAlignment="1">
      <alignment horizontal="center" vertical="center" wrapText="1"/>
    </xf>
    <xf numFmtId="174" fontId="5" fillId="0" borderId="0" xfId="2387" applyFont="1" applyFill="1" applyBorder="1" applyAlignment="1">
      <alignment horizontal="center" vertical="center" wrapText="1"/>
    </xf>
    <xf numFmtId="174" fontId="5" fillId="0" borderId="6" xfId="2387" applyFont="1" applyBorder="1" applyAlignment="1">
      <alignment horizontal="center" vertical="center" wrapText="1"/>
    </xf>
    <xf numFmtId="174" fontId="5" fillId="0" borderId="0" xfId="2387" applyFont="1" applyBorder="1" applyAlignment="1">
      <alignment horizontal="center" vertical="center" wrapText="1"/>
    </xf>
    <xf numFmtId="174" fontId="5" fillId="0" borderId="1" xfId="2387" applyFont="1" applyBorder="1" applyAlignment="1">
      <alignment horizontal="center" vertical="center" wrapText="1"/>
    </xf>
    <xf numFmtId="0" fontId="90" fillId="0" borderId="0" xfId="0" quotePrefix="1" applyFont="1" applyFill="1" applyBorder="1" applyAlignment="1">
      <alignment horizontal="center" vertical="center"/>
    </xf>
    <xf numFmtId="0" fontId="90" fillId="60" borderId="16" xfId="0" applyFont="1" applyFill="1" applyBorder="1" applyAlignment="1">
      <alignment horizontal="center"/>
    </xf>
    <xf numFmtId="0" fontId="90" fillId="60" borderId="2" xfId="0" applyFont="1" applyFill="1" applyBorder="1" applyAlignment="1">
      <alignment horizontal="center"/>
    </xf>
    <xf numFmtId="0" fontId="90" fillId="60" borderId="17" xfId="0" applyFont="1" applyFill="1" applyBorder="1" applyAlignment="1">
      <alignment horizontal="center"/>
    </xf>
    <xf numFmtId="0" fontId="90" fillId="0" borderId="16" xfId="0" applyFont="1" applyFill="1" applyBorder="1" applyAlignment="1">
      <alignment horizontal="center"/>
    </xf>
    <xf numFmtId="0" fontId="90" fillId="0" borderId="2" xfId="0" applyFont="1" applyFill="1" applyBorder="1" applyAlignment="1">
      <alignment horizontal="center"/>
    </xf>
    <xf numFmtId="0" fontId="90" fillId="0" borderId="17" xfId="0" applyFont="1" applyFill="1" applyBorder="1" applyAlignment="1">
      <alignment horizontal="center"/>
    </xf>
    <xf numFmtId="0" fontId="93" fillId="61" borderId="16" xfId="0" applyFont="1" applyFill="1" applyBorder="1" applyAlignment="1">
      <alignment horizontal="center"/>
    </xf>
    <xf numFmtId="0" fontId="93" fillId="61" borderId="2" xfId="0" applyFont="1" applyFill="1" applyBorder="1" applyAlignment="1">
      <alignment horizontal="center"/>
    </xf>
    <xf numFmtId="0" fontId="93" fillId="61" borderId="17" xfId="0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0" fontId="96" fillId="0" borderId="1" xfId="0" applyFont="1" applyFill="1" applyBorder="1" applyAlignment="1">
      <alignment horizontal="center"/>
    </xf>
  </cellXfs>
  <cellStyles count="2395">
    <cellStyle name="20% - Accent1 10" xfId="12"/>
    <cellStyle name="20% - Accent1 11" xfId="13"/>
    <cellStyle name="20% - Accent1 12" xfId="14"/>
    <cellStyle name="20% - Accent1 13" xfId="15"/>
    <cellStyle name="20% - Accent1 14" xfId="16"/>
    <cellStyle name="20% - Accent1 15" xfId="17"/>
    <cellStyle name="20% - Accent1 15 2" xfId="18"/>
    <cellStyle name="20% - Accent1 15 3" xfId="19"/>
    <cellStyle name="20% - Accent1 15 4" xfId="20"/>
    <cellStyle name="20% - Accent1 15 5" xfId="21"/>
    <cellStyle name="20% - Accent1 16" xfId="22"/>
    <cellStyle name="20% - Accent1 16 2" xfId="23"/>
    <cellStyle name="20% - Accent1 16 3" xfId="24"/>
    <cellStyle name="20% - Accent1 16 4" xfId="25"/>
    <cellStyle name="20% - Accent1 16 5" xfId="26"/>
    <cellStyle name="20% - Accent1 17" xfId="27"/>
    <cellStyle name="20% - Accent1 17 2" xfId="28"/>
    <cellStyle name="20% - Accent1 17 3" xfId="29"/>
    <cellStyle name="20% - Accent1 17 4" xfId="30"/>
    <cellStyle name="20% - Accent1 17 5" xfId="31"/>
    <cellStyle name="20% - Accent1 18" xfId="32"/>
    <cellStyle name="20% - Accent1 19" xfId="33"/>
    <cellStyle name="20% - Accent1 2" xfId="34"/>
    <cellStyle name="20% - Accent1 2 10" xfId="35"/>
    <cellStyle name="20% - Accent1 2 2" xfId="36"/>
    <cellStyle name="20% - Accent1 2 2 2" xfId="37"/>
    <cellStyle name="20% - Accent1 2 2 2 2" xfId="38"/>
    <cellStyle name="20% - Accent1 2 2 2 2 2" xfId="39"/>
    <cellStyle name="20% - Accent1 2 2 2 2 3" xfId="40"/>
    <cellStyle name="20% - Accent1 2 2 2 3" xfId="41"/>
    <cellStyle name="20% - Accent1 2 2 2 4" xfId="42"/>
    <cellStyle name="20% - Accent1 2 2 2 5" xfId="43"/>
    <cellStyle name="20% - Accent1 2 2 2 6" xfId="44"/>
    <cellStyle name="20% - Accent1 2 2 3" xfId="45"/>
    <cellStyle name="20% - Accent1 2 2 4" xfId="46"/>
    <cellStyle name="20% - Accent1 2 2 5" xfId="47"/>
    <cellStyle name="20% - Accent1 2 2 6" xfId="48"/>
    <cellStyle name="20% - Accent1 2 3" xfId="49"/>
    <cellStyle name="20% - Accent1 2 4" xfId="50"/>
    <cellStyle name="20% - Accent1 2 5" xfId="51"/>
    <cellStyle name="20% - Accent1 2 6" xfId="52"/>
    <cellStyle name="20% - Accent1 2 7" xfId="53"/>
    <cellStyle name="20% - Accent1 2 8" xfId="54"/>
    <cellStyle name="20% - Accent1 2 9" xfId="55"/>
    <cellStyle name="20% - Accent1 20" xfId="56"/>
    <cellStyle name="20% - Accent1 21" xfId="57"/>
    <cellStyle name="20% - Accent1 22" xfId="58"/>
    <cellStyle name="20% - Accent1 23" xfId="59"/>
    <cellStyle name="20% - Accent1 24" xfId="60"/>
    <cellStyle name="20% - Accent1 25" xfId="61"/>
    <cellStyle name="20% - Accent1 26" xfId="62"/>
    <cellStyle name="20% - Accent1 27" xfId="63"/>
    <cellStyle name="20% - Accent1 28" xfId="64"/>
    <cellStyle name="20% - Accent1 29" xfId="65"/>
    <cellStyle name="20% - Accent1 3" xfId="66"/>
    <cellStyle name="20% - Accent1 30" xfId="67"/>
    <cellStyle name="20% - Accent1 31" xfId="68"/>
    <cellStyle name="20% - Accent1 32" xfId="69"/>
    <cellStyle name="20% - Accent1 33" xfId="70"/>
    <cellStyle name="20% - Accent1 34" xfId="71"/>
    <cellStyle name="20% - Accent1 35" xfId="72"/>
    <cellStyle name="20% - Accent1 36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2 10" xfId="80"/>
    <cellStyle name="20% - Accent2 11" xfId="81"/>
    <cellStyle name="20% - Accent2 12" xfId="82"/>
    <cellStyle name="20% - Accent2 13" xfId="83"/>
    <cellStyle name="20% - Accent2 14" xfId="84"/>
    <cellStyle name="20% - Accent2 15" xfId="85"/>
    <cellStyle name="20% - Accent2 15 2" xfId="86"/>
    <cellStyle name="20% - Accent2 15 3" xfId="87"/>
    <cellStyle name="20% - Accent2 15 4" xfId="88"/>
    <cellStyle name="20% - Accent2 15 5" xfId="89"/>
    <cellStyle name="20% - Accent2 16" xfId="90"/>
    <cellStyle name="20% - Accent2 16 2" xfId="91"/>
    <cellStyle name="20% - Accent2 16 3" xfId="92"/>
    <cellStyle name="20% - Accent2 16 4" xfId="93"/>
    <cellStyle name="20% - Accent2 16 5" xfId="94"/>
    <cellStyle name="20% - Accent2 17" xfId="95"/>
    <cellStyle name="20% - Accent2 17 2" xfId="96"/>
    <cellStyle name="20% - Accent2 17 3" xfId="97"/>
    <cellStyle name="20% - Accent2 17 4" xfId="98"/>
    <cellStyle name="20% - Accent2 17 5" xfId="99"/>
    <cellStyle name="20% - Accent2 18" xfId="100"/>
    <cellStyle name="20% - Accent2 19" xfId="101"/>
    <cellStyle name="20% - Accent2 2" xfId="102"/>
    <cellStyle name="20% - Accent2 2 10" xfId="103"/>
    <cellStyle name="20% - Accent2 2 2" xfId="104"/>
    <cellStyle name="20% - Accent2 2 2 2" xfId="105"/>
    <cellStyle name="20% - Accent2 2 2 2 2" xfId="106"/>
    <cellStyle name="20% - Accent2 2 2 2 2 2" xfId="107"/>
    <cellStyle name="20% - Accent2 2 2 2 2 3" xfId="108"/>
    <cellStyle name="20% - Accent2 2 2 2 3" xfId="109"/>
    <cellStyle name="20% - Accent2 2 2 2 4" xfId="110"/>
    <cellStyle name="20% - Accent2 2 2 2 5" xfId="111"/>
    <cellStyle name="20% - Accent2 2 2 2 6" xfId="112"/>
    <cellStyle name="20% - Accent2 2 2 3" xfId="113"/>
    <cellStyle name="20% - Accent2 2 2 4" xfId="114"/>
    <cellStyle name="20% - Accent2 2 2 5" xfId="115"/>
    <cellStyle name="20% - Accent2 2 2 6" xfId="116"/>
    <cellStyle name="20% - Accent2 2 3" xfId="117"/>
    <cellStyle name="20% - Accent2 2 4" xfId="118"/>
    <cellStyle name="20% - Accent2 2 5" xfId="119"/>
    <cellStyle name="20% - Accent2 2 6" xfId="120"/>
    <cellStyle name="20% - Accent2 2 7" xfId="121"/>
    <cellStyle name="20% - Accent2 2 8" xfId="122"/>
    <cellStyle name="20% - Accent2 2 9" xfId="123"/>
    <cellStyle name="20% - Accent2 20" xfId="124"/>
    <cellStyle name="20% - Accent2 21" xfId="125"/>
    <cellStyle name="20% - Accent2 22" xfId="126"/>
    <cellStyle name="20% - Accent2 23" xfId="127"/>
    <cellStyle name="20% - Accent2 24" xfId="128"/>
    <cellStyle name="20% - Accent2 25" xfId="129"/>
    <cellStyle name="20% - Accent2 26" xfId="130"/>
    <cellStyle name="20% - Accent2 27" xfId="131"/>
    <cellStyle name="20% - Accent2 28" xfId="132"/>
    <cellStyle name="20% - Accent2 29" xfId="133"/>
    <cellStyle name="20% - Accent2 3" xfId="134"/>
    <cellStyle name="20% - Accent2 30" xfId="135"/>
    <cellStyle name="20% - Accent2 31" xfId="136"/>
    <cellStyle name="20% - Accent2 32" xfId="137"/>
    <cellStyle name="20% - Accent2 33" xfId="138"/>
    <cellStyle name="20% - Accent2 34" xfId="139"/>
    <cellStyle name="20% - Accent2 35" xfId="140"/>
    <cellStyle name="20% - Accent2 36" xfId="141"/>
    <cellStyle name="20% - Accent2 4" xfId="142"/>
    <cellStyle name="20% - Accent2 5" xfId="143"/>
    <cellStyle name="20% - Accent2 6" xfId="144"/>
    <cellStyle name="20% - Accent2 7" xfId="145"/>
    <cellStyle name="20% - Accent2 8" xfId="146"/>
    <cellStyle name="20% - Accent2 9" xfId="147"/>
    <cellStyle name="20% - Accent3 10" xfId="148"/>
    <cellStyle name="20% - Accent3 11" xfId="149"/>
    <cellStyle name="20% - Accent3 12" xfId="150"/>
    <cellStyle name="20% - Accent3 13" xfId="151"/>
    <cellStyle name="20% - Accent3 14" xfId="152"/>
    <cellStyle name="20% - Accent3 15" xfId="153"/>
    <cellStyle name="20% - Accent3 15 2" xfId="154"/>
    <cellStyle name="20% - Accent3 15 3" xfId="155"/>
    <cellStyle name="20% - Accent3 15 4" xfId="156"/>
    <cellStyle name="20% - Accent3 15 5" xfId="157"/>
    <cellStyle name="20% - Accent3 16" xfId="158"/>
    <cellStyle name="20% - Accent3 16 2" xfId="159"/>
    <cellStyle name="20% - Accent3 16 3" xfId="160"/>
    <cellStyle name="20% - Accent3 16 4" xfId="161"/>
    <cellStyle name="20% - Accent3 16 5" xfId="162"/>
    <cellStyle name="20% - Accent3 17" xfId="163"/>
    <cellStyle name="20% - Accent3 17 2" xfId="164"/>
    <cellStyle name="20% - Accent3 17 3" xfId="165"/>
    <cellStyle name="20% - Accent3 17 4" xfId="166"/>
    <cellStyle name="20% - Accent3 17 5" xfId="167"/>
    <cellStyle name="20% - Accent3 18" xfId="168"/>
    <cellStyle name="20% - Accent3 19" xfId="169"/>
    <cellStyle name="20% - Accent3 2" xfId="170"/>
    <cellStyle name="20% - Accent3 2 10" xfId="171"/>
    <cellStyle name="20% - Accent3 2 2" xfId="172"/>
    <cellStyle name="20% - Accent3 2 2 2" xfId="173"/>
    <cellStyle name="20% - Accent3 2 2 2 2" xfId="174"/>
    <cellStyle name="20% - Accent3 2 2 2 2 2" xfId="175"/>
    <cellStyle name="20% - Accent3 2 2 2 2 3" xfId="176"/>
    <cellStyle name="20% - Accent3 2 2 2 3" xfId="177"/>
    <cellStyle name="20% - Accent3 2 2 2 4" xfId="178"/>
    <cellStyle name="20% - Accent3 2 2 2 5" xfId="179"/>
    <cellStyle name="20% - Accent3 2 2 2 6" xfId="180"/>
    <cellStyle name="20% - Accent3 2 2 3" xfId="181"/>
    <cellStyle name="20% - Accent3 2 2 4" xfId="182"/>
    <cellStyle name="20% - Accent3 2 2 5" xfId="183"/>
    <cellStyle name="20% - Accent3 2 2 6" xfId="184"/>
    <cellStyle name="20% - Accent3 2 3" xfId="185"/>
    <cellStyle name="20% - Accent3 2 4" xfId="186"/>
    <cellStyle name="20% - Accent3 2 5" xfId="187"/>
    <cellStyle name="20% - Accent3 2 6" xfId="188"/>
    <cellStyle name="20% - Accent3 2 7" xfId="189"/>
    <cellStyle name="20% - Accent3 2 8" xfId="190"/>
    <cellStyle name="20% - Accent3 2 9" xfId="191"/>
    <cellStyle name="20% - Accent3 20" xfId="192"/>
    <cellStyle name="20% - Accent3 21" xfId="193"/>
    <cellStyle name="20% - Accent3 22" xfId="194"/>
    <cellStyle name="20% - Accent3 23" xfId="195"/>
    <cellStyle name="20% - Accent3 24" xfId="196"/>
    <cellStyle name="20% - Accent3 25" xfId="197"/>
    <cellStyle name="20% - Accent3 26" xfId="198"/>
    <cellStyle name="20% - Accent3 27" xfId="199"/>
    <cellStyle name="20% - Accent3 28" xfId="200"/>
    <cellStyle name="20% - Accent3 29" xfId="201"/>
    <cellStyle name="20% - Accent3 3" xfId="202"/>
    <cellStyle name="20% - Accent3 30" xfId="203"/>
    <cellStyle name="20% - Accent3 31" xfId="204"/>
    <cellStyle name="20% - Accent3 32" xfId="205"/>
    <cellStyle name="20% - Accent3 33" xfId="206"/>
    <cellStyle name="20% - Accent3 34" xfId="207"/>
    <cellStyle name="20% - Accent3 35" xfId="208"/>
    <cellStyle name="20% - Accent3 36" xfId="209"/>
    <cellStyle name="20% - Accent3 4" xfId="210"/>
    <cellStyle name="20% - Accent3 5" xfId="211"/>
    <cellStyle name="20% - Accent3 6" xfId="212"/>
    <cellStyle name="20% - Accent3 7" xfId="213"/>
    <cellStyle name="20% - Accent3 8" xfId="214"/>
    <cellStyle name="20% - Accent3 9" xfId="215"/>
    <cellStyle name="20% - Accent4 10" xfId="216"/>
    <cellStyle name="20% - Accent4 11" xfId="217"/>
    <cellStyle name="20% - Accent4 12" xfId="218"/>
    <cellStyle name="20% - Accent4 13" xfId="219"/>
    <cellStyle name="20% - Accent4 14" xfId="220"/>
    <cellStyle name="20% - Accent4 15" xfId="221"/>
    <cellStyle name="20% - Accent4 15 2" xfId="222"/>
    <cellStyle name="20% - Accent4 15 3" xfId="223"/>
    <cellStyle name="20% - Accent4 15 4" xfId="224"/>
    <cellStyle name="20% - Accent4 15 5" xfId="225"/>
    <cellStyle name="20% - Accent4 16" xfId="226"/>
    <cellStyle name="20% - Accent4 16 2" xfId="227"/>
    <cellStyle name="20% - Accent4 16 3" xfId="228"/>
    <cellStyle name="20% - Accent4 16 4" xfId="229"/>
    <cellStyle name="20% - Accent4 16 5" xfId="230"/>
    <cellStyle name="20% - Accent4 17" xfId="231"/>
    <cellStyle name="20% - Accent4 17 2" xfId="232"/>
    <cellStyle name="20% - Accent4 17 3" xfId="233"/>
    <cellStyle name="20% - Accent4 17 4" xfId="234"/>
    <cellStyle name="20% - Accent4 17 5" xfId="235"/>
    <cellStyle name="20% - Accent4 18" xfId="236"/>
    <cellStyle name="20% - Accent4 19" xfId="237"/>
    <cellStyle name="20% - Accent4 2" xfId="238"/>
    <cellStyle name="20% - Accent4 2 10" xfId="239"/>
    <cellStyle name="20% - Accent4 2 2" xfId="240"/>
    <cellStyle name="20% - Accent4 2 2 2" xfId="241"/>
    <cellStyle name="20% - Accent4 2 2 2 2" xfId="242"/>
    <cellStyle name="20% - Accent4 2 2 2 2 2" xfId="243"/>
    <cellStyle name="20% - Accent4 2 2 2 2 3" xfId="244"/>
    <cellStyle name="20% - Accent4 2 2 2 3" xfId="245"/>
    <cellStyle name="20% - Accent4 2 2 2 4" xfId="246"/>
    <cellStyle name="20% - Accent4 2 2 2 5" xfId="247"/>
    <cellStyle name="20% - Accent4 2 2 2 6" xfId="248"/>
    <cellStyle name="20% - Accent4 2 2 3" xfId="249"/>
    <cellStyle name="20% - Accent4 2 2 4" xfId="250"/>
    <cellStyle name="20% - Accent4 2 2 5" xfId="251"/>
    <cellStyle name="20% - Accent4 2 2 6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20" xfId="260"/>
    <cellStyle name="20% - Accent4 21" xfId="261"/>
    <cellStyle name="20% - Accent4 22" xfId="262"/>
    <cellStyle name="20% - Accent4 23" xfId="263"/>
    <cellStyle name="20% - Accent4 24" xfId="264"/>
    <cellStyle name="20% - Accent4 25" xfId="265"/>
    <cellStyle name="20% - Accent4 26" xfId="266"/>
    <cellStyle name="20% - Accent4 27" xfId="267"/>
    <cellStyle name="20% - Accent4 28" xfId="268"/>
    <cellStyle name="20% - Accent4 29" xfId="269"/>
    <cellStyle name="20% - Accent4 3" xfId="270"/>
    <cellStyle name="20% - Accent4 30" xfId="271"/>
    <cellStyle name="20% - Accent4 31" xfId="272"/>
    <cellStyle name="20% - Accent4 32" xfId="273"/>
    <cellStyle name="20% - Accent4 33" xfId="274"/>
    <cellStyle name="20% - Accent4 34" xfId="275"/>
    <cellStyle name="20% - Accent4 35" xfId="276"/>
    <cellStyle name="20% - Accent4 36" xfId="277"/>
    <cellStyle name="20% - Accent4 4" xfId="278"/>
    <cellStyle name="20% - Accent4 5" xfId="279"/>
    <cellStyle name="20% - Accent4 6" xfId="280"/>
    <cellStyle name="20% - Accent4 7" xfId="281"/>
    <cellStyle name="20% - Accent4 8" xfId="282"/>
    <cellStyle name="20% - Accent4 9" xfId="283"/>
    <cellStyle name="20% - Accent5 10" xfId="284"/>
    <cellStyle name="20% - Accent5 11" xfId="285"/>
    <cellStyle name="20% - Accent5 12" xfId="286"/>
    <cellStyle name="20% - Accent5 13" xfId="287"/>
    <cellStyle name="20% - Accent5 14" xfId="288"/>
    <cellStyle name="20% - Accent5 15" xfId="289"/>
    <cellStyle name="20% - Accent5 15 2" xfId="290"/>
    <cellStyle name="20% - Accent5 15 3" xfId="291"/>
    <cellStyle name="20% - Accent5 15 4" xfId="292"/>
    <cellStyle name="20% - Accent5 15 5" xfId="293"/>
    <cellStyle name="20% - Accent5 16" xfId="294"/>
    <cellStyle name="20% - Accent5 16 2" xfId="295"/>
    <cellStyle name="20% - Accent5 16 3" xfId="296"/>
    <cellStyle name="20% - Accent5 16 4" xfId="297"/>
    <cellStyle name="20% - Accent5 16 5" xfId="298"/>
    <cellStyle name="20% - Accent5 17" xfId="299"/>
    <cellStyle name="20% - Accent5 17 2" xfId="300"/>
    <cellStyle name="20% - Accent5 17 3" xfId="301"/>
    <cellStyle name="20% - Accent5 17 4" xfId="302"/>
    <cellStyle name="20% - Accent5 17 5" xfId="303"/>
    <cellStyle name="20% - Accent5 18" xfId="304"/>
    <cellStyle name="20% - Accent5 19" xfId="305"/>
    <cellStyle name="20% - Accent5 2" xfId="306"/>
    <cellStyle name="20% - Accent5 2 10" xfId="307"/>
    <cellStyle name="20% - Accent5 2 2" xfId="308"/>
    <cellStyle name="20% - Accent5 2 2 2" xfId="309"/>
    <cellStyle name="20% - Accent5 2 2 2 2" xfId="310"/>
    <cellStyle name="20% - Accent5 2 2 2 2 2" xfId="311"/>
    <cellStyle name="20% - Accent5 2 2 2 2 3" xfId="312"/>
    <cellStyle name="20% - Accent5 2 2 2 3" xfId="313"/>
    <cellStyle name="20% - Accent5 2 2 2 4" xfId="314"/>
    <cellStyle name="20% - Accent5 2 2 2 5" xfId="315"/>
    <cellStyle name="20% - Accent5 2 2 2 6" xfId="316"/>
    <cellStyle name="20% - Accent5 2 2 3" xfId="317"/>
    <cellStyle name="20% - Accent5 2 2 4" xfId="318"/>
    <cellStyle name="20% - Accent5 2 2 5" xfId="319"/>
    <cellStyle name="20% - Accent5 2 2 6" xfId="320"/>
    <cellStyle name="20% - Accent5 2 3" xfId="321"/>
    <cellStyle name="20% - Accent5 2 4" xfId="322"/>
    <cellStyle name="20% - Accent5 2 5" xfId="323"/>
    <cellStyle name="20% - Accent5 2 6" xfId="324"/>
    <cellStyle name="20% - Accent5 2 7" xfId="325"/>
    <cellStyle name="20% - Accent5 2 8" xfId="326"/>
    <cellStyle name="20% - Accent5 2 9" xfId="327"/>
    <cellStyle name="20% - Accent5 20" xfId="328"/>
    <cellStyle name="20% - Accent5 21" xfId="329"/>
    <cellStyle name="20% - Accent5 22" xfId="330"/>
    <cellStyle name="20% - Accent5 23" xfId="331"/>
    <cellStyle name="20% - Accent5 24" xfId="332"/>
    <cellStyle name="20% - Accent5 25" xfId="333"/>
    <cellStyle name="20% - Accent5 26" xfId="334"/>
    <cellStyle name="20% - Accent5 27" xfId="335"/>
    <cellStyle name="20% - Accent5 28" xfId="336"/>
    <cellStyle name="20% - Accent5 29" xfId="337"/>
    <cellStyle name="20% - Accent5 3" xfId="338"/>
    <cellStyle name="20% - Accent5 30" xfId="339"/>
    <cellStyle name="20% - Accent5 31" xfId="340"/>
    <cellStyle name="20% - Accent5 32" xfId="341"/>
    <cellStyle name="20% - Accent5 33" xfId="342"/>
    <cellStyle name="20% - Accent5 34" xfId="343"/>
    <cellStyle name="20% - Accent5 35" xfId="344"/>
    <cellStyle name="20% - Accent5 36" xfId="345"/>
    <cellStyle name="20% - Accent5 4" xfId="346"/>
    <cellStyle name="20% - Accent5 5" xfId="347"/>
    <cellStyle name="20% - Accent5 6" xfId="348"/>
    <cellStyle name="20% - Accent5 7" xfId="349"/>
    <cellStyle name="20% - Accent5 8" xfId="350"/>
    <cellStyle name="20% - Accent5 9" xfId="351"/>
    <cellStyle name="20% - Accent6 10" xfId="352"/>
    <cellStyle name="20% - Accent6 11" xfId="353"/>
    <cellStyle name="20% - Accent6 12" xfId="354"/>
    <cellStyle name="20% - Accent6 13" xfId="355"/>
    <cellStyle name="20% - Accent6 14" xfId="356"/>
    <cellStyle name="20% - Accent6 15" xfId="357"/>
    <cellStyle name="20% - Accent6 15 2" xfId="358"/>
    <cellStyle name="20% - Accent6 15 3" xfId="359"/>
    <cellStyle name="20% - Accent6 15 4" xfId="360"/>
    <cellStyle name="20% - Accent6 15 5" xfId="361"/>
    <cellStyle name="20% - Accent6 16" xfId="362"/>
    <cellStyle name="20% - Accent6 16 2" xfId="363"/>
    <cellStyle name="20% - Accent6 16 3" xfId="364"/>
    <cellStyle name="20% - Accent6 16 4" xfId="365"/>
    <cellStyle name="20% - Accent6 16 5" xfId="366"/>
    <cellStyle name="20% - Accent6 17" xfId="367"/>
    <cellStyle name="20% - Accent6 17 2" xfId="368"/>
    <cellStyle name="20% - Accent6 17 3" xfId="369"/>
    <cellStyle name="20% - Accent6 17 4" xfId="370"/>
    <cellStyle name="20% - Accent6 17 5" xfId="371"/>
    <cellStyle name="20% - Accent6 18" xfId="372"/>
    <cellStyle name="20% - Accent6 19" xfId="373"/>
    <cellStyle name="20% - Accent6 2" xfId="374"/>
    <cellStyle name="20% - Accent6 2 10" xfId="375"/>
    <cellStyle name="20% - Accent6 2 2" xfId="376"/>
    <cellStyle name="20% - Accent6 2 2 2" xfId="377"/>
    <cellStyle name="20% - Accent6 2 2 2 2" xfId="378"/>
    <cellStyle name="20% - Accent6 2 2 2 2 2" xfId="379"/>
    <cellStyle name="20% - Accent6 2 2 2 2 3" xfId="380"/>
    <cellStyle name="20% - Accent6 2 2 2 3" xfId="381"/>
    <cellStyle name="20% - Accent6 2 2 2 4" xfId="382"/>
    <cellStyle name="20% - Accent6 2 2 2 5" xfId="383"/>
    <cellStyle name="20% - Accent6 2 2 2 6" xfId="384"/>
    <cellStyle name="20% - Accent6 2 2 3" xfId="385"/>
    <cellStyle name="20% - Accent6 2 2 4" xfId="386"/>
    <cellStyle name="20% - Accent6 2 2 5" xfId="387"/>
    <cellStyle name="20% - Accent6 2 2 6" xfId="388"/>
    <cellStyle name="20% - Accent6 2 3" xfId="389"/>
    <cellStyle name="20% - Accent6 2 4" xfId="390"/>
    <cellStyle name="20% - Accent6 2 5" xfId="391"/>
    <cellStyle name="20% - Accent6 2 6" xfId="392"/>
    <cellStyle name="20% - Accent6 2 7" xfId="393"/>
    <cellStyle name="20% - Accent6 2 8" xfId="394"/>
    <cellStyle name="20% - Accent6 2 9" xfId="395"/>
    <cellStyle name="20% - Accent6 20" xfId="396"/>
    <cellStyle name="20% - Accent6 21" xfId="397"/>
    <cellStyle name="20% - Accent6 22" xfId="398"/>
    <cellStyle name="20% - Accent6 23" xfId="399"/>
    <cellStyle name="20% - Accent6 24" xfId="400"/>
    <cellStyle name="20% - Accent6 25" xfId="401"/>
    <cellStyle name="20% - Accent6 26" xfId="402"/>
    <cellStyle name="20% - Accent6 27" xfId="403"/>
    <cellStyle name="20% - Accent6 28" xfId="404"/>
    <cellStyle name="20% - Accent6 29" xfId="405"/>
    <cellStyle name="20% - Accent6 3" xfId="406"/>
    <cellStyle name="20% - Accent6 30" xfId="407"/>
    <cellStyle name="20% - Accent6 31" xfId="408"/>
    <cellStyle name="20% - Accent6 32" xfId="409"/>
    <cellStyle name="20% - Accent6 33" xfId="410"/>
    <cellStyle name="20% - Accent6 34" xfId="411"/>
    <cellStyle name="20% - Accent6 35" xfId="412"/>
    <cellStyle name="20% - Accent6 36" xfId="413"/>
    <cellStyle name="20% - Accent6 4" xfId="414"/>
    <cellStyle name="20% - Accent6 5" xfId="415"/>
    <cellStyle name="20% - Accent6 6" xfId="416"/>
    <cellStyle name="20% - Accent6 7" xfId="417"/>
    <cellStyle name="20% - Accent6 8" xfId="418"/>
    <cellStyle name="20% - Accent6 9" xfId="419"/>
    <cellStyle name="40% - Accent1 10" xfId="420"/>
    <cellStyle name="40% - Accent1 11" xfId="421"/>
    <cellStyle name="40% - Accent1 12" xfId="422"/>
    <cellStyle name="40% - Accent1 13" xfId="423"/>
    <cellStyle name="40% - Accent1 14" xfId="424"/>
    <cellStyle name="40% - Accent1 15" xfId="425"/>
    <cellStyle name="40% - Accent1 15 2" xfId="426"/>
    <cellStyle name="40% - Accent1 15 3" xfId="427"/>
    <cellStyle name="40% - Accent1 15 4" xfId="428"/>
    <cellStyle name="40% - Accent1 15 5" xfId="429"/>
    <cellStyle name="40% - Accent1 16" xfId="430"/>
    <cellStyle name="40% - Accent1 16 2" xfId="431"/>
    <cellStyle name="40% - Accent1 16 3" xfId="432"/>
    <cellStyle name="40% - Accent1 16 4" xfId="433"/>
    <cellStyle name="40% - Accent1 16 5" xfId="434"/>
    <cellStyle name="40% - Accent1 17" xfId="435"/>
    <cellStyle name="40% - Accent1 17 2" xfId="436"/>
    <cellStyle name="40% - Accent1 17 3" xfId="437"/>
    <cellStyle name="40% - Accent1 17 4" xfId="438"/>
    <cellStyle name="40% - Accent1 17 5" xfId="439"/>
    <cellStyle name="40% - Accent1 18" xfId="440"/>
    <cellStyle name="40% - Accent1 19" xfId="441"/>
    <cellStyle name="40% - Accent1 2" xfId="442"/>
    <cellStyle name="40% - Accent1 2 10" xfId="443"/>
    <cellStyle name="40% - Accent1 2 2" xfId="444"/>
    <cellStyle name="40% - Accent1 2 2 2" xfId="445"/>
    <cellStyle name="40% - Accent1 2 2 2 2" xfId="446"/>
    <cellStyle name="40% - Accent1 2 2 2 2 2" xfId="447"/>
    <cellStyle name="40% - Accent1 2 2 2 2 3" xfId="448"/>
    <cellStyle name="40% - Accent1 2 2 2 3" xfId="449"/>
    <cellStyle name="40% - Accent1 2 2 2 4" xfId="450"/>
    <cellStyle name="40% - Accent1 2 2 2 5" xfId="451"/>
    <cellStyle name="40% - Accent1 2 2 2 6" xfId="452"/>
    <cellStyle name="40% - Accent1 2 2 3" xfId="453"/>
    <cellStyle name="40% - Accent1 2 2 4" xfId="454"/>
    <cellStyle name="40% - Accent1 2 2 5" xfId="455"/>
    <cellStyle name="40% - Accent1 2 2 6" xfId="456"/>
    <cellStyle name="40% - Accent1 2 3" xfId="457"/>
    <cellStyle name="40% - Accent1 2 4" xfId="458"/>
    <cellStyle name="40% - Accent1 2 5" xfId="459"/>
    <cellStyle name="40% - Accent1 2 6" xfId="460"/>
    <cellStyle name="40% - Accent1 2 7" xfId="461"/>
    <cellStyle name="40% - Accent1 2 8" xfId="462"/>
    <cellStyle name="40% - Accent1 2 9" xfId="463"/>
    <cellStyle name="40% - Accent1 20" xfId="464"/>
    <cellStyle name="40% - Accent1 21" xfId="465"/>
    <cellStyle name="40% - Accent1 22" xfId="466"/>
    <cellStyle name="40% - Accent1 23" xfId="467"/>
    <cellStyle name="40% - Accent1 24" xfId="468"/>
    <cellStyle name="40% - Accent1 25" xfId="469"/>
    <cellStyle name="40% - Accent1 26" xfId="470"/>
    <cellStyle name="40% - Accent1 27" xfId="471"/>
    <cellStyle name="40% - Accent1 28" xfId="472"/>
    <cellStyle name="40% - Accent1 29" xfId="473"/>
    <cellStyle name="40% - Accent1 3" xfId="474"/>
    <cellStyle name="40% - Accent1 30" xfId="475"/>
    <cellStyle name="40% - Accent1 31" xfId="476"/>
    <cellStyle name="40% - Accent1 32" xfId="477"/>
    <cellStyle name="40% - Accent1 33" xfId="478"/>
    <cellStyle name="40% - Accent1 34" xfId="479"/>
    <cellStyle name="40% - Accent1 35" xfId="480"/>
    <cellStyle name="40% - Accent1 36" xfId="481"/>
    <cellStyle name="40% - Accent1 4" xfId="482"/>
    <cellStyle name="40% - Accent1 5" xfId="483"/>
    <cellStyle name="40% - Accent1 6" xfId="484"/>
    <cellStyle name="40% - Accent1 7" xfId="485"/>
    <cellStyle name="40% - Accent1 8" xfId="486"/>
    <cellStyle name="40% - Accent1 9" xfId="487"/>
    <cellStyle name="40% - Accent2 10" xfId="488"/>
    <cellStyle name="40% - Accent2 11" xfId="489"/>
    <cellStyle name="40% - Accent2 12" xfId="490"/>
    <cellStyle name="40% - Accent2 13" xfId="491"/>
    <cellStyle name="40% - Accent2 14" xfId="492"/>
    <cellStyle name="40% - Accent2 15" xfId="493"/>
    <cellStyle name="40% - Accent2 15 2" xfId="494"/>
    <cellStyle name="40% - Accent2 15 3" xfId="495"/>
    <cellStyle name="40% - Accent2 15 4" xfId="496"/>
    <cellStyle name="40% - Accent2 15 5" xfId="497"/>
    <cellStyle name="40% - Accent2 16" xfId="498"/>
    <cellStyle name="40% - Accent2 16 2" xfId="499"/>
    <cellStyle name="40% - Accent2 16 3" xfId="500"/>
    <cellStyle name="40% - Accent2 16 4" xfId="501"/>
    <cellStyle name="40% - Accent2 16 5" xfId="502"/>
    <cellStyle name="40% - Accent2 17" xfId="503"/>
    <cellStyle name="40% - Accent2 17 2" xfId="504"/>
    <cellStyle name="40% - Accent2 17 3" xfId="505"/>
    <cellStyle name="40% - Accent2 17 4" xfId="506"/>
    <cellStyle name="40% - Accent2 17 5" xfId="507"/>
    <cellStyle name="40% - Accent2 18" xfId="508"/>
    <cellStyle name="40% - Accent2 19" xfId="509"/>
    <cellStyle name="40% - Accent2 2" xfId="510"/>
    <cellStyle name="40% - Accent2 2 10" xfId="511"/>
    <cellStyle name="40% - Accent2 2 2" xfId="512"/>
    <cellStyle name="40% - Accent2 2 2 2" xfId="513"/>
    <cellStyle name="40% - Accent2 2 2 2 2" xfId="514"/>
    <cellStyle name="40% - Accent2 2 2 2 2 2" xfId="515"/>
    <cellStyle name="40% - Accent2 2 2 2 2 3" xfId="516"/>
    <cellStyle name="40% - Accent2 2 2 2 3" xfId="517"/>
    <cellStyle name="40% - Accent2 2 2 2 4" xfId="518"/>
    <cellStyle name="40% - Accent2 2 2 2 5" xfId="519"/>
    <cellStyle name="40% - Accent2 2 2 2 6" xfId="520"/>
    <cellStyle name="40% - Accent2 2 2 3" xfId="521"/>
    <cellStyle name="40% - Accent2 2 2 4" xfId="522"/>
    <cellStyle name="40% - Accent2 2 2 5" xfId="523"/>
    <cellStyle name="40% - Accent2 2 2 6" xfId="524"/>
    <cellStyle name="40% - Accent2 2 3" xfId="525"/>
    <cellStyle name="40% - Accent2 2 4" xfId="526"/>
    <cellStyle name="40% - Accent2 2 5" xfId="527"/>
    <cellStyle name="40% - Accent2 2 6" xfId="528"/>
    <cellStyle name="40% - Accent2 2 7" xfId="529"/>
    <cellStyle name="40% - Accent2 2 8" xfId="530"/>
    <cellStyle name="40% - Accent2 2 9" xfId="531"/>
    <cellStyle name="40% - Accent2 20" xfId="532"/>
    <cellStyle name="40% - Accent2 21" xfId="533"/>
    <cellStyle name="40% - Accent2 22" xfId="534"/>
    <cellStyle name="40% - Accent2 23" xfId="535"/>
    <cellStyle name="40% - Accent2 24" xfId="536"/>
    <cellStyle name="40% - Accent2 25" xfId="537"/>
    <cellStyle name="40% - Accent2 26" xfId="538"/>
    <cellStyle name="40% - Accent2 27" xfId="539"/>
    <cellStyle name="40% - Accent2 28" xfId="540"/>
    <cellStyle name="40% - Accent2 29" xfId="541"/>
    <cellStyle name="40% - Accent2 3" xfId="542"/>
    <cellStyle name="40% - Accent2 30" xfId="543"/>
    <cellStyle name="40% - Accent2 31" xfId="544"/>
    <cellStyle name="40% - Accent2 32" xfId="545"/>
    <cellStyle name="40% - Accent2 33" xfId="546"/>
    <cellStyle name="40% - Accent2 34" xfId="547"/>
    <cellStyle name="40% - Accent2 35" xfId="548"/>
    <cellStyle name="40% - Accent2 36" xfId="549"/>
    <cellStyle name="40% - Accent2 4" xfId="550"/>
    <cellStyle name="40% - Accent2 5" xfId="551"/>
    <cellStyle name="40% - Accent2 6" xfId="552"/>
    <cellStyle name="40% - Accent2 7" xfId="553"/>
    <cellStyle name="40% - Accent2 8" xfId="554"/>
    <cellStyle name="40% - Accent2 9" xfId="555"/>
    <cellStyle name="40% - Accent3 10" xfId="556"/>
    <cellStyle name="40% - Accent3 11" xfId="557"/>
    <cellStyle name="40% - Accent3 12" xfId="558"/>
    <cellStyle name="40% - Accent3 13" xfId="559"/>
    <cellStyle name="40% - Accent3 14" xfId="560"/>
    <cellStyle name="40% - Accent3 15" xfId="561"/>
    <cellStyle name="40% - Accent3 15 2" xfId="562"/>
    <cellStyle name="40% - Accent3 15 3" xfId="563"/>
    <cellStyle name="40% - Accent3 15 4" xfId="564"/>
    <cellStyle name="40% - Accent3 15 5" xfId="565"/>
    <cellStyle name="40% - Accent3 16" xfId="566"/>
    <cellStyle name="40% - Accent3 16 2" xfId="567"/>
    <cellStyle name="40% - Accent3 16 3" xfId="568"/>
    <cellStyle name="40% - Accent3 16 4" xfId="569"/>
    <cellStyle name="40% - Accent3 16 5" xfId="570"/>
    <cellStyle name="40% - Accent3 17" xfId="571"/>
    <cellStyle name="40% - Accent3 17 2" xfId="572"/>
    <cellStyle name="40% - Accent3 17 3" xfId="573"/>
    <cellStyle name="40% - Accent3 17 4" xfId="574"/>
    <cellStyle name="40% - Accent3 17 5" xfId="575"/>
    <cellStyle name="40% - Accent3 18" xfId="576"/>
    <cellStyle name="40% - Accent3 19" xfId="577"/>
    <cellStyle name="40% - Accent3 2" xfId="578"/>
    <cellStyle name="40% - Accent3 2 10" xfId="579"/>
    <cellStyle name="40% - Accent3 2 2" xfId="580"/>
    <cellStyle name="40% - Accent3 2 2 2" xfId="581"/>
    <cellStyle name="40% - Accent3 2 2 2 2" xfId="582"/>
    <cellStyle name="40% - Accent3 2 2 2 2 2" xfId="583"/>
    <cellStyle name="40% - Accent3 2 2 2 2 3" xfId="584"/>
    <cellStyle name="40% - Accent3 2 2 2 3" xfId="585"/>
    <cellStyle name="40% - Accent3 2 2 2 4" xfId="586"/>
    <cellStyle name="40% - Accent3 2 2 2 5" xfId="587"/>
    <cellStyle name="40% - Accent3 2 2 2 6" xfId="588"/>
    <cellStyle name="40% - Accent3 2 2 3" xfId="589"/>
    <cellStyle name="40% - Accent3 2 2 4" xfId="590"/>
    <cellStyle name="40% - Accent3 2 2 5" xfId="591"/>
    <cellStyle name="40% - Accent3 2 2 6" xfId="592"/>
    <cellStyle name="40% - Accent3 2 3" xfId="593"/>
    <cellStyle name="40% - Accent3 2 4" xfId="594"/>
    <cellStyle name="40% - Accent3 2 5" xfId="595"/>
    <cellStyle name="40% - Accent3 2 6" xfId="596"/>
    <cellStyle name="40% - Accent3 2 7" xfId="597"/>
    <cellStyle name="40% - Accent3 2 8" xfId="598"/>
    <cellStyle name="40% - Accent3 2 9" xfId="599"/>
    <cellStyle name="40% - Accent3 20" xfId="600"/>
    <cellStyle name="40% - Accent3 21" xfId="601"/>
    <cellStyle name="40% - Accent3 22" xfId="602"/>
    <cellStyle name="40% - Accent3 23" xfId="603"/>
    <cellStyle name="40% - Accent3 24" xfId="604"/>
    <cellStyle name="40% - Accent3 25" xfId="605"/>
    <cellStyle name="40% - Accent3 26" xfId="606"/>
    <cellStyle name="40% - Accent3 27" xfId="607"/>
    <cellStyle name="40% - Accent3 28" xfId="608"/>
    <cellStyle name="40% - Accent3 29" xfId="609"/>
    <cellStyle name="40% - Accent3 3" xfId="610"/>
    <cellStyle name="40% - Accent3 30" xfId="611"/>
    <cellStyle name="40% - Accent3 31" xfId="612"/>
    <cellStyle name="40% - Accent3 32" xfId="613"/>
    <cellStyle name="40% - Accent3 33" xfId="614"/>
    <cellStyle name="40% - Accent3 34" xfId="615"/>
    <cellStyle name="40% - Accent3 35" xfId="616"/>
    <cellStyle name="40% - Accent3 36" xfId="617"/>
    <cellStyle name="40% - Accent3 4" xfId="618"/>
    <cellStyle name="40% - Accent3 5" xfId="619"/>
    <cellStyle name="40% - Accent3 6" xfId="620"/>
    <cellStyle name="40% - Accent3 7" xfId="621"/>
    <cellStyle name="40% - Accent3 8" xfId="622"/>
    <cellStyle name="40% - Accent3 9" xfId="623"/>
    <cellStyle name="40% - Accent4 10" xfId="624"/>
    <cellStyle name="40% - Accent4 11" xfId="625"/>
    <cellStyle name="40% - Accent4 12" xfId="626"/>
    <cellStyle name="40% - Accent4 13" xfId="627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10" xfId="647"/>
    <cellStyle name="40% - Accent4 2 2" xfId="648"/>
    <cellStyle name="40% - Accent4 2 2 2" xfId="649"/>
    <cellStyle name="40% - Accent4 2 2 2 2" xfId="650"/>
    <cellStyle name="40% - Accent4 2 2 2 2 2" xfId="651"/>
    <cellStyle name="40% - Accent4 2 2 2 2 3" xfId="652"/>
    <cellStyle name="40% - Accent4 2 2 2 3" xfId="653"/>
    <cellStyle name="40% - Accent4 2 2 2 4" xfId="654"/>
    <cellStyle name="40% - Accent4 2 2 2 5" xfId="655"/>
    <cellStyle name="40% - Accent4 2 2 2 6" xfId="656"/>
    <cellStyle name="40% - Accent4 2 2 3" xfId="657"/>
    <cellStyle name="40% - Accent4 2 2 4" xfId="658"/>
    <cellStyle name="40% - Accent4 2 2 5" xfId="659"/>
    <cellStyle name="40% - Accent4 2 2 6" xfId="660"/>
    <cellStyle name="40% - Accent4 2 3" xfId="661"/>
    <cellStyle name="40% - Accent4 2 4" xfId="662"/>
    <cellStyle name="40% - Accent4 2 5" xfId="663"/>
    <cellStyle name="40% - Accent4 2 6" xfId="664"/>
    <cellStyle name="40% - Accent4 2 7" xfId="665"/>
    <cellStyle name="40% - Accent4 2 8" xfId="666"/>
    <cellStyle name="40% - Accent4 2 9" xfId="667"/>
    <cellStyle name="40% - Accent4 20" xfId="668"/>
    <cellStyle name="40% - Accent4 21" xfId="669"/>
    <cellStyle name="40% - Accent4 22" xfId="670"/>
    <cellStyle name="40% - Accent4 23" xfId="671"/>
    <cellStyle name="40% - Accent4 24" xfId="672"/>
    <cellStyle name="40% - Accent4 25" xfId="673"/>
    <cellStyle name="40% - Accent4 26" xfId="674"/>
    <cellStyle name="40% - Accent4 27" xfId="675"/>
    <cellStyle name="40% - Accent4 28" xfId="676"/>
    <cellStyle name="40% - Accent4 29" xfId="677"/>
    <cellStyle name="40% - Accent4 3" xfId="678"/>
    <cellStyle name="40% - Accent4 30" xfId="679"/>
    <cellStyle name="40% - Accent4 31" xfId="680"/>
    <cellStyle name="40% - Accent4 32" xfId="681"/>
    <cellStyle name="40% - Accent4 33" xfId="682"/>
    <cellStyle name="40% - Accent4 34" xfId="683"/>
    <cellStyle name="40% - Accent4 35" xfId="684"/>
    <cellStyle name="40% - Accent4 36" xfId="685"/>
    <cellStyle name="40% - Accent4 4" xfId="686"/>
    <cellStyle name="40% - Accent4 5" xfId="687"/>
    <cellStyle name="40% - Accent4 6" xfId="688"/>
    <cellStyle name="40% - Accent4 7" xfId="689"/>
    <cellStyle name="40% - Accent4 8" xfId="690"/>
    <cellStyle name="40% - Accent4 9" xfId="691"/>
    <cellStyle name="40% - Accent5 10" xfId="692"/>
    <cellStyle name="40% - Accent5 11" xfId="693"/>
    <cellStyle name="40% - Accent5 12" xfId="694"/>
    <cellStyle name="40% - Accent5 13" xfId="695"/>
    <cellStyle name="40% - Accent5 14" xfId="696"/>
    <cellStyle name="40% - Accent5 15" xfId="697"/>
    <cellStyle name="40% - Accent5 15 2" xfId="698"/>
    <cellStyle name="40% - Accent5 15 3" xfId="699"/>
    <cellStyle name="40% - Accent5 15 4" xfId="700"/>
    <cellStyle name="40% - Accent5 15 5" xfId="701"/>
    <cellStyle name="40% - Accent5 16" xfId="702"/>
    <cellStyle name="40% - Accent5 16 2" xfId="703"/>
    <cellStyle name="40% - Accent5 16 3" xfId="704"/>
    <cellStyle name="40% - Accent5 16 4" xfId="705"/>
    <cellStyle name="40% - Accent5 16 5" xfId="706"/>
    <cellStyle name="40% - Accent5 17" xfId="707"/>
    <cellStyle name="40% - Accent5 17 2" xfId="708"/>
    <cellStyle name="40% - Accent5 17 3" xfId="709"/>
    <cellStyle name="40% - Accent5 17 4" xfId="710"/>
    <cellStyle name="40% - Accent5 17 5" xfId="711"/>
    <cellStyle name="40% - Accent5 18" xfId="712"/>
    <cellStyle name="40% - Accent5 19" xfId="713"/>
    <cellStyle name="40% - Accent5 2" xfId="714"/>
    <cellStyle name="40% - Accent5 2 10" xfId="715"/>
    <cellStyle name="40% - Accent5 2 2" xfId="716"/>
    <cellStyle name="40% - Accent5 2 2 2" xfId="717"/>
    <cellStyle name="40% - Accent5 2 2 2 2" xfId="718"/>
    <cellStyle name="40% - Accent5 2 2 2 2 2" xfId="719"/>
    <cellStyle name="40% - Accent5 2 2 2 2 3" xfId="720"/>
    <cellStyle name="40% - Accent5 2 2 2 3" xfId="721"/>
    <cellStyle name="40% - Accent5 2 2 2 4" xfId="722"/>
    <cellStyle name="40% - Accent5 2 2 2 5" xfId="723"/>
    <cellStyle name="40% - Accent5 2 2 2 6" xfId="724"/>
    <cellStyle name="40% - Accent5 2 2 3" xfId="725"/>
    <cellStyle name="40% - Accent5 2 2 4" xfId="726"/>
    <cellStyle name="40% - Accent5 2 2 5" xfId="727"/>
    <cellStyle name="40% - Accent5 2 2 6" xfId="728"/>
    <cellStyle name="40% - Accent5 2 3" xfId="729"/>
    <cellStyle name="40% - Accent5 2 4" xfId="730"/>
    <cellStyle name="40% - Accent5 2 5" xfId="731"/>
    <cellStyle name="40% - Accent5 2 6" xfId="732"/>
    <cellStyle name="40% - Accent5 2 7" xfId="733"/>
    <cellStyle name="40% - Accent5 2 8" xfId="734"/>
    <cellStyle name="40% - Accent5 2 9" xfId="735"/>
    <cellStyle name="40% - Accent5 20" xfId="736"/>
    <cellStyle name="40% - Accent5 21" xfId="737"/>
    <cellStyle name="40% - Accent5 22" xfId="738"/>
    <cellStyle name="40% - Accent5 23" xfId="739"/>
    <cellStyle name="40% - Accent5 24" xfId="740"/>
    <cellStyle name="40% - Accent5 25" xfId="741"/>
    <cellStyle name="40% - Accent5 26" xfId="742"/>
    <cellStyle name="40% - Accent5 27" xfId="743"/>
    <cellStyle name="40% - Accent5 28" xfId="744"/>
    <cellStyle name="40% - Accent5 29" xfId="745"/>
    <cellStyle name="40% - Accent5 3" xfId="746"/>
    <cellStyle name="40% - Accent5 30" xfId="747"/>
    <cellStyle name="40% - Accent5 31" xfId="748"/>
    <cellStyle name="40% - Accent5 32" xfId="749"/>
    <cellStyle name="40% - Accent5 33" xfId="750"/>
    <cellStyle name="40% - Accent5 34" xfId="751"/>
    <cellStyle name="40% - Accent5 35" xfId="752"/>
    <cellStyle name="40% - Accent5 36" xfId="753"/>
    <cellStyle name="40% - Accent5 4" xfId="754"/>
    <cellStyle name="40% - Accent5 5" xfId="755"/>
    <cellStyle name="40% - Accent5 6" xfId="756"/>
    <cellStyle name="40% - Accent5 7" xfId="757"/>
    <cellStyle name="40% - Accent5 8" xfId="758"/>
    <cellStyle name="40% - Accent5 9" xfId="759"/>
    <cellStyle name="40% - Accent6 10" xfId="760"/>
    <cellStyle name="40% - Accent6 11" xfId="761"/>
    <cellStyle name="40% - Accent6 12" xfId="762"/>
    <cellStyle name="40% - Accent6 13" xfId="763"/>
    <cellStyle name="40% - Accent6 14" xfId="764"/>
    <cellStyle name="40% - Accent6 15" xfId="765"/>
    <cellStyle name="40% - Accent6 15 2" xfId="766"/>
    <cellStyle name="40% - Accent6 15 3" xfId="767"/>
    <cellStyle name="40% - Accent6 15 4" xfId="768"/>
    <cellStyle name="40% - Accent6 15 5" xfId="769"/>
    <cellStyle name="40% - Accent6 16" xfId="770"/>
    <cellStyle name="40% - Accent6 16 2" xfId="771"/>
    <cellStyle name="40% - Accent6 16 3" xfId="772"/>
    <cellStyle name="40% - Accent6 16 4" xfId="773"/>
    <cellStyle name="40% - Accent6 16 5" xfId="774"/>
    <cellStyle name="40% - Accent6 17" xfId="775"/>
    <cellStyle name="40% - Accent6 17 2" xfId="776"/>
    <cellStyle name="40% - Accent6 17 3" xfId="777"/>
    <cellStyle name="40% - Accent6 17 4" xfId="778"/>
    <cellStyle name="40% - Accent6 17 5" xfId="779"/>
    <cellStyle name="40% - Accent6 18" xfId="780"/>
    <cellStyle name="40% - Accent6 19" xfId="781"/>
    <cellStyle name="40% - Accent6 2" xfId="782"/>
    <cellStyle name="40% - Accent6 2 10" xfId="783"/>
    <cellStyle name="40% - Accent6 2 2" xfId="784"/>
    <cellStyle name="40% - Accent6 2 2 2" xfId="785"/>
    <cellStyle name="40% - Accent6 2 2 2 2" xfId="786"/>
    <cellStyle name="40% - Accent6 2 2 2 2 2" xfId="787"/>
    <cellStyle name="40% - Accent6 2 2 2 2 3" xfId="788"/>
    <cellStyle name="40% - Accent6 2 2 2 3" xfId="789"/>
    <cellStyle name="40% - Accent6 2 2 2 4" xfId="790"/>
    <cellStyle name="40% - Accent6 2 2 2 5" xfId="791"/>
    <cellStyle name="40% - Accent6 2 2 2 6" xfId="792"/>
    <cellStyle name="40% - Accent6 2 2 3" xfId="793"/>
    <cellStyle name="40% - Accent6 2 2 4" xfId="794"/>
    <cellStyle name="40% - Accent6 2 2 5" xfId="795"/>
    <cellStyle name="40% - Accent6 2 2 6" xfId="796"/>
    <cellStyle name="40% - Accent6 2 3" xfId="797"/>
    <cellStyle name="40% - Accent6 2 4" xfId="798"/>
    <cellStyle name="40% - Accent6 2 5" xfId="799"/>
    <cellStyle name="40% - Accent6 2 6" xfId="800"/>
    <cellStyle name="40% - Accent6 2 7" xfId="801"/>
    <cellStyle name="40% - Accent6 2 8" xfId="802"/>
    <cellStyle name="40% - Accent6 2 9" xfId="803"/>
    <cellStyle name="40% - Accent6 20" xfId="804"/>
    <cellStyle name="40% - Accent6 21" xfId="805"/>
    <cellStyle name="40% - Accent6 22" xfId="806"/>
    <cellStyle name="40% - Accent6 23" xfId="807"/>
    <cellStyle name="40% - Accent6 24" xfId="808"/>
    <cellStyle name="40% - Accent6 25" xfId="809"/>
    <cellStyle name="40% - Accent6 26" xfId="810"/>
    <cellStyle name="40% - Accent6 27" xfId="811"/>
    <cellStyle name="40% - Accent6 28" xfId="812"/>
    <cellStyle name="40% - Accent6 29" xfId="813"/>
    <cellStyle name="40% - Accent6 3" xfId="814"/>
    <cellStyle name="40% - Accent6 30" xfId="815"/>
    <cellStyle name="40% - Accent6 31" xfId="816"/>
    <cellStyle name="40% - Accent6 32" xfId="817"/>
    <cellStyle name="40% - Accent6 33" xfId="818"/>
    <cellStyle name="40% - Accent6 34" xfId="819"/>
    <cellStyle name="40% - Accent6 35" xfId="820"/>
    <cellStyle name="40% - Accent6 36" xfId="821"/>
    <cellStyle name="40% - Accent6 4" xfId="822"/>
    <cellStyle name="40% - Accent6 5" xfId="823"/>
    <cellStyle name="40% - Accent6 6" xfId="824"/>
    <cellStyle name="40% - Accent6 7" xfId="825"/>
    <cellStyle name="40% - Accent6 8" xfId="826"/>
    <cellStyle name="40% - Accent6 9" xfId="827"/>
    <cellStyle name="60% - Accent1 10" xfId="828"/>
    <cellStyle name="60% - Accent1 11" xfId="829"/>
    <cellStyle name="60% - Accent1 12" xfId="830"/>
    <cellStyle name="60% - Accent1 13" xfId="831"/>
    <cellStyle name="60% - Accent1 14" xfId="832"/>
    <cellStyle name="60% - Accent1 15" xfId="833"/>
    <cellStyle name="60% - Accent1 16" xfId="834"/>
    <cellStyle name="60% - Accent1 17" xfId="835"/>
    <cellStyle name="60% - Accent1 18" xfId="836"/>
    <cellStyle name="60% - Accent1 19" xfId="837"/>
    <cellStyle name="60% - Accent1 2" xfId="838"/>
    <cellStyle name="60% - Accent1 2 10" xfId="839"/>
    <cellStyle name="60% - Accent1 2 2" xfId="840"/>
    <cellStyle name="60% - Accent1 2 2 2" xfId="841"/>
    <cellStyle name="60% - Accent1 2 2 2 2" xfId="842"/>
    <cellStyle name="60% - Accent1 2 2 2 2 2" xfId="843"/>
    <cellStyle name="60% - Accent1 2 2 2 2 3" xfId="844"/>
    <cellStyle name="60% - Accent1 2 2 2 3" xfId="845"/>
    <cellStyle name="60% - Accent1 2 2 2 4" xfId="846"/>
    <cellStyle name="60% - Accent1 2 2 2 5" xfId="847"/>
    <cellStyle name="60% - Accent1 2 2 2 6" xfId="848"/>
    <cellStyle name="60% - Accent1 2 2 3" xfId="849"/>
    <cellStyle name="60% - Accent1 2 2 4" xfId="850"/>
    <cellStyle name="60% - Accent1 2 2 5" xfId="851"/>
    <cellStyle name="60% - Accent1 2 2 6" xfId="852"/>
    <cellStyle name="60% - Accent1 2 3" xfId="853"/>
    <cellStyle name="60% - Accent1 2 4" xfId="854"/>
    <cellStyle name="60% - Accent1 2 5" xfId="855"/>
    <cellStyle name="60% - Accent1 2 6" xfId="856"/>
    <cellStyle name="60% - Accent1 2 7" xfId="857"/>
    <cellStyle name="60% - Accent1 2 8" xfId="858"/>
    <cellStyle name="60% - Accent1 2 9" xfId="859"/>
    <cellStyle name="60% - Accent1 20" xfId="860"/>
    <cellStyle name="60% - Accent1 21" xfId="861"/>
    <cellStyle name="60% - Accent1 22" xfId="862"/>
    <cellStyle name="60% - Accent1 23" xfId="863"/>
    <cellStyle name="60% - Accent1 3" xfId="864"/>
    <cellStyle name="60% - Accent1 4" xfId="865"/>
    <cellStyle name="60% - Accent1 5" xfId="866"/>
    <cellStyle name="60% - Accent1 6" xfId="867"/>
    <cellStyle name="60% - Accent1 7" xfId="868"/>
    <cellStyle name="60% - Accent1 8" xfId="869"/>
    <cellStyle name="60% - Accent1 9" xfId="870"/>
    <cellStyle name="60% - Accent2 10" xfId="871"/>
    <cellStyle name="60% - Accent2 11" xfId="872"/>
    <cellStyle name="60% - Accent2 12" xfId="873"/>
    <cellStyle name="60% - Accent2 13" xfId="874"/>
    <cellStyle name="60% - Accent2 14" xfId="875"/>
    <cellStyle name="60% - Accent2 15" xfId="876"/>
    <cellStyle name="60% - Accent2 16" xfId="877"/>
    <cellStyle name="60% - Accent2 17" xfId="878"/>
    <cellStyle name="60% - Accent2 18" xfId="879"/>
    <cellStyle name="60% - Accent2 19" xfId="880"/>
    <cellStyle name="60% - Accent2 2" xfId="881"/>
    <cellStyle name="60% - Accent2 2 10" xfId="882"/>
    <cellStyle name="60% - Accent2 2 2" xfId="883"/>
    <cellStyle name="60% - Accent2 2 2 2" xfId="884"/>
    <cellStyle name="60% - Accent2 2 2 2 2" xfId="885"/>
    <cellStyle name="60% - Accent2 2 2 2 2 2" xfId="886"/>
    <cellStyle name="60% - Accent2 2 2 2 2 3" xfId="887"/>
    <cellStyle name="60% - Accent2 2 2 2 3" xfId="888"/>
    <cellStyle name="60% - Accent2 2 2 2 4" xfId="889"/>
    <cellStyle name="60% - Accent2 2 2 2 5" xfId="890"/>
    <cellStyle name="60% - Accent2 2 2 2 6" xfId="891"/>
    <cellStyle name="60% - Accent2 2 2 3" xfId="892"/>
    <cellStyle name="60% - Accent2 2 2 4" xfId="893"/>
    <cellStyle name="60% - Accent2 2 2 5" xfId="894"/>
    <cellStyle name="60% - Accent2 2 2 6" xfId="895"/>
    <cellStyle name="60% - Accent2 2 3" xfId="896"/>
    <cellStyle name="60% - Accent2 2 4" xfId="897"/>
    <cellStyle name="60% - Accent2 2 5" xfId="898"/>
    <cellStyle name="60% - Accent2 2 6" xfId="899"/>
    <cellStyle name="60% - Accent2 2 7" xfId="900"/>
    <cellStyle name="60% - Accent2 2 8" xfId="901"/>
    <cellStyle name="60% - Accent2 2 9" xfId="902"/>
    <cellStyle name="60% - Accent2 20" xfId="903"/>
    <cellStyle name="60% - Accent2 21" xfId="904"/>
    <cellStyle name="60% - Accent2 22" xfId="905"/>
    <cellStyle name="60% - Accent2 23" xfId="906"/>
    <cellStyle name="60% - Accent2 3" xfId="907"/>
    <cellStyle name="60% - Accent2 4" xfId="908"/>
    <cellStyle name="60% - Accent2 5" xfId="909"/>
    <cellStyle name="60% - Accent2 6" xfId="910"/>
    <cellStyle name="60% - Accent2 7" xfId="911"/>
    <cellStyle name="60% - Accent2 8" xfId="912"/>
    <cellStyle name="60% - Accent2 9" xfId="913"/>
    <cellStyle name="60% - Accent3 10" xfId="914"/>
    <cellStyle name="60% - Accent3 11" xfId="915"/>
    <cellStyle name="60% - Accent3 12" xfId="916"/>
    <cellStyle name="60% - Accent3 13" xfId="917"/>
    <cellStyle name="60% - Accent3 14" xfId="918"/>
    <cellStyle name="60% - Accent3 15" xfId="919"/>
    <cellStyle name="60% - Accent3 16" xfId="920"/>
    <cellStyle name="60% - Accent3 17" xfId="921"/>
    <cellStyle name="60% - Accent3 18" xfId="922"/>
    <cellStyle name="60% - Accent3 19" xfId="923"/>
    <cellStyle name="60% - Accent3 2" xfId="924"/>
    <cellStyle name="60% - Accent3 2 10" xfId="925"/>
    <cellStyle name="60% - Accent3 2 2" xfId="926"/>
    <cellStyle name="60% - Accent3 2 2 2" xfId="927"/>
    <cellStyle name="60% - Accent3 2 2 2 2" xfId="928"/>
    <cellStyle name="60% - Accent3 2 2 2 2 2" xfId="929"/>
    <cellStyle name="60% - Accent3 2 2 2 2 3" xfId="930"/>
    <cellStyle name="60% - Accent3 2 2 2 3" xfId="931"/>
    <cellStyle name="60% - Accent3 2 2 2 4" xfId="932"/>
    <cellStyle name="60% - Accent3 2 2 2 5" xfId="933"/>
    <cellStyle name="60% - Accent3 2 2 2 6" xfId="934"/>
    <cellStyle name="60% - Accent3 2 2 3" xfId="935"/>
    <cellStyle name="60% - Accent3 2 2 4" xfId="936"/>
    <cellStyle name="60% - Accent3 2 2 5" xfId="937"/>
    <cellStyle name="60% - Accent3 2 2 6" xfId="938"/>
    <cellStyle name="60% - Accent3 2 3" xfId="939"/>
    <cellStyle name="60% - Accent3 2 4" xfId="940"/>
    <cellStyle name="60% - Accent3 2 5" xfId="941"/>
    <cellStyle name="60% - Accent3 2 6" xfId="942"/>
    <cellStyle name="60% - Accent3 2 7" xfId="943"/>
    <cellStyle name="60% - Accent3 2 8" xfId="944"/>
    <cellStyle name="60% - Accent3 2 9" xfId="945"/>
    <cellStyle name="60% - Accent3 20" xfId="946"/>
    <cellStyle name="60% - Accent3 21" xfId="947"/>
    <cellStyle name="60% - Accent3 22" xfId="948"/>
    <cellStyle name="60% - Accent3 23" xfId="949"/>
    <cellStyle name="60% - Accent3 3" xfId="950"/>
    <cellStyle name="60% - Accent3 4" xfId="951"/>
    <cellStyle name="60% - Accent3 5" xfId="952"/>
    <cellStyle name="60% - Accent3 6" xfId="953"/>
    <cellStyle name="60% - Accent3 7" xfId="954"/>
    <cellStyle name="60% - Accent3 8" xfId="955"/>
    <cellStyle name="60% - Accent3 9" xfId="956"/>
    <cellStyle name="60% - Accent4 10" xfId="957"/>
    <cellStyle name="60% - Accent4 11" xfId="958"/>
    <cellStyle name="60% - Accent4 12" xfId="959"/>
    <cellStyle name="60% - Accent4 13" xfId="960"/>
    <cellStyle name="60% - Accent4 14" xfId="961"/>
    <cellStyle name="60% - Accent4 15" xfId="962"/>
    <cellStyle name="60% - Accent4 16" xfId="963"/>
    <cellStyle name="60% - Accent4 17" xfId="964"/>
    <cellStyle name="60% - Accent4 18" xfId="965"/>
    <cellStyle name="60% - Accent4 19" xfId="966"/>
    <cellStyle name="60% - Accent4 2" xfId="967"/>
    <cellStyle name="60% - Accent4 2 10" xfId="968"/>
    <cellStyle name="60% - Accent4 2 2" xfId="969"/>
    <cellStyle name="60% - Accent4 2 2 2" xfId="970"/>
    <cellStyle name="60% - Accent4 2 2 2 2" xfId="971"/>
    <cellStyle name="60% - Accent4 2 2 2 2 2" xfId="972"/>
    <cellStyle name="60% - Accent4 2 2 2 2 3" xfId="973"/>
    <cellStyle name="60% - Accent4 2 2 2 3" xfId="974"/>
    <cellStyle name="60% - Accent4 2 2 2 4" xfId="975"/>
    <cellStyle name="60% - Accent4 2 2 2 5" xfId="976"/>
    <cellStyle name="60% - Accent4 2 2 2 6" xfId="977"/>
    <cellStyle name="60% - Accent4 2 2 3" xfId="978"/>
    <cellStyle name="60% - Accent4 2 2 4" xfId="979"/>
    <cellStyle name="60% - Accent4 2 2 5" xfId="980"/>
    <cellStyle name="60% - Accent4 2 2 6" xfId="981"/>
    <cellStyle name="60% - Accent4 2 3" xfId="982"/>
    <cellStyle name="60% - Accent4 2 4" xfId="983"/>
    <cellStyle name="60% - Accent4 2 5" xfId="984"/>
    <cellStyle name="60% - Accent4 2 6" xfId="985"/>
    <cellStyle name="60% - Accent4 2 7" xfId="986"/>
    <cellStyle name="60% - Accent4 2 8" xfId="987"/>
    <cellStyle name="60% - Accent4 2 9" xfId="988"/>
    <cellStyle name="60% - Accent4 20" xfId="989"/>
    <cellStyle name="60% - Accent4 21" xfId="990"/>
    <cellStyle name="60% - Accent4 22" xfId="991"/>
    <cellStyle name="60% - Accent4 23" xfId="992"/>
    <cellStyle name="60% - Accent4 3" xfId="993"/>
    <cellStyle name="60% - Accent4 4" xfId="994"/>
    <cellStyle name="60% - Accent4 5" xfId="995"/>
    <cellStyle name="60% - Accent4 6" xfId="996"/>
    <cellStyle name="60% - Accent4 7" xfId="997"/>
    <cellStyle name="60% - Accent4 8" xfId="998"/>
    <cellStyle name="60% - Accent4 9" xfId="999"/>
    <cellStyle name="60% - Accent5 10" xfId="1000"/>
    <cellStyle name="60% - Accent5 11" xfId="1001"/>
    <cellStyle name="60% - Accent5 12" xfId="1002"/>
    <cellStyle name="60% - Accent5 13" xfId="1003"/>
    <cellStyle name="60% - Accent5 14" xfId="1004"/>
    <cellStyle name="60% - Accent5 15" xfId="1005"/>
    <cellStyle name="60% - Accent5 16" xfId="1006"/>
    <cellStyle name="60% - Accent5 17" xfId="1007"/>
    <cellStyle name="60% - Accent5 18" xfId="1008"/>
    <cellStyle name="60% - Accent5 19" xfId="1009"/>
    <cellStyle name="60% - Accent5 2" xfId="1010"/>
    <cellStyle name="60% - Accent5 2 10" xfId="1011"/>
    <cellStyle name="60% - Accent5 2 2" xfId="1012"/>
    <cellStyle name="60% - Accent5 2 2 2" xfId="1013"/>
    <cellStyle name="60% - Accent5 2 2 2 2" xfId="1014"/>
    <cellStyle name="60% - Accent5 2 2 2 2 2" xfId="1015"/>
    <cellStyle name="60% - Accent5 2 2 2 2 3" xfId="1016"/>
    <cellStyle name="60% - Accent5 2 2 2 3" xfId="1017"/>
    <cellStyle name="60% - Accent5 2 2 2 4" xfId="1018"/>
    <cellStyle name="60% - Accent5 2 2 2 5" xfId="1019"/>
    <cellStyle name="60% - Accent5 2 2 2 6" xfId="1020"/>
    <cellStyle name="60% - Accent5 2 2 3" xfId="1021"/>
    <cellStyle name="60% - Accent5 2 2 4" xfId="1022"/>
    <cellStyle name="60% - Accent5 2 2 5" xfId="1023"/>
    <cellStyle name="60% - Accent5 2 2 6" xfId="1024"/>
    <cellStyle name="60% - Accent5 2 3" xfId="1025"/>
    <cellStyle name="60% - Accent5 2 4" xfId="1026"/>
    <cellStyle name="60% - Accent5 2 5" xfId="1027"/>
    <cellStyle name="60% - Accent5 2 6" xfId="1028"/>
    <cellStyle name="60% - Accent5 2 7" xfId="1029"/>
    <cellStyle name="60% - Accent5 2 8" xfId="1030"/>
    <cellStyle name="60% - Accent5 2 9" xfId="1031"/>
    <cellStyle name="60% - Accent5 20" xfId="1032"/>
    <cellStyle name="60% - Accent5 21" xfId="1033"/>
    <cellStyle name="60% - Accent5 22" xfId="1034"/>
    <cellStyle name="60% - Accent5 23" xfId="1035"/>
    <cellStyle name="60% - Accent5 3" xfId="1036"/>
    <cellStyle name="60% - Accent5 4" xfId="1037"/>
    <cellStyle name="60% - Accent5 5" xfId="1038"/>
    <cellStyle name="60% - Accent5 6" xfId="1039"/>
    <cellStyle name="60% - Accent5 7" xfId="1040"/>
    <cellStyle name="60% - Accent5 8" xfId="1041"/>
    <cellStyle name="60% - Accent5 9" xfId="1042"/>
    <cellStyle name="60% - Accent6 10" xfId="1043"/>
    <cellStyle name="60% - Accent6 11" xfId="1044"/>
    <cellStyle name="60% - Accent6 12" xfId="1045"/>
    <cellStyle name="60% - Accent6 13" xfId="1046"/>
    <cellStyle name="60% - Accent6 14" xfId="1047"/>
    <cellStyle name="60% - Accent6 15" xfId="1048"/>
    <cellStyle name="60% - Accent6 16" xfId="1049"/>
    <cellStyle name="60% - Accent6 17" xfId="1050"/>
    <cellStyle name="60% - Accent6 18" xfId="1051"/>
    <cellStyle name="60% - Accent6 19" xfId="1052"/>
    <cellStyle name="60% - Accent6 2" xfId="1053"/>
    <cellStyle name="60% - Accent6 2 10" xfId="1054"/>
    <cellStyle name="60% - Accent6 2 2" xfId="1055"/>
    <cellStyle name="60% - Accent6 2 2 2" xfId="1056"/>
    <cellStyle name="60% - Accent6 2 2 2 2" xfId="1057"/>
    <cellStyle name="60% - Accent6 2 2 2 2 2" xfId="1058"/>
    <cellStyle name="60% - Accent6 2 2 2 2 3" xfId="1059"/>
    <cellStyle name="60% - Accent6 2 2 2 3" xfId="1060"/>
    <cellStyle name="60% - Accent6 2 2 2 4" xfId="1061"/>
    <cellStyle name="60% - Accent6 2 2 2 5" xfId="1062"/>
    <cellStyle name="60% - Accent6 2 2 2 6" xfId="1063"/>
    <cellStyle name="60% - Accent6 2 2 3" xfId="1064"/>
    <cellStyle name="60% - Accent6 2 2 4" xfId="1065"/>
    <cellStyle name="60% - Accent6 2 2 5" xfId="1066"/>
    <cellStyle name="60% - Accent6 2 2 6" xfId="1067"/>
    <cellStyle name="60% - Accent6 2 3" xfId="1068"/>
    <cellStyle name="60% - Accent6 2 4" xfId="1069"/>
    <cellStyle name="60% - Accent6 2 5" xfId="1070"/>
    <cellStyle name="60% - Accent6 2 6" xfId="1071"/>
    <cellStyle name="60% - Accent6 2 7" xfId="1072"/>
    <cellStyle name="60% - Accent6 2 8" xfId="1073"/>
    <cellStyle name="60% - Accent6 2 9" xfId="1074"/>
    <cellStyle name="60% - Accent6 20" xfId="1075"/>
    <cellStyle name="60% - Accent6 21" xfId="1076"/>
    <cellStyle name="60% - Accent6 22" xfId="1077"/>
    <cellStyle name="60% - Accent6 23" xfId="1078"/>
    <cellStyle name="60% - Accent6 3" xfId="1079"/>
    <cellStyle name="60% - Accent6 4" xfId="1080"/>
    <cellStyle name="60% - Accent6 5" xfId="1081"/>
    <cellStyle name="60% - Accent6 6" xfId="1082"/>
    <cellStyle name="60% - Accent6 7" xfId="1083"/>
    <cellStyle name="60% - Accent6 8" xfId="1084"/>
    <cellStyle name="60% - Accent6 9" xfId="1085"/>
    <cellStyle name="Accent1 10" xfId="1086"/>
    <cellStyle name="Accent1 11" xfId="1087"/>
    <cellStyle name="Accent1 12" xfId="1088"/>
    <cellStyle name="Accent1 13" xfId="1089"/>
    <cellStyle name="Accent1 14" xfId="1090"/>
    <cellStyle name="Accent1 15" xfId="1091"/>
    <cellStyle name="Accent1 16" xfId="1092"/>
    <cellStyle name="Accent1 17" xfId="1093"/>
    <cellStyle name="Accent1 18" xfId="1094"/>
    <cellStyle name="Accent1 19" xfId="1095"/>
    <cellStyle name="Accent1 2" xfId="1096"/>
    <cellStyle name="Accent1 2 10" xfId="1097"/>
    <cellStyle name="Accent1 2 2" xfId="1098"/>
    <cellStyle name="Accent1 2 2 2" xfId="1099"/>
    <cellStyle name="Accent1 2 2 2 2" xfId="1100"/>
    <cellStyle name="Accent1 2 2 2 2 2" xfId="1101"/>
    <cellStyle name="Accent1 2 2 2 2 3" xfId="1102"/>
    <cellStyle name="Accent1 2 2 2 3" xfId="1103"/>
    <cellStyle name="Accent1 2 2 2 4" xfId="1104"/>
    <cellStyle name="Accent1 2 2 2 5" xfId="1105"/>
    <cellStyle name="Accent1 2 2 2 6" xfId="1106"/>
    <cellStyle name="Accent1 2 2 3" xfId="1107"/>
    <cellStyle name="Accent1 2 2 4" xfId="1108"/>
    <cellStyle name="Accent1 2 2 5" xfId="1109"/>
    <cellStyle name="Accent1 2 2 6" xfId="1110"/>
    <cellStyle name="Accent1 2 3" xfId="1111"/>
    <cellStyle name="Accent1 2 4" xfId="1112"/>
    <cellStyle name="Accent1 2 5" xfId="1113"/>
    <cellStyle name="Accent1 2 6" xfId="1114"/>
    <cellStyle name="Accent1 2 7" xfId="1115"/>
    <cellStyle name="Accent1 2 8" xfId="1116"/>
    <cellStyle name="Accent1 2 9" xfId="1117"/>
    <cellStyle name="Accent1 20" xfId="1118"/>
    <cellStyle name="Accent1 21" xfId="1119"/>
    <cellStyle name="Accent1 22" xfId="1120"/>
    <cellStyle name="Accent1 23" xfId="1121"/>
    <cellStyle name="Accent1 3" xfId="1122"/>
    <cellStyle name="Accent1 4" xfId="1123"/>
    <cellStyle name="Accent1 5" xfId="1124"/>
    <cellStyle name="Accent1 6" xfId="1125"/>
    <cellStyle name="Accent1 7" xfId="1126"/>
    <cellStyle name="Accent1 8" xfId="1127"/>
    <cellStyle name="Accent1 9" xfId="1128"/>
    <cellStyle name="Accent2 10" xfId="1129"/>
    <cellStyle name="Accent2 11" xfId="1130"/>
    <cellStyle name="Accent2 12" xfId="1131"/>
    <cellStyle name="Accent2 13" xfId="1132"/>
    <cellStyle name="Accent2 14" xfId="1133"/>
    <cellStyle name="Accent2 15" xfId="1134"/>
    <cellStyle name="Accent2 16" xfId="1135"/>
    <cellStyle name="Accent2 17" xfId="1136"/>
    <cellStyle name="Accent2 18" xfId="1137"/>
    <cellStyle name="Accent2 19" xfId="1138"/>
    <cellStyle name="Accent2 2" xfId="1139"/>
    <cellStyle name="Accent2 2 10" xfId="1140"/>
    <cellStyle name="Accent2 2 2" xfId="1141"/>
    <cellStyle name="Accent2 2 2 2" xfId="1142"/>
    <cellStyle name="Accent2 2 2 2 2" xfId="1143"/>
    <cellStyle name="Accent2 2 2 2 2 2" xfId="1144"/>
    <cellStyle name="Accent2 2 2 2 2 3" xfId="1145"/>
    <cellStyle name="Accent2 2 2 2 3" xfId="1146"/>
    <cellStyle name="Accent2 2 2 2 4" xfId="1147"/>
    <cellStyle name="Accent2 2 2 2 5" xfId="1148"/>
    <cellStyle name="Accent2 2 2 2 6" xfId="1149"/>
    <cellStyle name="Accent2 2 2 3" xfId="1150"/>
    <cellStyle name="Accent2 2 2 4" xfId="1151"/>
    <cellStyle name="Accent2 2 2 5" xfId="1152"/>
    <cellStyle name="Accent2 2 2 6" xfId="1153"/>
    <cellStyle name="Accent2 2 3" xfId="1154"/>
    <cellStyle name="Accent2 2 4" xfId="1155"/>
    <cellStyle name="Accent2 2 5" xfId="1156"/>
    <cellStyle name="Accent2 2 6" xfId="1157"/>
    <cellStyle name="Accent2 2 7" xfId="1158"/>
    <cellStyle name="Accent2 2 8" xfId="1159"/>
    <cellStyle name="Accent2 2 9" xfId="1160"/>
    <cellStyle name="Accent2 20" xfId="1161"/>
    <cellStyle name="Accent2 21" xfId="1162"/>
    <cellStyle name="Accent2 22" xfId="1163"/>
    <cellStyle name="Accent2 23" xfId="1164"/>
    <cellStyle name="Accent2 3" xfId="1165"/>
    <cellStyle name="Accent2 4" xfId="1166"/>
    <cellStyle name="Accent2 5" xfId="1167"/>
    <cellStyle name="Accent2 6" xfId="1168"/>
    <cellStyle name="Accent2 7" xfId="1169"/>
    <cellStyle name="Accent2 8" xfId="1170"/>
    <cellStyle name="Accent2 9" xfId="1171"/>
    <cellStyle name="Accent3 10" xfId="1172"/>
    <cellStyle name="Accent3 11" xfId="1173"/>
    <cellStyle name="Accent3 12" xfId="1174"/>
    <cellStyle name="Accent3 13" xfId="1175"/>
    <cellStyle name="Accent3 14" xfId="1176"/>
    <cellStyle name="Accent3 15" xfId="1177"/>
    <cellStyle name="Accent3 16" xfId="1178"/>
    <cellStyle name="Accent3 17" xfId="1179"/>
    <cellStyle name="Accent3 18" xfId="1180"/>
    <cellStyle name="Accent3 19" xfId="1181"/>
    <cellStyle name="Accent3 2" xfId="1182"/>
    <cellStyle name="Accent3 2 10" xfId="1183"/>
    <cellStyle name="Accent3 2 2" xfId="1184"/>
    <cellStyle name="Accent3 2 2 2" xfId="1185"/>
    <cellStyle name="Accent3 2 2 2 2" xfId="1186"/>
    <cellStyle name="Accent3 2 2 2 2 2" xfId="1187"/>
    <cellStyle name="Accent3 2 2 2 2 3" xfId="1188"/>
    <cellStyle name="Accent3 2 2 2 3" xfId="1189"/>
    <cellStyle name="Accent3 2 2 2 4" xfId="1190"/>
    <cellStyle name="Accent3 2 2 2 5" xfId="1191"/>
    <cellStyle name="Accent3 2 2 2 6" xfId="1192"/>
    <cellStyle name="Accent3 2 2 3" xfId="1193"/>
    <cellStyle name="Accent3 2 2 4" xfId="1194"/>
    <cellStyle name="Accent3 2 2 5" xfId="1195"/>
    <cellStyle name="Accent3 2 2 6" xfId="1196"/>
    <cellStyle name="Accent3 2 3" xfId="1197"/>
    <cellStyle name="Accent3 2 4" xfId="1198"/>
    <cellStyle name="Accent3 2 5" xfId="1199"/>
    <cellStyle name="Accent3 2 6" xfId="1200"/>
    <cellStyle name="Accent3 2 7" xfId="1201"/>
    <cellStyle name="Accent3 2 8" xfId="1202"/>
    <cellStyle name="Accent3 2 9" xfId="1203"/>
    <cellStyle name="Accent3 20" xfId="1204"/>
    <cellStyle name="Accent3 21" xfId="1205"/>
    <cellStyle name="Accent3 22" xfId="1206"/>
    <cellStyle name="Accent3 23" xfId="1207"/>
    <cellStyle name="Accent3 3" xfId="1208"/>
    <cellStyle name="Accent3 4" xfId="1209"/>
    <cellStyle name="Accent3 5" xfId="1210"/>
    <cellStyle name="Accent3 6" xfId="1211"/>
    <cellStyle name="Accent3 7" xfId="1212"/>
    <cellStyle name="Accent3 8" xfId="1213"/>
    <cellStyle name="Accent3 9" xfId="1214"/>
    <cellStyle name="Accent4 10" xfId="1215"/>
    <cellStyle name="Accent4 11" xfId="1216"/>
    <cellStyle name="Accent4 12" xfId="1217"/>
    <cellStyle name="Accent4 13" xfId="1218"/>
    <cellStyle name="Accent4 14" xfId="1219"/>
    <cellStyle name="Accent4 15" xfId="1220"/>
    <cellStyle name="Accent4 16" xfId="1221"/>
    <cellStyle name="Accent4 17" xfId="1222"/>
    <cellStyle name="Accent4 18" xfId="1223"/>
    <cellStyle name="Accent4 19" xfId="1224"/>
    <cellStyle name="Accent4 2" xfId="1225"/>
    <cellStyle name="Accent4 2 10" xfId="1226"/>
    <cellStyle name="Accent4 2 2" xfId="1227"/>
    <cellStyle name="Accent4 2 2 2" xfId="1228"/>
    <cellStyle name="Accent4 2 2 2 2" xfId="1229"/>
    <cellStyle name="Accent4 2 2 2 2 2" xfId="1230"/>
    <cellStyle name="Accent4 2 2 2 2 3" xfId="1231"/>
    <cellStyle name="Accent4 2 2 2 3" xfId="1232"/>
    <cellStyle name="Accent4 2 2 2 4" xfId="1233"/>
    <cellStyle name="Accent4 2 2 2 5" xfId="1234"/>
    <cellStyle name="Accent4 2 2 2 6" xfId="1235"/>
    <cellStyle name="Accent4 2 2 3" xfId="1236"/>
    <cellStyle name="Accent4 2 2 4" xfId="1237"/>
    <cellStyle name="Accent4 2 2 5" xfId="1238"/>
    <cellStyle name="Accent4 2 2 6" xfId="1239"/>
    <cellStyle name="Accent4 2 3" xfId="1240"/>
    <cellStyle name="Accent4 2 4" xfId="1241"/>
    <cellStyle name="Accent4 2 5" xfId="1242"/>
    <cellStyle name="Accent4 2 6" xfId="1243"/>
    <cellStyle name="Accent4 2 7" xfId="1244"/>
    <cellStyle name="Accent4 2 8" xfId="1245"/>
    <cellStyle name="Accent4 2 9" xfId="1246"/>
    <cellStyle name="Accent4 20" xfId="1247"/>
    <cellStyle name="Accent4 21" xfId="1248"/>
    <cellStyle name="Accent4 22" xfId="1249"/>
    <cellStyle name="Accent4 23" xfId="1250"/>
    <cellStyle name="Accent4 3" xfId="1251"/>
    <cellStyle name="Accent4 4" xfId="1252"/>
    <cellStyle name="Accent4 5" xfId="1253"/>
    <cellStyle name="Accent4 6" xfId="1254"/>
    <cellStyle name="Accent4 7" xfId="1255"/>
    <cellStyle name="Accent4 8" xfId="1256"/>
    <cellStyle name="Accent4 9" xfId="1257"/>
    <cellStyle name="Accent5 10" xfId="1258"/>
    <cellStyle name="Accent5 11" xfId="1259"/>
    <cellStyle name="Accent5 12" xfId="1260"/>
    <cellStyle name="Accent5 13" xfId="1261"/>
    <cellStyle name="Accent5 14" xfId="1262"/>
    <cellStyle name="Accent5 15" xfId="1263"/>
    <cellStyle name="Accent5 16" xfId="1264"/>
    <cellStyle name="Accent5 17" xfId="1265"/>
    <cellStyle name="Accent5 18" xfId="1266"/>
    <cellStyle name="Accent5 19" xfId="1267"/>
    <cellStyle name="Accent5 2" xfId="1268"/>
    <cellStyle name="Accent5 2 10" xfId="1269"/>
    <cellStyle name="Accent5 2 2" xfId="1270"/>
    <cellStyle name="Accent5 2 2 2" xfId="1271"/>
    <cellStyle name="Accent5 2 2 2 2" xfId="1272"/>
    <cellStyle name="Accent5 2 2 2 2 2" xfId="1273"/>
    <cellStyle name="Accent5 2 2 2 2 3" xfId="1274"/>
    <cellStyle name="Accent5 2 2 2 3" xfId="1275"/>
    <cellStyle name="Accent5 2 2 2 4" xfId="1276"/>
    <cellStyle name="Accent5 2 2 2 5" xfId="1277"/>
    <cellStyle name="Accent5 2 2 2 6" xfId="1278"/>
    <cellStyle name="Accent5 2 2 3" xfId="1279"/>
    <cellStyle name="Accent5 2 2 4" xfId="1280"/>
    <cellStyle name="Accent5 2 2 5" xfId="1281"/>
    <cellStyle name="Accent5 2 2 6" xfId="1282"/>
    <cellStyle name="Accent5 2 3" xfId="1283"/>
    <cellStyle name="Accent5 2 4" xfId="1284"/>
    <cellStyle name="Accent5 2 5" xfId="1285"/>
    <cellStyle name="Accent5 2 6" xfId="1286"/>
    <cellStyle name="Accent5 2 7" xfId="1287"/>
    <cellStyle name="Accent5 2 8" xfId="1288"/>
    <cellStyle name="Accent5 2 9" xfId="1289"/>
    <cellStyle name="Accent5 20" xfId="1290"/>
    <cellStyle name="Accent5 21" xfId="1291"/>
    <cellStyle name="Accent5 22" xfId="1292"/>
    <cellStyle name="Accent5 23" xfId="1293"/>
    <cellStyle name="Accent5 3" xfId="1294"/>
    <cellStyle name="Accent5 4" xfId="1295"/>
    <cellStyle name="Accent5 5" xfId="1296"/>
    <cellStyle name="Accent5 6" xfId="1297"/>
    <cellStyle name="Accent5 7" xfId="1298"/>
    <cellStyle name="Accent5 8" xfId="1299"/>
    <cellStyle name="Accent5 9" xfId="1300"/>
    <cellStyle name="Accent6 10" xfId="1301"/>
    <cellStyle name="Accent6 11" xfId="1302"/>
    <cellStyle name="Accent6 12" xfId="1303"/>
    <cellStyle name="Accent6 13" xfId="1304"/>
    <cellStyle name="Accent6 14" xfId="1305"/>
    <cellStyle name="Accent6 15" xfId="1306"/>
    <cellStyle name="Accent6 16" xfId="1307"/>
    <cellStyle name="Accent6 17" xfId="1308"/>
    <cellStyle name="Accent6 18" xfId="1309"/>
    <cellStyle name="Accent6 19" xfId="1310"/>
    <cellStyle name="Accent6 2" xfId="1311"/>
    <cellStyle name="Accent6 2 10" xfId="1312"/>
    <cellStyle name="Accent6 2 2" xfId="1313"/>
    <cellStyle name="Accent6 2 2 2" xfId="1314"/>
    <cellStyle name="Accent6 2 2 2 2" xfId="1315"/>
    <cellStyle name="Accent6 2 2 2 2 2" xfId="1316"/>
    <cellStyle name="Accent6 2 2 2 2 3" xfId="1317"/>
    <cellStyle name="Accent6 2 2 2 3" xfId="1318"/>
    <cellStyle name="Accent6 2 2 2 4" xfId="1319"/>
    <cellStyle name="Accent6 2 2 2 5" xfId="1320"/>
    <cellStyle name="Accent6 2 2 2 6" xfId="1321"/>
    <cellStyle name="Accent6 2 2 3" xfId="1322"/>
    <cellStyle name="Accent6 2 2 4" xfId="1323"/>
    <cellStyle name="Accent6 2 2 5" xfId="1324"/>
    <cellStyle name="Accent6 2 2 6" xfId="1325"/>
    <cellStyle name="Accent6 2 3" xfId="1326"/>
    <cellStyle name="Accent6 2 4" xfId="1327"/>
    <cellStyle name="Accent6 2 5" xfId="1328"/>
    <cellStyle name="Accent6 2 6" xfId="1329"/>
    <cellStyle name="Accent6 2 7" xfId="1330"/>
    <cellStyle name="Accent6 2 8" xfId="1331"/>
    <cellStyle name="Accent6 2 9" xfId="1332"/>
    <cellStyle name="Accent6 20" xfId="1333"/>
    <cellStyle name="Accent6 21" xfId="1334"/>
    <cellStyle name="Accent6 22" xfId="1335"/>
    <cellStyle name="Accent6 23" xfId="1336"/>
    <cellStyle name="Accent6 3" xfId="1337"/>
    <cellStyle name="Accent6 4" xfId="1338"/>
    <cellStyle name="Accent6 5" xfId="1339"/>
    <cellStyle name="Accent6 6" xfId="1340"/>
    <cellStyle name="Accent6 7" xfId="1341"/>
    <cellStyle name="Accent6 8" xfId="1342"/>
    <cellStyle name="Accent6 9" xfId="1343"/>
    <cellStyle name="Bad 10" xfId="1344"/>
    <cellStyle name="Bad 11" xfId="1345"/>
    <cellStyle name="Bad 12" xfId="1346"/>
    <cellStyle name="Bad 13" xfId="1347"/>
    <cellStyle name="Bad 14" xfId="1348"/>
    <cellStyle name="Bad 15" xfId="1349"/>
    <cellStyle name="Bad 16" xfId="1350"/>
    <cellStyle name="Bad 17" xfId="1351"/>
    <cellStyle name="Bad 18" xfId="1352"/>
    <cellStyle name="Bad 19" xfId="1353"/>
    <cellStyle name="Bad 2" xfId="1354"/>
    <cellStyle name="Bad 2 10" xfId="1355"/>
    <cellStyle name="Bad 2 2" xfId="1356"/>
    <cellStyle name="Bad 2 2 2" xfId="1357"/>
    <cellStyle name="Bad 2 2 2 2" xfId="1358"/>
    <cellStyle name="Bad 2 2 2 2 2" xfId="1359"/>
    <cellStyle name="Bad 2 2 2 2 3" xfId="1360"/>
    <cellStyle name="Bad 2 2 2 3" xfId="1361"/>
    <cellStyle name="Bad 2 2 2 4" xfId="1362"/>
    <cellStyle name="Bad 2 2 2 5" xfId="1363"/>
    <cellStyle name="Bad 2 2 2 6" xfId="1364"/>
    <cellStyle name="Bad 2 2 3" xfId="1365"/>
    <cellStyle name="Bad 2 2 4" xfId="1366"/>
    <cellStyle name="Bad 2 2 5" xfId="1367"/>
    <cellStyle name="Bad 2 2 6" xfId="1368"/>
    <cellStyle name="Bad 2 3" xfId="1369"/>
    <cellStyle name="Bad 2 4" xfId="1370"/>
    <cellStyle name="Bad 2 5" xfId="1371"/>
    <cellStyle name="Bad 2 6" xfId="1372"/>
    <cellStyle name="Bad 2 7" xfId="1373"/>
    <cellStyle name="Bad 2 8" xfId="1374"/>
    <cellStyle name="Bad 2 9" xfId="1375"/>
    <cellStyle name="Bad 20" xfId="1376"/>
    <cellStyle name="Bad 21" xfId="1377"/>
    <cellStyle name="Bad 22" xfId="1378"/>
    <cellStyle name="Bad 23" xfId="1379"/>
    <cellStyle name="Bad 3" xfId="1380"/>
    <cellStyle name="Bad 4" xfId="1381"/>
    <cellStyle name="Bad 5" xfId="1382"/>
    <cellStyle name="Bad 6" xfId="1383"/>
    <cellStyle name="Bad 7" xfId="1384"/>
    <cellStyle name="Bad 8" xfId="1385"/>
    <cellStyle name="Bad 9" xfId="1386"/>
    <cellStyle name="Calculation 10" xfId="1387"/>
    <cellStyle name="Calculation 11" xfId="1388"/>
    <cellStyle name="Calculation 12" xfId="1389"/>
    <cellStyle name="Calculation 13" xfId="1390"/>
    <cellStyle name="Calculation 14" xfId="1391"/>
    <cellStyle name="Calculation 15" xfId="1392"/>
    <cellStyle name="Calculation 16" xfId="1393"/>
    <cellStyle name="Calculation 17" xfId="1394"/>
    <cellStyle name="Calculation 18" xfId="1395"/>
    <cellStyle name="Calculation 19" xfId="1396"/>
    <cellStyle name="Calculation 2" xfId="1397"/>
    <cellStyle name="Calculation 2 10" xfId="1398"/>
    <cellStyle name="Calculation 2 2" xfId="1399"/>
    <cellStyle name="Calculation 2 2 2" xfId="1400"/>
    <cellStyle name="Calculation 2 2 2 2" xfId="1401"/>
    <cellStyle name="Calculation 2 2 2 2 2" xfId="1402"/>
    <cellStyle name="Calculation 2 2 2 2 3" xfId="1403"/>
    <cellStyle name="Calculation 2 2 2 3" xfId="1404"/>
    <cellStyle name="Calculation 2 2 2 4" xfId="1405"/>
    <cellStyle name="Calculation 2 2 2 5" xfId="1406"/>
    <cellStyle name="Calculation 2 2 2 6" xfId="1407"/>
    <cellStyle name="Calculation 2 2 3" xfId="1408"/>
    <cellStyle name="Calculation 2 2 4" xfId="1409"/>
    <cellStyle name="Calculation 2 2 5" xfId="1410"/>
    <cellStyle name="Calculation 2 2 6" xfId="1411"/>
    <cellStyle name="Calculation 2 3" xfId="1412"/>
    <cellStyle name="Calculation 2 4" xfId="1413"/>
    <cellStyle name="Calculation 2 5" xfId="1414"/>
    <cellStyle name="Calculation 2 6" xfId="1415"/>
    <cellStyle name="Calculation 2 7" xfId="1416"/>
    <cellStyle name="Calculation 2 8" xfId="1417"/>
    <cellStyle name="Calculation 2 9" xfId="1418"/>
    <cellStyle name="Calculation 20" xfId="1419"/>
    <cellStyle name="Calculation 21" xfId="1420"/>
    <cellStyle name="Calculation 22" xfId="1421"/>
    <cellStyle name="Calculation 23" xfId="1422"/>
    <cellStyle name="Calculation 3" xfId="1423"/>
    <cellStyle name="Calculation 4" xfId="1424"/>
    <cellStyle name="Calculation 5" xfId="1425"/>
    <cellStyle name="Calculation 6" xfId="1426"/>
    <cellStyle name="Calculation 7" xfId="1427"/>
    <cellStyle name="Calculation 8" xfId="1428"/>
    <cellStyle name="Calculation 9" xfId="1429"/>
    <cellStyle name="Check Cell 10" xfId="1430"/>
    <cellStyle name="Check Cell 11" xfId="1431"/>
    <cellStyle name="Check Cell 12" xfId="1432"/>
    <cellStyle name="Check Cell 13" xfId="1433"/>
    <cellStyle name="Check Cell 14" xfId="1434"/>
    <cellStyle name="Check Cell 15" xfId="1435"/>
    <cellStyle name="Check Cell 16" xfId="1436"/>
    <cellStyle name="Check Cell 17" xfId="1437"/>
    <cellStyle name="Check Cell 18" xfId="1438"/>
    <cellStyle name="Check Cell 19" xfId="1439"/>
    <cellStyle name="Check Cell 2" xfId="1440"/>
    <cellStyle name="Check Cell 2 10" xfId="1441"/>
    <cellStyle name="Check Cell 2 2" xfId="1442"/>
    <cellStyle name="Check Cell 2 2 2" xfId="1443"/>
    <cellStyle name="Check Cell 2 2 2 2" xfId="1444"/>
    <cellStyle name="Check Cell 2 2 2 2 2" xfId="1445"/>
    <cellStyle name="Check Cell 2 2 2 2 3" xfId="1446"/>
    <cellStyle name="Check Cell 2 2 2 3" xfId="1447"/>
    <cellStyle name="Check Cell 2 2 2 4" xfId="1448"/>
    <cellStyle name="Check Cell 2 2 2 5" xfId="1449"/>
    <cellStyle name="Check Cell 2 2 2 6" xfId="1450"/>
    <cellStyle name="Check Cell 2 2 3" xfId="1451"/>
    <cellStyle name="Check Cell 2 2 4" xfId="1452"/>
    <cellStyle name="Check Cell 2 2 5" xfId="1453"/>
    <cellStyle name="Check Cell 2 2 6" xfId="1454"/>
    <cellStyle name="Check Cell 2 3" xfId="1455"/>
    <cellStyle name="Check Cell 2 4" xfId="1456"/>
    <cellStyle name="Check Cell 2 5" xfId="1457"/>
    <cellStyle name="Check Cell 2 6" xfId="1458"/>
    <cellStyle name="Check Cell 2 7" xfId="1459"/>
    <cellStyle name="Check Cell 2 8" xfId="1460"/>
    <cellStyle name="Check Cell 2 9" xfId="1461"/>
    <cellStyle name="Check Cell 20" xfId="1462"/>
    <cellStyle name="Check Cell 21" xfId="1463"/>
    <cellStyle name="Check Cell 22" xfId="1464"/>
    <cellStyle name="Check Cell 23" xfId="1465"/>
    <cellStyle name="Check Cell 3" xfId="1466"/>
    <cellStyle name="Check Cell 4" xfId="1467"/>
    <cellStyle name="Check Cell 5" xfId="1468"/>
    <cellStyle name="Check Cell 6" xfId="1469"/>
    <cellStyle name="Check Cell 7" xfId="1470"/>
    <cellStyle name="Check Cell 8" xfId="1471"/>
    <cellStyle name="Check Cell 9" xfId="1472"/>
    <cellStyle name="ColumnAttributeAbovePrompt" xfId="1473"/>
    <cellStyle name="ColumnAttributePrompt" xfId="1474"/>
    <cellStyle name="ColumnAttributeValue" xfId="1475"/>
    <cellStyle name="ColumnHeadingPrompt" xfId="1476"/>
    <cellStyle name="ColumnHeadingValue" xfId="1477"/>
    <cellStyle name="Comma" xfId="1" builtinId="3"/>
    <cellStyle name="Comma 10" xfId="1478"/>
    <cellStyle name="Comma 11" xfId="1479"/>
    <cellStyle name="Comma 12" xfId="1480"/>
    <cellStyle name="Comma 13" xfId="1481"/>
    <cellStyle name="Comma 14" xfId="1482"/>
    <cellStyle name="Comma 15" xfId="1483"/>
    <cellStyle name="Comma 16" xfId="1484"/>
    <cellStyle name="Comma 17" xfId="1485"/>
    <cellStyle name="Comma 18" xfId="8"/>
    <cellStyle name="Comma 2" xfId="5"/>
    <cellStyle name="Comma 2 10" xfId="1486"/>
    <cellStyle name="Comma 2 11" xfId="1487"/>
    <cellStyle name="Comma 2 12" xfId="1488"/>
    <cellStyle name="Comma 2 13" xfId="1489"/>
    <cellStyle name="Comma 2 14" xfId="1490"/>
    <cellStyle name="Comma 2 15" xfId="1491"/>
    <cellStyle name="Comma 2 16" xfId="1492"/>
    <cellStyle name="Comma 2 17" xfId="1493"/>
    <cellStyle name="Comma 2 18" xfId="1494"/>
    <cellStyle name="Comma 2 19" xfId="1495"/>
    <cellStyle name="Comma 2 2" xfId="1496"/>
    <cellStyle name="Comma 2 20" xfId="1497"/>
    <cellStyle name="Comma 2 21" xfId="1498"/>
    <cellStyle name="Comma 2 22" xfId="1499"/>
    <cellStyle name="Comma 2 3" xfId="1500"/>
    <cellStyle name="Comma 2 4" xfId="1501"/>
    <cellStyle name="Comma 2 4 2" xfId="2391"/>
    <cellStyle name="Comma 2 5" xfId="1502"/>
    <cellStyle name="Comma 2 6" xfId="1503"/>
    <cellStyle name="Comma 2 7" xfId="1504"/>
    <cellStyle name="Comma 2 8" xfId="1505"/>
    <cellStyle name="Comma 2 9" xfId="1506"/>
    <cellStyle name="Comma 3" xfId="10"/>
    <cellStyle name="Comma 3 2" xfId="1507"/>
    <cellStyle name="Comma 3 3" xfId="1508"/>
    <cellStyle name="Comma 3 4" xfId="1509"/>
    <cellStyle name="Comma 3 5" xfId="1510"/>
    <cellStyle name="Comma 4" xfId="1511"/>
    <cellStyle name="Comma 4 2" xfId="1512"/>
    <cellStyle name="Comma 4 3" xfId="1513"/>
    <cellStyle name="Comma 4 4" xfId="1514"/>
    <cellStyle name="Comma 4 5" xfId="1515"/>
    <cellStyle name="Comma 5" xfId="1516"/>
    <cellStyle name="Comma 6" xfId="1517"/>
    <cellStyle name="Comma 7" xfId="1518"/>
    <cellStyle name="Comma 8" xfId="1519"/>
    <cellStyle name="Comma 9" xfId="1520"/>
    <cellStyle name="Comma0" xfId="1521"/>
    <cellStyle name="Currency" xfId="2" builtinId="4"/>
    <cellStyle name="Currency 2" xfId="11"/>
    <cellStyle name="Currency 2 2" xfId="1522"/>
    <cellStyle name="Currency 2 2 2" xfId="1523"/>
    <cellStyle name="Currency 2 2 3" xfId="1524"/>
    <cellStyle name="Currency 2 3" xfId="1525"/>
    <cellStyle name="Currency 2 4" xfId="1526"/>
    <cellStyle name="Currency 2 5" xfId="1527"/>
    <cellStyle name="Currency 2 6" xfId="1528"/>
    <cellStyle name="Currency 3" xfId="1529"/>
    <cellStyle name="Currency 3 2" xfId="1530"/>
    <cellStyle name="Currency 3 3" xfId="1531"/>
    <cellStyle name="Currency 3 4" xfId="1532"/>
    <cellStyle name="Currency 3 5" xfId="1533"/>
    <cellStyle name="Currency 4" xfId="1534"/>
    <cellStyle name="Currency 5" xfId="2384"/>
    <cellStyle name="Currency0" xfId="1535"/>
    <cellStyle name="Date" xfId="1536"/>
    <cellStyle name="Euro" xfId="1537"/>
    <cellStyle name="Explanatory Text 10" xfId="1538"/>
    <cellStyle name="Explanatory Text 11" xfId="1539"/>
    <cellStyle name="Explanatory Text 12" xfId="1540"/>
    <cellStyle name="Explanatory Text 13" xfId="1541"/>
    <cellStyle name="Explanatory Text 14" xfId="1542"/>
    <cellStyle name="Explanatory Text 15" xfId="1543"/>
    <cellStyle name="Explanatory Text 16" xfId="1544"/>
    <cellStyle name="Explanatory Text 17" xfId="1545"/>
    <cellStyle name="Explanatory Text 18" xfId="1546"/>
    <cellStyle name="Explanatory Text 19" xfId="1547"/>
    <cellStyle name="Explanatory Text 2" xfId="1548"/>
    <cellStyle name="Explanatory Text 2 10" xfId="1549"/>
    <cellStyle name="Explanatory Text 2 2" xfId="1550"/>
    <cellStyle name="Explanatory Text 2 2 2" xfId="1551"/>
    <cellStyle name="Explanatory Text 2 2 2 2" xfId="1552"/>
    <cellStyle name="Explanatory Text 2 2 2 2 2" xfId="1553"/>
    <cellStyle name="Explanatory Text 2 2 2 2 3" xfId="1554"/>
    <cellStyle name="Explanatory Text 2 2 2 3" xfId="1555"/>
    <cellStyle name="Explanatory Text 2 2 2 4" xfId="1556"/>
    <cellStyle name="Explanatory Text 2 2 2 5" xfId="1557"/>
    <cellStyle name="Explanatory Text 2 2 2 6" xfId="1558"/>
    <cellStyle name="Explanatory Text 2 2 3" xfId="1559"/>
    <cellStyle name="Explanatory Text 2 2 4" xfId="1560"/>
    <cellStyle name="Explanatory Text 2 2 5" xfId="1561"/>
    <cellStyle name="Explanatory Text 2 2 6" xfId="1562"/>
    <cellStyle name="Explanatory Text 2 3" xfId="1563"/>
    <cellStyle name="Explanatory Text 2 4" xfId="1564"/>
    <cellStyle name="Explanatory Text 2 5" xfId="1565"/>
    <cellStyle name="Explanatory Text 2 6" xfId="1566"/>
    <cellStyle name="Explanatory Text 2 7" xfId="1567"/>
    <cellStyle name="Explanatory Text 2 8" xfId="1568"/>
    <cellStyle name="Explanatory Text 2 9" xfId="1569"/>
    <cellStyle name="Explanatory Text 20" xfId="1570"/>
    <cellStyle name="Explanatory Text 21" xfId="1571"/>
    <cellStyle name="Explanatory Text 22" xfId="1572"/>
    <cellStyle name="Explanatory Text 23" xfId="1573"/>
    <cellStyle name="Explanatory Text 3" xfId="1574"/>
    <cellStyle name="Explanatory Text 4" xfId="1575"/>
    <cellStyle name="Explanatory Text 5" xfId="1576"/>
    <cellStyle name="Explanatory Text 6" xfId="1577"/>
    <cellStyle name="Explanatory Text 7" xfId="1578"/>
    <cellStyle name="Explanatory Text 8" xfId="1579"/>
    <cellStyle name="Explanatory Text 9" xfId="1580"/>
    <cellStyle name="F2" xfId="1581"/>
    <cellStyle name="F2 2" xfId="1582"/>
    <cellStyle name="F2 3" xfId="1583"/>
    <cellStyle name="F2 4" xfId="1584"/>
    <cellStyle name="F2 5" xfId="1585"/>
    <cellStyle name="F2 6" xfId="1586"/>
    <cellStyle name="F2 7" xfId="1587"/>
    <cellStyle name="F3" xfId="1588"/>
    <cellStyle name="F3 2" xfId="1589"/>
    <cellStyle name="F3 3" xfId="1590"/>
    <cellStyle name="F3 4" xfId="1591"/>
    <cellStyle name="F3 5" xfId="1592"/>
    <cellStyle name="F3 6" xfId="1593"/>
    <cellStyle name="F3 7" xfId="1594"/>
    <cellStyle name="F4" xfId="1595"/>
    <cellStyle name="F4 2" xfId="1596"/>
    <cellStyle name="F4 3" xfId="1597"/>
    <cellStyle name="F4 4" xfId="1598"/>
    <cellStyle name="F4 5" xfId="1599"/>
    <cellStyle name="F4 6" xfId="1600"/>
    <cellStyle name="F4 7" xfId="1601"/>
    <cellStyle name="F5" xfId="1602"/>
    <cellStyle name="F5 2" xfId="1603"/>
    <cellStyle name="F5 3" xfId="1604"/>
    <cellStyle name="F5 4" xfId="1605"/>
    <cellStyle name="F5 5" xfId="1606"/>
    <cellStyle name="F5 6" xfId="1607"/>
    <cellStyle name="F5 7" xfId="1608"/>
    <cellStyle name="F6" xfId="1609"/>
    <cellStyle name="F6 2" xfId="1610"/>
    <cellStyle name="F6 3" xfId="1611"/>
    <cellStyle name="F6 4" xfId="1612"/>
    <cellStyle name="F6 5" xfId="1613"/>
    <cellStyle name="F6 6" xfId="1614"/>
    <cellStyle name="F6 7" xfId="1615"/>
    <cellStyle name="F7" xfId="1616"/>
    <cellStyle name="F7 2" xfId="1617"/>
    <cellStyle name="F7 3" xfId="1618"/>
    <cellStyle name="F7 4" xfId="1619"/>
    <cellStyle name="F7 5" xfId="1620"/>
    <cellStyle name="F7 6" xfId="1621"/>
    <cellStyle name="F7 7" xfId="1622"/>
    <cellStyle name="F8" xfId="1623"/>
    <cellStyle name="F8 2" xfId="1624"/>
    <cellStyle name="F8 3" xfId="1625"/>
    <cellStyle name="F8 4" xfId="1626"/>
    <cellStyle name="F8 5" xfId="1627"/>
    <cellStyle name="F8 6" xfId="1628"/>
    <cellStyle name="F8 7" xfId="1629"/>
    <cellStyle name="Fixed" xfId="1630"/>
    <cellStyle name="Good 10" xfId="1631"/>
    <cellStyle name="Good 11" xfId="1632"/>
    <cellStyle name="Good 12" xfId="1633"/>
    <cellStyle name="Good 13" xfId="1634"/>
    <cellStyle name="Good 14" xfId="1635"/>
    <cellStyle name="Good 15" xfId="1636"/>
    <cellStyle name="Good 16" xfId="1637"/>
    <cellStyle name="Good 17" xfId="1638"/>
    <cellStyle name="Good 18" xfId="1639"/>
    <cellStyle name="Good 19" xfId="1640"/>
    <cellStyle name="Good 2" xfId="1641"/>
    <cellStyle name="Good 2 10" xfId="1642"/>
    <cellStyle name="Good 2 2" xfId="1643"/>
    <cellStyle name="Good 2 2 2" xfId="1644"/>
    <cellStyle name="Good 2 2 2 2" xfId="1645"/>
    <cellStyle name="Good 2 2 2 2 2" xfId="1646"/>
    <cellStyle name="Good 2 2 2 2 3" xfId="1647"/>
    <cellStyle name="Good 2 2 2 3" xfId="1648"/>
    <cellStyle name="Good 2 2 2 4" xfId="1649"/>
    <cellStyle name="Good 2 2 2 5" xfId="1650"/>
    <cellStyle name="Good 2 2 2 6" xfId="1651"/>
    <cellStyle name="Good 2 2 3" xfId="1652"/>
    <cellStyle name="Good 2 2 4" xfId="1653"/>
    <cellStyle name="Good 2 2 5" xfId="1654"/>
    <cellStyle name="Good 2 2 6" xfId="1655"/>
    <cellStyle name="Good 2 3" xfId="1656"/>
    <cellStyle name="Good 2 4" xfId="1657"/>
    <cellStyle name="Good 2 5" xfId="1658"/>
    <cellStyle name="Good 2 6" xfId="1659"/>
    <cellStyle name="Good 2 7" xfId="1660"/>
    <cellStyle name="Good 2 8" xfId="1661"/>
    <cellStyle name="Good 2 9" xfId="1662"/>
    <cellStyle name="Good 20" xfId="1663"/>
    <cellStyle name="Good 21" xfId="1664"/>
    <cellStyle name="Good 22" xfId="1665"/>
    <cellStyle name="Good 23" xfId="1666"/>
    <cellStyle name="Good 3" xfId="1667"/>
    <cellStyle name="Good 4" xfId="1668"/>
    <cellStyle name="Good 5" xfId="1669"/>
    <cellStyle name="Good 6" xfId="1670"/>
    <cellStyle name="Good 7" xfId="1671"/>
    <cellStyle name="Good 8" xfId="1672"/>
    <cellStyle name="Good 9" xfId="1673"/>
    <cellStyle name="Heading 1 10" xfId="1674"/>
    <cellStyle name="Heading 1 11" xfId="1675"/>
    <cellStyle name="Heading 1 12" xfId="1676"/>
    <cellStyle name="Heading 1 13" xfId="1677"/>
    <cellStyle name="Heading 1 14" xfId="1678"/>
    <cellStyle name="Heading 1 15" xfId="1679"/>
    <cellStyle name="Heading 1 16" xfId="1680"/>
    <cellStyle name="Heading 1 17" xfId="1681"/>
    <cellStyle name="Heading 1 18" xfId="1682"/>
    <cellStyle name="Heading 1 19" xfId="1683"/>
    <cellStyle name="Heading 1 2" xfId="1684"/>
    <cellStyle name="Heading 1 2 10" xfId="1685"/>
    <cellStyle name="Heading 1 2 2" xfId="1686"/>
    <cellStyle name="Heading 1 2 2 2" xfId="1687"/>
    <cellStyle name="Heading 1 2 2 2 2" xfId="1688"/>
    <cellStyle name="Heading 1 2 2 2 2 2" xfId="1689"/>
    <cellStyle name="Heading 1 2 2 2 2 3" xfId="1690"/>
    <cellStyle name="Heading 1 2 2 2 3" xfId="1691"/>
    <cellStyle name="Heading 1 2 2 2 4" xfId="1692"/>
    <cellStyle name="Heading 1 2 2 2 5" xfId="1693"/>
    <cellStyle name="Heading 1 2 2 2 6" xfId="1694"/>
    <cellStyle name="Heading 1 2 2 3" xfId="1695"/>
    <cellStyle name="Heading 1 2 2 4" xfId="1696"/>
    <cellStyle name="Heading 1 2 2 5" xfId="1697"/>
    <cellStyle name="Heading 1 2 2 6" xfId="1698"/>
    <cellStyle name="Heading 1 2 3" xfId="1699"/>
    <cellStyle name="Heading 1 2 4" xfId="1700"/>
    <cellStyle name="Heading 1 2 5" xfId="1701"/>
    <cellStyle name="Heading 1 2 6" xfId="1702"/>
    <cellStyle name="Heading 1 2 7" xfId="1703"/>
    <cellStyle name="Heading 1 2 8" xfId="1704"/>
    <cellStyle name="Heading 1 2 9" xfId="1705"/>
    <cellStyle name="Heading 1 20" xfId="1706"/>
    <cellStyle name="Heading 1 21" xfId="1707"/>
    <cellStyle name="Heading 1 22" xfId="1708"/>
    <cellStyle name="Heading 1 23" xfId="1709"/>
    <cellStyle name="Heading 1 24" xfId="1710"/>
    <cellStyle name="Heading 1 25" xfId="1711"/>
    <cellStyle name="Heading 1 3" xfId="1712"/>
    <cellStyle name="Heading 1 4" xfId="1713"/>
    <cellStyle name="Heading 1 5" xfId="1714"/>
    <cellStyle name="Heading 1 6" xfId="1715"/>
    <cellStyle name="Heading 1 7" xfId="1716"/>
    <cellStyle name="Heading 1 8" xfId="1717"/>
    <cellStyle name="Heading 1 9" xfId="1718"/>
    <cellStyle name="Heading 2 10" xfId="1719"/>
    <cellStyle name="Heading 2 11" xfId="1720"/>
    <cellStyle name="Heading 2 12" xfId="1721"/>
    <cellStyle name="Heading 2 13" xfId="1722"/>
    <cellStyle name="Heading 2 14" xfId="1723"/>
    <cellStyle name="Heading 2 15" xfId="1724"/>
    <cellStyle name="Heading 2 16" xfId="1725"/>
    <cellStyle name="Heading 2 17" xfId="1726"/>
    <cellStyle name="Heading 2 18" xfId="1727"/>
    <cellStyle name="Heading 2 19" xfId="1728"/>
    <cellStyle name="Heading 2 2" xfId="1729"/>
    <cellStyle name="Heading 2 2 10" xfId="1730"/>
    <cellStyle name="Heading 2 2 2" xfId="1731"/>
    <cellStyle name="Heading 2 2 2 2" xfId="1732"/>
    <cellStyle name="Heading 2 2 2 2 2" xfId="1733"/>
    <cellStyle name="Heading 2 2 2 2 2 2" xfId="1734"/>
    <cellStyle name="Heading 2 2 2 2 2 3" xfId="1735"/>
    <cellStyle name="Heading 2 2 2 2 3" xfId="1736"/>
    <cellStyle name="Heading 2 2 2 2 4" xfId="1737"/>
    <cellStyle name="Heading 2 2 2 2 5" xfId="1738"/>
    <cellStyle name="Heading 2 2 2 2 6" xfId="1739"/>
    <cellStyle name="Heading 2 2 2 3" xfId="1740"/>
    <cellStyle name="Heading 2 2 2 4" xfId="1741"/>
    <cellStyle name="Heading 2 2 2 5" xfId="1742"/>
    <cellStyle name="Heading 2 2 2 6" xfId="1743"/>
    <cellStyle name="Heading 2 2 3" xfId="1744"/>
    <cellStyle name="Heading 2 2 4" xfId="1745"/>
    <cellStyle name="Heading 2 2 5" xfId="1746"/>
    <cellStyle name="Heading 2 2 6" xfId="1747"/>
    <cellStyle name="Heading 2 2 7" xfId="1748"/>
    <cellStyle name="Heading 2 2 8" xfId="1749"/>
    <cellStyle name="Heading 2 2 9" xfId="1750"/>
    <cellStyle name="Heading 2 20" xfId="1751"/>
    <cellStyle name="Heading 2 21" xfId="1752"/>
    <cellStyle name="Heading 2 22" xfId="1753"/>
    <cellStyle name="Heading 2 23" xfId="1754"/>
    <cellStyle name="Heading 2 24" xfId="1755"/>
    <cellStyle name="Heading 2 25" xfId="1756"/>
    <cellStyle name="Heading 2 3" xfId="1757"/>
    <cellStyle name="Heading 2 4" xfId="1758"/>
    <cellStyle name="Heading 2 5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10" xfId="1775"/>
    <cellStyle name="Heading 3 2 2" xfId="1776"/>
    <cellStyle name="Heading 3 2 2 2" xfId="1777"/>
    <cellStyle name="Heading 3 2 2 2 2" xfId="1778"/>
    <cellStyle name="Heading 3 2 2 2 2 2" xfId="1779"/>
    <cellStyle name="Heading 3 2 2 2 2 3" xfId="1780"/>
    <cellStyle name="Heading 3 2 2 2 3" xfId="1781"/>
    <cellStyle name="Heading 3 2 2 2 4" xfId="1782"/>
    <cellStyle name="Heading 3 2 2 2 5" xfId="1783"/>
    <cellStyle name="Heading 3 2 2 2 6" xfId="1784"/>
    <cellStyle name="Heading 3 2 2 3" xfId="1785"/>
    <cellStyle name="Heading 3 2 2 4" xfId="1786"/>
    <cellStyle name="Heading 3 2 2 5" xfId="1787"/>
    <cellStyle name="Heading 3 2 2 6" xfId="1788"/>
    <cellStyle name="Heading 3 2 3" xfId="1789"/>
    <cellStyle name="Heading 3 2 4" xfId="1790"/>
    <cellStyle name="Heading 3 2 5" xfId="1791"/>
    <cellStyle name="Heading 3 2 6" xfId="1792"/>
    <cellStyle name="Heading 3 2 7" xfId="1793"/>
    <cellStyle name="Heading 3 2 8" xfId="1794"/>
    <cellStyle name="Heading 3 2 9" xfId="1795"/>
    <cellStyle name="Heading 3 20" xfId="1796"/>
    <cellStyle name="Heading 3 21" xfId="1797"/>
    <cellStyle name="Heading 3 22" xfId="1798"/>
    <cellStyle name="Heading 3 23" xfId="1799"/>
    <cellStyle name="Heading 3 3" xfId="1800"/>
    <cellStyle name="Heading 3 4" xfId="1801"/>
    <cellStyle name="Heading 3 5" xfId="1802"/>
    <cellStyle name="Heading 3 6" xfId="1803"/>
    <cellStyle name="Heading 3 7" xfId="1804"/>
    <cellStyle name="Heading 3 8" xfId="1805"/>
    <cellStyle name="Heading 3 9" xfId="1806"/>
    <cellStyle name="Heading 4 10" xfId="1807"/>
    <cellStyle name="Heading 4 11" xfId="1808"/>
    <cellStyle name="Heading 4 12" xfId="1809"/>
    <cellStyle name="Heading 4 13" xfId="1810"/>
    <cellStyle name="Heading 4 14" xfId="1811"/>
    <cellStyle name="Heading 4 15" xfId="1812"/>
    <cellStyle name="Heading 4 16" xfId="1813"/>
    <cellStyle name="Heading 4 17" xfId="1814"/>
    <cellStyle name="Heading 4 18" xfId="1815"/>
    <cellStyle name="Heading 4 19" xfId="1816"/>
    <cellStyle name="Heading 4 2" xfId="1817"/>
    <cellStyle name="Heading 4 2 10" xfId="1818"/>
    <cellStyle name="Heading 4 2 2" xfId="1819"/>
    <cellStyle name="Heading 4 2 2 2" xfId="1820"/>
    <cellStyle name="Heading 4 2 2 2 2" xfId="1821"/>
    <cellStyle name="Heading 4 2 2 2 2 2" xfId="1822"/>
    <cellStyle name="Heading 4 2 2 2 2 3" xfId="1823"/>
    <cellStyle name="Heading 4 2 2 2 3" xfId="1824"/>
    <cellStyle name="Heading 4 2 2 2 4" xfId="1825"/>
    <cellStyle name="Heading 4 2 2 2 5" xfId="1826"/>
    <cellStyle name="Heading 4 2 2 2 6" xfId="1827"/>
    <cellStyle name="Heading 4 2 2 3" xfId="1828"/>
    <cellStyle name="Heading 4 2 2 4" xfId="1829"/>
    <cellStyle name="Heading 4 2 2 5" xfId="1830"/>
    <cellStyle name="Heading 4 2 2 6" xfId="1831"/>
    <cellStyle name="Heading 4 2 3" xfId="1832"/>
    <cellStyle name="Heading 4 2 4" xfId="1833"/>
    <cellStyle name="Heading 4 2 5" xfId="1834"/>
    <cellStyle name="Heading 4 2 6" xfId="1835"/>
    <cellStyle name="Heading 4 2 7" xfId="1836"/>
    <cellStyle name="Heading 4 2 8" xfId="1837"/>
    <cellStyle name="Heading 4 2 9" xfId="1838"/>
    <cellStyle name="Heading 4 20" xfId="1839"/>
    <cellStyle name="Heading 4 21" xfId="1840"/>
    <cellStyle name="Heading 4 22" xfId="1841"/>
    <cellStyle name="Heading 4 23" xfId="1842"/>
    <cellStyle name="Heading 4 3" xfId="1843"/>
    <cellStyle name="Heading 4 4" xfId="1844"/>
    <cellStyle name="Heading 4 5" xfId="1845"/>
    <cellStyle name="Heading 4 6" xfId="1846"/>
    <cellStyle name="Heading 4 7" xfId="1847"/>
    <cellStyle name="Heading 4 8" xfId="1848"/>
    <cellStyle name="Heading 4 9" xfId="1849"/>
    <cellStyle name="Input 10" xfId="1850"/>
    <cellStyle name="Input 11" xfId="1851"/>
    <cellStyle name="Input 12" xfId="1852"/>
    <cellStyle name="Input 13" xfId="1853"/>
    <cellStyle name="Input 14" xfId="1854"/>
    <cellStyle name="Input 15" xfId="1855"/>
    <cellStyle name="Input 16" xfId="1856"/>
    <cellStyle name="Input 17" xfId="1857"/>
    <cellStyle name="Input 18" xfId="1858"/>
    <cellStyle name="Input 19" xfId="1859"/>
    <cellStyle name="Input 2" xfId="1860"/>
    <cellStyle name="Input 2 10" xfId="1861"/>
    <cellStyle name="Input 2 2" xfId="1862"/>
    <cellStyle name="Input 2 2 2" xfId="1863"/>
    <cellStyle name="Input 2 2 2 2" xfId="1864"/>
    <cellStyle name="Input 2 2 2 2 2" xfId="1865"/>
    <cellStyle name="Input 2 2 2 2 3" xfId="1866"/>
    <cellStyle name="Input 2 2 2 3" xfId="1867"/>
    <cellStyle name="Input 2 2 2 4" xfId="1868"/>
    <cellStyle name="Input 2 2 2 5" xfId="1869"/>
    <cellStyle name="Input 2 2 2 6" xfId="1870"/>
    <cellStyle name="Input 2 2 3" xfId="1871"/>
    <cellStyle name="Input 2 2 4" xfId="1872"/>
    <cellStyle name="Input 2 2 5" xfId="1873"/>
    <cellStyle name="Input 2 2 6" xfId="1874"/>
    <cellStyle name="Input 2 3" xfId="1875"/>
    <cellStyle name="Input 2 4" xfId="1876"/>
    <cellStyle name="Input 2 5" xfId="1877"/>
    <cellStyle name="Input 2 6" xfId="1878"/>
    <cellStyle name="Input 2 7" xfId="1879"/>
    <cellStyle name="Input 2 8" xfId="1880"/>
    <cellStyle name="Input 2 9" xfId="1881"/>
    <cellStyle name="Input 20" xfId="1882"/>
    <cellStyle name="Input 21" xfId="1883"/>
    <cellStyle name="Input 22" xfId="1884"/>
    <cellStyle name="Input 23" xfId="1885"/>
    <cellStyle name="Input 3" xfId="1886"/>
    <cellStyle name="Input 4" xfId="1887"/>
    <cellStyle name="Input 5" xfId="1888"/>
    <cellStyle name="Input 6" xfId="1889"/>
    <cellStyle name="Input 7" xfId="1890"/>
    <cellStyle name="Input 8" xfId="1891"/>
    <cellStyle name="Input 9" xfId="1892"/>
    <cellStyle name="LineItemPrompt" xfId="1893"/>
    <cellStyle name="LineItemValue" xfId="1894"/>
    <cellStyle name="Linked Cell 10" xfId="1895"/>
    <cellStyle name="Linked Cell 11" xfId="1896"/>
    <cellStyle name="Linked Cell 12" xfId="1897"/>
    <cellStyle name="Linked Cell 13" xfId="1898"/>
    <cellStyle name="Linked Cell 14" xfId="1899"/>
    <cellStyle name="Linked Cell 15" xfId="1900"/>
    <cellStyle name="Linked Cell 16" xfId="1901"/>
    <cellStyle name="Linked Cell 17" xfId="1902"/>
    <cellStyle name="Linked Cell 18" xfId="1903"/>
    <cellStyle name="Linked Cell 19" xfId="1904"/>
    <cellStyle name="Linked Cell 2" xfId="1905"/>
    <cellStyle name="Linked Cell 2 10" xfId="1906"/>
    <cellStyle name="Linked Cell 2 2" xfId="1907"/>
    <cellStyle name="Linked Cell 2 2 2" xfId="1908"/>
    <cellStyle name="Linked Cell 2 2 2 2" xfId="1909"/>
    <cellStyle name="Linked Cell 2 2 2 2 2" xfId="1910"/>
    <cellStyle name="Linked Cell 2 2 2 2 3" xfId="1911"/>
    <cellStyle name="Linked Cell 2 2 2 3" xfId="1912"/>
    <cellStyle name="Linked Cell 2 2 2 4" xfId="1913"/>
    <cellStyle name="Linked Cell 2 2 2 5" xfId="1914"/>
    <cellStyle name="Linked Cell 2 2 2 6" xfId="1915"/>
    <cellStyle name="Linked Cell 2 2 3" xfId="1916"/>
    <cellStyle name="Linked Cell 2 2 4" xfId="1917"/>
    <cellStyle name="Linked Cell 2 2 5" xfId="1918"/>
    <cellStyle name="Linked Cell 2 2 6" xfId="1919"/>
    <cellStyle name="Linked Cell 2 3" xfId="1920"/>
    <cellStyle name="Linked Cell 2 4" xfId="1921"/>
    <cellStyle name="Linked Cell 2 5" xfId="1922"/>
    <cellStyle name="Linked Cell 2 6" xfId="1923"/>
    <cellStyle name="Linked Cell 2 7" xfId="1924"/>
    <cellStyle name="Linked Cell 2 8" xfId="1925"/>
    <cellStyle name="Linked Cell 2 9" xfId="1926"/>
    <cellStyle name="Linked Cell 20" xfId="1927"/>
    <cellStyle name="Linked Cell 21" xfId="1928"/>
    <cellStyle name="Linked Cell 22" xfId="1929"/>
    <cellStyle name="Linked Cell 23" xfId="1930"/>
    <cellStyle name="Linked Cell 3" xfId="1931"/>
    <cellStyle name="Linked Cell 4" xfId="1932"/>
    <cellStyle name="Linked Cell 5" xfId="1933"/>
    <cellStyle name="Linked Cell 6" xfId="1934"/>
    <cellStyle name="Linked Cell 7" xfId="1935"/>
    <cellStyle name="Linked Cell 8" xfId="1936"/>
    <cellStyle name="Linked Cell 9" xfId="1937"/>
    <cellStyle name="Neutral 10" xfId="1938"/>
    <cellStyle name="Neutral 11" xfId="1939"/>
    <cellStyle name="Neutral 12" xfId="1940"/>
    <cellStyle name="Neutral 13" xfId="1941"/>
    <cellStyle name="Neutral 14" xfId="1942"/>
    <cellStyle name="Neutral 15" xfId="1943"/>
    <cellStyle name="Neutral 16" xfId="1944"/>
    <cellStyle name="Neutral 17" xfId="1945"/>
    <cellStyle name="Neutral 18" xfId="1946"/>
    <cellStyle name="Neutral 19" xfId="1947"/>
    <cellStyle name="Neutral 2" xfId="1948"/>
    <cellStyle name="Neutral 2 10" xfId="1949"/>
    <cellStyle name="Neutral 2 2" xfId="1950"/>
    <cellStyle name="Neutral 2 2 2" xfId="1951"/>
    <cellStyle name="Neutral 2 2 2 2" xfId="1952"/>
    <cellStyle name="Neutral 2 2 2 2 2" xfId="1953"/>
    <cellStyle name="Neutral 2 2 2 2 3" xfId="1954"/>
    <cellStyle name="Neutral 2 2 2 3" xfId="1955"/>
    <cellStyle name="Neutral 2 2 2 4" xfId="1956"/>
    <cellStyle name="Neutral 2 2 2 5" xfId="1957"/>
    <cellStyle name="Neutral 2 2 2 6" xfId="1958"/>
    <cellStyle name="Neutral 2 2 3" xfId="1959"/>
    <cellStyle name="Neutral 2 2 4" xfId="1960"/>
    <cellStyle name="Neutral 2 2 5" xfId="1961"/>
    <cellStyle name="Neutral 2 2 6" xfId="1962"/>
    <cellStyle name="Neutral 2 3" xfId="1963"/>
    <cellStyle name="Neutral 2 4" xfId="1964"/>
    <cellStyle name="Neutral 2 5" xfId="1965"/>
    <cellStyle name="Neutral 2 6" xfId="1966"/>
    <cellStyle name="Neutral 2 7" xfId="1967"/>
    <cellStyle name="Neutral 2 8" xfId="1968"/>
    <cellStyle name="Neutral 2 9" xfId="1969"/>
    <cellStyle name="Neutral 20" xfId="1970"/>
    <cellStyle name="Neutral 21" xfId="1971"/>
    <cellStyle name="Neutral 22" xfId="1972"/>
    <cellStyle name="Neutral 23" xfId="1973"/>
    <cellStyle name="Neutral 3" xfId="1974"/>
    <cellStyle name="Neutral 4" xfId="1975"/>
    <cellStyle name="Neutral 5" xfId="1976"/>
    <cellStyle name="Neutral 6" xfId="1977"/>
    <cellStyle name="Neutral 7" xfId="1978"/>
    <cellStyle name="Neutral 8" xfId="1979"/>
    <cellStyle name="Neutral 9" xfId="1980"/>
    <cellStyle name="Normal" xfId="0" builtinId="0"/>
    <cellStyle name="Normal 10" xfId="1981"/>
    <cellStyle name="Normal 11" xfId="1982"/>
    <cellStyle name="Normal 11 2" xfId="1983"/>
    <cellStyle name="Normal 11 3" xfId="1984"/>
    <cellStyle name="Normal 11 4" xfId="1985"/>
    <cellStyle name="Normal 11 5" xfId="1986"/>
    <cellStyle name="Normal 12" xfId="1987"/>
    <cellStyle name="Normal 12 2" xfId="2389"/>
    <cellStyle name="Normal 13" xfId="1988"/>
    <cellStyle name="Normal 13 2" xfId="1989"/>
    <cellStyle name="Normal 13 3" xfId="1990"/>
    <cellStyle name="Normal 13 4" xfId="1991"/>
    <cellStyle name="Normal 13 5" xfId="1992"/>
    <cellStyle name="Normal 14" xfId="1993"/>
    <cellStyle name="Normal 15" xfId="1994"/>
    <cellStyle name="Normal 16" xfId="1995"/>
    <cellStyle name="Normal 17" xfId="1996"/>
    <cellStyle name="Normal 18" xfId="1997"/>
    <cellStyle name="Normal 19" xfId="1998"/>
    <cellStyle name="Normal 2" xfId="6"/>
    <cellStyle name="Normal 2 10" xfId="1999"/>
    <cellStyle name="Normal 2 11" xfId="2000"/>
    <cellStyle name="Normal 2 12" xfId="2001"/>
    <cellStyle name="Normal 2 13" xfId="2002"/>
    <cellStyle name="Normal 2 14" xfId="2003"/>
    <cellStyle name="Normal 2 15" xfId="2004"/>
    <cellStyle name="Normal 2 16" xfId="2005"/>
    <cellStyle name="Normal 2 17" xfId="2006"/>
    <cellStyle name="Normal 2 18" xfId="2007"/>
    <cellStyle name="Normal 2 19" xfId="2008"/>
    <cellStyle name="Normal 2 19 2" xfId="2009"/>
    <cellStyle name="Normal 2 19 3" xfId="2010"/>
    <cellStyle name="Normal 2 19 4" xfId="2011"/>
    <cellStyle name="Normal 2 19 5" xfId="2012"/>
    <cellStyle name="Normal 2 2" xfId="9"/>
    <cellStyle name="Normal 2 2 2" xfId="2013"/>
    <cellStyle name="Normal 2 2 2 2" xfId="2014"/>
    <cellStyle name="Normal 2 2 2 3" xfId="2015"/>
    <cellStyle name="Normal 2 2 2 4" xfId="2394"/>
    <cellStyle name="Normal 2 2 3" xfId="2016"/>
    <cellStyle name="Normal 2 20" xfId="2017"/>
    <cellStyle name="Normal 2 21" xfId="2018"/>
    <cellStyle name="Normal 2 22" xfId="2019"/>
    <cellStyle name="Normal 2 23" xfId="2020"/>
    <cellStyle name="Normal 2 24" xfId="2021"/>
    <cellStyle name="Normal 2 25" xfId="2022"/>
    <cellStyle name="Normal 2 26" xfId="2023"/>
    <cellStyle name="Normal 2 27" xfId="2393"/>
    <cellStyle name="Normal 2 3" xfId="2024"/>
    <cellStyle name="Normal 2 4" xfId="2025"/>
    <cellStyle name="Normal 2 4 2" xfId="2390"/>
    <cellStyle name="Normal 2 5" xfId="2026"/>
    <cellStyle name="Normal 2 6" xfId="2027"/>
    <cellStyle name="Normal 2 7" xfId="2028"/>
    <cellStyle name="Normal 2 8" xfId="2029"/>
    <cellStyle name="Normal 2 9" xfId="2030"/>
    <cellStyle name="Normal 20" xfId="2031"/>
    <cellStyle name="Normal 20 2" xfId="2032"/>
    <cellStyle name="Normal 20 3" xfId="2033"/>
    <cellStyle name="Normal 20 4" xfId="2034"/>
    <cellStyle name="Normal 20 5" xfId="2035"/>
    <cellStyle name="Normal 21" xfId="2036"/>
    <cellStyle name="Normal 22" xfId="2037"/>
    <cellStyle name="Normal 23" xfId="2038"/>
    <cellStyle name="Normal 24" xfId="2039"/>
    <cellStyle name="Normal 25" xfId="2040"/>
    <cellStyle name="Normal 26" xfId="2041"/>
    <cellStyle name="Normal 27" xfId="2042"/>
    <cellStyle name="Normal 28" xfId="2043"/>
    <cellStyle name="Normal 29" xfId="2044"/>
    <cellStyle name="Normal 3" xfId="4"/>
    <cellStyle name="Normal 3 10" xfId="2045"/>
    <cellStyle name="Normal 3 11" xfId="2046"/>
    <cellStyle name="Normal 3 12" xfId="2047"/>
    <cellStyle name="Normal 3 13" xfId="2048"/>
    <cellStyle name="Normal 3 14" xfId="2049"/>
    <cellStyle name="Normal 3 15" xfId="2050"/>
    <cellStyle name="Normal 3 16" xfId="2051"/>
    <cellStyle name="Normal 3 17" xfId="2052"/>
    <cellStyle name="Normal 3 18" xfId="2053"/>
    <cellStyle name="Normal 3 2" xfId="2054"/>
    <cellStyle name="Normal 3 3" xfId="2055"/>
    <cellStyle name="Normal 3 4" xfId="2056"/>
    <cellStyle name="Normal 3 5" xfId="2057"/>
    <cellStyle name="Normal 3 6" xfId="2058"/>
    <cellStyle name="Normal 3 7" xfId="2059"/>
    <cellStyle name="Normal 3 8" xfId="2060"/>
    <cellStyle name="Normal 3 9" xfId="2061"/>
    <cellStyle name="Normal 30" xfId="2062"/>
    <cellStyle name="Normal 31" xfId="2063"/>
    <cellStyle name="Normal 31 2" xfId="2064"/>
    <cellStyle name="Normal 31 3" xfId="2065"/>
    <cellStyle name="Normal 31 4" xfId="2066"/>
    <cellStyle name="Normal 31 5" xfId="2067"/>
    <cellStyle name="Normal 32" xfId="2068"/>
    <cellStyle name="Normal 33" xfId="2069"/>
    <cellStyle name="Normal 34" xfId="2070"/>
    <cellStyle name="Normal 35" xfId="2071"/>
    <cellStyle name="Normal 36" xfId="2383"/>
    <cellStyle name="Normal 36 2" xfId="2072"/>
    <cellStyle name="Normal 36 3" xfId="2073"/>
    <cellStyle name="Normal 36 4" xfId="2074"/>
    <cellStyle name="Normal 36 5" xfId="2075"/>
    <cellStyle name="Normal 37" xfId="2076"/>
    <cellStyle name="Normal 38" xfId="2077"/>
    <cellStyle name="Normal 39" xfId="2386"/>
    <cellStyle name="Normal 4" xfId="2078"/>
    <cellStyle name="Normal 40" xfId="2079"/>
    <cellStyle name="Normal 41" xfId="2387"/>
    <cellStyle name="Normal 41 2" xfId="2388"/>
    <cellStyle name="Normal 42" xfId="2080"/>
    <cellStyle name="Normal 43" xfId="2081"/>
    <cellStyle name="Normal 45" xfId="2082"/>
    <cellStyle name="Normal 46" xfId="2083"/>
    <cellStyle name="Normal 48" xfId="2084"/>
    <cellStyle name="Normal 49" xfId="2085"/>
    <cellStyle name="Normal 5" xfId="2086"/>
    <cellStyle name="Normal 50" xfId="2087"/>
    <cellStyle name="Normal 51" xfId="2088"/>
    <cellStyle name="Normal 52" xfId="2089"/>
    <cellStyle name="Normal 6" xfId="2090"/>
    <cellStyle name="Normal 7" xfId="2091"/>
    <cellStyle name="Normal 8" xfId="2092"/>
    <cellStyle name="Normal 9" xfId="2093"/>
    <cellStyle name="Note 10" xfId="2094"/>
    <cellStyle name="Note 10 2" xfId="2095"/>
    <cellStyle name="Note 10 3" xfId="2096"/>
    <cellStyle name="Note 10 4" xfId="2097"/>
    <cellStyle name="Note 10 5" xfId="2098"/>
    <cellStyle name="Note 11" xfId="2099"/>
    <cellStyle name="Note 11 2" xfId="2100"/>
    <cellStyle name="Note 11 3" xfId="2101"/>
    <cellStyle name="Note 11 4" xfId="2102"/>
    <cellStyle name="Note 11 5" xfId="2103"/>
    <cellStyle name="Note 12" xfId="2104"/>
    <cellStyle name="Note 13" xfId="2105"/>
    <cellStyle name="Note 14" xfId="2106"/>
    <cellStyle name="Note 15" xfId="2107"/>
    <cellStyle name="Note 15 2" xfId="2108"/>
    <cellStyle name="Note 15 3" xfId="2109"/>
    <cellStyle name="Note 15 4" xfId="2110"/>
    <cellStyle name="Note 15 5" xfId="2111"/>
    <cellStyle name="Note 16" xfId="2112"/>
    <cellStyle name="Note 16 2" xfId="2113"/>
    <cellStyle name="Note 16 3" xfId="2114"/>
    <cellStyle name="Note 16 4" xfId="2115"/>
    <cellStyle name="Note 16 5" xfId="2116"/>
    <cellStyle name="Note 17" xfId="2117"/>
    <cellStyle name="Note 18" xfId="2118"/>
    <cellStyle name="Note 18 2" xfId="2119"/>
    <cellStyle name="Note 18 3" xfId="2120"/>
    <cellStyle name="Note 18 4" xfId="2121"/>
    <cellStyle name="Note 18 5" xfId="2122"/>
    <cellStyle name="Note 19" xfId="2123"/>
    <cellStyle name="Note 2" xfId="2124"/>
    <cellStyle name="Note 2 2" xfId="2125"/>
    <cellStyle name="Note 2 2 2" xfId="2126"/>
    <cellStyle name="Note 2 2 3" xfId="2127"/>
    <cellStyle name="Note 2 3" xfId="2128"/>
    <cellStyle name="Note 20" xfId="2129"/>
    <cellStyle name="Note 21" xfId="2130"/>
    <cellStyle name="Note 22" xfId="2131"/>
    <cellStyle name="Note 23" xfId="2132"/>
    <cellStyle name="Note 24" xfId="2133"/>
    <cellStyle name="Note 25" xfId="2134"/>
    <cellStyle name="Note 26" xfId="2135"/>
    <cellStyle name="Note 27" xfId="2136"/>
    <cellStyle name="Note 28" xfId="2137"/>
    <cellStyle name="Note 29" xfId="2138"/>
    <cellStyle name="Note 3" xfId="2139"/>
    <cellStyle name="Note 30" xfId="2140"/>
    <cellStyle name="Note 31" xfId="2141"/>
    <cellStyle name="Note 32" xfId="2142"/>
    <cellStyle name="Note 33" xfId="2143"/>
    <cellStyle name="Note 34" xfId="2144"/>
    <cellStyle name="Note 35" xfId="2145"/>
    <cellStyle name="Note 4" xfId="2146"/>
    <cellStyle name="Note 5" xfId="2147"/>
    <cellStyle name="Note 6" xfId="2148"/>
    <cellStyle name="Note 7" xfId="2149"/>
    <cellStyle name="Note 8" xfId="2150"/>
    <cellStyle name="Note 9" xfId="2151"/>
    <cellStyle name="Note 9 2" xfId="2152"/>
    <cellStyle name="Note 9 3" xfId="2153"/>
    <cellStyle name="Note 9 4" xfId="2154"/>
    <cellStyle name="Note 9 5" xfId="2155"/>
    <cellStyle name="Output 10" xfId="2156"/>
    <cellStyle name="Output 11" xfId="2157"/>
    <cellStyle name="Output 12" xfId="2158"/>
    <cellStyle name="Output 13" xfId="2159"/>
    <cellStyle name="Output 14" xfId="2160"/>
    <cellStyle name="Output 15" xfId="2161"/>
    <cellStyle name="Output 16" xfId="2162"/>
    <cellStyle name="Output 17" xfId="2163"/>
    <cellStyle name="Output 18" xfId="2164"/>
    <cellStyle name="Output 19" xfId="2165"/>
    <cellStyle name="Output 2" xfId="2166"/>
    <cellStyle name="Output 2 10" xfId="2167"/>
    <cellStyle name="Output 2 2" xfId="2168"/>
    <cellStyle name="Output 2 2 2" xfId="2169"/>
    <cellStyle name="Output 2 2 2 2" xfId="2170"/>
    <cellStyle name="Output 2 2 2 2 2" xfId="2171"/>
    <cellStyle name="Output 2 2 2 2 3" xfId="2172"/>
    <cellStyle name="Output 2 2 2 3" xfId="2173"/>
    <cellStyle name="Output 2 2 2 4" xfId="2174"/>
    <cellStyle name="Output 2 2 2 5" xfId="2175"/>
    <cellStyle name="Output 2 2 2 6" xfId="2176"/>
    <cellStyle name="Output 2 2 3" xfId="2177"/>
    <cellStyle name="Output 2 2 4" xfId="2178"/>
    <cellStyle name="Output 2 2 5" xfId="2179"/>
    <cellStyle name="Output 2 2 6" xfId="2180"/>
    <cellStyle name="Output 2 3" xfId="2181"/>
    <cellStyle name="Output 2 4" xfId="2182"/>
    <cellStyle name="Output 2 5" xfId="2183"/>
    <cellStyle name="Output 2 6" xfId="2184"/>
    <cellStyle name="Output 2 7" xfId="2185"/>
    <cellStyle name="Output 2 8" xfId="2186"/>
    <cellStyle name="Output 2 9" xfId="2187"/>
    <cellStyle name="Output 20" xfId="2188"/>
    <cellStyle name="Output 21" xfId="2189"/>
    <cellStyle name="Output 22" xfId="2190"/>
    <cellStyle name="Output 23" xfId="2191"/>
    <cellStyle name="Output 3" xfId="2192"/>
    <cellStyle name="Output 4" xfId="2193"/>
    <cellStyle name="Output 5" xfId="2194"/>
    <cellStyle name="Output 6" xfId="2195"/>
    <cellStyle name="Output 7" xfId="2196"/>
    <cellStyle name="Output 8" xfId="2197"/>
    <cellStyle name="Output 9" xfId="2198"/>
    <cellStyle name="Output Amounts" xfId="2199"/>
    <cellStyle name="Output Column Headings" xfId="2200"/>
    <cellStyle name="Output Column Headings 2" xfId="2201"/>
    <cellStyle name="Output Column Headings 3" xfId="2202"/>
    <cellStyle name="Output Column Headings 4" xfId="2203"/>
    <cellStyle name="Output Column Headings 5" xfId="2204"/>
    <cellStyle name="Output Column Headings 6" xfId="2205"/>
    <cellStyle name="Output Column Headings 7" xfId="2206"/>
    <cellStyle name="Output Line Items" xfId="2207"/>
    <cellStyle name="Output Line Items 2" xfId="2208"/>
    <cellStyle name="Output Line Items 3" xfId="2209"/>
    <cellStyle name="Output Line Items 4" xfId="2210"/>
    <cellStyle name="Output Line Items 5" xfId="2211"/>
    <cellStyle name="Output Line Items 6" xfId="2212"/>
    <cellStyle name="Output Line Items 7" xfId="2213"/>
    <cellStyle name="Output Report Heading" xfId="2214"/>
    <cellStyle name="Output Report Heading 2" xfId="2215"/>
    <cellStyle name="Output Report Heading 3" xfId="2216"/>
    <cellStyle name="Output Report Heading 4" xfId="2217"/>
    <cellStyle name="Output Report Heading 5" xfId="2218"/>
    <cellStyle name="Output Report Heading 6" xfId="2219"/>
    <cellStyle name="Output Report Heading 7" xfId="2220"/>
    <cellStyle name="Output Report Title" xfId="2221"/>
    <cellStyle name="Output Report Title 2" xfId="2222"/>
    <cellStyle name="Output Report Title 3" xfId="2223"/>
    <cellStyle name="Output Report Title 4" xfId="2224"/>
    <cellStyle name="Output Report Title 5" xfId="2225"/>
    <cellStyle name="Output Report Title 6" xfId="2226"/>
    <cellStyle name="Output Report Title 7" xfId="2227"/>
    <cellStyle name="Percent" xfId="3" builtinId="5"/>
    <cellStyle name="Percent 2" xfId="7"/>
    <cellStyle name="Percent 2 2" xfId="2228"/>
    <cellStyle name="Percent 2 3" xfId="2229"/>
    <cellStyle name="Percent 2 3 2" xfId="2392"/>
    <cellStyle name="Percent 2 4" xfId="2230"/>
    <cellStyle name="Percent 2 5" xfId="2231"/>
    <cellStyle name="Percent 2 6" xfId="2232"/>
    <cellStyle name="Percent 3" xfId="2385"/>
    <cellStyle name="ReportTitlePrompt" xfId="2233"/>
    <cellStyle name="ReportTitleValue" xfId="2234"/>
    <cellStyle name="RowAcctAbovePrompt" xfId="2235"/>
    <cellStyle name="RowAcctSOBAbovePrompt" xfId="2236"/>
    <cellStyle name="RowAcctSOBValue" xfId="2237"/>
    <cellStyle name="RowAcctValue" xfId="2238"/>
    <cellStyle name="RowAttrAbovePrompt" xfId="2239"/>
    <cellStyle name="RowAttrValue" xfId="2240"/>
    <cellStyle name="RowColSetAbovePrompt" xfId="2241"/>
    <cellStyle name="RowColSetLeftPrompt" xfId="2242"/>
    <cellStyle name="RowColSetValue" xfId="2243"/>
    <cellStyle name="RowLeftPrompt" xfId="2244"/>
    <cellStyle name="SampleUsingFormatMask" xfId="2245"/>
    <cellStyle name="SampleWithNoFormatMask" xfId="2246"/>
    <cellStyle name="STYL5 - Style5" xfId="2247"/>
    <cellStyle name="STYL6 - Style6" xfId="2248"/>
    <cellStyle name="STYLE1 - Style1" xfId="2249"/>
    <cellStyle name="STYLE2 - Style2" xfId="2250"/>
    <cellStyle name="STYLE3 - Style3" xfId="2251"/>
    <cellStyle name="STYLE4 - Style4" xfId="2252"/>
    <cellStyle name="Title 10" xfId="2253"/>
    <cellStyle name="Title 11" xfId="2254"/>
    <cellStyle name="Title 12" xfId="2255"/>
    <cellStyle name="Title 13" xfId="2256"/>
    <cellStyle name="Title 14" xfId="2257"/>
    <cellStyle name="Title 15" xfId="2258"/>
    <cellStyle name="Title 16" xfId="2259"/>
    <cellStyle name="Title 17" xfId="2260"/>
    <cellStyle name="Title 17 2" xfId="2261"/>
    <cellStyle name="Title 17 3" xfId="2262"/>
    <cellStyle name="Title 17 4" xfId="2263"/>
    <cellStyle name="Title 17 5" xfId="2264"/>
    <cellStyle name="Title 18" xfId="2265"/>
    <cellStyle name="Title 19" xfId="2266"/>
    <cellStyle name="Title 2" xfId="2267"/>
    <cellStyle name="Title 2 2" xfId="2268"/>
    <cellStyle name="Title 2 2 2" xfId="2269"/>
    <cellStyle name="Title 2 2 2 2" xfId="2270"/>
    <cellStyle name="Title 2 2 2 3" xfId="2271"/>
    <cellStyle name="Title 2 2 3" xfId="2272"/>
    <cellStyle name="Title 2 2 4" xfId="2273"/>
    <cellStyle name="Title 2 2 5" xfId="2274"/>
    <cellStyle name="Title 2 2 6" xfId="2275"/>
    <cellStyle name="Title 2 3" xfId="2276"/>
    <cellStyle name="Title 2 4" xfId="2277"/>
    <cellStyle name="Title 2 5" xfId="2278"/>
    <cellStyle name="Title 2 6" xfId="2279"/>
    <cellStyle name="Title 2 7" xfId="2280"/>
    <cellStyle name="Title 2 8" xfId="2281"/>
    <cellStyle name="Title 2 9" xfId="2282"/>
    <cellStyle name="Title 20" xfId="2283"/>
    <cellStyle name="Title 21" xfId="2284"/>
    <cellStyle name="Title 22" xfId="2285"/>
    <cellStyle name="Title 23" xfId="2286"/>
    <cellStyle name="Title 3" xfId="2287"/>
    <cellStyle name="Title 4" xfId="2288"/>
    <cellStyle name="Title 5" xfId="2289"/>
    <cellStyle name="Title 6" xfId="2290"/>
    <cellStyle name="Title 7" xfId="2291"/>
    <cellStyle name="Title 8" xfId="2292"/>
    <cellStyle name="Title 9" xfId="2293"/>
    <cellStyle name="Total 10" xfId="2294"/>
    <cellStyle name="Total 11" xfId="2295"/>
    <cellStyle name="Total 12" xfId="2296"/>
    <cellStyle name="Total 13" xfId="2297"/>
    <cellStyle name="Total 14" xfId="2298"/>
    <cellStyle name="Total 15" xfId="2299"/>
    <cellStyle name="Total 16" xfId="2300"/>
    <cellStyle name="Total 17" xfId="2301"/>
    <cellStyle name="Total 18" xfId="2302"/>
    <cellStyle name="Total 19" xfId="2303"/>
    <cellStyle name="Total 2" xfId="2304"/>
    <cellStyle name="Total 2 10" xfId="2305"/>
    <cellStyle name="Total 2 2" xfId="2306"/>
    <cellStyle name="Total 2 2 2" xfId="2307"/>
    <cellStyle name="Total 2 2 2 2" xfId="2308"/>
    <cellStyle name="Total 2 2 2 2 2" xfId="2309"/>
    <cellStyle name="Total 2 2 2 2 3" xfId="2310"/>
    <cellStyle name="Total 2 2 2 3" xfId="2311"/>
    <cellStyle name="Total 2 2 2 4" xfId="2312"/>
    <cellStyle name="Total 2 2 2 5" xfId="2313"/>
    <cellStyle name="Total 2 2 2 6" xfId="2314"/>
    <cellStyle name="Total 2 2 3" xfId="2315"/>
    <cellStyle name="Total 2 2 4" xfId="2316"/>
    <cellStyle name="Total 2 2 5" xfId="2317"/>
    <cellStyle name="Total 2 2 6" xfId="2318"/>
    <cellStyle name="Total 2 3" xfId="2319"/>
    <cellStyle name="Total 2 4" xfId="2320"/>
    <cellStyle name="Total 2 5" xfId="2321"/>
    <cellStyle name="Total 2 6" xfId="2322"/>
    <cellStyle name="Total 2 7" xfId="2323"/>
    <cellStyle name="Total 2 8" xfId="2324"/>
    <cellStyle name="Total 2 9" xfId="2325"/>
    <cellStyle name="Total 20" xfId="2326"/>
    <cellStyle name="Total 21" xfId="2327"/>
    <cellStyle name="Total 22" xfId="2328"/>
    <cellStyle name="Total 23" xfId="2329"/>
    <cellStyle name="Total 24" xfId="2330"/>
    <cellStyle name="Total 25" xfId="2331"/>
    <cellStyle name="Total 3" xfId="2332"/>
    <cellStyle name="Total 4" xfId="2333"/>
    <cellStyle name="Total 5" xfId="2334"/>
    <cellStyle name="Total 6" xfId="2335"/>
    <cellStyle name="Total 7" xfId="2336"/>
    <cellStyle name="Total 8" xfId="2337"/>
    <cellStyle name="Total 9" xfId="2338"/>
    <cellStyle name="UploadThisRowValue" xfId="2339"/>
    <cellStyle name="Warning Text 10" xfId="2340"/>
    <cellStyle name="Warning Text 11" xfId="2341"/>
    <cellStyle name="Warning Text 12" xfId="2342"/>
    <cellStyle name="Warning Text 13" xfId="2343"/>
    <cellStyle name="Warning Text 14" xfId="2344"/>
    <cellStyle name="Warning Text 15" xfId="2345"/>
    <cellStyle name="Warning Text 16" xfId="2346"/>
    <cellStyle name="Warning Text 17" xfId="2347"/>
    <cellStyle name="Warning Text 18" xfId="2348"/>
    <cellStyle name="Warning Text 19" xfId="2349"/>
    <cellStyle name="Warning Text 2" xfId="2350"/>
    <cellStyle name="Warning Text 2 10" xfId="2351"/>
    <cellStyle name="Warning Text 2 2" xfId="2352"/>
    <cellStyle name="Warning Text 2 2 2" xfId="2353"/>
    <cellStyle name="Warning Text 2 2 2 2" xfId="2354"/>
    <cellStyle name="Warning Text 2 2 2 2 2" xfId="2355"/>
    <cellStyle name="Warning Text 2 2 2 2 3" xfId="2356"/>
    <cellStyle name="Warning Text 2 2 2 3" xfId="2357"/>
    <cellStyle name="Warning Text 2 2 2 4" xfId="2358"/>
    <cellStyle name="Warning Text 2 2 2 5" xfId="2359"/>
    <cellStyle name="Warning Text 2 2 2 6" xfId="2360"/>
    <cellStyle name="Warning Text 2 2 3" xfId="2361"/>
    <cellStyle name="Warning Text 2 2 4" xfId="2362"/>
    <cellStyle name="Warning Text 2 2 5" xfId="2363"/>
    <cellStyle name="Warning Text 2 2 6" xfId="2364"/>
    <cellStyle name="Warning Text 2 3" xfId="2365"/>
    <cellStyle name="Warning Text 2 4" xfId="2366"/>
    <cellStyle name="Warning Text 2 5" xfId="2367"/>
    <cellStyle name="Warning Text 2 6" xfId="2368"/>
    <cellStyle name="Warning Text 2 7" xfId="2369"/>
    <cellStyle name="Warning Text 2 8" xfId="2370"/>
    <cellStyle name="Warning Text 2 9" xfId="2371"/>
    <cellStyle name="Warning Text 20" xfId="2372"/>
    <cellStyle name="Warning Text 21" xfId="2373"/>
    <cellStyle name="Warning Text 22" xfId="2374"/>
    <cellStyle name="Warning Text 23" xfId="2375"/>
    <cellStyle name="Warning Text 3" xfId="2376"/>
    <cellStyle name="Warning Text 4" xfId="2377"/>
    <cellStyle name="Warning Text 5" xfId="2378"/>
    <cellStyle name="Warning Text 6" xfId="2379"/>
    <cellStyle name="Warning Text 7" xfId="2380"/>
    <cellStyle name="Warning Text 8" xfId="2381"/>
    <cellStyle name="Warning Text 9" xfId="238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12%20FINAL%20RATE%20AD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KU\KU%20ECR%20OU%20Recovery%202013.02%20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09%20es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LGE\LGE%20ECR%20OU%20Recovery%202013.02%20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llocation"/>
      <sheetName val="Liability Detail"/>
      <sheetName val="OU Collection"/>
      <sheetName val="ROR"/>
      <sheetName val="A216810396964DCDB399904ED81BA8E"/>
      <sheetName val="Net Assets"/>
      <sheetName val="Error Checks"/>
      <sheetName val="Data"/>
      <sheetName val="Input"/>
      <sheetName val="Revenue Report"/>
      <sheetName val="BS Recon"/>
      <sheetName val="Startup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4">
          <cell r="BK74" t="str">
            <v>NO</v>
          </cell>
        </row>
      </sheetData>
      <sheetData sheetId="8">
        <row r="4">
          <cell r="K4">
            <v>41609</v>
          </cell>
        </row>
      </sheetData>
      <sheetData sheetId="9"/>
      <sheetData sheetId="10"/>
      <sheetData sheetId="11">
        <row r="5">
          <cell r="N5">
            <v>41244</v>
          </cell>
        </row>
        <row r="8">
          <cell r="N8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Revenue Report"/>
      <sheetName val="Input - Rev Report"/>
      <sheetName val="Data- Rev Report"/>
      <sheetName val="Startup"/>
      <sheetName val="Adjt Input"/>
      <sheetName val="Data Updates"/>
      <sheetName val="VersionHist"/>
    </sheetNames>
    <sheetDataSet>
      <sheetData sheetId="0" refreshError="1"/>
      <sheetData sheetId="1">
        <row r="38">
          <cell r="K38">
            <v>122206198.18000001</v>
          </cell>
        </row>
        <row r="39">
          <cell r="K39">
            <v>139430871.61000001</v>
          </cell>
        </row>
        <row r="40">
          <cell r="K40">
            <v>0.87649999999999995</v>
          </cell>
        </row>
        <row r="60">
          <cell r="K60">
            <v>555232.65</v>
          </cell>
        </row>
        <row r="61">
          <cell r="K61">
            <v>240996.76</v>
          </cell>
        </row>
        <row r="63">
          <cell r="K63">
            <v>306794.60000000003</v>
          </cell>
        </row>
        <row r="64">
          <cell r="K64">
            <v>3736658.66</v>
          </cell>
        </row>
        <row r="67">
          <cell r="K67">
            <v>7441.29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y Detail"/>
      <sheetName val="OU Collection"/>
      <sheetName val="ROR True-Up Adj"/>
      <sheetName val="Error Checks"/>
      <sheetName val="Input"/>
      <sheetName val="Data"/>
      <sheetName val="BS Recon"/>
      <sheetName val="Revenue Report"/>
      <sheetName val="Startup"/>
      <sheetName val="VersionHist"/>
    </sheetNames>
    <sheetDataSet>
      <sheetData sheetId="0"/>
      <sheetData sheetId="1"/>
      <sheetData sheetId="2"/>
      <sheetData sheetId="3"/>
      <sheetData sheetId="4"/>
      <sheetData sheetId="5">
        <row r="85">
          <cell r="O85">
            <v>201309</v>
          </cell>
          <cell r="P85">
            <v>201308</v>
          </cell>
          <cell r="Q85">
            <v>201307</v>
          </cell>
          <cell r="R85">
            <v>201306</v>
          </cell>
          <cell r="S85">
            <v>201305</v>
          </cell>
          <cell r="T85">
            <v>201304</v>
          </cell>
          <cell r="U85">
            <v>201303</v>
          </cell>
          <cell r="V85">
            <v>201302</v>
          </cell>
          <cell r="W85">
            <v>201301</v>
          </cell>
          <cell r="X85">
            <v>201212</v>
          </cell>
          <cell r="Y85">
            <v>201211</v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</row>
        <row r="86">
          <cell r="O86">
            <v>2013</v>
          </cell>
          <cell r="P86">
            <v>2013</v>
          </cell>
          <cell r="Q86">
            <v>2013</v>
          </cell>
          <cell r="R86">
            <v>2013</v>
          </cell>
          <cell r="S86">
            <v>2013</v>
          </cell>
          <cell r="T86">
            <v>2013</v>
          </cell>
          <cell r="U86">
            <v>2013</v>
          </cell>
          <cell r="V86">
            <v>2013</v>
          </cell>
          <cell r="W86">
            <v>2013</v>
          </cell>
          <cell r="X86">
            <v>2012</v>
          </cell>
          <cell r="Y86">
            <v>2012</v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</row>
        <row r="87">
          <cell r="O87">
            <v>9</v>
          </cell>
          <cell r="P87">
            <v>8</v>
          </cell>
          <cell r="Q87">
            <v>7</v>
          </cell>
          <cell r="R87">
            <v>6</v>
          </cell>
          <cell r="S87">
            <v>5</v>
          </cell>
          <cell r="T87">
            <v>4</v>
          </cell>
          <cell r="U87">
            <v>3</v>
          </cell>
          <cell r="V87">
            <v>2</v>
          </cell>
          <cell r="W87">
            <v>1</v>
          </cell>
          <cell r="X87">
            <v>12</v>
          </cell>
          <cell r="Y87">
            <v>11</v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</row>
        <row r="90">
          <cell r="O90">
            <v>43229342.950000003</v>
          </cell>
          <cell r="P90">
            <v>39503462.950000003</v>
          </cell>
          <cell r="Q90">
            <v>34231314.770000003</v>
          </cell>
          <cell r="R90">
            <v>29634770.5</v>
          </cell>
          <cell r="S90">
            <v>26798988.34</v>
          </cell>
          <cell r="T90">
            <v>23148314.719999999</v>
          </cell>
          <cell r="U90">
            <v>19685215.710000001</v>
          </cell>
          <cell r="V90">
            <v>18141793.66</v>
          </cell>
          <cell r="W90">
            <v>16266015.189999999</v>
          </cell>
          <cell r="X90">
            <v>15355903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O91">
            <v>-544594.73</v>
          </cell>
          <cell r="P91">
            <v>-454031.89</v>
          </cell>
          <cell r="Q91">
            <v>-375127.24</v>
          </cell>
          <cell r="R91">
            <v>-308196.38</v>
          </cell>
          <cell r="S91">
            <v>-250691.03</v>
          </cell>
          <cell r="T91">
            <v>-201627.21</v>
          </cell>
          <cell r="U91">
            <v>-160197.09</v>
          </cell>
          <cell r="V91">
            <v>-123394.65</v>
          </cell>
          <cell r="W91">
            <v>-90061.06</v>
          </cell>
          <cell r="X91">
            <v>-74306.5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O92">
            <v>1073931.06</v>
          </cell>
          <cell r="P92">
            <v>1008389.76</v>
          </cell>
          <cell r="Q92">
            <v>956524.42</v>
          </cell>
          <cell r="R92">
            <v>837901.1</v>
          </cell>
          <cell r="S92">
            <v>806659.83</v>
          </cell>
          <cell r="T92">
            <v>757994.64</v>
          </cell>
          <cell r="U92">
            <v>671359.75</v>
          </cell>
          <cell r="V92">
            <v>593604.97</v>
          </cell>
          <cell r="W92">
            <v>562993.46</v>
          </cell>
          <cell r="X92">
            <v>549445.43999999994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O93">
            <v>-5470324.8499999996</v>
          </cell>
          <cell r="P93">
            <v>-4499471</v>
          </cell>
          <cell r="Q93">
            <v>-3597164.69</v>
          </cell>
          <cell r="R93">
            <v>-2784611.12</v>
          </cell>
          <cell r="S93">
            <v>-2340945.09</v>
          </cell>
          <cell r="T93">
            <v>-1945663.31</v>
          </cell>
          <cell r="U93">
            <v>-1657444.61</v>
          </cell>
          <cell r="V93">
            <v>-1469947.28</v>
          </cell>
          <cell r="W93">
            <v>-1355034.62</v>
          </cell>
          <cell r="X93">
            <v>-1264419.3799999999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O94">
            <v>38288354.430000007</v>
          </cell>
          <cell r="P94">
            <v>35558349.82</v>
          </cell>
          <cell r="Q94">
            <v>31215547.260000002</v>
          </cell>
          <cell r="R94">
            <v>27379864.100000001</v>
          </cell>
          <cell r="S94">
            <v>25014012.049999997</v>
          </cell>
          <cell r="T94">
            <v>21759018.84</v>
          </cell>
          <cell r="U94">
            <v>18538933.760000002</v>
          </cell>
          <cell r="V94">
            <v>17142056.699999999</v>
          </cell>
          <cell r="W94">
            <v>15383912.969999999</v>
          </cell>
          <cell r="X94">
            <v>14566622.559999999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O95">
            <v>24484667.25</v>
          </cell>
          <cell r="P95">
            <v>22950924.23</v>
          </cell>
          <cell r="Q95">
            <v>21374996.030000001</v>
          </cell>
          <cell r="R95">
            <v>19969203</v>
          </cell>
          <cell r="S95">
            <v>18734092.809999999</v>
          </cell>
          <cell r="T95">
            <v>17478108.969999999</v>
          </cell>
          <cell r="U95">
            <v>16407881.5</v>
          </cell>
          <cell r="V95">
            <v>15697530.74</v>
          </cell>
          <cell r="W95">
            <v>14975267.77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O96">
            <v>24484667.25</v>
          </cell>
          <cell r="P96">
            <v>24484667.25</v>
          </cell>
          <cell r="Q96">
            <v>24484667.25</v>
          </cell>
          <cell r="R96">
            <v>24484667.25</v>
          </cell>
          <cell r="S96">
            <v>24484667.25</v>
          </cell>
          <cell r="T96">
            <v>24484667.25</v>
          </cell>
          <cell r="U96">
            <v>24484667.25</v>
          </cell>
          <cell r="V96">
            <v>24484667.25</v>
          </cell>
          <cell r="W96">
            <v>24484667.25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O97">
            <v>2040388.94</v>
          </cell>
          <cell r="P97">
            <v>2040388.94</v>
          </cell>
          <cell r="Q97">
            <v>2040388.94</v>
          </cell>
          <cell r="R97">
            <v>2040388.94</v>
          </cell>
          <cell r="S97">
            <v>2040388.94</v>
          </cell>
          <cell r="T97">
            <v>2040388.94</v>
          </cell>
          <cell r="U97">
            <v>2040388.94</v>
          </cell>
          <cell r="V97">
            <v>2040388.94</v>
          </cell>
          <cell r="W97">
            <v>2040388.94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O98">
            <v>211698.25</v>
          </cell>
          <cell r="P98">
            <v>165075.4</v>
          </cell>
          <cell r="Q98">
            <v>217986.22999999998</v>
          </cell>
          <cell r="R98">
            <v>80822.62</v>
          </cell>
          <cell r="S98">
            <v>71313.100000000006</v>
          </cell>
          <cell r="T98">
            <v>32190.82</v>
          </cell>
          <cell r="U98">
            <v>103210.19</v>
          </cell>
          <cell r="V98">
            <v>-46019.8</v>
          </cell>
          <cell r="W98">
            <v>79174.740000000005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O99">
            <v>0.1101</v>
          </cell>
          <cell r="P99">
            <v>0.1101</v>
          </cell>
          <cell r="Q99">
            <v>0.1101</v>
          </cell>
          <cell r="R99">
            <v>0.1101</v>
          </cell>
          <cell r="S99">
            <v>0.1101</v>
          </cell>
          <cell r="T99">
            <v>0.1101</v>
          </cell>
          <cell r="U99">
            <v>0.1101</v>
          </cell>
          <cell r="V99">
            <v>0.1101</v>
          </cell>
          <cell r="W99">
            <v>0.1101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O100">
            <v>0.1101</v>
          </cell>
          <cell r="P100">
            <v>0.1101</v>
          </cell>
          <cell r="Q100">
            <v>0.1101</v>
          </cell>
          <cell r="R100">
            <v>0.1101</v>
          </cell>
          <cell r="S100">
            <v>0.1101</v>
          </cell>
          <cell r="T100">
            <v>0.1101</v>
          </cell>
          <cell r="U100">
            <v>0.1101</v>
          </cell>
          <cell r="V100">
            <v>0.1101</v>
          </cell>
          <cell r="W100">
            <v>0.1101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O101">
            <v>436345.07</v>
          </cell>
          <cell r="P101">
            <v>389722.22</v>
          </cell>
          <cell r="Q101">
            <v>442633.05</v>
          </cell>
          <cell r="R101">
            <v>305469.44</v>
          </cell>
          <cell r="S101">
            <v>295959.92</v>
          </cell>
          <cell r="T101">
            <v>256837.64</v>
          </cell>
          <cell r="U101">
            <v>327857.01</v>
          </cell>
          <cell r="V101">
            <v>178627.02</v>
          </cell>
          <cell r="W101">
            <v>303821.56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O102">
            <v>436345.07</v>
          </cell>
          <cell r="P102">
            <v>389722.22</v>
          </cell>
          <cell r="Q102">
            <v>442633.05</v>
          </cell>
          <cell r="R102">
            <v>305469.44</v>
          </cell>
          <cell r="S102">
            <v>295959.92</v>
          </cell>
          <cell r="T102">
            <v>256837.64</v>
          </cell>
          <cell r="U102">
            <v>327857.01</v>
          </cell>
          <cell r="V102">
            <v>178627.02</v>
          </cell>
          <cell r="W102">
            <v>303821.56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12">
          <cell r="O112">
            <v>436345.07</v>
          </cell>
          <cell r="P112">
            <v>389722.22</v>
          </cell>
          <cell r="Q112">
            <v>442633.05</v>
          </cell>
          <cell r="R112">
            <v>305469.44</v>
          </cell>
          <cell r="S112">
            <v>295959.92</v>
          </cell>
          <cell r="T112">
            <v>256837.64</v>
          </cell>
          <cell r="U112">
            <v>327857.01</v>
          </cell>
          <cell r="V112">
            <v>178627.02</v>
          </cell>
          <cell r="W112">
            <v>303821.56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</row>
        <row r="113">
          <cell r="O113">
            <v>436345.07</v>
          </cell>
          <cell r="P113">
            <v>389722.22</v>
          </cell>
          <cell r="Q113">
            <v>442633.05</v>
          </cell>
          <cell r="R113">
            <v>305469.44</v>
          </cell>
          <cell r="S113">
            <v>295959.92</v>
          </cell>
          <cell r="T113">
            <v>256837.64</v>
          </cell>
          <cell r="U113">
            <v>327857.01</v>
          </cell>
          <cell r="V113">
            <v>178627.02</v>
          </cell>
          <cell r="W113">
            <v>303821.56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</row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</row>
        <row r="116">
          <cell r="O116">
            <v>436345.07</v>
          </cell>
          <cell r="P116">
            <v>389722.22</v>
          </cell>
          <cell r="Q116">
            <v>442633.05</v>
          </cell>
          <cell r="R116">
            <v>305469.44</v>
          </cell>
          <cell r="S116">
            <v>295959.92</v>
          </cell>
          <cell r="T116">
            <v>256837.64</v>
          </cell>
          <cell r="U116">
            <v>327857.01</v>
          </cell>
          <cell r="V116">
            <v>178627.02</v>
          </cell>
          <cell r="W116">
            <v>303821.56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</row>
        <row r="117">
          <cell r="O117">
            <v>436345.07</v>
          </cell>
          <cell r="P117">
            <v>389722.22</v>
          </cell>
          <cell r="Q117">
            <v>442633.05</v>
          </cell>
          <cell r="R117">
            <v>305469.44</v>
          </cell>
          <cell r="S117">
            <v>295959.92</v>
          </cell>
          <cell r="T117">
            <v>256837.64</v>
          </cell>
          <cell r="U117">
            <v>327857.01</v>
          </cell>
          <cell r="V117">
            <v>178627.02</v>
          </cell>
          <cell r="W117">
            <v>303821.56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</row>
        <row r="118">
          <cell r="O118">
            <v>436345.07</v>
          </cell>
          <cell r="P118">
            <v>389722.22</v>
          </cell>
          <cell r="Q118">
            <v>442633.05</v>
          </cell>
          <cell r="R118">
            <v>305469.44</v>
          </cell>
          <cell r="S118">
            <v>295959.92</v>
          </cell>
          <cell r="T118">
            <v>256837.64</v>
          </cell>
          <cell r="U118">
            <v>327857.01</v>
          </cell>
          <cell r="V118">
            <v>178627.02</v>
          </cell>
          <cell r="W118">
            <v>303821.56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O119">
            <v>959875.17</v>
          </cell>
          <cell r="P119">
            <v>964058.08</v>
          </cell>
          <cell r="Q119">
            <v>964731.89</v>
          </cell>
          <cell r="R119">
            <v>967142.37</v>
          </cell>
          <cell r="S119">
            <v>972357.35</v>
          </cell>
          <cell r="T119">
            <v>977936.59</v>
          </cell>
          <cell r="U119">
            <v>971192.21</v>
          </cell>
          <cell r="V119">
            <v>971918.25</v>
          </cell>
          <cell r="W119">
            <v>442006.43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O121">
            <v>-523530.10000000003</v>
          </cell>
          <cell r="P121">
            <v>-574335.86</v>
          </cell>
          <cell r="Q121">
            <v>-522098.84</v>
          </cell>
          <cell r="R121">
            <v>-661672.92999999993</v>
          </cell>
          <cell r="S121">
            <v>-676397.42999999993</v>
          </cell>
          <cell r="T121">
            <v>-721098.95</v>
          </cell>
          <cell r="U121">
            <v>-643335.19999999995</v>
          </cell>
          <cell r="V121">
            <v>-793291.23</v>
          </cell>
          <cell r="W121">
            <v>-138184.87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</row>
        <row r="129">
          <cell r="O129">
            <v>-523530.1</v>
          </cell>
          <cell r="P129">
            <v>-574335.86</v>
          </cell>
          <cell r="Q129">
            <v>-522098.84</v>
          </cell>
          <cell r="R129">
            <v>-661672.93000000005</v>
          </cell>
          <cell r="S129">
            <v>-676397.43</v>
          </cell>
          <cell r="T129">
            <v>-721098.95</v>
          </cell>
          <cell r="U129">
            <v>-643335.19999999995</v>
          </cell>
          <cell r="V129">
            <v>-793291.23</v>
          </cell>
          <cell r="W129">
            <v>-138184.87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O131">
            <v>-523530.1</v>
          </cell>
          <cell r="P131">
            <v>-574335.86</v>
          </cell>
          <cell r="Q131">
            <v>-522098.84</v>
          </cell>
          <cell r="R131">
            <v>-661672.93000000005</v>
          </cell>
          <cell r="S131">
            <v>-676397.43</v>
          </cell>
          <cell r="T131">
            <v>-721098.95</v>
          </cell>
          <cell r="U131">
            <v>-643335.19999999995</v>
          </cell>
          <cell r="V131">
            <v>-793291.23</v>
          </cell>
          <cell r="W131">
            <v>-138184.87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O132">
            <v>-5253945.41</v>
          </cell>
          <cell r="P132">
            <v>-4730415.3099999996</v>
          </cell>
          <cell r="Q132">
            <v>-4156079.45</v>
          </cell>
          <cell r="R132">
            <v>-3633980.61</v>
          </cell>
          <cell r="S132">
            <v>-2972307.68</v>
          </cell>
          <cell r="T132">
            <v>-2295910.25</v>
          </cell>
          <cell r="U132">
            <v>-1574811.3</v>
          </cell>
          <cell r="V132">
            <v>-931476.1</v>
          </cell>
          <cell r="W132">
            <v>-138184.87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Startup"/>
      <sheetName val="VersionHist"/>
      <sheetName val="Adjt Input"/>
    </sheetNames>
    <sheetDataSet>
      <sheetData sheetId="0"/>
      <sheetData sheetId="1">
        <row r="116">
          <cell r="H116" t="str">
            <v>second</v>
          </cell>
        </row>
      </sheetData>
      <sheetData sheetId="2"/>
      <sheetData sheetId="3">
        <row r="25">
          <cell r="Y25">
            <v>0</v>
          </cell>
        </row>
      </sheetData>
      <sheetData sheetId="4"/>
      <sheetData sheetId="5"/>
      <sheetData sheetId="6"/>
      <sheetData sheetId="7">
        <row r="128">
          <cell r="BK128" t="str">
            <v>NO</v>
          </cell>
        </row>
      </sheetData>
      <sheetData sheetId="8"/>
      <sheetData sheetId="9"/>
      <sheetData sheetId="10"/>
      <sheetData sheetId="11"/>
      <sheetData sheetId="12">
        <row r="5">
          <cell r="N5">
            <v>41030</v>
          </cell>
        </row>
        <row r="10">
          <cell r="N10">
            <v>0</v>
          </cell>
        </row>
      </sheetData>
      <sheetData sheetId="13"/>
      <sheetData sheetId="14">
        <row r="18">
          <cell r="O18">
            <v>201112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%5e@%2038.9%25" TargetMode="External"/><Relationship Id="rId1" Type="http://schemas.openxmlformats.org/officeDocument/2006/relationships/hyperlink" Target="mailto:%5e@%2038.9%25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80" zoomScaleNormal="80" zoomScaleSheetLayoutView="70" workbookViewId="0"/>
  </sheetViews>
  <sheetFormatPr defaultColWidth="9.140625" defaultRowHeight="20.25"/>
  <cols>
    <col min="1" max="1" width="7" style="256" customWidth="1"/>
    <col min="2" max="2" width="54.7109375" style="404" customWidth="1"/>
    <col min="3" max="3" width="18.85546875" style="404" customWidth="1"/>
    <col min="4" max="5" width="14.7109375" style="404" customWidth="1"/>
    <col min="6" max="8" width="17.7109375" style="404" customWidth="1"/>
    <col min="9" max="9" width="15.7109375" style="404" customWidth="1"/>
    <col min="10" max="10" width="6.140625" style="404" customWidth="1"/>
    <col min="11" max="12" width="9.140625" style="404"/>
    <col min="13" max="13" width="12.5703125" style="404" customWidth="1"/>
    <col min="14" max="14" width="15.5703125" style="404" customWidth="1"/>
    <col min="15" max="15" width="16" style="404" bestFit="1" customWidth="1"/>
    <col min="16" max="16" width="15.140625" style="404" bestFit="1" customWidth="1"/>
    <col min="17" max="17" width="16" style="404" bestFit="1" customWidth="1"/>
    <col min="18" max="16384" width="9.140625" style="404"/>
  </cols>
  <sheetData>
    <row r="1" spans="1:11">
      <c r="A1" s="251" t="s">
        <v>67</v>
      </c>
      <c r="B1" s="251"/>
      <c r="C1" s="251"/>
      <c r="D1" s="251"/>
      <c r="E1" s="251"/>
      <c r="F1" s="251"/>
      <c r="G1" s="251"/>
      <c r="H1" s="251"/>
      <c r="I1" s="251"/>
    </row>
    <row r="2" spans="1:11">
      <c r="A2" s="252" t="s">
        <v>273</v>
      </c>
      <c r="B2" s="252"/>
      <c r="C2" s="252"/>
      <c r="D2" s="252"/>
      <c r="E2" s="252"/>
      <c r="F2" s="252"/>
      <c r="G2" s="252"/>
      <c r="H2" s="252"/>
      <c r="I2" s="252"/>
      <c r="J2" s="253"/>
      <c r="K2" s="254"/>
    </row>
    <row r="3" spans="1:11">
      <c r="A3" s="251" t="s">
        <v>75</v>
      </c>
      <c r="B3" s="251"/>
      <c r="C3" s="251"/>
      <c r="D3" s="251"/>
      <c r="E3" s="251"/>
      <c r="F3" s="251"/>
      <c r="G3" s="251"/>
      <c r="H3" s="251"/>
      <c r="I3" s="251"/>
      <c r="J3" s="254"/>
    </row>
    <row r="4" spans="1:11" ht="15.75" customHeight="1">
      <c r="A4" s="255"/>
    </row>
    <row r="5" spans="1:11" ht="15.75" customHeight="1"/>
    <row r="6" spans="1:11" s="405" customFormat="1" ht="63">
      <c r="A6" s="257" t="s">
        <v>66</v>
      </c>
      <c r="B6" s="257" t="s">
        <v>257</v>
      </c>
      <c r="C6" s="258" t="s">
        <v>255</v>
      </c>
      <c r="D6" s="257" t="s">
        <v>64</v>
      </c>
      <c r="E6" s="257" t="s">
        <v>165</v>
      </c>
      <c r="F6" s="257" t="s">
        <v>65</v>
      </c>
      <c r="G6" s="259" t="s">
        <v>276</v>
      </c>
      <c r="H6" s="260" t="s">
        <v>282</v>
      </c>
      <c r="I6" s="260" t="s">
        <v>280</v>
      </c>
    </row>
    <row r="7" spans="1:11" s="405" customFormat="1" ht="15.75">
      <c r="A7" s="261"/>
      <c r="B7" s="262"/>
      <c r="C7" s="263"/>
      <c r="D7" s="264"/>
      <c r="E7" s="264"/>
      <c r="F7" s="265"/>
      <c r="G7" s="265"/>
      <c r="H7" s="266"/>
      <c r="I7" s="266"/>
      <c r="J7" s="267"/>
      <c r="K7" s="267"/>
    </row>
    <row r="8" spans="1:11" s="405" customFormat="1" ht="15.75">
      <c r="B8" s="268" t="s">
        <v>396</v>
      </c>
      <c r="C8" s="263"/>
      <c r="D8" s="264"/>
      <c r="E8" s="264"/>
      <c r="F8" s="265"/>
      <c r="G8" s="265"/>
      <c r="H8" s="266"/>
      <c r="I8" s="266"/>
      <c r="J8" s="267"/>
      <c r="K8" s="267"/>
    </row>
    <row r="9" spans="1:11" s="405" customFormat="1" ht="15.75">
      <c r="A9" s="269">
        <v>1</v>
      </c>
      <c r="B9" s="270" t="s">
        <v>477</v>
      </c>
      <c r="C9" s="406">
        <v>218889573.37439248</v>
      </c>
      <c r="D9" s="271">
        <f>C9/$C$12</f>
        <v>0.67580274459504142</v>
      </c>
      <c r="E9" s="272">
        <f>D9*E$12</f>
        <v>3583618.0009867935</v>
      </c>
      <c r="F9" s="407">
        <v>3556511</v>
      </c>
      <c r="G9" s="273">
        <f>E9/F9</f>
        <v>1.0076217959080664</v>
      </c>
      <c r="H9" s="274">
        <f>G30</f>
        <v>-0.40973891345274216</v>
      </c>
      <c r="I9" s="274">
        <f>SUM(G9:H9)</f>
        <v>0.59788288245532428</v>
      </c>
      <c r="J9" s="267"/>
      <c r="K9" s="267"/>
    </row>
    <row r="10" spans="1:11" s="405" customFormat="1" ht="15.75">
      <c r="A10" s="269">
        <v>2</v>
      </c>
      <c r="B10" s="270" t="s">
        <v>479</v>
      </c>
      <c r="C10" s="406">
        <v>92279394.81562908</v>
      </c>
      <c r="D10" s="271">
        <f t="shared" ref="D10:D11" si="0">C10/$C$12</f>
        <v>0.28490470023122294</v>
      </c>
      <c r="E10" s="272">
        <f>D10*E$12</f>
        <v>1510780.5058207635</v>
      </c>
      <c r="F10" s="407">
        <v>299360</v>
      </c>
      <c r="G10" s="273">
        <f>E10/F10</f>
        <v>5.0467013155423688</v>
      </c>
      <c r="H10" s="274">
        <f t="shared" ref="H10:H11" si="1">G31</f>
        <v>-2.0521885512483689</v>
      </c>
      <c r="I10" s="274">
        <f>SUM(G10:H10)</f>
        <v>2.9945127642939999</v>
      </c>
      <c r="J10" s="267"/>
      <c r="K10" s="267"/>
    </row>
    <row r="11" spans="1:11" s="405" customFormat="1" ht="15.75">
      <c r="A11" s="269">
        <v>3</v>
      </c>
      <c r="B11" s="270" t="s">
        <v>478</v>
      </c>
      <c r="C11" s="408">
        <v>12726687.938982198</v>
      </c>
      <c r="D11" s="275">
        <f t="shared" si="0"/>
        <v>3.9292555173735678E-2</v>
      </c>
      <c r="E11" s="276">
        <f>D11*E$12</f>
        <v>208358.88748830499</v>
      </c>
      <c r="F11" s="297">
        <v>3282</v>
      </c>
      <c r="G11" s="273">
        <f>E11/F11</f>
        <v>63.485340490038084</v>
      </c>
      <c r="H11" s="274">
        <f t="shared" si="1"/>
        <v>-25.815652795723075</v>
      </c>
      <c r="I11" s="274">
        <f>SUM(G11:H11)</f>
        <v>37.669687694315009</v>
      </c>
      <c r="J11" s="267"/>
      <c r="K11" s="267"/>
    </row>
    <row r="12" spans="1:11" s="405" customFormat="1" ht="16.5" thickBot="1">
      <c r="A12" s="277">
        <v>4</v>
      </c>
      <c r="B12" s="278" t="s">
        <v>3</v>
      </c>
      <c r="C12" s="279">
        <f>SUM(C9:C11)</f>
        <v>323895656.12900376</v>
      </c>
      <c r="D12" s="280">
        <f>SUM(D9:D11)</f>
        <v>1</v>
      </c>
      <c r="E12" s="350">
        <f>'Rev Req 2018-Distr'!Q31</f>
        <v>5302757.3942958619</v>
      </c>
      <c r="F12" s="281">
        <f>SUM(F9:F11)</f>
        <v>3859153</v>
      </c>
      <c r="G12" s="282"/>
      <c r="H12" s="283"/>
      <c r="I12" s="282"/>
      <c r="J12" s="267"/>
      <c r="K12" s="267"/>
    </row>
    <row r="13" spans="1:11" s="405" customFormat="1" ht="16.5" thickTop="1">
      <c r="A13" s="269"/>
      <c r="E13" s="409"/>
      <c r="H13" s="410"/>
      <c r="J13" s="267"/>
      <c r="K13" s="267"/>
    </row>
    <row r="14" spans="1:11" s="405" customFormat="1" ht="15.75">
      <c r="A14" s="269"/>
      <c r="E14" s="409"/>
      <c r="H14" s="410"/>
      <c r="J14" s="267"/>
      <c r="K14" s="267"/>
    </row>
    <row r="15" spans="1:11" s="405" customFormat="1" ht="15.75">
      <c r="A15" s="269"/>
      <c r="E15" s="409"/>
      <c r="H15" s="410"/>
      <c r="J15" s="267"/>
      <c r="K15" s="267"/>
    </row>
    <row r="16" spans="1:11" s="405" customFormat="1" ht="63" customHeight="1">
      <c r="A16" s="257" t="s">
        <v>66</v>
      </c>
      <c r="B16" s="257" t="s">
        <v>256</v>
      </c>
      <c r="C16" s="258" t="s">
        <v>255</v>
      </c>
      <c r="D16" s="257" t="s">
        <v>64</v>
      </c>
      <c r="E16" s="257" t="s">
        <v>165</v>
      </c>
      <c r="F16" s="258" t="s">
        <v>279</v>
      </c>
      <c r="G16" s="260" t="s">
        <v>277</v>
      </c>
      <c r="H16" s="259" t="s">
        <v>281</v>
      </c>
      <c r="I16" s="260" t="s">
        <v>490</v>
      </c>
      <c r="J16" s="267"/>
      <c r="K16" s="267"/>
    </row>
    <row r="17" spans="1:11" s="405" customFormat="1" ht="15.75">
      <c r="A17" s="285"/>
      <c r="B17" s="285"/>
      <c r="C17" s="286"/>
      <c r="D17" s="285"/>
      <c r="E17" s="285"/>
      <c r="F17" s="285"/>
      <c r="G17" s="284"/>
      <c r="H17" s="284"/>
      <c r="I17" s="284"/>
      <c r="J17" s="267"/>
      <c r="K17" s="267"/>
    </row>
    <row r="18" spans="1:11" s="405" customFormat="1" ht="15.75">
      <c r="A18" s="285"/>
      <c r="B18" s="268" t="s">
        <v>396</v>
      </c>
      <c r="C18" s="286"/>
      <c r="D18" s="285"/>
      <c r="E18" s="285"/>
      <c r="F18" s="285"/>
      <c r="G18" s="284"/>
      <c r="H18" s="284"/>
      <c r="I18" s="284"/>
      <c r="J18" s="267"/>
      <c r="K18" s="267"/>
    </row>
    <row r="19" spans="1:11" s="405" customFormat="1" ht="15.75">
      <c r="A19" s="269">
        <v>5</v>
      </c>
      <c r="B19" s="270" t="s">
        <v>477</v>
      </c>
      <c r="C19" s="287">
        <f>C9</f>
        <v>218889573.37439248</v>
      </c>
      <c r="D19" s="271">
        <f>C19/$C$23</f>
        <v>0.65962971307043938</v>
      </c>
      <c r="E19" s="272">
        <f>D19*E$23</f>
        <v>1084750.9871997368</v>
      </c>
      <c r="F19" s="407">
        <v>19516321.910371594</v>
      </c>
      <c r="G19" s="288">
        <f t="shared" ref="G19:G22" si="2">E19/F19</f>
        <v>5.5581732673883881E-2</v>
      </c>
      <c r="H19" s="411">
        <f>G40</f>
        <v>-8.7947713097071944E-4</v>
      </c>
      <c r="I19" s="411">
        <f>G19+H19</f>
        <v>5.4702255542913164E-2</v>
      </c>
      <c r="J19" s="267"/>
      <c r="K19" s="267"/>
    </row>
    <row r="20" spans="1:11" s="405" customFormat="1" ht="15.75">
      <c r="A20" s="269">
        <v>6</v>
      </c>
      <c r="B20" s="270" t="s">
        <v>479</v>
      </c>
      <c r="C20" s="287">
        <f>C10</f>
        <v>92279394.81562908</v>
      </c>
      <c r="D20" s="271">
        <f t="shared" ref="D20:D22" si="3">C20/$C$23</f>
        <v>0.27808647888601667</v>
      </c>
      <c r="E20" s="272">
        <f>D20*E$23</f>
        <v>457308.96671462222</v>
      </c>
      <c r="F20" s="407">
        <v>10137905.826085169</v>
      </c>
      <c r="G20" s="288">
        <f t="shared" si="2"/>
        <v>4.5108819766105049E-2</v>
      </c>
      <c r="H20" s="411">
        <f t="shared" ref="H20:H22" si="4">G41</f>
        <v>-7.1376284043066652E-4</v>
      </c>
      <c r="I20" s="411">
        <f t="shared" ref="I20:I22" si="5">G20+H20</f>
        <v>4.439505692567438E-2</v>
      </c>
      <c r="J20" s="267"/>
      <c r="K20" s="267"/>
    </row>
    <row r="21" spans="1:11" s="405" customFormat="1" ht="15.75">
      <c r="A21" s="269">
        <v>7</v>
      </c>
      <c r="B21" s="270" t="s">
        <v>478</v>
      </c>
      <c r="C21" s="287">
        <f>C11</f>
        <v>12726687.938982198</v>
      </c>
      <c r="D21" s="271">
        <f t="shared" si="3"/>
        <v>3.835222200908156E-2</v>
      </c>
      <c r="E21" s="272">
        <f>D21*E$23</f>
        <v>63069.643257886579</v>
      </c>
      <c r="F21" s="407">
        <v>2332856.9129306562</v>
      </c>
      <c r="G21" s="288">
        <f t="shared" si="2"/>
        <v>2.7035367196462646E-2</v>
      </c>
      <c r="H21" s="411">
        <f t="shared" si="4"/>
        <v>-4.2778420234202108E-4</v>
      </c>
      <c r="I21" s="411">
        <f t="shared" si="5"/>
        <v>2.6607582994120624E-2</v>
      </c>
      <c r="J21" s="267"/>
      <c r="K21" s="267"/>
    </row>
    <row r="22" spans="1:11" s="405" customFormat="1" ht="15.75">
      <c r="A22" s="269">
        <v>8</v>
      </c>
      <c r="B22" s="270" t="s">
        <v>480</v>
      </c>
      <c r="C22" s="276">
        <v>7941386.7408618005</v>
      </c>
      <c r="D22" s="275">
        <f t="shared" si="3"/>
        <v>2.3931586034462476E-2</v>
      </c>
      <c r="E22" s="276">
        <f>D22*E$23</f>
        <v>39355.127675042218</v>
      </c>
      <c r="F22" s="297">
        <v>12313888.497179303</v>
      </c>
      <c r="G22" s="288">
        <f t="shared" si="2"/>
        <v>3.1959951305436259E-3</v>
      </c>
      <c r="H22" s="411">
        <f t="shared" si="4"/>
        <v>-5.0570655011760839E-5</v>
      </c>
      <c r="I22" s="411">
        <f t="shared" si="5"/>
        <v>3.1454244755318652E-3</v>
      </c>
      <c r="J22" s="267"/>
      <c r="K22" s="267"/>
    </row>
    <row r="23" spans="1:11" s="405" customFormat="1" ht="16.5" thickBot="1">
      <c r="A23" s="277">
        <v>9</v>
      </c>
      <c r="B23" s="278" t="s">
        <v>3</v>
      </c>
      <c r="C23" s="279">
        <f>SUM(C19:C22)</f>
        <v>331837042.86986554</v>
      </c>
      <c r="D23" s="280">
        <f>SUM(D19:D22)</f>
        <v>1</v>
      </c>
      <c r="E23" s="350">
        <f>'Rev Req 2018-Trans'!Q31</f>
        <v>1644484.7248472876</v>
      </c>
      <c r="F23" s="281">
        <f>SUM(F19:F22)</f>
        <v>44300973.146566719</v>
      </c>
      <c r="H23" s="410"/>
      <c r="J23" s="267"/>
      <c r="K23" s="267"/>
    </row>
    <row r="24" spans="1:11" s="405" customFormat="1" ht="16.5" thickTop="1">
      <c r="A24" s="269"/>
      <c r="E24" s="409"/>
      <c r="H24" s="410"/>
      <c r="J24" s="267"/>
      <c r="K24" s="267"/>
    </row>
    <row r="25" spans="1:11" s="405" customFormat="1" ht="15.75">
      <c r="A25" s="269"/>
      <c r="E25" s="409"/>
      <c r="H25" s="410"/>
      <c r="J25" s="267"/>
      <c r="K25" s="267"/>
    </row>
    <row r="26" spans="1:11" s="405" customFormat="1" ht="15.75">
      <c r="A26" s="269"/>
      <c r="E26" s="409"/>
      <c r="H26" s="410"/>
      <c r="J26" s="267"/>
      <c r="K26" s="267"/>
    </row>
    <row r="27" spans="1:11" s="405" customFormat="1" ht="47.25">
      <c r="A27" s="257" t="s">
        <v>66</v>
      </c>
      <c r="B27" s="257" t="s">
        <v>257</v>
      </c>
      <c r="C27" s="258" t="s">
        <v>255</v>
      </c>
      <c r="D27" s="257" t="s">
        <v>64</v>
      </c>
      <c r="E27" s="257" t="s">
        <v>165</v>
      </c>
      <c r="F27" s="257" t="s">
        <v>65</v>
      </c>
      <c r="G27" s="259" t="s">
        <v>282</v>
      </c>
      <c r="H27" s="410"/>
      <c r="J27" s="267"/>
      <c r="K27" s="267"/>
    </row>
    <row r="28" spans="1:11" s="405" customFormat="1" ht="15.75">
      <c r="A28" s="269"/>
      <c r="E28" s="409"/>
      <c r="H28" s="410"/>
      <c r="J28" s="267"/>
      <c r="K28" s="267"/>
    </row>
    <row r="29" spans="1:11" s="405" customFormat="1" ht="15.75">
      <c r="B29" s="268" t="s">
        <v>278</v>
      </c>
      <c r="C29" s="263"/>
      <c r="D29" s="264"/>
      <c r="E29" s="289"/>
      <c r="F29" s="265"/>
      <c r="G29" s="265"/>
      <c r="H29" s="290"/>
      <c r="I29" s="265"/>
      <c r="J29" s="267"/>
      <c r="K29" s="267"/>
    </row>
    <row r="30" spans="1:11" s="405" customFormat="1" ht="15.75">
      <c r="A30" s="269">
        <v>10</v>
      </c>
      <c r="B30" s="270" t="s">
        <v>477</v>
      </c>
      <c r="C30" s="291">
        <f>C9</f>
        <v>218889573.37439248</v>
      </c>
      <c r="D30" s="271">
        <f>C30/$C$33</f>
        <v>0.67580274459504142</v>
      </c>
      <c r="E30" s="291">
        <f>D30*E$33</f>
        <v>-1457240.9528227255</v>
      </c>
      <c r="F30" s="352">
        <f>F9</f>
        <v>3556511</v>
      </c>
      <c r="G30" s="273">
        <f>IF(E30=0,0,E30/F30)</f>
        <v>-0.40973891345274216</v>
      </c>
      <c r="H30" s="273"/>
      <c r="I30" s="273"/>
      <c r="J30" s="267"/>
      <c r="K30" s="267"/>
    </row>
    <row r="31" spans="1:11" s="405" customFormat="1" ht="15.75">
      <c r="A31" s="269">
        <v>11</v>
      </c>
      <c r="B31" s="270" t="s">
        <v>479</v>
      </c>
      <c r="C31" s="291">
        <f>C10</f>
        <v>92279394.81562908</v>
      </c>
      <c r="D31" s="271">
        <f>C31/$C$33</f>
        <v>0.28490470023122294</v>
      </c>
      <c r="E31" s="291">
        <f>D31*E$33</f>
        <v>-614343.16470171174</v>
      </c>
      <c r="F31" s="352">
        <f t="shared" ref="F31:F32" si="6">F10</f>
        <v>299360</v>
      </c>
      <c r="G31" s="273">
        <f t="shared" ref="G31:G32" si="7">IF(E31=0,0,E31/F31)</f>
        <v>-2.0521885512483689</v>
      </c>
      <c r="H31" s="273"/>
      <c r="I31" s="273"/>
      <c r="J31" s="292"/>
      <c r="K31" s="267"/>
    </row>
    <row r="32" spans="1:11" s="405" customFormat="1" ht="15.75">
      <c r="A32" s="269">
        <v>12</v>
      </c>
      <c r="B32" s="270" t="s">
        <v>478</v>
      </c>
      <c r="C32" s="276">
        <f>C11</f>
        <v>12726687.938982198</v>
      </c>
      <c r="D32" s="275">
        <f>C32/$C$33</f>
        <v>3.9292555173735678E-2</v>
      </c>
      <c r="E32" s="276">
        <f>D32*E$33</f>
        <v>-84726.972475563132</v>
      </c>
      <c r="F32" s="353">
        <f t="shared" si="6"/>
        <v>3282</v>
      </c>
      <c r="G32" s="273">
        <f t="shared" si="7"/>
        <v>-25.815652795723075</v>
      </c>
      <c r="H32" s="273"/>
      <c r="I32" s="273"/>
      <c r="J32" s="292"/>
      <c r="K32" s="267"/>
    </row>
    <row r="33" spans="1:9" s="405" customFormat="1" ht="16.5" thickBot="1">
      <c r="A33" s="277">
        <v>13</v>
      </c>
      <c r="B33" s="278" t="s">
        <v>3</v>
      </c>
      <c r="C33" s="279">
        <f>SUM(C30:C32)</f>
        <v>323895656.12900376</v>
      </c>
      <c r="D33" s="280">
        <f>SUM(D30:D32)</f>
        <v>1</v>
      </c>
      <c r="E33" s="351">
        <f>'OU Collection'!G23</f>
        <v>-2156311.0900000003</v>
      </c>
      <c r="F33" s="281">
        <f>SUM(F30:F32)</f>
        <v>3859153</v>
      </c>
      <c r="H33" s="282"/>
      <c r="I33" s="282"/>
    </row>
    <row r="34" spans="1:9" s="405" customFormat="1" ht="16.5" thickTop="1">
      <c r="A34" s="269"/>
      <c r="E34" s="409"/>
    </row>
    <row r="35" spans="1:9" ht="15.75" customHeight="1"/>
    <row r="36" spans="1:9" ht="15.75" customHeight="1"/>
    <row r="37" spans="1:9" ht="47.25">
      <c r="A37" s="257" t="s">
        <v>66</v>
      </c>
      <c r="B37" s="257" t="s">
        <v>256</v>
      </c>
      <c r="C37" s="258" t="s">
        <v>255</v>
      </c>
      <c r="D37" s="257" t="s">
        <v>64</v>
      </c>
      <c r="E37" s="257" t="s">
        <v>165</v>
      </c>
      <c r="F37" s="257" t="s">
        <v>279</v>
      </c>
      <c r="G37" s="259" t="s">
        <v>281</v>
      </c>
    </row>
    <row r="38" spans="1:9" ht="15.75" customHeight="1">
      <c r="A38" s="285"/>
      <c r="B38" s="285"/>
      <c r="C38" s="286"/>
      <c r="D38" s="285"/>
      <c r="E38" s="285"/>
      <c r="F38" s="285"/>
      <c r="G38" s="284"/>
    </row>
    <row r="39" spans="1:9" ht="15.75" customHeight="1">
      <c r="A39" s="285"/>
      <c r="B39" s="268" t="s">
        <v>278</v>
      </c>
      <c r="C39" s="286"/>
      <c r="D39" s="285"/>
      <c r="E39" s="285"/>
      <c r="F39" s="285"/>
      <c r="G39" s="284"/>
    </row>
    <row r="40" spans="1:9" ht="15.75" customHeight="1">
      <c r="A40" s="269">
        <v>14</v>
      </c>
      <c r="B40" s="270" t="s">
        <v>477</v>
      </c>
      <c r="C40" s="287">
        <f>C19</f>
        <v>218889573.37439248</v>
      </c>
      <c r="D40" s="271">
        <f>C40/$C$23</f>
        <v>0.65962971307043938</v>
      </c>
      <c r="E40" s="293">
        <f>D40*E$44</f>
        <v>-17164.158800834601</v>
      </c>
      <c r="F40" s="294">
        <f>F19</f>
        <v>19516321.910371594</v>
      </c>
      <c r="G40" s="288">
        <f>IF(E40=0,0,E40/F40)</f>
        <v>-8.7947713097071944E-4</v>
      </c>
    </row>
    <row r="41" spans="1:9" ht="15.75" customHeight="1">
      <c r="A41" s="269">
        <v>15</v>
      </c>
      <c r="B41" s="270" t="s">
        <v>479</v>
      </c>
      <c r="C41" s="287">
        <f>C20</f>
        <v>92279394.81562908</v>
      </c>
      <c r="D41" s="271">
        <f t="shared" ref="D41:D43" si="8">C41/$C$23</f>
        <v>0.27808647888601667</v>
      </c>
      <c r="E41" s="293">
        <f t="shared" ref="E41:E43" si="9">D41*E$44</f>
        <v>-7236.060458445153</v>
      </c>
      <c r="F41" s="294">
        <f>F20</f>
        <v>10137905.826085169</v>
      </c>
      <c r="G41" s="288">
        <f t="shared" ref="G41:G43" si="10">IF(E41=0,0,E41/F41)</f>
        <v>-7.1376284043066652E-4</v>
      </c>
    </row>
    <row r="42" spans="1:9" ht="15.75" customHeight="1">
      <c r="A42" s="269">
        <v>16</v>
      </c>
      <c r="B42" s="270" t="s">
        <v>478</v>
      </c>
      <c r="C42" s="287">
        <f>C21</f>
        <v>12726687.938982198</v>
      </c>
      <c r="D42" s="271">
        <f t="shared" si="8"/>
        <v>3.835222200908156E-2</v>
      </c>
      <c r="E42" s="293">
        <f t="shared" si="9"/>
        <v>-997.95933367611053</v>
      </c>
      <c r="F42" s="294">
        <f>F21</f>
        <v>2332856.9129306562</v>
      </c>
      <c r="G42" s="288">
        <f t="shared" si="10"/>
        <v>-4.2778420234202108E-4</v>
      </c>
    </row>
    <row r="43" spans="1:9" ht="15.75" customHeight="1">
      <c r="A43" s="269">
        <v>17</v>
      </c>
      <c r="B43" s="270" t="s">
        <v>480</v>
      </c>
      <c r="C43" s="295">
        <f>C22</f>
        <v>7941386.7408618005</v>
      </c>
      <c r="D43" s="275">
        <f t="shared" si="8"/>
        <v>2.3931586034462476E-2</v>
      </c>
      <c r="E43" s="296">
        <f t="shared" si="9"/>
        <v>-622.72140704414471</v>
      </c>
      <c r="F43" s="297">
        <f>F22</f>
        <v>12313888.497179303</v>
      </c>
      <c r="G43" s="288">
        <f t="shared" si="10"/>
        <v>-5.0570655011760839E-5</v>
      </c>
    </row>
    <row r="44" spans="1:9" ht="16.5" customHeight="1" thickBot="1">
      <c r="A44" s="277">
        <v>18</v>
      </c>
      <c r="B44" s="278" t="s">
        <v>3</v>
      </c>
      <c r="C44" s="279">
        <f>SUM(C40:C43)</f>
        <v>331837042.86986554</v>
      </c>
      <c r="D44" s="280">
        <f>SUM(D40:D43)</f>
        <v>1</v>
      </c>
      <c r="E44" s="279">
        <f>'OU Collection'!G44</f>
        <v>-26020.900000000005</v>
      </c>
      <c r="F44" s="281">
        <f>SUM(F40:F43)</f>
        <v>44300973.146566719</v>
      </c>
      <c r="G44" s="405"/>
    </row>
    <row r="45" spans="1:9" ht="15.75" customHeight="1" thickTop="1"/>
  </sheetData>
  <printOptions horizontalCentered="1"/>
  <pageMargins left="0.5" right="0.5" top="1" bottom="0.75" header="0.3" footer="0.3"/>
  <pageSetup scale="57" orientation="landscape" r:id="rId1"/>
  <headerFooter scaleWithDoc="0" alignWithMargins="0">
    <oddFooter>&amp;R&amp;"Times New Roman,Bold"Exhibit 2
Page 1 of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8492"/>
  <sheetViews>
    <sheetView zoomScale="55" zoomScaleNormal="55" workbookViewId="0"/>
  </sheetViews>
  <sheetFormatPr defaultRowHeight="20.25"/>
  <cols>
    <col min="1" max="1" width="9" style="69" customWidth="1"/>
    <col min="2" max="2" width="9.140625" style="69"/>
    <col min="3" max="3" width="60.7109375" style="69" customWidth="1"/>
    <col min="4" max="17" width="19.140625" style="69" customWidth="1"/>
    <col min="18" max="18" width="20.7109375" style="417" bestFit="1" customWidth="1"/>
    <col min="19" max="19" width="18.7109375" style="69" customWidth="1"/>
    <col min="20" max="20" width="18" style="69" customWidth="1"/>
    <col min="21" max="21" width="17" style="69" customWidth="1"/>
    <col min="22" max="22" width="14.7109375" style="69" bestFit="1" customWidth="1"/>
    <col min="23" max="23" width="14.5703125" style="69" bestFit="1" customWidth="1"/>
    <col min="24" max="24" width="13.140625" style="69" bestFit="1" customWidth="1"/>
    <col min="25" max="25" width="14" style="69" customWidth="1"/>
    <col min="26" max="26" width="15.5703125" style="69" customWidth="1"/>
    <col min="27" max="27" width="14.42578125" style="69" bestFit="1" customWidth="1"/>
    <col min="28" max="28" width="14.85546875" style="69" customWidth="1"/>
    <col min="29" max="29" width="15.7109375" style="69" customWidth="1"/>
    <col min="30" max="30" width="13.42578125" style="69" customWidth="1"/>
    <col min="31" max="31" width="12.140625" style="69" bestFit="1" customWidth="1"/>
    <col min="32" max="32" width="16.5703125" style="69" customWidth="1"/>
    <col min="33" max="33" width="14.42578125" style="69" customWidth="1"/>
    <col min="34" max="34" width="15.140625" style="69" customWidth="1"/>
    <col min="35" max="35" width="9.42578125" style="69" bestFit="1" customWidth="1"/>
    <col min="36" max="36" width="12.7109375" style="69" customWidth="1"/>
    <col min="37" max="16384" width="9.140625" style="69"/>
  </cols>
  <sheetData>
    <row r="1" spans="1:36">
      <c r="A1" s="190" t="s">
        <v>67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36">
      <c r="A2" s="189" t="s">
        <v>273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1:36">
      <c r="A3" s="190" t="s">
        <v>79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4" spans="1:36" s="34" customFormat="1">
      <c r="A4" s="70"/>
      <c r="D4" s="363"/>
      <c r="R4" s="417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4" customFormat="1">
      <c r="D5" s="223" t="s">
        <v>374</v>
      </c>
      <c r="E5" s="224"/>
      <c r="F5" s="224"/>
      <c r="G5" s="224"/>
      <c r="H5" s="224"/>
      <c r="I5" s="224"/>
      <c r="J5" s="224"/>
      <c r="K5" s="224"/>
      <c r="L5" s="225"/>
      <c r="M5" s="225"/>
      <c r="N5" s="225"/>
      <c r="O5" s="225"/>
      <c r="P5" s="225"/>
      <c r="Q5" s="226"/>
      <c r="R5" s="417"/>
      <c r="U5" s="15"/>
      <c r="V5" s="14"/>
      <c r="W5" s="14"/>
      <c r="X5" s="14"/>
      <c r="Y5" s="14"/>
      <c r="Z5" s="14"/>
      <c r="AA5" s="14"/>
      <c r="AB5" s="14"/>
      <c r="AC5" s="439"/>
      <c r="AD5" s="439"/>
      <c r="AE5" s="439"/>
      <c r="AF5" s="439"/>
      <c r="AG5" s="439"/>
      <c r="AH5" s="439"/>
      <c r="AI5" s="439"/>
      <c r="AJ5" s="439"/>
    </row>
    <row r="6" spans="1:36" s="34" customFormat="1">
      <c r="A6" s="221" t="s">
        <v>4</v>
      </c>
      <c r="B6" s="35"/>
      <c r="D6" s="126">
        <v>2017</v>
      </c>
      <c r="E6" s="127">
        <v>2018</v>
      </c>
      <c r="F6" s="127">
        <f>$E$6</f>
        <v>2018</v>
      </c>
      <c r="G6" s="127">
        <f>$E$6</f>
        <v>2018</v>
      </c>
      <c r="H6" s="127">
        <f>$E$6</f>
        <v>2018</v>
      </c>
      <c r="I6" s="127">
        <f>$E$6</f>
        <v>2018</v>
      </c>
      <c r="J6" s="127">
        <f>$E$6</f>
        <v>2018</v>
      </c>
      <c r="K6" s="127">
        <f t="shared" ref="K6:Q6" si="0">$E$6</f>
        <v>2018</v>
      </c>
      <c r="L6" s="127">
        <f t="shared" si="0"/>
        <v>2018</v>
      </c>
      <c r="M6" s="127">
        <f t="shared" si="0"/>
        <v>2018</v>
      </c>
      <c r="N6" s="127">
        <f t="shared" si="0"/>
        <v>2018</v>
      </c>
      <c r="O6" s="127">
        <f t="shared" si="0"/>
        <v>2018</v>
      </c>
      <c r="P6" s="127">
        <f t="shared" si="0"/>
        <v>2018</v>
      </c>
      <c r="Q6" s="128">
        <f t="shared" si="0"/>
        <v>2018</v>
      </c>
      <c r="R6" s="417"/>
      <c r="U6" s="90"/>
      <c r="V6" s="16"/>
      <c r="W6" s="90"/>
      <c r="X6" s="90"/>
      <c r="Y6" s="90"/>
      <c r="Z6" s="90"/>
      <c r="AA6" s="90"/>
      <c r="AB6" s="90"/>
      <c r="AC6" s="90"/>
      <c r="AD6" s="90"/>
      <c r="AE6" s="90"/>
      <c r="AF6" s="16"/>
      <c r="AG6" s="90"/>
      <c r="AH6" s="90"/>
      <c r="AI6" s="90"/>
      <c r="AJ6" s="90"/>
    </row>
    <row r="7" spans="1:36" s="34" customFormat="1">
      <c r="A7" s="71" t="s">
        <v>5</v>
      </c>
      <c r="B7" s="35"/>
      <c r="C7" s="71" t="s">
        <v>6</v>
      </c>
      <c r="D7" s="112" t="s">
        <v>107</v>
      </c>
      <c r="E7" s="72" t="s">
        <v>95</v>
      </c>
      <c r="F7" s="72" t="s">
        <v>98</v>
      </c>
      <c r="G7" s="72" t="s">
        <v>99</v>
      </c>
      <c r="H7" s="72" t="s">
        <v>100</v>
      </c>
      <c r="I7" s="72" t="s">
        <v>88</v>
      </c>
      <c r="J7" s="72" t="s">
        <v>101</v>
      </c>
      <c r="K7" s="72" t="s">
        <v>102</v>
      </c>
      <c r="L7" s="72" t="s">
        <v>103</v>
      </c>
      <c r="M7" s="72" t="s">
        <v>104</v>
      </c>
      <c r="N7" s="72" t="s">
        <v>105</v>
      </c>
      <c r="O7" s="72" t="s">
        <v>106</v>
      </c>
      <c r="P7" s="72" t="s">
        <v>107</v>
      </c>
      <c r="Q7" s="113" t="s">
        <v>372</v>
      </c>
      <c r="R7" s="417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16"/>
      <c r="AG7" s="90"/>
      <c r="AH7" s="90"/>
      <c r="AI7" s="90"/>
      <c r="AJ7" s="90"/>
    </row>
    <row r="8" spans="1:36" s="34" customFormat="1">
      <c r="A8" s="221"/>
      <c r="B8" s="35"/>
      <c r="C8" s="73">
        <v>-1</v>
      </c>
      <c r="D8" s="114">
        <v>-2</v>
      </c>
      <c r="E8" s="115">
        <v>-3</v>
      </c>
      <c r="F8" s="115">
        <v>-4</v>
      </c>
      <c r="G8" s="115">
        <v>-5</v>
      </c>
      <c r="H8" s="115">
        <v>-6</v>
      </c>
      <c r="I8" s="115">
        <v>-7</v>
      </c>
      <c r="J8" s="115">
        <v>-8</v>
      </c>
      <c r="K8" s="115">
        <v>-9</v>
      </c>
      <c r="L8" s="115">
        <v>-10</v>
      </c>
      <c r="M8" s="115">
        <v>-11</v>
      </c>
      <c r="N8" s="115">
        <v>-12</v>
      </c>
      <c r="O8" s="115">
        <v>-13</v>
      </c>
      <c r="P8" s="115">
        <v>-14</v>
      </c>
      <c r="Q8" s="116">
        <v>-15</v>
      </c>
      <c r="R8" s="417"/>
      <c r="U8" s="90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4" customFormat="1">
      <c r="A9" s="35"/>
      <c r="B9" s="35"/>
      <c r="D9" s="117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18"/>
      <c r="R9" s="417"/>
      <c r="U9" s="90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4" customFormat="1">
      <c r="A10" s="35"/>
      <c r="B10" s="74" t="s">
        <v>51</v>
      </c>
      <c r="D10" s="117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1"/>
      <c r="Q10" s="118"/>
      <c r="R10" s="417"/>
      <c r="U10" s="90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4" customFormat="1">
      <c r="A11" s="35">
        <v>1</v>
      </c>
      <c r="B11" s="35"/>
      <c r="C11" s="75" t="s">
        <v>489</v>
      </c>
      <c r="D11" s="365">
        <f>'Rev Req 2017-Trans'!P11</f>
        <v>3062641.21</v>
      </c>
      <c r="E11" s="366">
        <f>'Cap&amp;OpEx 2018'!C11+D11</f>
        <v>3643740.1799999997</v>
      </c>
      <c r="F11" s="366">
        <f>'Cap&amp;OpEx 2018'!D11+E11</f>
        <v>4381538.63</v>
      </c>
      <c r="G11" s="366">
        <f>'Cap&amp;OpEx 2018'!E11+F11</f>
        <v>9176552.5999999978</v>
      </c>
      <c r="H11" s="366">
        <f>'Cap&amp;OpEx 2018'!F11+G11</f>
        <v>12587856.109999998</v>
      </c>
      <c r="I11" s="366">
        <f>'Cap&amp;OpEx 2018'!G11+H11</f>
        <v>16489759.199999997</v>
      </c>
      <c r="J11" s="366">
        <f>'Cap&amp;OpEx 2018'!H11+I11</f>
        <v>20542260.469999999</v>
      </c>
      <c r="K11" s="366">
        <f>'Cap&amp;OpEx 2018'!I11+J11</f>
        <v>23099364.989999998</v>
      </c>
      <c r="L11" s="366">
        <f>'Cap&amp;OpEx 2018'!J11+K11</f>
        <v>26702721.889999997</v>
      </c>
      <c r="M11" s="366">
        <f>'Cap&amp;OpEx 2018'!K11+L11</f>
        <v>28157059.519999996</v>
      </c>
      <c r="N11" s="366">
        <f>'Cap&amp;OpEx 2018'!L11+M11</f>
        <v>29575100.179999996</v>
      </c>
      <c r="O11" s="366">
        <f>'Cap&amp;OpEx 2018'!M11+N11</f>
        <v>30474414.079999994</v>
      </c>
      <c r="P11" s="366">
        <f>'Cap&amp;OpEx 2018'!N11+O11</f>
        <v>33866308.529999994</v>
      </c>
      <c r="Q11" s="367">
        <f>AVERAGE(D11:P11)</f>
        <v>18596870.583846152</v>
      </c>
      <c r="R11" s="417"/>
      <c r="U11" s="90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4" customFormat="1">
      <c r="A12" s="35">
        <v>2</v>
      </c>
      <c r="B12" s="35"/>
      <c r="C12" s="34" t="s">
        <v>19</v>
      </c>
      <c r="D12" s="365">
        <v>0</v>
      </c>
      <c r="E12" s="366">
        <f>'Cap&amp;OpEx 2018'!C26+D12</f>
        <v>0</v>
      </c>
      <c r="F12" s="366">
        <f>'Cap&amp;OpEx 2018'!D26+E12</f>
        <v>0</v>
      </c>
      <c r="G12" s="366">
        <f>'Cap&amp;OpEx 2018'!E26+F12</f>
        <v>0</v>
      </c>
      <c r="H12" s="366">
        <f>'Cap&amp;OpEx 2018'!F26+G12</f>
        <v>37537.699999999997</v>
      </c>
      <c r="I12" s="366">
        <f>'Cap&amp;OpEx 2018'!G26+H12</f>
        <v>75075.399999999994</v>
      </c>
      <c r="J12" s="366">
        <f>'Cap&amp;OpEx 2018'!H26+I12</f>
        <v>112613.09999999999</v>
      </c>
      <c r="K12" s="366">
        <f>'Cap&amp;OpEx 2018'!I26+J12</f>
        <v>150150.79999999999</v>
      </c>
      <c r="L12" s="366">
        <f>'Cap&amp;OpEx 2018'!J26+K12</f>
        <v>187688.5</v>
      </c>
      <c r="M12" s="366">
        <f>'Cap&amp;OpEx 2018'!K26+L12</f>
        <v>225226.2</v>
      </c>
      <c r="N12" s="366">
        <f>'Cap&amp;OpEx 2018'!L26+M12</f>
        <v>262763.90000000002</v>
      </c>
      <c r="O12" s="366">
        <f>'Cap&amp;OpEx 2018'!M26+N12</f>
        <v>300301.60000000003</v>
      </c>
      <c r="P12" s="366">
        <f>'Cap&amp;OpEx 2018'!N26+O12</f>
        <v>337838.42000000004</v>
      </c>
      <c r="Q12" s="367">
        <f t="shared" ref="Q12:Q13" si="1">AVERAGE(D12:P12)</f>
        <v>129938.12461538463</v>
      </c>
      <c r="R12" s="417"/>
      <c r="U12" s="90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4" customFormat="1">
      <c r="A13" s="35">
        <v>3</v>
      </c>
      <c r="B13" s="35"/>
      <c r="C13" s="34" t="s">
        <v>52</v>
      </c>
      <c r="D13" s="369">
        <v>0</v>
      </c>
      <c r="E13" s="370">
        <v>0</v>
      </c>
      <c r="F13" s="370">
        <v>0</v>
      </c>
      <c r="G13" s="370">
        <v>0</v>
      </c>
      <c r="H13" s="370">
        <v>0</v>
      </c>
      <c r="I13" s="370">
        <v>0</v>
      </c>
      <c r="J13" s="370">
        <v>0</v>
      </c>
      <c r="K13" s="370">
        <v>0</v>
      </c>
      <c r="L13" s="370">
        <v>0</v>
      </c>
      <c r="M13" s="370">
        <v>0</v>
      </c>
      <c r="N13" s="370">
        <v>0</v>
      </c>
      <c r="O13" s="370">
        <v>0</v>
      </c>
      <c r="P13" s="370">
        <v>0</v>
      </c>
      <c r="Q13" s="368">
        <f t="shared" si="1"/>
        <v>0</v>
      </c>
      <c r="R13" s="417"/>
      <c r="U13" s="90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4" customFormat="1">
      <c r="A14" s="35">
        <v>4</v>
      </c>
      <c r="B14" s="35"/>
      <c r="C14" s="34" t="s">
        <v>53</v>
      </c>
      <c r="D14" s="365">
        <f>SUM(D11:D13)</f>
        <v>3062641.21</v>
      </c>
      <c r="E14" s="366">
        <f t="shared" ref="E14:J14" si="2">SUM(E11:E13)</f>
        <v>3643740.1799999997</v>
      </c>
      <c r="F14" s="366">
        <f t="shared" si="2"/>
        <v>4381538.63</v>
      </c>
      <c r="G14" s="366">
        <f t="shared" si="2"/>
        <v>9176552.5999999978</v>
      </c>
      <c r="H14" s="366">
        <f t="shared" si="2"/>
        <v>12625393.809999997</v>
      </c>
      <c r="I14" s="366">
        <f t="shared" si="2"/>
        <v>16564834.599999998</v>
      </c>
      <c r="J14" s="366">
        <f t="shared" si="2"/>
        <v>20654873.57</v>
      </c>
      <c r="K14" s="366">
        <f t="shared" ref="K14:Q14" si="3">SUM(K11:K13)</f>
        <v>23249515.789999999</v>
      </c>
      <c r="L14" s="366">
        <f t="shared" si="3"/>
        <v>26890410.389999997</v>
      </c>
      <c r="M14" s="366">
        <f t="shared" si="3"/>
        <v>28382285.719999995</v>
      </c>
      <c r="N14" s="366">
        <f t="shared" si="3"/>
        <v>29837864.079999994</v>
      </c>
      <c r="O14" s="366">
        <f t="shared" si="3"/>
        <v>30774715.679999996</v>
      </c>
      <c r="P14" s="366">
        <f t="shared" si="3"/>
        <v>34204146.949999996</v>
      </c>
      <c r="Q14" s="367">
        <f t="shared" si="3"/>
        <v>18726808.708461538</v>
      </c>
      <c r="R14" s="417"/>
      <c r="U14" s="90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4" customFormat="1">
      <c r="A15" s="35"/>
      <c r="B15" s="35"/>
      <c r="D15" s="119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120"/>
      <c r="R15" s="417"/>
      <c r="U15" s="90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4" customFormat="1">
      <c r="A16" s="35">
        <v>5</v>
      </c>
      <c r="B16" s="35"/>
      <c r="C16" s="34" t="s">
        <v>54</v>
      </c>
      <c r="D16" s="369">
        <v>0</v>
      </c>
      <c r="E16" s="370">
        <v>0</v>
      </c>
      <c r="F16" s="370">
        <v>0</v>
      </c>
      <c r="G16" s="370">
        <v>0</v>
      </c>
      <c r="H16" s="370">
        <v>0</v>
      </c>
      <c r="I16" s="370">
        <v>0</v>
      </c>
      <c r="J16" s="370">
        <v>0</v>
      </c>
      <c r="K16" s="370">
        <v>0</v>
      </c>
      <c r="L16" s="370">
        <v>0</v>
      </c>
      <c r="M16" s="370">
        <v>0</v>
      </c>
      <c r="N16" s="370">
        <v>0</v>
      </c>
      <c r="O16" s="370">
        <v>0</v>
      </c>
      <c r="P16" s="370">
        <v>0</v>
      </c>
      <c r="Q16" s="368">
        <f t="shared" ref="Q16" si="4">AVERAGE(D16:P16)</f>
        <v>0</v>
      </c>
      <c r="R16" s="417"/>
      <c r="U16" s="90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4" customFormat="1" ht="21" customHeight="1">
      <c r="A17" s="35"/>
      <c r="B17" s="35"/>
      <c r="D17" s="119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120"/>
      <c r="R17" s="417"/>
    </row>
    <row r="18" spans="1:19" s="34" customFormat="1">
      <c r="A18" s="35">
        <v>6</v>
      </c>
      <c r="B18" s="35"/>
      <c r="C18" s="75" t="s">
        <v>55</v>
      </c>
      <c r="D18" s="365">
        <f>SUM(D14:D16)</f>
        <v>3062641.21</v>
      </c>
      <c r="E18" s="366">
        <f t="shared" ref="E18:J18" si="5">SUM(E14:E16)</f>
        <v>3643740.1799999997</v>
      </c>
      <c r="F18" s="366">
        <f t="shared" si="5"/>
        <v>4381538.63</v>
      </c>
      <c r="G18" s="366">
        <f t="shared" si="5"/>
        <v>9176552.5999999978</v>
      </c>
      <c r="H18" s="366">
        <f t="shared" si="5"/>
        <v>12625393.809999997</v>
      </c>
      <c r="I18" s="366">
        <f t="shared" si="5"/>
        <v>16564834.599999998</v>
      </c>
      <c r="J18" s="366">
        <f t="shared" si="5"/>
        <v>20654873.57</v>
      </c>
      <c r="K18" s="366">
        <f t="shared" ref="K18:P18" si="6">SUM(K14:K16)</f>
        <v>23249515.789999999</v>
      </c>
      <c r="L18" s="366">
        <f t="shared" si="6"/>
        <v>26890410.389999997</v>
      </c>
      <c r="M18" s="366">
        <f t="shared" si="6"/>
        <v>28382285.719999995</v>
      </c>
      <c r="N18" s="366">
        <f t="shared" si="6"/>
        <v>29837864.079999994</v>
      </c>
      <c r="O18" s="366">
        <f t="shared" si="6"/>
        <v>30774715.679999996</v>
      </c>
      <c r="P18" s="366">
        <f t="shared" si="6"/>
        <v>34204146.949999996</v>
      </c>
      <c r="Q18" s="367">
        <f>SUM(Q14:Q16)</f>
        <v>18726808.708461538</v>
      </c>
      <c r="R18" s="417"/>
      <c r="S18" s="77"/>
    </row>
    <row r="19" spans="1:19" s="34" customFormat="1">
      <c r="A19" s="35"/>
      <c r="B19" s="35"/>
      <c r="D19" s="117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8"/>
      <c r="R19" s="417"/>
    </row>
    <row r="20" spans="1:19" s="34" customFormat="1">
      <c r="A20" s="35">
        <v>7</v>
      </c>
      <c r="B20" s="35"/>
      <c r="C20" s="34" t="s">
        <v>56</v>
      </c>
      <c r="D20" s="121">
        <v>8.5431530257663712E-3</v>
      </c>
      <c r="E20" s="37">
        <f>ROR!$G$12/12</f>
        <v>7.2943348684686819E-3</v>
      </c>
      <c r="F20" s="37">
        <f>ROR!$G$12/12</f>
        <v>7.2943348684686819E-3</v>
      </c>
      <c r="G20" s="37">
        <f>ROR!$G$12/12</f>
        <v>7.2943348684686819E-3</v>
      </c>
      <c r="H20" s="37">
        <f>ROR!$G$12/12</f>
        <v>7.2943348684686819E-3</v>
      </c>
      <c r="I20" s="37">
        <f>ROR!$G$12/12</f>
        <v>7.2943348684686819E-3</v>
      </c>
      <c r="J20" s="37">
        <f>ROR!$G$12/12</f>
        <v>7.2943348684686819E-3</v>
      </c>
      <c r="K20" s="37">
        <f>ROR!$G$12/12</f>
        <v>7.2943348684686819E-3</v>
      </c>
      <c r="L20" s="37">
        <f>ROR!$G$12/12</f>
        <v>7.2943348684686819E-3</v>
      </c>
      <c r="M20" s="37">
        <f>ROR!$G$12/12</f>
        <v>7.2943348684686819E-3</v>
      </c>
      <c r="N20" s="37">
        <f>ROR!$G$12/12</f>
        <v>7.2943348684686819E-3</v>
      </c>
      <c r="O20" s="37">
        <f>ROR!$G$12/12</f>
        <v>7.2943348684686819E-3</v>
      </c>
      <c r="P20" s="37">
        <f>ROR!$G$12/12</f>
        <v>7.2943348684686819E-3</v>
      </c>
      <c r="Q20" s="122">
        <f>ROR!$G$12</f>
        <v>8.7532018421624183E-2</v>
      </c>
      <c r="R20" s="417"/>
    </row>
    <row r="21" spans="1:19" s="34" customFormat="1">
      <c r="A21" s="35"/>
      <c r="B21" s="35"/>
      <c r="D21" s="227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8"/>
      <c r="R21" s="417"/>
    </row>
    <row r="22" spans="1:19" s="34" customFormat="1">
      <c r="A22" s="35">
        <v>8</v>
      </c>
      <c r="B22" s="35"/>
      <c r="C22" s="34" t="s">
        <v>57</v>
      </c>
      <c r="D22" s="392">
        <f t="shared" ref="D22:J22" si="7">D18*D20</f>
        <v>26164.612520048278</v>
      </c>
      <c r="E22" s="393">
        <f>E18*E20</f>
        <v>26578.66104661435</v>
      </c>
      <c r="F22" s="393">
        <f t="shared" si="7"/>
        <v>31960.4100063515</v>
      </c>
      <c r="G22" s="393">
        <f t="shared" si="7"/>
        <v>66936.847602516922</v>
      </c>
      <c r="H22" s="393">
        <f t="shared" si="7"/>
        <v>92093.850296431643</v>
      </c>
      <c r="I22" s="393">
        <f t="shared" si="7"/>
        <v>120829.45061319646</v>
      </c>
      <c r="J22" s="393">
        <f t="shared" si="7"/>
        <v>150663.5644854632</v>
      </c>
      <c r="K22" s="393">
        <f t="shared" ref="K22:Q22" si="8">K18*K20</f>
        <v>169589.75370201017</v>
      </c>
      <c r="L22" s="393">
        <f t="shared" si="8"/>
        <v>196147.65813520949</v>
      </c>
      <c r="M22" s="393">
        <f t="shared" si="8"/>
        <v>207029.89637423671</v>
      </c>
      <c r="N22" s="393">
        <f t="shared" si="8"/>
        <v>217647.37235937317</v>
      </c>
      <c r="O22" s="393">
        <f t="shared" si="8"/>
        <v>224481.08165183384</v>
      </c>
      <c r="P22" s="393">
        <f t="shared" si="8"/>
        <v>249496.50174361168</v>
      </c>
      <c r="Q22" s="394">
        <f t="shared" si="8"/>
        <v>1639195.3648472875</v>
      </c>
      <c r="R22" s="417"/>
    </row>
    <row r="23" spans="1:19" s="34" customFormat="1">
      <c r="A23" s="35"/>
      <c r="B23" s="35"/>
      <c r="D23" s="227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8"/>
      <c r="R23" s="417"/>
    </row>
    <row r="24" spans="1:19" s="34" customFormat="1">
      <c r="A24" s="35"/>
      <c r="B24" s="74" t="s">
        <v>58</v>
      </c>
      <c r="D24" s="11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8"/>
      <c r="R24" s="417"/>
    </row>
    <row r="25" spans="1:19" s="34" customFormat="1">
      <c r="A25" s="35">
        <v>9</v>
      </c>
      <c r="B25" s="35"/>
      <c r="C25" s="34" t="s">
        <v>0</v>
      </c>
      <c r="D25" s="365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366">
        <v>0</v>
      </c>
      <c r="O25" s="366">
        <v>0</v>
      </c>
      <c r="P25" s="366">
        <v>0</v>
      </c>
      <c r="Q25" s="367">
        <f>SUM(E25:P25)</f>
        <v>0</v>
      </c>
      <c r="R25" s="417"/>
      <c r="S25" s="77"/>
    </row>
    <row r="26" spans="1:19" s="34" customFormat="1">
      <c r="A26" s="35">
        <v>10</v>
      </c>
      <c r="B26" s="35"/>
      <c r="C26" s="13" t="s">
        <v>59</v>
      </c>
      <c r="D26" s="365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366">
        <v>0</v>
      </c>
      <c r="O26" s="366">
        <v>0</v>
      </c>
      <c r="P26" s="366">
        <v>0</v>
      </c>
      <c r="Q26" s="367">
        <f>SUM(E26:P26)</f>
        <v>0</v>
      </c>
      <c r="R26" s="417"/>
      <c r="S26" s="77"/>
    </row>
    <row r="27" spans="1:19" s="34" customFormat="1">
      <c r="A27" s="35">
        <v>11</v>
      </c>
      <c r="B27" s="35"/>
      <c r="C27" s="34" t="s">
        <v>184</v>
      </c>
      <c r="D27" s="365">
        <v>0</v>
      </c>
      <c r="E27" s="366">
        <f>'Cap&amp;OpEx 2018'!C33</f>
        <v>440.78</v>
      </c>
      <c r="F27" s="366">
        <f>'Cap&amp;OpEx 2018'!D33</f>
        <v>440.78</v>
      </c>
      <c r="G27" s="366">
        <f>'Cap&amp;OpEx 2018'!E33</f>
        <v>440.78</v>
      </c>
      <c r="H27" s="366">
        <f>'Cap&amp;OpEx 2018'!F33</f>
        <v>440.78</v>
      </c>
      <c r="I27" s="366">
        <f>'Cap&amp;OpEx 2018'!G33</f>
        <v>440.78</v>
      </c>
      <c r="J27" s="366">
        <f>'Cap&amp;OpEx 2018'!H33</f>
        <v>440.78</v>
      </c>
      <c r="K27" s="366">
        <f>'Cap&amp;OpEx 2018'!I33</f>
        <v>440.78</v>
      </c>
      <c r="L27" s="366">
        <f>'Cap&amp;OpEx 2018'!J33</f>
        <v>440.78</v>
      </c>
      <c r="M27" s="366">
        <f>'Cap&amp;OpEx 2018'!K33</f>
        <v>440.78</v>
      </c>
      <c r="N27" s="366">
        <f>'Cap&amp;OpEx 2018'!L33</f>
        <v>440.78</v>
      </c>
      <c r="O27" s="366">
        <f>'Cap&amp;OpEx 2018'!M33</f>
        <v>440.78</v>
      </c>
      <c r="P27" s="366">
        <f>'Cap&amp;OpEx 2018'!N33</f>
        <v>440.78</v>
      </c>
      <c r="Q27" s="367">
        <f>SUM(E27:P27)</f>
        <v>5289.3599999999979</v>
      </c>
      <c r="R27" s="417"/>
      <c r="S27" s="77"/>
    </row>
    <row r="28" spans="1:19" s="34" customFormat="1">
      <c r="A28" s="35"/>
      <c r="B28" s="35"/>
      <c r="D28" s="119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120"/>
      <c r="R28" s="417"/>
    </row>
    <row r="29" spans="1:19" s="34" customFormat="1">
      <c r="A29" s="35">
        <v>12</v>
      </c>
      <c r="B29" s="35"/>
      <c r="C29" s="34" t="s">
        <v>60</v>
      </c>
      <c r="D29" s="365">
        <f>SUM(D25:D28)</f>
        <v>0</v>
      </c>
      <c r="E29" s="366">
        <f t="shared" ref="E29:J29" si="9">SUM(E25:E28)</f>
        <v>440.78</v>
      </c>
      <c r="F29" s="366">
        <f t="shared" si="9"/>
        <v>440.78</v>
      </c>
      <c r="G29" s="366">
        <f t="shared" si="9"/>
        <v>440.78</v>
      </c>
      <c r="H29" s="366">
        <f t="shared" si="9"/>
        <v>440.78</v>
      </c>
      <c r="I29" s="366">
        <f t="shared" si="9"/>
        <v>440.78</v>
      </c>
      <c r="J29" s="366">
        <f t="shared" si="9"/>
        <v>440.78</v>
      </c>
      <c r="K29" s="366">
        <f t="shared" ref="K29:Q29" si="10">SUM(K25:K28)</f>
        <v>440.78</v>
      </c>
      <c r="L29" s="366">
        <f t="shared" si="10"/>
        <v>440.78</v>
      </c>
      <c r="M29" s="366">
        <f t="shared" si="10"/>
        <v>440.78</v>
      </c>
      <c r="N29" s="366">
        <f t="shared" si="10"/>
        <v>440.78</v>
      </c>
      <c r="O29" s="366">
        <f t="shared" si="10"/>
        <v>440.78</v>
      </c>
      <c r="P29" s="366">
        <f t="shared" si="10"/>
        <v>440.78</v>
      </c>
      <c r="Q29" s="367">
        <f t="shared" si="10"/>
        <v>5289.3599999999979</v>
      </c>
      <c r="R29" s="417"/>
    </row>
    <row r="30" spans="1:19" s="34" customFormat="1">
      <c r="A30" s="35"/>
      <c r="B30" s="35"/>
      <c r="D30" s="11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8"/>
      <c r="R30" s="417"/>
    </row>
    <row r="31" spans="1:19" s="34" customFormat="1">
      <c r="A31" s="35">
        <v>13</v>
      </c>
      <c r="B31" s="74" t="s">
        <v>170</v>
      </c>
      <c r="D31" s="398">
        <f>D22+D29</f>
        <v>26164.612520048278</v>
      </c>
      <c r="E31" s="399">
        <f t="shared" ref="E31:J31" si="11">E22+E29</f>
        <v>27019.441046614349</v>
      </c>
      <c r="F31" s="399">
        <f t="shared" si="11"/>
        <v>32401.190006351499</v>
      </c>
      <c r="G31" s="399">
        <f t="shared" si="11"/>
        <v>67377.627602516921</v>
      </c>
      <c r="H31" s="399">
        <f t="shared" si="11"/>
        <v>92534.630296431642</v>
      </c>
      <c r="I31" s="399">
        <f t="shared" si="11"/>
        <v>121270.23061319646</v>
      </c>
      <c r="J31" s="399">
        <f t="shared" si="11"/>
        <v>151104.3444854632</v>
      </c>
      <c r="K31" s="399">
        <f t="shared" ref="K31:Q31" si="12">K22+K29</f>
        <v>170030.53370201017</v>
      </c>
      <c r="L31" s="399">
        <f t="shared" si="12"/>
        <v>196588.43813520949</v>
      </c>
      <c r="M31" s="399">
        <f t="shared" si="12"/>
        <v>207470.6763742367</v>
      </c>
      <c r="N31" s="399">
        <f t="shared" si="12"/>
        <v>218088.15235937317</v>
      </c>
      <c r="O31" s="399">
        <f t="shared" si="12"/>
        <v>224921.86165183384</v>
      </c>
      <c r="P31" s="399">
        <f t="shared" si="12"/>
        <v>249937.28174361167</v>
      </c>
      <c r="Q31" s="400">
        <f t="shared" si="12"/>
        <v>1644484.7248472876</v>
      </c>
      <c r="R31" s="417"/>
    </row>
    <row r="32" spans="1:19" s="34" customFormat="1">
      <c r="A32" s="35"/>
      <c r="B32" s="35"/>
      <c r="D32" s="77"/>
      <c r="P32" s="77"/>
      <c r="R32" s="417"/>
    </row>
    <row r="33" spans="1:18" s="417" customFormat="1" ht="21" customHeight="1"/>
    <row r="34" spans="1:18" s="34" customFormat="1">
      <c r="D34" s="36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36"/>
      <c r="Q34" s="36"/>
      <c r="R34" s="417"/>
    </row>
    <row r="35" spans="1:18" s="34" customFormat="1">
      <c r="A35" s="76"/>
      <c r="B35" s="33" t="s">
        <v>373</v>
      </c>
      <c r="Q35" s="77"/>
      <c r="R35" s="417"/>
    </row>
    <row r="1048492" spans="19:19">
      <c r="S1048492" s="77">
        <f>SUM(D1048492:P1048576)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2 of 17</oddFooter>
  </headerFooter>
  <rowBreaks count="1" manualBreakCount="1">
    <brk id="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Normal="100" workbookViewId="0"/>
  </sheetViews>
  <sheetFormatPr defaultRowHeight="12.75"/>
  <cols>
    <col min="1" max="1" width="5.7109375" style="422" customWidth="1"/>
    <col min="2" max="2" width="22.7109375" style="363" customWidth="1"/>
    <col min="3" max="3" width="12.7109375" style="363" customWidth="1"/>
    <col min="4" max="4" width="9.7109375" style="363" customWidth="1"/>
    <col min="5" max="5" width="11.7109375" style="363" customWidth="1"/>
    <col min="6" max="6" width="14.7109375" style="363" customWidth="1"/>
    <col min="7" max="7" width="15.7109375" style="363" customWidth="1"/>
    <col min="8" max="14" width="9.140625" style="363" customWidth="1"/>
    <col min="15" max="16384" width="9.140625" style="363"/>
  </cols>
  <sheetData>
    <row r="1" spans="1:22" ht="18.75">
      <c r="A1" s="188" t="s">
        <v>67</v>
      </c>
      <c r="B1" s="188"/>
      <c r="C1" s="188"/>
      <c r="D1" s="188"/>
      <c r="E1" s="188"/>
      <c r="F1" s="188"/>
      <c r="G1" s="188"/>
      <c r="H1" s="39"/>
      <c r="I1" s="39"/>
      <c r="J1" s="39"/>
    </row>
    <row r="2" spans="1:22" ht="20.25">
      <c r="A2" s="188" t="s">
        <v>273</v>
      </c>
      <c r="B2" s="188"/>
      <c r="C2" s="188"/>
      <c r="D2" s="188"/>
      <c r="E2" s="188"/>
      <c r="F2" s="188"/>
      <c r="G2" s="188"/>
      <c r="H2" s="38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8.75">
      <c r="A3" s="188" t="s">
        <v>68</v>
      </c>
      <c r="B3" s="188"/>
      <c r="C3" s="188"/>
      <c r="D3" s="188"/>
      <c r="E3" s="188"/>
      <c r="F3" s="188"/>
      <c r="G3" s="188"/>
      <c r="H3" s="39"/>
      <c r="I3" s="39"/>
      <c r="J3" s="39"/>
    </row>
    <row r="4" spans="1:22" ht="15.75">
      <c r="A4" s="63"/>
      <c r="B4" s="27"/>
      <c r="C4" s="27"/>
      <c r="D4" s="27"/>
      <c r="E4" s="27"/>
      <c r="F4" s="27"/>
      <c r="G4" s="27"/>
    </row>
    <row r="5" spans="1:22" ht="15.75">
      <c r="A5" s="63"/>
      <c r="B5" s="27"/>
      <c r="C5" s="27"/>
      <c r="D5" s="27"/>
      <c r="E5" s="27"/>
      <c r="F5" s="27"/>
      <c r="G5" s="41" t="s">
        <v>56</v>
      </c>
    </row>
    <row r="6" spans="1:22" ht="15.75">
      <c r="A6" s="41" t="s">
        <v>4</v>
      </c>
      <c r="B6" s="27"/>
      <c r="C6" s="27"/>
      <c r="D6" s="27"/>
      <c r="E6" s="41" t="s">
        <v>46</v>
      </c>
      <c r="F6" s="41" t="s">
        <v>47</v>
      </c>
      <c r="G6" s="64" t="s">
        <v>77</v>
      </c>
    </row>
    <row r="7" spans="1:22" ht="15.75">
      <c r="A7" s="185" t="s">
        <v>5</v>
      </c>
      <c r="B7" s="185" t="s">
        <v>44</v>
      </c>
      <c r="C7" s="185" t="s">
        <v>45</v>
      </c>
      <c r="D7" s="185" t="s">
        <v>35</v>
      </c>
      <c r="E7" s="185" t="s">
        <v>35</v>
      </c>
      <c r="F7" s="186" t="s">
        <v>275</v>
      </c>
      <c r="G7" s="185" t="s">
        <v>78</v>
      </c>
    </row>
    <row r="8" spans="1:22" ht="15.75">
      <c r="A8" s="63"/>
      <c r="B8" s="27"/>
      <c r="C8" s="27"/>
      <c r="D8" s="27"/>
      <c r="E8" s="27"/>
      <c r="F8" s="27"/>
      <c r="G8" s="27"/>
      <c r="K8" s="65"/>
    </row>
    <row r="9" spans="1:22" ht="15.75">
      <c r="A9" s="63">
        <v>1</v>
      </c>
      <c r="B9" s="27" t="s">
        <v>48</v>
      </c>
      <c r="C9" s="66">
        <v>3.8219320965742265E-2</v>
      </c>
      <c r="D9" s="67">
        <v>7.1999999999999998E-3</v>
      </c>
      <c r="E9" s="67">
        <f>C9*D9</f>
        <v>2.7517911095334429E-4</v>
      </c>
      <c r="F9" s="66"/>
      <c r="G9" s="66">
        <f>E9</f>
        <v>2.7517911095334429E-4</v>
      </c>
      <c r="K9" s="418"/>
      <c r="L9" s="419"/>
      <c r="M9" s="420"/>
    </row>
    <row r="10" spans="1:22" ht="15.75">
      <c r="A10" s="63">
        <v>2</v>
      </c>
      <c r="B10" s="68" t="s">
        <v>50</v>
      </c>
      <c r="C10" s="66">
        <v>0.429122031305814</v>
      </c>
      <c r="D10" s="67">
        <v>4.1200000000000001E-2</v>
      </c>
      <c r="E10" s="67">
        <f>C10*D10</f>
        <v>1.7679827689799536E-2</v>
      </c>
      <c r="F10" s="66"/>
      <c r="G10" s="66">
        <f>E10</f>
        <v>1.7679827689799536E-2</v>
      </c>
      <c r="K10" s="418"/>
      <c r="L10" s="419"/>
      <c r="M10" s="420"/>
    </row>
    <row r="11" spans="1:22" ht="15.75">
      <c r="A11" s="184">
        <v>3</v>
      </c>
      <c r="B11" s="181" t="s">
        <v>49</v>
      </c>
      <c r="C11" s="183">
        <v>0.53265864772844362</v>
      </c>
      <c r="D11" s="182">
        <v>9.7000000000000003E-2</v>
      </c>
      <c r="E11" s="182">
        <f>C11*D11</f>
        <v>5.1667888829659031E-2</v>
      </c>
      <c r="F11" s="183">
        <f>E11*(0.2574/(1-0.2574))</f>
        <v>1.7909122791212276E-2</v>
      </c>
      <c r="G11" s="183">
        <f>E11/(1-0.2574)</f>
        <v>6.9577011620871307E-2</v>
      </c>
      <c r="K11" s="418"/>
      <c r="L11" s="419"/>
      <c r="M11" s="420"/>
    </row>
    <row r="12" spans="1:22" ht="15.75">
      <c r="A12" s="63">
        <v>4</v>
      </c>
      <c r="B12" s="27" t="s">
        <v>3</v>
      </c>
      <c r="C12" s="66">
        <f>SUM(C9:C11)</f>
        <v>0.99999999999999989</v>
      </c>
      <c r="D12" s="27"/>
      <c r="E12" s="66">
        <f>SUM(E9:E11)</f>
        <v>6.9622895630411907E-2</v>
      </c>
      <c r="F12" s="66">
        <f>SUM(F9:F11)</f>
        <v>1.7909122791212276E-2</v>
      </c>
      <c r="G12" s="66">
        <f>SUM(G9:G11)</f>
        <v>8.7532018421624183E-2</v>
      </c>
      <c r="K12" s="421"/>
      <c r="L12" s="419"/>
      <c r="M12" s="419"/>
    </row>
    <row r="13" spans="1:22" ht="15.75">
      <c r="A13" s="63"/>
      <c r="B13" s="27"/>
      <c r="C13" s="66"/>
      <c r="D13" s="27"/>
      <c r="E13" s="66"/>
      <c r="F13" s="66"/>
      <c r="G13" s="66"/>
      <c r="K13" s="421"/>
      <c r="L13" s="419"/>
      <c r="M13" s="419"/>
    </row>
    <row r="14" spans="1:22" ht="15.75">
      <c r="A14" s="63"/>
      <c r="B14" s="27"/>
      <c r="C14" s="27"/>
      <c r="D14" s="27"/>
      <c r="E14" s="27"/>
      <c r="F14" s="27"/>
      <c r="G14" s="27"/>
    </row>
    <row r="15" spans="1:22" ht="15.75">
      <c r="A15" s="187" t="s">
        <v>274</v>
      </c>
      <c r="B15" s="27"/>
      <c r="C15" s="27"/>
      <c r="D15" s="27"/>
      <c r="E15" s="27"/>
      <c r="F15" s="27"/>
      <c r="G15" s="27"/>
    </row>
    <row r="16" spans="1:22" ht="15.75">
      <c r="C16" s="27"/>
      <c r="D16" s="27"/>
      <c r="E16" s="27"/>
      <c r="F16" s="27"/>
      <c r="G16" s="27"/>
    </row>
    <row r="17" spans="1:7" ht="15.75">
      <c r="A17" s="63"/>
      <c r="B17" s="27"/>
      <c r="C17" s="27"/>
      <c r="D17" s="27"/>
      <c r="E17" s="27"/>
      <c r="F17" s="27"/>
      <c r="G17" s="27"/>
    </row>
    <row r="18" spans="1:7" ht="15.75">
      <c r="A18" s="63"/>
      <c r="B18" s="27"/>
      <c r="C18" s="27"/>
      <c r="D18" s="27"/>
      <c r="E18" s="27"/>
      <c r="F18" s="27"/>
      <c r="G18" s="27"/>
    </row>
    <row r="19" spans="1:7">
      <c r="D19" s="32"/>
    </row>
  </sheetData>
  <hyperlinks>
    <hyperlink ref="F7" r:id="rId1" display="^@ 38.9%"/>
    <hyperlink ref="G7" r:id="rId2" display="^@ 38.9%"/>
  </hyperlinks>
  <printOptions horizontalCentered="1"/>
  <pageMargins left="0.5" right="0.62187499999999996" top="1" bottom="0.75" header="0.3" footer="0.3"/>
  <pageSetup orientation="landscape" r:id="rId3"/>
  <headerFooter>
    <oddFooter>&amp;R&amp;"Times New Roman,Bold"Exhibit 4
Page 3 of 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zoomScale="70" zoomScaleNormal="70" workbookViewId="0"/>
  </sheetViews>
  <sheetFormatPr defaultRowHeight="15.75"/>
  <cols>
    <col min="1" max="1" width="9.140625" style="363"/>
    <col min="2" max="2" width="38.7109375" style="27" bestFit="1" customWidth="1"/>
    <col min="3" max="15" width="15.7109375" style="27" customWidth="1"/>
    <col min="16" max="16" width="12.28515625" style="363" bestFit="1" customWidth="1"/>
    <col min="17" max="17" width="16.140625" style="363" bestFit="1" customWidth="1"/>
    <col min="18" max="30" width="14.7109375" style="363" customWidth="1"/>
    <col min="31" max="31" width="9.140625" style="363"/>
    <col min="32" max="32" width="10.5703125" style="363" bestFit="1" customWidth="1"/>
    <col min="33" max="16384" width="9.140625" style="363"/>
  </cols>
  <sheetData>
    <row r="1" spans="1:30" ht="18.75">
      <c r="A1" s="188" t="s">
        <v>67</v>
      </c>
      <c r="B1" s="194"/>
      <c r="C1" s="194"/>
      <c r="D1" s="194"/>
      <c r="E1" s="194"/>
      <c r="F1" s="194"/>
      <c r="G1" s="194"/>
      <c r="H1" s="194"/>
      <c r="I1" s="188"/>
      <c r="J1" s="188"/>
      <c r="K1" s="188"/>
      <c r="L1" s="188"/>
      <c r="M1" s="188"/>
      <c r="N1" s="188"/>
      <c r="O1" s="188"/>
      <c r="Q1" s="38"/>
      <c r="R1" s="38"/>
      <c r="S1" s="38"/>
      <c r="T1" s="38"/>
      <c r="U1" s="38"/>
      <c r="V1" s="38"/>
      <c r="W1" s="38"/>
      <c r="X1" s="423"/>
      <c r="Y1" s="423"/>
      <c r="Z1" s="423"/>
      <c r="AA1" s="423"/>
      <c r="AB1" s="423"/>
      <c r="AC1" s="423"/>
      <c r="AD1" s="423"/>
    </row>
    <row r="2" spans="1:30" ht="18.75">
      <c r="A2" s="188" t="s">
        <v>273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38"/>
      <c r="Q2" s="38"/>
      <c r="R2" s="38"/>
      <c r="S2" s="38"/>
      <c r="T2" s="38"/>
      <c r="U2" s="38"/>
      <c r="V2" s="38"/>
      <c r="W2" s="38"/>
      <c r="X2" s="423"/>
      <c r="Y2" s="423"/>
      <c r="Z2" s="423"/>
      <c r="AA2" s="423"/>
      <c r="AB2" s="423"/>
      <c r="AC2" s="423"/>
      <c r="AD2" s="423"/>
    </row>
    <row r="3" spans="1:30" ht="18.75">
      <c r="A3" s="188" t="s">
        <v>166</v>
      </c>
      <c r="B3" s="194"/>
      <c r="C3" s="194"/>
      <c r="D3" s="194"/>
      <c r="E3" s="194"/>
      <c r="F3" s="194"/>
      <c r="G3" s="194"/>
      <c r="H3" s="194"/>
      <c r="I3" s="188"/>
      <c r="J3" s="188"/>
      <c r="K3" s="188"/>
      <c r="L3" s="188"/>
      <c r="M3" s="188"/>
      <c r="N3" s="188"/>
      <c r="O3" s="188"/>
      <c r="Q3" s="38"/>
      <c r="R3" s="38"/>
      <c r="S3" s="38"/>
      <c r="T3" s="38"/>
      <c r="U3" s="38"/>
      <c r="V3" s="38"/>
      <c r="W3" s="38"/>
      <c r="X3" s="423"/>
      <c r="Y3" s="423"/>
      <c r="Z3" s="423"/>
      <c r="AA3" s="423"/>
      <c r="AB3" s="423"/>
      <c r="AC3" s="423"/>
      <c r="AD3" s="423"/>
    </row>
    <row r="4" spans="1:30">
      <c r="Q4" s="423"/>
      <c r="R4" s="423"/>
      <c r="S4" s="423"/>
      <c r="T4" s="423"/>
      <c r="U4" s="423"/>
      <c r="V4" s="423"/>
      <c r="X4" s="423"/>
      <c r="Y4" s="423"/>
      <c r="Z4" s="423"/>
      <c r="AA4" s="423"/>
      <c r="AB4" s="423"/>
      <c r="AC4" s="423"/>
      <c r="AD4" s="423"/>
    </row>
    <row r="5" spans="1:30">
      <c r="Q5" s="423"/>
      <c r="R5" s="423"/>
      <c r="S5" s="423"/>
      <c r="T5" s="423"/>
      <c r="U5" s="423"/>
      <c r="V5" s="423"/>
      <c r="X5" s="423"/>
      <c r="Y5" s="423"/>
      <c r="Z5" s="423"/>
      <c r="AA5" s="423"/>
      <c r="AB5" s="423"/>
      <c r="AC5" s="423"/>
      <c r="AD5" s="423"/>
    </row>
    <row r="6" spans="1:30" s="32" customFormat="1">
      <c r="A6" s="41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 t="s">
        <v>69</v>
      </c>
      <c r="Q6" s="363"/>
      <c r="R6" s="363"/>
      <c r="S6" s="363"/>
      <c r="T6" s="363"/>
      <c r="U6" s="363"/>
      <c r="V6" s="363"/>
      <c r="W6" s="363"/>
    </row>
    <row r="7" spans="1:30" ht="16.5" thickBot="1">
      <c r="A7" s="42" t="s">
        <v>5</v>
      </c>
      <c r="B7" s="42" t="s">
        <v>6</v>
      </c>
      <c r="C7" s="42" t="s">
        <v>86</v>
      </c>
      <c r="D7" s="42" t="s">
        <v>87</v>
      </c>
      <c r="E7" s="42" t="s">
        <v>284</v>
      </c>
      <c r="F7" s="42" t="s">
        <v>285</v>
      </c>
      <c r="G7" s="42" t="s">
        <v>88</v>
      </c>
      <c r="H7" s="42" t="s">
        <v>286</v>
      </c>
      <c r="I7" s="42" t="s">
        <v>89</v>
      </c>
      <c r="J7" s="42" t="s">
        <v>90</v>
      </c>
      <c r="K7" s="42" t="s">
        <v>91</v>
      </c>
      <c r="L7" s="42" t="s">
        <v>92</v>
      </c>
      <c r="M7" s="42" t="s">
        <v>93</v>
      </c>
      <c r="N7" s="42" t="s">
        <v>94</v>
      </c>
      <c r="O7" s="42">
        <v>2018</v>
      </c>
    </row>
    <row r="8" spans="1:30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30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30">
      <c r="A10" s="422">
        <v>1</v>
      </c>
      <c r="B10" s="27" t="s">
        <v>268</v>
      </c>
      <c r="C10" s="424">
        <f>'2018 Capital Budget'!F8+'2018 Capital Budget'!F22+'2018 Capital Budget'!F24+'2018 Capital Budget'!F26+'2018 Capital Budget'!F35</f>
        <v>363910.8</v>
      </c>
      <c r="D10" s="424">
        <f>'2018 Capital Budget'!G8+'2018 Capital Budget'!G22+'2018 Capital Budget'!G24+'2018 Capital Budget'!G26+'2018 Capital Budget'!G35</f>
        <v>668848.14</v>
      </c>
      <c r="E10" s="424">
        <f>'2018 Capital Budget'!H8+'2018 Capital Budget'!H22+'2018 Capital Budget'!H24+'2018 Capital Budget'!H26+'2018 Capital Budget'!H35</f>
        <v>1178013.71</v>
      </c>
      <c r="F10" s="424">
        <f>'2018 Capital Budget'!I8+'2018 Capital Budget'!I22+'2018 Capital Budget'!I24+'2018 Capital Budget'!I26+'2018 Capital Budget'!I35</f>
        <v>1188780.99</v>
      </c>
      <c r="G10" s="424">
        <f>'2018 Capital Budget'!J8+'2018 Capital Budget'!J22+'2018 Capital Budget'!J24+'2018 Capital Budget'!J26+'2018 Capital Budget'!J35</f>
        <v>1190992.1100000001</v>
      </c>
      <c r="H10" s="424">
        <f>'2018 Capital Budget'!K8+'2018 Capital Budget'!K22+'2018 Capital Budget'!K24+'2018 Capital Budget'!K26+'2018 Capital Budget'!K35</f>
        <v>1186191.51</v>
      </c>
      <c r="I10" s="424">
        <f>'2018 Capital Budget'!L8+'2018 Capital Budget'!L22+'2018 Capital Budget'!L24+'2018 Capital Budget'!L26+'2018 Capital Budget'!L35</f>
        <v>1084441.95</v>
      </c>
      <c r="J10" s="424">
        <f>'2018 Capital Budget'!M8+'2018 Capital Budget'!M22+'2018 Capital Budget'!M24+'2018 Capital Budget'!M26+'2018 Capital Budget'!M35</f>
        <v>1100514.97</v>
      </c>
      <c r="K10" s="424">
        <f>'2018 Capital Budget'!N8+'2018 Capital Budget'!N22+'2018 Capital Budget'!N24+'2018 Capital Budget'!N26+'2018 Capital Budget'!N35</f>
        <v>1038073.44</v>
      </c>
      <c r="L10" s="424">
        <f>'2018 Capital Budget'!O8+'2018 Capital Budget'!O22+'2018 Capital Budget'!O24+'2018 Capital Budget'!O26+'2018 Capital Budget'!O35</f>
        <v>1051356.06</v>
      </c>
      <c r="M10" s="424">
        <f>'2018 Capital Budget'!P8+'2018 Capital Budget'!P22+'2018 Capital Budget'!P24+'2018 Capital Budget'!P26+'2018 Capital Budget'!P35</f>
        <v>986034.35</v>
      </c>
      <c r="N10" s="424">
        <f>'2018 Capital Budget'!Q8+'2018 Capital Budget'!Q22+'2018 Capital Budget'!Q24+'2018 Capital Budget'!Q26+'2018 Capital Budget'!Q35</f>
        <v>718264.11</v>
      </c>
      <c r="O10" s="424">
        <f>SUM(C10:N10)</f>
        <v>11755422.139999999</v>
      </c>
      <c r="P10" s="425"/>
    </row>
    <row r="11" spans="1:30">
      <c r="A11" s="422">
        <f>A10+1</f>
        <v>2</v>
      </c>
      <c r="B11" s="27" t="s">
        <v>269</v>
      </c>
      <c r="C11" s="424">
        <f>SUM('2018 Capital Budget'!F31:F34)</f>
        <v>581098.97</v>
      </c>
      <c r="D11" s="424">
        <f>SUM('2018 Capital Budget'!G31:G34)</f>
        <v>737798.45</v>
      </c>
      <c r="E11" s="424">
        <f>SUM('2018 Capital Budget'!H31:H34)</f>
        <v>4795013.9699999988</v>
      </c>
      <c r="F11" s="424">
        <f>SUM('2018 Capital Budget'!I31:I34)</f>
        <v>3411303.5100000002</v>
      </c>
      <c r="G11" s="424">
        <f>SUM('2018 Capital Budget'!J31:J34)</f>
        <v>3901903.09</v>
      </c>
      <c r="H11" s="424">
        <f>SUM('2018 Capital Budget'!K31:K34)</f>
        <v>4052501.27</v>
      </c>
      <c r="I11" s="424">
        <f>SUM('2018 Capital Budget'!L31:L34)</f>
        <v>2557104.5199999996</v>
      </c>
      <c r="J11" s="424">
        <f>SUM('2018 Capital Budget'!M31:M34)</f>
        <v>3603356.9</v>
      </c>
      <c r="K11" s="424">
        <f>SUM('2018 Capital Budget'!N31:N34)</f>
        <v>1454337.63</v>
      </c>
      <c r="L11" s="424">
        <f>SUM('2018 Capital Budget'!O31:O34)</f>
        <v>1418040.6600000001</v>
      </c>
      <c r="M11" s="424">
        <f>SUM('2018 Capital Budget'!P31:P34)</f>
        <v>899313.9</v>
      </c>
      <c r="N11" s="424">
        <f>SUM('2018 Capital Budget'!Q31:Q34)</f>
        <v>3391894.4499999997</v>
      </c>
      <c r="O11" s="424">
        <f t="shared" ref="O11:O14" si="0">SUM(C11:N11)</f>
        <v>30803667.319999993</v>
      </c>
      <c r="P11" s="425"/>
    </row>
    <row r="12" spans="1:30">
      <c r="A12" s="422">
        <f>A11+1</f>
        <v>3</v>
      </c>
      <c r="B12" s="27" t="s">
        <v>80</v>
      </c>
      <c r="C12" s="424">
        <f>SUM('2018 Capital Budget'!F27:F29)</f>
        <v>236080.13</v>
      </c>
      <c r="D12" s="424">
        <f>SUM('2018 Capital Budget'!G27:G29)</f>
        <v>199265.47</v>
      </c>
      <c r="E12" s="424">
        <f>SUM('2018 Capital Budget'!H27:H29)</f>
        <v>211527.46000000002</v>
      </c>
      <c r="F12" s="424">
        <f>SUM('2018 Capital Budget'!I27:I29)</f>
        <v>215741.16999999998</v>
      </c>
      <c r="G12" s="424">
        <f>SUM('2018 Capital Budget'!J27:J29)</f>
        <v>258307.23</v>
      </c>
      <c r="H12" s="424">
        <f>SUM('2018 Capital Budget'!K27:K29)</f>
        <v>203233.56</v>
      </c>
      <c r="I12" s="424">
        <f>SUM('2018 Capital Budget'!L27:L29)</f>
        <v>212142.14</v>
      </c>
      <c r="J12" s="424">
        <f>SUM('2018 Capital Budget'!M27:M29)</f>
        <v>244825.08</v>
      </c>
      <c r="K12" s="424">
        <f>SUM('2018 Capital Budget'!N27:N29)</f>
        <v>203809.94</v>
      </c>
      <c r="L12" s="424">
        <f>SUM('2018 Capital Budget'!O27:O29)</f>
        <v>253415.2</v>
      </c>
      <c r="M12" s="424">
        <f>SUM('2018 Capital Budget'!P27:P29)</f>
        <v>212351.47</v>
      </c>
      <c r="N12" s="424">
        <f>SUM('2018 Capital Budget'!Q27:Q29)</f>
        <v>181096.31</v>
      </c>
      <c r="O12" s="424">
        <f t="shared" si="0"/>
        <v>2631795.1600000006</v>
      </c>
      <c r="P12" s="425"/>
    </row>
    <row r="13" spans="1:30">
      <c r="A13" s="422">
        <f>A12+1</f>
        <v>4</v>
      </c>
      <c r="B13" s="27" t="s">
        <v>81</v>
      </c>
      <c r="C13" s="424">
        <f>'2018 Capital Budget'!F23+'2018 Capital Budget'!F25+'2018 Capital Budget'!F30</f>
        <v>0</v>
      </c>
      <c r="D13" s="424">
        <f>'2018 Capital Budget'!G23+'2018 Capital Budget'!G25+'2018 Capital Budget'!G30</f>
        <v>0</v>
      </c>
      <c r="E13" s="424">
        <f>'2018 Capital Budget'!H23+'2018 Capital Budget'!H25+'2018 Capital Budget'!H30</f>
        <v>0</v>
      </c>
      <c r="F13" s="424">
        <f>'2018 Capital Budget'!I23+'2018 Capital Budget'!I25+'2018 Capital Budget'!I30</f>
        <v>0</v>
      </c>
      <c r="G13" s="424">
        <f>'2018 Capital Budget'!J23+'2018 Capital Budget'!J25+'2018 Capital Budget'!J30</f>
        <v>0</v>
      </c>
      <c r="H13" s="424">
        <f>'2018 Capital Budget'!K23+'2018 Capital Budget'!K25+'2018 Capital Budget'!K30</f>
        <v>0</v>
      </c>
      <c r="I13" s="424">
        <f>'2018 Capital Budget'!L23+'2018 Capital Budget'!L25+'2018 Capital Budget'!L30</f>
        <v>0</v>
      </c>
      <c r="J13" s="424">
        <f>'2018 Capital Budget'!M23+'2018 Capital Budget'!M25+'2018 Capital Budget'!M30</f>
        <v>0</v>
      </c>
      <c r="K13" s="424">
        <f>'2018 Capital Budget'!N23+'2018 Capital Budget'!N25+'2018 Capital Budget'!N30</f>
        <v>0</v>
      </c>
      <c r="L13" s="424">
        <f>'2018 Capital Budget'!O23+'2018 Capital Budget'!O25+'2018 Capital Budget'!O30</f>
        <v>0</v>
      </c>
      <c r="M13" s="424">
        <f>'2018 Capital Budget'!P23+'2018 Capital Budget'!P25+'2018 Capital Budget'!P30</f>
        <v>0</v>
      </c>
      <c r="N13" s="424">
        <f>'2018 Capital Budget'!Q23+'2018 Capital Budget'!Q25+'2018 Capital Budget'!Q30</f>
        <v>0</v>
      </c>
      <c r="O13" s="424">
        <f t="shared" si="0"/>
        <v>0</v>
      </c>
      <c r="P13" s="425"/>
    </row>
    <row r="14" spans="1:30">
      <c r="A14" s="422">
        <f>A13+1</f>
        <v>5</v>
      </c>
      <c r="B14" s="27" t="s">
        <v>167</v>
      </c>
      <c r="C14" s="426">
        <f>SUM('2018 Capital Budget'!F9:F21)</f>
        <v>661739.99</v>
      </c>
      <c r="D14" s="426">
        <f>SUM('2018 Capital Budget'!G9:G21)</f>
        <v>628376.25</v>
      </c>
      <c r="E14" s="426">
        <f>SUM('2018 Capital Budget'!H9:H21)</f>
        <v>1003019.13</v>
      </c>
      <c r="F14" s="426">
        <f>SUM('2018 Capital Budget'!I9:I21)</f>
        <v>1091876.04</v>
      </c>
      <c r="G14" s="426">
        <f>SUM('2018 Capital Budget'!J9:J21)</f>
        <v>1317767.3800000001</v>
      </c>
      <c r="H14" s="426">
        <f>SUM('2018 Capital Budget'!K9:K21)</f>
        <v>1756095.2599999998</v>
      </c>
      <c r="I14" s="426">
        <f>SUM('2018 Capital Budget'!L9:L21)</f>
        <v>1805002.32</v>
      </c>
      <c r="J14" s="426">
        <f>SUM('2018 Capital Budget'!M9:M21)</f>
        <v>1922111.88</v>
      </c>
      <c r="K14" s="426">
        <f>SUM('2018 Capital Budget'!N9:N21)</f>
        <v>1794182.35</v>
      </c>
      <c r="L14" s="426">
        <f>SUM('2018 Capital Budget'!O9:O21)</f>
        <v>1842411.63</v>
      </c>
      <c r="M14" s="426">
        <f>SUM('2018 Capital Budget'!P9:P21)</f>
        <v>1083747.3400000001</v>
      </c>
      <c r="N14" s="426">
        <f>SUM('2018 Capital Budget'!Q9:Q21)</f>
        <v>843552.31</v>
      </c>
      <c r="O14" s="426">
        <f t="shared" si="0"/>
        <v>15749881.880000001</v>
      </c>
      <c r="P14" s="427"/>
    </row>
    <row r="15" spans="1:30">
      <c r="A15" s="422">
        <f>A14+1</f>
        <v>6</v>
      </c>
      <c r="B15" s="27" t="s">
        <v>82</v>
      </c>
      <c r="C15" s="428">
        <f t="shared" ref="C15:H15" si="1">SUM(C10:C14)</f>
        <v>1842829.89</v>
      </c>
      <c r="D15" s="428">
        <f t="shared" si="1"/>
        <v>2234288.3099999996</v>
      </c>
      <c r="E15" s="428">
        <f t="shared" si="1"/>
        <v>7187574.2699999986</v>
      </c>
      <c r="F15" s="428">
        <f t="shared" si="1"/>
        <v>5907701.71</v>
      </c>
      <c r="G15" s="428">
        <f t="shared" si="1"/>
        <v>6668969.8100000005</v>
      </c>
      <c r="H15" s="428">
        <f t="shared" si="1"/>
        <v>7198021.5999999996</v>
      </c>
      <c r="I15" s="428">
        <f t="shared" ref="I15:N15" si="2">SUM(I10:I14)</f>
        <v>5658690.9299999997</v>
      </c>
      <c r="J15" s="428">
        <f t="shared" si="2"/>
        <v>6870808.8300000001</v>
      </c>
      <c r="K15" s="428">
        <f t="shared" si="2"/>
        <v>4490403.3599999994</v>
      </c>
      <c r="L15" s="428">
        <f t="shared" si="2"/>
        <v>4565223.5500000007</v>
      </c>
      <c r="M15" s="428">
        <f t="shared" si="2"/>
        <v>3181447.0600000005</v>
      </c>
      <c r="N15" s="428">
        <f t="shared" si="2"/>
        <v>5134807.18</v>
      </c>
      <c r="O15" s="428">
        <f>SUM(O10:O14)</f>
        <v>60940766.5</v>
      </c>
      <c r="P15" s="425"/>
    </row>
    <row r="16" spans="1:30">
      <c r="I16" s="428"/>
      <c r="J16" s="428"/>
      <c r="K16" s="428"/>
      <c r="L16" s="428"/>
      <c r="M16" s="428"/>
      <c r="N16" s="428"/>
      <c r="O16" s="428"/>
      <c r="P16" s="425"/>
    </row>
    <row r="17" spans="1:16">
      <c r="A17" s="422">
        <f>A15+1</f>
        <v>7</v>
      </c>
      <c r="B17" s="27" t="s">
        <v>270</v>
      </c>
      <c r="C17" s="424">
        <v>0</v>
      </c>
      <c r="D17" s="424">
        <v>0</v>
      </c>
      <c r="E17" s="424">
        <v>0</v>
      </c>
      <c r="F17" s="424">
        <v>0</v>
      </c>
      <c r="G17" s="424">
        <v>0</v>
      </c>
      <c r="H17" s="424">
        <v>0</v>
      </c>
      <c r="I17" s="424">
        <v>0</v>
      </c>
      <c r="J17" s="424">
        <v>0</v>
      </c>
      <c r="K17" s="424">
        <v>0</v>
      </c>
      <c r="L17" s="424">
        <v>0</v>
      </c>
      <c r="M17" s="424">
        <v>0</v>
      </c>
      <c r="N17" s="424">
        <v>0</v>
      </c>
      <c r="O17" s="424">
        <f>SUM(C17:N17)</f>
        <v>0</v>
      </c>
      <c r="P17" s="425"/>
    </row>
    <row r="18" spans="1:16">
      <c r="A18" s="422">
        <f t="shared" ref="A18:A19" si="3">A17+1</f>
        <v>8</v>
      </c>
      <c r="B18" s="27" t="s">
        <v>354</v>
      </c>
      <c r="C18" s="424">
        <v>0</v>
      </c>
      <c r="D18" s="424">
        <v>0</v>
      </c>
      <c r="E18" s="424">
        <v>0</v>
      </c>
      <c r="F18" s="424">
        <v>0</v>
      </c>
      <c r="G18" s="424">
        <v>0</v>
      </c>
      <c r="H18" s="424">
        <v>0</v>
      </c>
      <c r="I18" s="424">
        <v>0</v>
      </c>
      <c r="J18" s="424">
        <v>0</v>
      </c>
      <c r="K18" s="424">
        <v>0</v>
      </c>
      <c r="L18" s="424">
        <v>0</v>
      </c>
      <c r="M18" s="424">
        <v>0</v>
      </c>
      <c r="N18" s="424">
        <v>0</v>
      </c>
      <c r="O18" s="424">
        <f>SUM(C18:N18)</f>
        <v>0</v>
      </c>
      <c r="P18" s="425"/>
    </row>
    <row r="19" spans="1:16">
      <c r="A19" s="422">
        <f t="shared" si="3"/>
        <v>9</v>
      </c>
      <c r="B19" s="27" t="s">
        <v>72</v>
      </c>
      <c r="C19" s="424">
        <v>0</v>
      </c>
      <c r="D19" s="424">
        <v>0</v>
      </c>
      <c r="E19" s="424">
        <v>0</v>
      </c>
      <c r="F19" s="424">
        <v>0</v>
      </c>
      <c r="G19" s="424">
        <v>0</v>
      </c>
      <c r="H19" s="424">
        <v>0</v>
      </c>
      <c r="I19" s="424">
        <v>0</v>
      </c>
      <c r="J19" s="424">
        <v>0</v>
      </c>
      <c r="K19" s="424">
        <v>0</v>
      </c>
      <c r="L19" s="424">
        <v>0</v>
      </c>
      <c r="M19" s="424">
        <v>0</v>
      </c>
      <c r="N19" s="424">
        <v>0</v>
      </c>
      <c r="O19" s="424">
        <f t="shared" ref="O19:O20" si="4">SUM(C19:N19)</f>
        <v>0</v>
      </c>
      <c r="P19" s="425"/>
    </row>
    <row r="20" spans="1:16">
      <c r="A20" s="422">
        <f>A19+1</f>
        <v>10</v>
      </c>
      <c r="B20" s="27" t="s">
        <v>73</v>
      </c>
      <c r="C20" s="426">
        <v>0</v>
      </c>
      <c r="D20" s="426">
        <v>0</v>
      </c>
      <c r="E20" s="426">
        <v>0</v>
      </c>
      <c r="F20" s="426">
        <v>0</v>
      </c>
      <c r="G20" s="426">
        <v>0</v>
      </c>
      <c r="H20" s="426">
        <v>0</v>
      </c>
      <c r="I20" s="426">
        <v>0</v>
      </c>
      <c r="J20" s="426">
        <v>0</v>
      </c>
      <c r="K20" s="426">
        <v>0</v>
      </c>
      <c r="L20" s="426">
        <v>0</v>
      </c>
      <c r="M20" s="426">
        <v>0</v>
      </c>
      <c r="N20" s="426">
        <v>0</v>
      </c>
      <c r="O20" s="426">
        <f t="shared" si="4"/>
        <v>0</v>
      </c>
      <c r="P20" s="425"/>
    </row>
    <row r="21" spans="1:16">
      <c r="A21" s="422">
        <f>A20+1</f>
        <v>11</v>
      </c>
      <c r="B21" s="27" t="s">
        <v>186</v>
      </c>
      <c r="C21" s="424">
        <f t="shared" ref="C21:H21" si="5">SUM(C17:C20)</f>
        <v>0</v>
      </c>
      <c r="D21" s="424">
        <f t="shared" si="5"/>
        <v>0</v>
      </c>
      <c r="E21" s="424">
        <f t="shared" si="5"/>
        <v>0</v>
      </c>
      <c r="F21" s="424">
        <f t="shared" si="5"/>
        <v>0</v>
      </c>
      <c r="G21" s="424">
        <f t="shared" si="5"/>
        <v>0</v>
      </c>
      <c r="H21" s="424">
        <f t="shared" si="5"/>
        <v>0</v>
      </c>
      <c r="I21" s="424">
        <f t="shared" ref="I21:O21" si="6">SUM(I17:I20)</f>
        <v>0</v>
      </c>
      <c r="J21" s="424">
        <f t="shared" si="6"/>
        <v>0</v>
      </c>
      <c r="K21" s="424">
        <f t="shared" si="6"/>
        <v>0</v>
      </c>
      <c r="L21" s="424">
        <f t="shared" si="6"/>
        <v>0</v>
      </c>
      <c r="M21" s="424">
        <f t="shared" si="6"/>
        <v>0</v>
      </c>
      <c r="N21" s="424">
        <f t="shared" si="6"/>
        <v>0</v>
      </c>
      <c r="O21" s="424">
        <f t="shared" si="6"/>
        <v>0</v>
      </c>
      <c r="P21" s="425"/>
    </row>
    <row r="22" spans="1:16">
      <c r="A22" s="422"/>
      <c r="I22" s="424"/>
      <c r="J22" s="424"/>
      <c r="K22" s="424"/>
      <c r="L22" s="424"/>
      <c r="M22" s="424"/>
      <c r="N22" s="424"/>
      <c r="O22" s="424"/>
      <c r="P22" s="425"/>
    </row>
    <row r="23" spans="1:16">
      <c r="A23" s="422">
        <f>A21+1</f>
        <v>12</v>
      </c>
      <c r="B23" s="27" t="s">
        <v>185</v>
      </c>
      <c r="C23" s="428">
        <v>0</v>
      </c>
      <c r="D23" s="428">
        <v>0</v>
      </c>
      <c r="E23" s="428">
        <v>0</v>
      </c>
      <c r="F23" s="428">
        <v>0</v>
      </c>
      <c r="G23" s="428">
        <v>0</v>
      </c>
      <c r="H23" s="428">
        <v>0</v>
      </c>
      <c r="I23" s="428">
        <v>0</v>
      </c>
      <c r="J23" s="428">
        <v>0</v>
      </c>
      <c r="K23" s="428">
        <v>0</v>
      </c>
      <c r="L23" s="428">
        <v>0</v>
      </c>
      <c r="M23" s="428">
        <v>0</v>
      </c>
      <c r="N23" s="428">
        <v>0</v>
      </c>
      <c r="O23" s="428">
        <f>SUM(C23:N23)</f>
        <v>0</v>
      </c>
      <c r="P23" s="425"/>
    </row>
    <row r="24" spans="1:16">
      <c r="A24" s="422"/>
      <c r="I24" s="428"/>
      <c r="J24" s="428"/>
      <c r="K24" s="428"/>
      <c r="L24" s="428"/>
      <c r="M24" s="428"/>
      <c r="N24" s="428"/>
      <c r="O24" s="428"/>
      <c r="P24" s="425"/>
    </row>
    <row r="25" spans="1:16" ht="16.5" customHeight="1">
      <c r="A25" s="422">
        <f>A23+1</f>
        <v>13</v>
      </c>
      <c r="B25" s="27" t="s">
        <v>271</v>
      </c>
      <c r="C25" s="428">
        <f>SUM('2018 Capital Budget'!F39,'2018 Capital Budget'!F41:F43,'2018 Capital Budget'!F49)</f>
        <v>0</v>
      </c>
      <c r="D25" s="428">
        <f>SUM('2018 Capital Budget'!G39,'2018 Capital Budget'!G41:G43,'2018 Capital Budget'!G49)</f>
        <v>0</v>
      </c>
      <c r="E25" s="428">
        <f>SUM('2018 Capital Budget'!H39,'2018 Capital Budget'!H41:H43,'2018 Capital Budget'!H49)</f>
        <v>0</v>
      </c>
      <c r="F25" s="428">
        <f>SUM('2018 Capital Budget'!I39,'2018 Capital Budget'!I41:I43,'2018 Capital Budget'!I49)</f>
        <v>0</v>
      </c>
      <c r="G25" s="428">
        <f>SUM('2018 Capital Budget'!J39,'2018 Capital Budget'!J41:J43,'2018 Capital Budget'!J49)</f>
        <v>0</v>
      </c>
      <c r="H25" s="428">
        <f>SUM('2018 Capital Budget'!K39,'2018 Capital Budget'!K41:K43,'2018 Capital Budget'!K49)</f>
        <v>0</v>
      </c>
      <c r="I25" s="428">
        <f>SUM('2018 Capital Budget'!L39,'2018 Capital Budget'!L41:L43,'2018 Capital Budget'!L49)</f>
        <v>0</v>
      </c>
      <c r="J25" s="428">
        <f>SUM('2018 Capital Budget'!M39,'2018 Capital Budget'!M41:M43,'2018 Capital Budget'!M49)</f>
        <v>0</v>
      </c>
      <c r="K25" s="428">
        <f>SUM('2018 Capital Budget'!N39,'2018 Capital Budget'!N41:N43,'2018 Capital Budget'!N49)</f>
        <v>0</v>
      </c>
      <c r="L25" s="428">
        <f>SUM('2018 Capital Budget'!O39,'2018 Capital Budget'!O41:O43,'2018 Capital Budget'!O49)</f>
        <v>0</v>
      </c>
      <c r="M25" s="428">
        <f>SUM('2018 Capital Budget'!P39,'2018 Capital Budget'!P41:P43,'2018 Capital Budget'!P49)</f>
        <v>0</v>
      </c>
      <c r="N25" s="428">
        <f>SUM('2018 Capital Budget'!Q39,'2018 Capital Budget'!Q41:Q43,'2018 Capital Budget'!Q49)</f>
        <v>0</v>
      </c>
      <c r="O25" s="424">
        <f>SUM(C25:N25)</f>
        <v>0</v>
      </c>
      <c r="P25" s="425"/>
    </row>
    <row r="26" spans="1:16" ht="16.5" customHeight="1">
      <c r="A26" s="422">
        <f>A25+1</f>
        <v>14</v>
      </c>
      <c r="B26" s="27" t="s">
        <v>353</v>
      </c>
      <c r="C26" s="428">
        <f>SUM('2018 Capital Budget'!F46:F48)</f>
        <v>0</v>
      </c>
      <c r="D26" s="428">
        <f>SUM('2018 Capital Budget'!G46:G48)</f>
        <v>0</v>
      </c>
      <c r="E26" s="428">
        <f>SUM('2018 Capital Budget'!H46:H48)</f>
        <v>0</v>
      </c>
      <c r="F26" s="428">
        <f>SUM('2018 Capital Budget'!I46:I48)</f>
        <v>37537.699999999997</v>
      </c>
      <c r="G26" s="428">
        <f>SUM('2018 Capital Budget'!J46:J48)</f>
        <v>37537.699999999997</v>
      </c>
      <c r="H26" s="428">
        <f>SUM('2018 Capital Budget'!K46:K48)</f>
        <v>37537.699999999997</v>
      </c>
      <c r="I26" s="428">
        <f>SUM('2018 Capital Budget'!L46:L48)</f>
        <v>37537.699999999997</v>
      </c>
      <c r="J26" s="428">
        <f>SUM('2018 Capital Budget'!M46:M48)</f>
        <v>37537.699999999997</v>
      </c>
      <c r="K26" s="428">
        <f>SUM('2018 Capital Budget'!N46:N48)</f>
        <v>37537.699999999997</v>
      </c>
      <c r="L26" s="428">
        <f>SUM('2018 Capital Budget'!O46:O48)</f>
        <v>37537.699999999997</v>
      </c>
      <c r="M26" s="428">
        <f>SUM('2018 Capital Budget'!P46:P48)</f>
        <v>37537.699999999997</v>
      </c>
      <c r="N26" s="428">
        <f>SUM('2018 Capital Budget'!Q46:Q48)</f>
        <v>37536.82</v>
      </c>
      <c r="O26" s="424">
        <f>SUM(C26:N26)</f>
        <v>337838.42000000004</v>
      </c>
      <c r="P26" s="425"/>
    </row>
    <row r="27" spans="1:16">
      <c r="A27" s="422">
        <f t="shared" ref="A27:A29" si="7">A26+1</f>
        <v>15</v>
      </c>
      <c r="B27" s="27" t="s">
        <v>83</v>
      </c>
      <c r="C27" s="428">
        <f>SUM('2018 Capital Budget'!F40,'2018 Capital Budget'!F44:F45)</f>
        <v>48989.79</v>
      </c>
      <c r="D27" s="428">
        <f>SUM('2018 Capital Budget'!G40,'2018 Capital Budget'!G44:G45)</f>
        <v>44356.46</v>
      </c>
      <c r="E27" s="428">
        <f>SUM('2018 Capital Budget'!H40,'2018 Capital Budget'!H44:H45)</f>
        <v>46163.42</v>
      </c>
      <c r="F27" s="428">
        <f>SUM('2018 Capital Budget'!I40,'2018 Capital Budget'!I44:I45)</f>
        <v>44778.83</v>
      </c>
      <c r="G27" s="428">
        <f>SUM('2018 Capital Budget'!J40,'2018 Capital Budget'!J44:J45)</f>
        <v>48830.07</v>
      </c>
      <c r="H27" s="428">
        <f>SUM('2018 Capital Budget'!K40,'2018 Capital Budget'!K44:K45)</f>
        <v>45124.59</v>
      </c>
      <c r="I27" s="428">
        <f>SUM('2018 Capital Budget'!L40,'2018 Capital Budget'!L44:L45)</f>
        <v>46511.94</v>
      </c>
      <c r="J27" s="428">
        <f>SUM('2018 Capital Budget'!M40,'2018 Capital Budget'!M44:M45)</f>
        <v>50113.919999999998</v>
      </c>
      <c r="K27" s="428">
        <f>SUM('2018 Capital Budget'!N40,'2018 Capital Budget'!N44:N45)</f>
        <v>45083.14</v>
      </c>
      <c r="L27" s="428">
        <f>SUM('2018 Capital Budget'!O40,'2018 Capital Budget'!O44:O45)</f>
        <v>49418.58</v>
      </c>
      <c r="M27" s="428">
        <f>SUM('2018 Capital Budget'!P40,'2018 Capital Budget'!P44:P45)</f>
        <v>45465.22</v>
      </c>
      <c r="N27" s="428">
        <f>SUM('2018 Capital Budget'!Q40,'2018 Capital Budget'!Q44:Q45)</f>
        <v>41996.3</v>
      </c>
      <c r="O27" s="424">
        <f t="shared" ref="O27:O28" si="8">SUM(C27:N27)</f>
        <v>556832.26000000013</v>
      </c>
      <c r="P27" s="425"/>
    </row>
    <row r="28" spans="1:16">
      <c r="A28" s="422">
        <f t="shared" si="7"/>
        <v>16</v>
      </c>
      <c r="B28" s="27" t="s">
        <v>84</v>
      </c>
      <c r="C28" s="426">
        <v>0</v>
      </c>
      <c r="D28" s="426">
        <v>0</v>
      </c>
      <c r="E28" s="426">
        <v>0</v>
      </c>
      <c r="F28" s="426">
        <v>0</v>
      </c>
      <c r="G28" s="426">
        <v>0</v>
      </c>
      <c r="H28" s="426">
        <v>0</v>
      </c>
      <c r="I28" s="426">
        <v>0</v>
      </c>
      <c r="J28" s="426">
        <v>0</v>
      </c>
      <c r="K28" s="426">
        <v>0</v>
      </c>
      <c r="L28" s="426">
        <v>0</v>
      </c>
      <c r="M28" s="426">
        <v>0</v>
      </c>
      <c r="N28" s="426">
        <v>0</v>
      </c>
      <c r="O28" s="426">
        <f t="shared" si="8"/>
        <v>0</v>
      </c>
      <c r="P28" s="427"/>
    </row>
    <row r="29" spans="1:16">
      <c r="A29" s="422">
        <f t="shared" si="7"/>
        <v>17</v>
      </c>
      <c r="B29" s="27" t="s">
        <v>85</v>
      </c>
      <c r="C29" s="428">
        <f t="shared" ref="C29:H29" si="9">SUM(C25:C28)</f>
        <v>48989.79</v>
      </c>
      <c r="D29" s="428">
        <f t="shared" si="9"/>
        <v>44356.46</v>
      </c>
      <c r="E29" s="428">
        <f t="shared" si="9"/>
        <v>46163.42</v>
      </c>
      <c r="F29" s="428">
        <f t="shared" si="9"/>
        <v>82316.53</v>
      </c>
      <c r="G29" s="428">
        <f t="shared" si="9"/>
        <v>86367.76999999999</v>
      </c>
      <c r="H29" s="428">
        <f t="shared" si="9"/>
        <v>82662.289999999994</v>
      </c>
      <c r="I29" s="428">
        <f t="shared" ref="I29:O29" si="10">SUM(I25:I28)</f>
        <v>84049.64</v>
      </c>
      <c r="J29" s="428">
        <f t="shared" si="10"/>
        <v>87651.62</v>
      </c>
      <c r="K29" s="428">
        <f t="shared" si="10"/>
        <v>82620.84</v>
      </c>
      <c r="L29" s="428">
        <f t="shared" si="10"/>
        <v>86956.28</v>
      </c>
      <c r="M29" s="428">
        <f t="shared" si="10"/>
        <v>83002.92</v>
      </c>
      <c r="N29" s="428">
        <f t="shared" si="10"/>
        <v>79533.119999999995</v>
      </c>
      <c r="O29" s="428">
        <f t="shared" si="10"/>
        <v>894670.68000000017</v>
      </c>
      <c r="P29" s="425"/>
    </row>
    <row r="30" spans="1:16">
      <c r="A30" s="422"/>
      <c r="I30" s="428"/>
      <c r="J30" s="428"/>
      <c r="K30" s="428"/>
      <c r="L30" s="428"/>
      <c r="M30" s="428"/>
      <c r="N30" s="428"/>
      <c r="O30" s="428"/>
      <c r="P30" s="425"/>
    </row>
    <row r="31" spans="1:16">
      <c r="A31" s="422">
        <f>A29+1</f>
        <v>18</v>
      </c>
      <c r="B31" s="27" t="s">
        <v>59</v>
      </c>
      <c r="C31" s="428">
        <f>'COS Budget 2018'!H24-'COS Budget 2018'!H23</f>
        <v>178624.91999999998</v>
      </c>
      <c r="D31" s="428">
        <f>'COS Budget 2018'!I24-'COS Budget 2018'!I23</f>
        <v>75365.239999999991</v>
      </c>
      <c r="E31" s="428">
        <f>'COS Budget 2018'!J24-'COS Budget 2018'!J23</f>
        <v>112250.22</v>
      </c>
      <c r="F31" s="428">
        <f>'COS Budget 2018'!K24-'COS Budget 2018'!K23</f>
        <v>31125.109999999979</v>
      </c>
      <c r="G31" s="428">
        <f>'COS Budget 2018'!L24-'COS Budget 2018'!L23</f>
        <v>176845.44</v>
      </c>
      <c r="H31" s="428">
        <f>'COS Budget 2018'!M24-'COS Budget 2018'!M23</f>
        <v>135348.01999999999</v>
      </c>
      <c r="I31" s="428">
        <f>'COS Budget 2018'!N24-'COS Budget 2018'!N23</f>
        <v>108695.45999999996</v>
      </c>
      <c r="J31" s="428">
        <f>'COS Budget 2018'!O24-'COS Budget 2018'!O23</f>
        <v>156974.66</v>
      </c>
      <c r="K31" s="428">
        <f>'COS Budget 2018'!P24-'COS Budget 2018'!P23</f>
        <v>147911.28</v>
      </c>
      <c r="L31" s="428">
        <f>'COS Budget 2018'!Q24-'COS Budget 2018'!Q23</f>
        <v>177726.59000000003</v>
      </c>
      <c r="M31" s="428">
        <f>'COS Budget 2018'!R24-'COS Budget 2018'!R23</f>
        <v>167668.5</v>
      </c>
      <c r="N31" s="428">
        <f>'COS Budget 2018'!S24-'COS Budget 2018'!S23</f>
        <v>166702.50999999998</v>
      </c>
      <c r="O31" s="428">
        <f>SUM(C31:N31)</f>
        <v>1635237.95</v>
      </c>
      <c r="P31" s="425"/>
    </row>
    <row r="32" spans="1:16">
      <c r="A32" s="422">
        <f>A31+1</f>
        <v>19</v>
      </c>
      <c r="B32" s="27" t="s">
        <v>487</v>
      </c>
      <c r="C32" s="428">
        <f>'COS Budget 2018'!H23</f>
        <v>26136.04</v>
      </c>
      <c r="D32" s="428">
        <f>'COS Budget 2018'!I23</f>
        <v>26136.04</v>
      </c>
      <c r="E32" s="428">
        <f>'COS Budget 2018'!J23</f>
        <v>26136.04</v>
      </c>
      <c r="F32" s="428">
        <f>'COS Budget 2018'!K23</f>
        <v>26136.04</v>
      </c>
      <c r="G32" s="428">
        <f>'COS Budget 2018'!L23</f>
        <v>26136.04</v>
      </c>
      <c r="H32" s="428">
        <f>'COS Budget 2018'!M23</f>
        <v>26136.04</v>
      </c>
      <c r="I32" s="428">
        <f>'COS Budget 2018'!N23</f>
        <v>26136.04</v>
      </c>
      <c r="J32" s="428">
        <f>'COS Budget 2018'!O23</f>
        <v>26136.04</v>
      </c>
      <c r="K32" s="428">
        <f>'COS Budget 2018'!P23</f>
        <v>26136.04</v>
      </c>
      <c r="L32" s="428">
        <f>'COS Budget 2018'!Q23</f>
        <v>26136.04</v>
      </c>
      <c r="M32" s="428">
        <f>'COS Budget 2018'!R23</f>
        <v>26136.04</v>
      </c>
      <c r="N32" s="428">
        <f>'COS Budget 2018'!S23</f>
        <v>26136.04</v>
      </c>
      <c r="O32" s="428">
        <f>SUM(C32:N32)</f>
        <v>313632.48000000004</v>
      </c>
      <c r="P32" s="425"/>
    </row>
    <row r="33" spans="1:30">
      <c r="A33" s="422">
        <v>20</v>
      </c>
      <c r="B33" s="27" t="s">
        <v>488</v>
      </c>
      <c r="C33" s="428">
        <f>'COS Budget 2018'!H27</f>
        <v>440.78</v>
      </c>
      <c r="D33" s="428">
        <f>'COS Budget 2018'!I27</f>
        <v>440.78</v>
      </c>
      <c r="E33" s="428">
        <f>'COS Budget 2018'!J27</f>
        <v>440.78</v>
      </c>
      <c r="F33" s="428">
        <f>'COS Budget 2018'!K27</f>
        <v>440.78</v>
      </c>
      <c r="G33" s="428">
        <f>'COS Budget 2018'!L27</f>
        <v>440.78</v>
      </c>
      <c r="H33" s="428">
        <f>'COS Budget 2018'!M27</f>
        <v>440.78</v>
      </c>
      <c r="I33" s="428">
        <f>'COS Budget 2018'!N27</f>
        <v>440.78</v>
      </c>
      <c r="J33" s="428">
        <f>'COS Budget 2018'!O27</f>
        <v>440.78</v>
      </c>
      <c r="K33" s="428">
        <f>'COS Budget 2018'!P27</f>
        <v>440.78</v>
      </c>
      <c r="L33" s="428">
        <f>'COS Budget 2018'!Q27</f>
        <v>440.78</v>
      </c>
      <c r="M33" s="428">
        <f>'COS Budget 2018'!R27</f>
        <v>440.78</v>
      </c>
      <c r="N33" s="428">
        <f>'COS Budget 2018'!S27</f>
        <v>440.78</v>
      </c>
      <c r="O33" s="428">
        <f>SUM(C33:N33)</f>
        <v>5289.3599999999979</v>
      </c>
    </row>
    <row r="34" spans="1:30">
      <c r="L34" s="60"/>
      <c r="M34" s="428"/>
    </row>
    <row r="36" spans="1:30" s="27" customFormat="1">
      <c r="A36" s="363"/>
      <c r="M36" s="363"/>
      <c r="N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</row>
    <row r="37" spans="1:30" s="27" customFormat="1">
      <c r="A37" s="363"/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</row>
    <row r="38" spans="1:30" s="27" customFormat="1">
      <c r="A38" s="363"/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</row>
    <row r="39" spans="1:30" s="27" customFormat="1">
      <c r="A39" s="363"/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</row>
    <row r="40" spans="1:30" s="27" customFormat="1">
      <c r="A40" s="363"/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</row>
    <row r="41" spans="1:30" s="27" customFormat="1">
      <c r="A41" s="363"/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</row>
    <row r="42" spans="1:30" s="27" customFormat="1">
      <c r="A42" s="363"/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</row>
    <row r="43" spans="1:30" s="27" customFormat="1">
      <c r="A43" s="363"/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</row>
    <row r="44" spans="1:30" s="27" customFormat="1">
      <c r="A44" s="363"/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</row>
    <row r="45" spans="1:30" s="27" customFormat="1">
      <c r="A45" s="363"/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</row>
    <row r="46" spans="1:30" s="27" customFormat="1">
      <c r="A46" s="363"/>
      <c r="B46" s="363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</row>
    <row r="47" spans="1:30" s="27" customFormat="1">
      <c r="A47" s="363"/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</row>
    <row r="48" spans="1:30" s="27" customFormat="1">
      <c r="A48" s="363"/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</row>
    <row r="49" spans="1:30" s="27" customFormat="1">
      <c r="A49" s="363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</row>
    <row r="50" spans="1:30" s="27" customFormat="1">
      <c r="A50" s="363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</row>
  </sheetData>
  <pageMargins left="0.7" right="0.7" top="0.75" bottom="0.75" header="0.3" footer="0.3"/>
  <pageSetup scale="49" orientation="landscape" r:id="rId1"/>
  <headerFooter>
    <oddFooter>&amp;R&amp;"Times New Roman,Bold"&amp;18Exhibit 4
Page 4 of 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283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95</v>
      </c>
      <c r="G6" s="12"/>
      <c r="H6" s="12"/>
      <c r="I6" s="12"/>
      <c r="J6" s="12" t="s">
        <v>95</v>
      </c>
      <c r="K6" s="12"/>
      <c r="L6" s="12" t="s">
        <v>95</v>
      </c>
      <c r="M6" s="12"/>
      <c r="N6" s="12"/>
      <c r="O6" s="12"/>
      <c r="P6" s="12"/>
      <c r="Q6" s="12"/>
      <c r="R6" s="12" t="s">
        <v>95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'201712 Bk Depr'!R13</f>
        <v>5153439.38</v>
      </c>
      <c r="H13" s="1">
        <f>1.62%/12</f>
        <v>1.3500000000000003E-3</v>
      </c>
      <c r="J13" s="358">
        <f>F13*H13</f>
        <v>6957.1431630000016</v>
      </c>
      <c r="L13" s="359">
        <f>'Cap&amp;OpEx 2018'!C10</f>
        <v>363910.8</v>
      </c>
      <c r="N13" s="358">
        <f>H13*L13*0.5</f>
        <v>245.63979000000003</v>
      </c>
      <c r="P13" s="358">
        <f>J13+N13</f>
        <v>7202.7829530000017</v>
      </c>
      <c r="R13" s="358">
        <f>L13+F13</f>
        <v>5517350.1799999997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'201712 Bk Depr'!R14</f>
        <v>1617149.82</v>
      </c>
      <c r="H14" s="1">
        <f>3.24%/12</f>
        <v>2.7000000000000006E-3</v>
      </c>
      <c r="J14" s="358">
        <f>F14*H14</f>
        <v>4366.3045140000013</v>
      </c>
      <c r="L14" s="359">
        <f>'Cap&amp;OpEx 2018'!C12</f>
        <v>236080.13</v>
      </c>
      <c r="N14" s="358">
        <f>H14*L14*0.5</f>
        <v>318.7081755000001</v>
      </c>
      <c r="P14" s="358">
        <f>J14+N14</f>
        <v>4685.0126895000012</v>
      </c>
      <c r="R14" s="358">
        <f>L14+F14</f>
        <v>1853229.9500000002</v>
      </c>
    </row>
    <row r="15" spans="1:18">
      <c r="A15" s="6">
        <f t="shared" ref="A15" si="0">A14+1</f>
        <v>3</v>
      </c>
      <c r="B15" s="4"/>
      <c r="C15" s="9" t="s">
        <v>63</v>
      </c>
      <c r="D15" s="6">
        <v>380</v>
      </c>
      <c r="F15" s="354">
        <f>'201712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2018'!C13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>A15+1</f>
        <v>4</v>
      </c>
      <c r="B16" s="4"/>
      <c r="C16" s="4" t="s">
        <v>168</v>
      </c>
      <c r="D16" s="6">
        <v>380</v>
      </c>
      <c r="F16" s="355">
        <f>'201712 Bk Depr'!R16</f>
        <v>3807542.94</v>
      </c>
      <c r="H16" s="1">
        <f t="shared" si="1"/>
        <v>2.7000000000000006E-3</v>
      </c>
      <c r="J16" s="358">
        <f>F16*H16</f>
        <v>10280.365938000003</v>
      </c>
      <c r="L16" s="360">
        <f>'Cap&amp;OpEx 2018'!C14</f>
        <v>661739.99</v>
      </c>
      <c r="N16" s="358">
        <f>H16*L16*0.5</f>
        <v>893.34898650000014</v>
      </c>
      <c r="P16" s="358">
        <f>J16+N16</f>
        <v>11173.714924500004</v>
      </c>
      <c r="R16" s="358">
        <f>L16+F16</f>
        <v>4469282.93</v>
      </c>
    </row>
    <row r="17" spans="1:18">
      <c r="A17" s="6">
        <f>A16+1</f>
        <v>5</v>
      </c>
      <c r="B17" s="4"/>
      <c r="C17" s="4" t="s">
        <v>21</v>
      </c>
      <c r="F17" s="356">
        <f>SUM(F13:F16)</f>
        <v>17681979.870000001</v>
      </c>
      <c r="J17" s="356">
        <f>SUM(J13:J16)</f>
        <v>40784.202486000009</v>
      </c>
      <c r="L17" s="356">
        <f>SUM(L13:L16)</f>
        <v>1261730.92</v>
      </c>
      <c r="N17" s="356">
        <f>SUM(N13:N16)</f>
        <v>1457.6969520000002</v>
      </c>
      <c r="P17" s="356">
        <f>SUM(P13:P16)</f>
        <v>42241.899438000015</v>
      </c>
      <c r="R17" s="356">
        <f>SUM(R13:R16)</f>
        <v>18943710.789999999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'201712 Bk Depr'!R20</f>
        <v>0</v>
      </c>
      <c r="H20" s="1">
        <f>1.62%/12</f>
        <v>1.3500000000000003E-3</v>
      </c>
      <c r="J20" s="358">
        <f>F20*H20</f>
        <v>0</v>
      </c>
      <c r="L20" s="359">
        <f>'Cap&amp;OpEx 2018'!C17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'201712 Bk Depr'!R21</f>
        <v>0</v>
      </c>
      <c r="H21" s="1">
        <f>3.24%/12</f>
        <v>2.7000000000000006E-3</v>
      </c>
      <c r="J21" s="358">
        <f t="shared" ref="J21:J22" si="2">F21*H21</f>
        <v>0</v>
      </c>
      <c r="L21" s="359">
        <f>'Cap&amp;OpEx 2018'!C19</f>
        <v>0</v>
      </c>
      <c r="N21" s="358">
        <f t="shared" ref="N21:N22" si="3">H21*L21*0.5</f>
        <v>0</v>
      </c>
      <c r="P21" s="358">
        <f t="shared" ref="P21:P22" si="4">J21+N21</f>
        <v>0</v>
      </c>
      <c r="R21" s="358">
        <f t="shared" ref="R21:R22" si="5"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55">
        <f>'201712 Bk Depr'!R22</f>
        <v>0</v>
      </c>
      <c r="H22" s="1">
        <f>3.24%/12</f>
        <v>2.7000000000000006E-3</v>
      </c>
      <c r="J22" s="358">
        <f t="shared" si="2"/>
        <v>0</v>
      </c>
      <c r="L22" s="360">
        <f>'Cap&amp;OpEx 2018'!C20</f>
        <v>0</v>
      </c>
      <c r="N22" s="358">
        <f t="shared" si="3"/>
        <v>0</v>
      </c>
      <c r="P22" s="358">
        <f t="shared" si="4"/>
        <v>0</v>
      </c>
      <c r="R22" s="358">
        <f t="shared" si="5"/>
        <v>0</v>
      </c>
    </row>
    <row r="23" spans="1:18">
      <c r="A23" s="6">
        <f t="shared" si="6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17681979.870000001</v>
      </c>
      <c r="J25" s="357">
        <f>J17+J23</f>
        <v>40784.202486000009</v>
      </c>
      <c r="L25" s="357">
        <f>L17+L23</f>
        <v>1261730.92</v>
      </c>
      <c r="N25" s="357">
        <f>N17+N23</f>
        <v>1457.6969520000002</v>
      </c>
      <c r="P25" s="357">
        <f>P17+P23</f>
        <v>42241.899438000015</v>
      </c>
      <c r="R25" s="357">
        <f>R17+R23</f>
        <v>18943710.789999999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'201712 Bk Depr'!R28</f>
        <v>1456620.7</v>
      </c>
      <c r="J28" s="358"/>
      <c r="L28" s="359">
        <f>'Cap&amp;OpEx 2018'!C25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'201712 Bk Depr'!R29</f>
        <v>187096.43000000002</v>
      </c>
      <c r="J29" s="358"/>
      <c r="L29" s="359">
        <f>'Cap&amp;OpEx 2018'!C27</f>
        <v>48989.79</v>
      </c>
      <c r="N29" s="358"/>
      <c r="P29" s="358"/>
      <c r="R29" s="358">
        <f>L29+F29</f>
        <v>236086.22000000003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55">
        <f>'201712 Bk Depr'!R30</f>
        <v>0</v>
      </c>
      <c r="J30" s="358"/>
      <c r="L30" s="360">
        <f>'Cap&amp;OpEx 2018'!C28</f>
        <v>0</v>
      </c>
      <c r="N30" s="358"/>
      <c r="P30" s="358"/>
      <c r="R30" s="358">
        <f>L30+F30</f>
        <v>0</v>
      </c>
    </row>
    <row r="31" spans="1:18">
      <c r="A31" s="6">
        <f t="shared" si="7"/>
        <v>14</v>
      </c>
      <c r="B31" s="4"/>
      <c r="C31" s="4" t="s">
        <v>23</v>
      </c>
      <c r="F31" s="356">
        <f>SUM(F28:F30)</f>
        <v>1643717.13</v>
      </c>
      <c r="J31" s="356">
        <f>SUM(J28:J30)</f>
        <v>0</v>
      </c>
      <c r="L31" s="356">
        <f>SUM(L28:L30)</f>
        <v>48989.79</v>
      </c>
      <c r="N31" s="356">
        <f>SUM(N28:N30)</f>
        <v>0</v>
      </c>
      <c r="P31" s="356">
        <f>SUM(P28:P30)</f>
        <v>0</v>
      </c>
      <c r="R31" s="356">
        <f>SUM(R28:R30)</f>
        <v>1692706.92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5 of 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287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'201801 Bk Depr'!R13</f>
        <v>5517350.1799999997</v>
      </c>
      <c r="H13" s="1">
        <f>1.62%/12</f>
        <v>1.3500000000000003E-3</v>
      </c>
      <c r="J13" s="358">
        <f>F13*H13</f>
        <v>7448.422743000001</v>
      </c>
      <c r="L13" s="359">
        <f>'Cap&amp;OpEx 2018'!D10</f>
        <v>668848.14</v>
      </c>
      <c r="N13" s="358">
        <f>H13*L13*0.5</f>
        <v>451.4724945000001</v>
      </c>
      <c r="P13" s="358">
        <f>J13+N13</f>
        <v>7899.8952375000008</v>
      </c>
      <c r="R13" s="358">
        <f>L13+F13</f>
        <v>6186198.3199999994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'201801 Bk Depr'!R14</f>
        <v>1853229.9500000002</v>
      </c>
      <c r="H14" s="1">
        <f>3.24%/12</f>
        <v>2.7000000000000006E-3</v>
      </c>
      <c r="J14" s="358">
        <f>F14*H14</f>
        <v>5003.7208650000011</v>
      </c>
      <c r="L14" s="359">
        <f>'Cap&amp;OpEx 2018'!D12</f>
        <v>199265.47</v>
      </c>
      <c r="N14" s="358">
        <f>H14*L14*0.5</f>
        <v>269.00838450000003</v>
      </c>
      <c r="P14" s="358">
        <f>J14+N14</f>
        <v>5272.7292495000011</v>
      </c>
      <c r="R14" s="358">
        <f>L14+F14</f>
        <v>2052495.4200000002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'201801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2018'!D13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'201801 Bk Depr'!R16</f>
        <v>4469282.93</v>
      </c>
      <c r="H16" s="1">
        <f t="shared" si="1"/>
        <v>2.7000000000000006E-3</v>
      </c>
      <c r="J16" s="358">
        <f>F16*H16</f>
        <v>12067.063911000001</v>
      </c>
      <c r="L16" s="360">
        <f>'Cap&amp;OpEx 2018'!D14</f>
        <v>628376.25</v>
      </c>
      <c r="N16" s="358">
        <f>H16*L16*0.5</f>
        <v>848.30793750000021</v>
      </c>
      <c r="P16" s="358">
        <f>J16+N16</f>
        <v>12915.371848500001</v>
      </c>
      <c r="R16" s="358">
        <f>L16+F16</f>
        <v>5097659.18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18943710.789999999</v>
      </c>
      <c r="J17" s="356">
        <f>SUM(J13:J16)</f>
        <v>43699.596390000006</v>
      </c>
      <c r="L17" s="356">
        <f>SUM(L13:L16)</f>
        <v>1496489.8599999999</v>
      </c>
      <c r="N17" s="356">
        <f>SUM(N13:N16)</f>
        <v>1568.7888165000004</v>
      </c>
      <c r="P17" s="356">
        <f>SUM(P13:P16)</f>
        <v>45268.38520650001</v>
      </c>
      <c r="R17" s="356">
        <f>SUM(R13:R16)</f>
        <v>20440200.649999999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'201801 Bk Depr'!R20</f>
        <v>0</v>
      </c>
      <c r="H20" s="1">
        <f>1.62%/12</f>
        <v>1.3500000000000003E-3</v>
      </c>
      <c r="J20" s="358">
        <f>F20*H20</f>
        <v>0</v>
      </c>
      <c r="L20" s="359">
        <f>'Cap&amp;OpEx 2018'!D17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'201801 Bk Depr'!R21</f>
        <v>0</v>
      </c>
      <c r="H21" s="1">
        <f>3.24%/12</f>
        <v>2.7000000000000006E-3</v>
      </c>
      <c r="J21" s="358">
        <f>F21*H21</f>
        <v>0</v>
      </c>
      <c r="L21" s="359">
        <f>'Cap&amp;OpEx 2018'!D19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'201801 Bk Depr'!R22</f>
        <v>0</v>
      </c>
      <c r="H22" s="1">
        <f>3.24%/12</f>
        <v>2.7000000000000006E-3</v>
      </c>
      <c r="J22" s="358">
        <f>F22*H22</f>
        <v>0</v>
      </c>
      <c r="L22" s="360">
        <f>'Cap&amp;OpEx 2018'!D20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18943710.789999999</v>
      </c>
      <c r="J25" s="357">
        <f>J17+J23</f>
        <v>43699.596390000006</v>
      </c>
      <c r="L25" s="357">
        <f>L17+L23</f>
        <v>1496489.8599999999</v>
      </c>
      <c r="N25" s="357">
        <f>N17+N23</f>
        <v>1568.7888165000004</v>
      </c>
      <c r="P25" s="357">
        <f>P17+P23</f>
        <v>45268.38520650001</v>
      </c>
      <c r="R25" s="357">
        <f>R17+R23</f>
        <v>20440200.649999999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'201801 Bk Depr'!R28</f>
        <v>1456620.7</v>
      </c>
      <c r="J28" s="358"/>
      <c r="L28" s="359">
        <f>'Cap&amp;OpEx 2018'!D25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'201801 Bk Depr'!R29</f>
        <v>236086.22000000003</v>
      </c>
      <c r="J29" s="358"/>
      <c r="L29" s="359">
        <f>'Cap&amp;OpEx 2018'!D27</f>
        <v>44356.46</v>
      </c>
      <c r="N29" s="358"/>
      <c r="P29" s="358"/>
      <c r="R29" s="358">
        <f>L29+F29</f>
        <v>280442.68000000005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'201801 Bk Depr'!R30</f>
        <v>0</v>
      </c>
      <c r="J30" s="358"/>
      <c r="L30" s="360">
        <f>'Cap&amp;OpEx 2018'!D28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1692706.92</v>
      </c>
      <c r="J31" s="356">
        <f>SUM(J28:J30)</f>
        <v>0</v>
      </c>
      <c r="L31" s="356">
        <f>SUM(L28:L30)</f>
        <v>44356.46</v>
      </c>
      <c r="N31" s="356">
        <f>SUM(N28:N30)</f>
        <v>0</v>
      </c>
      <c r="P31" s="356">
        <f>SUM(P28:P30)</f>
        <v>0</v>
      </c>
      <c r="R31" s="356">
        <f>SUM(R28:R30)</f>
        <v>1737063.38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288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'201802 Bk Depr'!R13</f>
        <v>6186198.3199999994</v>
      </c>
      <c r="H13" s="1">
        <f>1.62%/12</f>
        <v>1.3500000000000003E-3</v>
      </c>
      <c r="J13" s="358">
        <f>F13*H13</f>
        <v>8351.3677320000006</v>
      </c>
      <c r="L13" s="359">
        <f>'Cap&amp;OpEx 2018'!E10</f>
        <v>1178013.71</v>
      </c>
      <c r="N13" s="358">
        <f>H13*L13*0.5</f>
        <v>795.15925425000012</v>
      </c>
      <c r="P13" s="358">
        <f>J13+N13</f>
        <v>9146.5269862500008</v>
      </c>
      <c r="R13" s="358">
        <f>L13+F13</f>
        <v>7364212.0299999993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'201802 Bk Depr'!R14</f>
        <v>2052495.4200000002</v>
      </c>
      <c r="H14" s="1">
        <f>3.24%/12</f>
        <v>2.7000000000000006E-3</v>
      </c>
      <c r="J14" s="358">
        <f>F14*H14</f>
        <v>5541.7376340000019</v>
      </c>
      <c r="L14" s="359">
        <f>'Cap&amp;OpEx 2018'!E12</f>
        <v>211527.46000000002</v>
      </c>
      <c r="N14" s="358">
        <f>H14*L14*0.5</f>
        <v>285.56207100000012</v>
      </c>
      <c r="P14" s="358">
        <f>J14+N14</f>
        <v>5827.2997050000022</v>
      </c>
      <c r="R14" s="358">
        <f>L14+F14</f>
        <v>2264022.8800000004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'201802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2018'!E13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'201802 Bk Depr'!R16</f>
        <v>5097659.18</v>
      </c>
      <c r="H16" s="1">
        <f t="shared" si="1"/>
        <v>2.7000000000000006E-3</v>
      </c>
      <c r="J16" s="358">
        <f>F16*H16</f>
        <v>13763.679786000002</v>
      </c>
      <c r="L16" s="360">
        <f>'Cap&amp;OpEx 2018'!E14</f>
        <v>1003019.13</v>
      </c>
      <c r="N16" s="358">
        <f>H16*L16*0.5</f>
        <v>1354.0758255000003</v>
      </c>
      <c r="P16" s="358">
        <f>J16+N16</f>
        <v>15117.755611500002</v>
      </c>
      <c r="R16" s="358">
        <f>L16+F16</f>
        <v>6100678.3099999996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20440200.649999999</v>
      </c>
      <c r="J17" s="356">
        <f>SUM(J13:J16)</f>
        <v>46837.174023000007</v>
      </c>
      <c r="L17" s="356">
        <f>SUM(L13:L16)</f>
        <v>2392560.2999999998</v>
      </c>
      <c r="N17" s="356">
        <f>SUM(N13:N16)</f>
        <v>2434.7971507500006</v>
      </c>
      <c r="P17" s="356">
        <f>SUM(P13:P16)</f>
        <v>49271.971173750018</v>
      </c>
      <c r="R17" s="356">
        <f>SUM(R13:R16)</f>
        <v>22832760.949999999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'201802 Bk Depr'!R20</f>
        <v>0</v>
      </c>
      <c r="H20" s="1">
        <f>1.62%/12</f>
        <v>1.3500000000000003E-3</v>
      </c>
      <c r="J20" s="358">
        <f>F20*H20</f>
        <v>0</v>
      </c>
      <c r="L20" s="359">
        <f>'Cap&amp;OpEx 2018'!E17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'201802 Bk Depr'!R21</f>
        <v>0</v>
      </c>
      <c r="H21" s="1">
        <f>3.24%/12</f>
        <v>2.7000000000000006E-3</v>
      </c>
      <c r="J21" s="358">
        <f>F21*H21</f>
        <v>0</v>
      </c>
      <c r="L21" s="359">
        <f>'Cap&amp;OpEx 2018'!E19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'201802 Bk Depr'!R22</f>
        <v>0</v>
      </c>
      <c r="H22" s="1">
        <f>3.24%/12</f>
        <v>2.7000000000000006E-3</v>
      </c>
      <c r="J22" s="358">
        <f>F22*H22</f>
        <v>0</v>
      </c>
      <c r="L22" s="360">
        <f>'Cap&amp;OpEx 2018'!E20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20440200.649999999</v>
      </c>
      <c r="J25" s="357">
        <f>J17+J23</f>
        <v>46837.174023000007</v>
      </c>
      <c r="L25" s="357">
        <f>L17+L23</f>
        <v>2392560.2999999998</v>
      </c>
      <c r="N25" s="357">
        <f>N17+N23</f>
        <v>2434.7971507500006</v>
      </c>
      <c r="P25" s="357">
        <f>P17+P23</f>
        <v>49271.971173750018</v>
      </c>
      <c r="R25" s="357">
        <f>R17+R23</f>
        <v>22832760.949999999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'201802 Bk Depr'!R28</f>
        <v>1456620.7</v>
      </c>
      <c r="J28" s="358"/>
      <c r="L28" s="359">
        <f>'Cap&amp;OpEx 2018'!E25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'201802 Bk Depr'!R29</f>
        <v>280442.68000000005</v>
      </c>
      <c r="J29" s="358"/>
      <c r="L29" s="359">
        <f>'Cap&amp;OpEx 2018'!E27</f>
        <v>46163.42</v>
      </c>
      <c r="N29" s="358"/>
      <c r="P29" s="358"/>
      <c r="R29" s="358">
        <f>L29+F29</f>
        <v>326606.10000000003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'201802 Bk Depr'!R30</f>
        <v>0</v>
      </c>
      <c r="J30" s="358"/>
      <c r="L30" s="360">
        <f>'Cap&amp;OpEx 2018'!E28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1737063.38</v>
      </c>
      <c r="J31" s="356">
        <f>SUM(J28:J30)</f>
        <v>0</v>
      </c>
      <c r="L31" s="356">
        <f>SUM(L28:L30)</f>
        <v>46163.42</v>
      </c>
      <c r="N31" s="356">
        <f>SUM(N28:N30)</f>
        <v>0</v>
      </c>
      <c r="P31" s="356">
        <f>SUM(P28:P30)</f>
        <v>0</v>
      </c>
      <c r="R31" s="356">
        <f>SUM(R28:R30)</f>
        <v>1783226.8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289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'201803 Bk Depr'!R13</f>
        <v>7364212.0299999993</v>
      </c>
      <c r="H13" s="1">
        <f>1.62%/12</f>
        <v>1.3500000000000003E-3</v>
      </c>
      <c r="J13" s="358">
        <f>F13*H13</f>
        <v>9941.6862405000011</v>
      </c>
      <c r="L13" s="359">
        <f>'Cap&amp;OpEx 2018'!F10</f>
        <v>1188780.99</v>
      </c>
      <c r="N13" s="358">
        <f>H13*L13*0.5</f>
        <v>802.42716825000014</v>
      </c>
      <c r="P13" s="358">
        <f>J13+N13</f>
        <v>10744.113408750001</v>
      </c>
      <c r="R13" s="358">
        <f>L13+F13</f>
        <v>8552993.0199999996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'201803 Bk Depr'!R14</f>
        <v>2264022.8800000004</v>
      </c>
      <c r="H14" s="1">
        <f>3.24%/12</f>
        <v>2.7000000000000006E-3</v>
      </c>
      <c r="J14" s="358">
        <f>F14*H14</f>
        <v>6112.8617760000025</v>
      </c>
      <c r="L14" s="359">
        <f>'Cap&amp;OpEx 2018'!F12</f>
        <v>215741.16999999998</v>
      </c>
      <c r="N14" s="358">
        <f>H14*L14*0.5</f>
        <v>291.25057950000001</v>
      </c>
      <c r="P14" s="358">
        <f>J14+N14</f>
        <v>6404.1123555000022</v>
      </c>
      <c r="R14" s="358">
        <f>L14+F14</f>
        <v>2479764.0500000003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'201803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2018'!F13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'201803 Bk Depr'!R16</f>
        <v>6100678.3099999996</v>
      </c>
      <c r="H16" s="1">
        <f t="shared" si="1"/>
        <v>2.7000000000000006E-3</v>
      </c>
      <c r="J16" s="358">
        <f>F16*H16</f>
        <v>16471.831437000001</v>
      </c>
      <c r="L16" s="360">
        <f>'Cap&amp;OpEx 2018'!F14</f>
        <v>1091876.04</v>
      </c>
      <c r="N16" s="358">
        <f>H16*L16*0.5</f>
        <v>1474.0326540000003</v>
      </c>
      <c r="P16" s="358">
        <f>J16+N16</f>
        <v>17945.864090999999</v>
      </c>
      <c r="R16" s="358">
        <f>L16+F16</f>
        <v>7192554.3499999996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22832760.949999999</v>
      </c>
      <c r="J17" s="356">
        <f>SUM(J13:J16)</f>
        <v>51706.768324500008</v>
      </c>
      <c r="L17" s="356">
        <f>SUM(L13:L16)</f>
        <v>2496398.2000000002</v>
      </c>
      <c r="N17" s="356">
        <f>SUM(N13:N16)</f>
        <v>2567.7104017500005</v>
      </c>
      <c r="P17" s="356">
        <f>SUM(P13:P16)</f>
        <v>54274.478726250003</v>
      </c>
      <c r="R17" s="356">
        <f>SUM(R13:R16)</f>
        <v>25329159.149999999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'201803 Bk Depr'!R20</f>
        <v>0</v>
      </c>
      <c r="H20" s="1">
        <f>1.62%/12</f>
        <v>1.3500000000000003E-3</v>
      </c>
      <c r="J20" s="358">
        <f>F20*H20</f>
        <v>0</v>
      </c>
      <c r="L20" s="359">
        <f>'Cap&amp;OpEx 2018'!F17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'201803 Bk Depr'!R21</f>
        <v>0</v>
      </c>
      <c r="H21" s="1">
        <f>3.24%/12</f>
        <v>2.7000000000000006E-3</v>
      </c>
      <c r="J21" s="358">
        <f>F21*H21</f>
        <v>0</v>
      </c>
      <c r="L21" s="359">
        <f>'Cap&amp;OpEx 2018'!F19</f>
        <v>0</v>
      </c>
      <c r="N21" s="358">
        <f>H21*L21*0.5</f>
        <v>0</v>
      </c>
      <c r="P21" s="358">
        <f>J21+N21</f>
        <v>0</v>
      </c>
      <c r="R21" s="358">
        <f t="shared" ref="R21" si="2">L21+F21</f>
        <v>0</v>
      </c>
    </row>
    <row r="22" spans="1:18">
      <c r="A22" s="6">
        <f t="shared" ref="A22:A23" si="3">A21+1</f>
        <v>8</v>
      </c>
      <c r="B22" s="4"/>
      <c r="C22" s="9" t="s">
        <v>63</v>
      </c>
      <c r="D22" s="6">
        <v>380</v>
      </c>
      <c r="F22" s="355">
        <f>'201803 Bk Depr'!R22</f>
        <v>0</v>
      </c>
      <c r="H22" s="1">
        <f>3.24%/12</f>
        <v>2.7000000000000006E-3</v>
      </c>
      <c r="J22" s="358">
        <f>F22*H22</f>
        <v>0</v>
      </c>
      <c r="L22" s="360">
        <f>'Cap&amp;OpEx 2018'!F20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3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22832760.949999999</v>
      </c>
      <c r="J25" s="357">
        <f>J17+J23</f>
        <v>51706.768324500008</v>
      </c>
      <c r="L25" s="357">
        <f>L17+L23</f>
        <v>2496398.2000000002</v>
      </c>
      <c r="N25" s="357">
        <f>N17+N23</f>
        <v>2567.7104017500005</v>
      </c>
      <c r="P25" s="357">
        <f>P17+P23</f>
        <v>54274.478726250003</v>
      </c>
      <c r="R25" s="357">
        <f>R17+R23</f>
        <v>25329159.149999999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'201803 Bk Depr'!R28</f>
        <v>1456620.7</v>
      </c>
      <c r="J28" s="358"/>
      <c r="L28" s="359">
        <f>'Cap&amp;OpEx 2018'!F25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'201803 Bk Depr'!R29</f>
        <v>326606.10000000003</v>
      </c>
      <c r="J29" s="358"/>
      <c r="L29" s="359">
        <f>'Cap&amp;OpEx 2018'!F27</f>
        <v>44778.83</v>
      </c>
      <c r="N29" s="358"/>
      <c r="P29" s="358"/>
      <c r="R29" s="358">
        <f>L29+F29</f>
        <v>371384.93000000005</v>
      </c>
    </row>
    <row r="30" spans="1:18">
      <c r="A30" s="6">
        <f t="shared" ref="A30:A31" si="4">A29+1</f>
        <v>13</v>
      </c>
      <c r="B30" s="4"/>
      <c r="C30" s="9" t="s">
        <v>63</v>
      </c>
      <c r="D30" s="6">
        <v>380</v>
      </c>
      <c r="F30" s="355">
        <f>'201803 Bk Depr'!R30</f>
        <v>0</v>
      </c>
      <c r="J30" s="358"/>
      <c r="L30" s="360">
        <f>'Cap&amp;OpEx 2018'!F28</f>
        <v>0</v>
      </c>
      <c r="N30" s="358"/>
      <c r="P30" s="358"/>
      <c r="R30" s="358">
        <f>L30+F30</f>
        <v>0</v>
      </c>
    </row>
    <row r="31" spans="1:18">
      <c r="A31" s="6">
        <f t="shared" si="4"/>
        <v>14</v>
      </c>
      <c r="B31" s="4"/>
      <c r="C31" s="4" t="s">
        <v>23</v>
      </c>
      <c r="F31" s="356">
        <f>SUM(F28:F30)</f>
        <v>1783226.8</v>
      </c>
      <c r="J31" s="356">
        <f>SUM(J28:J30)</f>
        <v>0</v>
      </c>
      <c r="L31" s="356">
        <f>SUM(L28:L30)</f>
        <v>44778.83</v>
      </c>
      <c r="N31" s="356">
        <f>SUM(N28:N30)</f>
        <v>0</v>
      </c>
      <c r="P31" s="356">
        <f>SUM(P28:P30)</f>
        <v>0</v>
      </c>
      <c r="R31" s="356">
        <f>SUM(R28:R30)</f>
        <v>1828005.63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290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88</v>
      </c>
      <c r="G6" s="12"/>
      <c r="H6" s="12"/>
      <c r="I6" s="12"/>
      <c r="J6" s="12" t="s">
        <v>88</v>
      </c>
      <c r="K6" s="12"/>
      <c r="L6" s="12" t="s">
        <v>88</v>
      </c>
      <c r="M6" s="12"/>
      <c r="N6" s="12"/>
      <c r="O6" s="12"/>
      <c r="P6" s="12"/>
      <c r="Q6" s="12"/>
      <c r="R6" s="12" t="s">
        <v>88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'201804 Bk Depr'!R13</f>
        <v>8552993.0199999996</v>
      </c>
      <c r="H13" s="1">
        <f>1.62%/12</f>
        <v>1.3500000000000003E-3</v>
      </c>
      <c r="J13" s="358">
        <f>F13*H13</f>
        <v>11546.540577000002</v>
      </c>
      <c r="L13" s="359">
        <f>'Cap&amp;OpEx 2018'!G10</f>
        <v>1190992.1100000001</v>
      </c>
      <c r="N13" s="358">
        <f>H13*L13*0.5</f>
        <v>803.91967425000018</v>
      </c>
      <c r="P13" s="358">
        <f>J13+N13</f>
        <v>12350.460251250002</v>
      </c>
      <c r="R13" s="358">
        <f>L13+F13</f>
        <v>9743985.129999999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'201804 Bk Depr'!R14</f>
        <v>2479764.0500000003</v>
      </c>
      <c r="H14" s="1">
        <f>3.24%/12</f>
        <v>2.7000000000000006E-3</v>
      </c>
      <c r="J14" s="358">
        <f>F14*H14</f>
        <v>6695.3629350000019</v>
      </c>
      <c r="L14" s="359">
        <f>'Cap&amp;OpEx 2018'!G12</f>
        <v>258307.23</v>
      </c>
      <c r="N14" s="358">
        <f>H14*L14*0.5</f>
        <v>348.71476050000007</v>
      </c>
      <c r="P14" s="358">
        <f>J14+N14</f>
        <v>7044.0776955000019</v>
      </c>
      <c r="R14" s="358">
        <f>L14+F14</f>
        <v>2738071.2800000003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'201804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2018'!G13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'201804 Bk Depr'!R16</f>
        <v>7192554.3499999996</v>
      </c>
      <c r="H16" s="1">
        <f t="shared" si="1"/>
        <v>2.7000000000000006E-3</v>
      </c>
      <c r="J16" s="358">
        <f>F16*H16</f>
        <v>19419.896745000002</v>
      </c>
      <c r="L16" s="360">
        <f>'Cap&amp;OpEx 2018'!G14</f>
        <v>1317767.3800000001</v>
      </c>
      <c r="N16" s="358">
        <f>H16*L16*0.5</f>
        <v>1778.9859630000005</v>
      </c>
      <c r="P16" s="358">
        <f>J16+N16</f>
        <v>21198.882708000001</v>
      </c>
      <c r="R16" s="358">
        <f>L16+F16</f>
        <v>8510321.7300000004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25329159.149999999</v>
      </c>
      <c r="J17" s="356">
        <f>SUM(J13:J16)</f>
        <v>56842.189128000013</v>
      </c>
      <c r="L17" s="356">
        <f>SUM(L13:L16)</f>
        <v>2767066.72</v>
      </c>
      <c r="N17" s="356">
        <f>SUM(N13:N16)</f>
        <v>2931.6203977500008</v>
      </c>
      <c r="P17" s="356">
        <f>SUM(P13:P16)</f>
        <v>59773.80952575001</v>
      </c>
      <c r="R17" s="356">
        <f>SUM(R13:R16)</f>
        <v>28096225.870000001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'201804 Bk Depr'!R20</f>
        <v>0</v>
      </c>
      <c r="H20" s="1">
        <f>1.62%/12</f>
        <v>1.3500000000000003E-3</v>
      </c>
      <c r="J20" s="358">
        <f>F20*H20</f>
        <v>0</v>
      </c>
      <c r="L20" s="359">
        <f>'Cap&amp;OpEx 2018'!G17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'201804 Bk Depr'!R21</f>
        <v>0</v>
      </c>
      <c r="H21" s="1">
        <f>3.24%/12</f>
        <v>2.7000000000000006E-3</v>
      </c>
      <c r="J21" s="358">
        <f>F21*H21</f>
        <v>0</v>
      </c>
      <c r="L21" s="359">
        <f>'Cap&amp;OpEx 2018'!G19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'201804 Bk Depr'!R22</f>
        <v>0</v>
      </c>
      <c r="H22" s="1">
        <f>3.24%/12</f>
        <v>2.7000000000000006E-3</v>
      </c>
      <c r="J22" s="358">
        <f>F22*H22</f>
        <v>0</v>
      </c>
      <c r="L22" s="360">
        <f>'Cap&amp;OpEx 2018'!G20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25329159.149999999</v>
      </c>
      <c r="J25" s="357">
        <f>J17+J23</f>
        <v>56842.189128000013</v>
      </c>
      <c r="L25" s="357">
        <f>L17+L23</f>
        <v>2767066.72</v>
      </c>
      <c r="N25" s="357">
        <f>N17+N23</f>
        <v>2931.6203977500008</v>
      </c>
      <c r="P25" s="357">
        <f>P17+P23</f>
        <v>59773.80952575001</v>
      </c>
      <c r="R25" s="357">
        <f>R17+R23</f>
        <v>28096225.870000001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'201804 Bk Depr'!R28</f>
        <v>1456620.7</v>
      </c>
      <c r="J28" s="358"/>
      <c r="L28" s="359">
        <f>'Cap&amp;OpEx 2018'!G25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'201804 Bk Depr'!R29</f>
        <v>371384.93000000005</v>
      </c>
      <c r="J29" s="358"/>
      <c r="L29" s="359">
        <f>'Cap&amp;OpEx 2018'!G27</f>
        <v>48830.07</v>
      </c>
      <c r="N29" s="358"/>
      <c r="P29" s="358"/>
      <c r="R29" s="358">
        <f>L29+F29</f>
        <v>420215.00000000006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'201804 Bk Depr'!R30</f>
        <v>0</v>
      </c>
      <c r="J30" s="358"/>
      <c r="L30" s="360">
        <f>'Cap&amp;OpEx 2018'!G28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1828005.63</v>
      </c>
      <c r="J31" s="356">
        <f>SUM(J28:J30)</f>
        <v>0</v>
      </c>
      <c r="L31" s="356">
        <f>SUM(L28:L30)</f>
        <v>48830.07</v>
      </c>
      <c r="N31" s="356">
        <f>SUM(N28:N30)</f>
        <v>0</v>
      </c>
      <c r="P31" s="356">
        <f>SUM(P28:P30)</f>
        <v>0</v>
      </c>
      <c r="R31" s="356">
        <f>SUM(R28:R30)</f>
        <v>1876835.7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291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'201805 Bk Depr'!R13</f>
        <v>9743985.129999999</v>
      </c>
      <c r="H13" s="1">
        <f>1.62%/12</f>
        <v>1.3500000000000003E-3</v>
      </c>
      <c r="J13" s="358">
        <f>F13*H13</f>
        <v>13154.379925500001</v>
      </c>
      <c r="L13" s="359">
        <f>'Cap&amp;OpEx 2018'!H10</f>
        <v>1186191.51</v>
      </c>
      <c r="N13" s="358">
        <f>H13*L13*0.5</f>
        <v>800.67926925000017</v>
      </c>
      <c r="P13" s="358">
        <f>J13+N13</f>
        <v>13955.059194750002</v>
      </c>
      <c r="R13" s="358">
        <f>L13+F13</f>
        <v>10930176.639999999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'201805 Bk Depr'!R14</f>
        <v>2738071.2800000003</v>
      </c>
      <c r="H14" s="1">
        <f>3.24%/12</f>
        <v>2.7000000000000006E-3</v>
      </c>
      <c r="J14" s="358">
        <f>F14*H14</f>
        <v>7392.7924560000019</v>
      </c>
      <c r="L14" s="359">
        <f>'Cap&amp;OpEx 2018'!H12</f>
        <v>203233.56</v>
      </c>
      <c r="N14" s="358">
        <f>H14*L14*0.5</f>
        <v>274.36530600000003</v>
      </c>
      <c r="P14" s="358">
        <f>J14+N14</f>
        <v>7667.1577620000016</v>
      </c>
      <c r="R14" s="358">
        <f>L14+F14</f>
        <v>2941304.8400000003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'201805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2018'!H13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'201805 Bk Depr'!R16</f>
        <v>8510321.7300000004</v>
      </c>
      <c r="H16" s="1">
        <f t="shared" si="1"/>
        <v>2.7000000000000006E-3</v>
      </c>
      <c r="J16" s="358">
        <f>F16*H16</f>
        <v>22977.868671000007</v>
      </c>
      <c r="L16" s="360">
        <f>'Cap&amp;OpEx 2018'!H14</f>
        <v>1756095.2599999998</v>
      </c>
      <c r="N16" s="358">
        <f>H16*L16*0.5</f>
        <v>2370.7286010000003</v>
      </c>
      <c r="P16" s="358">
        <f>J16+N16</f>
        <v>25348.597272000006</v>
      </c>
      <c r="R16" s="358">
        <f>L16+F16</f>
        <v>10266416.99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28096225.870000001</v>
      </c>
      <c r="J17" s="356">
        <f>SUM(J13:J16)</f>
        <v>62705.429923500022</v>
      </c>
      <c r="L17" s="356">
        <f>SUM(L13:L16)</f>
        <v>3145520.33</v>
      </c>
      <c r="N17" s="356">
        <f>SUM(N13:N16)</f>
        <v>3445.7731762500007</v>
      </c>
      <c r="P17" s="356">
        <f>SUM(P13:P16)</f>
        <v>66151.203099750011</v>
      </c>
      <c r="R17" s="356">
        <f>SUM(R13:R16)</f>
        <v>31241746.200000003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'201805 Bk Depr'!R20</f>
        <v>0</v>
      </c>
      <c r="H20" s="1">
        <f>1.62%/12</f>
        <v>1.3500000000000003E-3</v>
      </c>
      <c r="J20" s="358">
        <f>F20*H20</f>
        <v>0</v>
      </c>
      <c r="L20" s="359">
        <f>'Cap&amp;OpEx 2018'!H17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'201805 Bk Depr'!R21</f>
        <v>0</v>
      </c>
      <c r="H21" s="1">
        <f>3.24%/12</f>
        <v>2.7000000000000006E-3</v>
      </c>
      <c r="J21" s="358">
        <f>F21*H21</f>
        <v>0</v>
      </c>
      <c r="L21" s="359">
        <f>'Cap&amp;OpEx 2018'!H19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'201805 Bk Depr'!R22</f>
        <v>0</v>
      </c>
      <c r="H22" s="1">
        <f>3.24%/12</f>
        <v>2.7000000000000006E-3</v>
      </c>
      <c r="J22" s="358">
        <f>F22*H22</f>
        <v>0</v>
      </c>
      <c r="L22" s="360">
        <f>'Cap&amp;OpEx 2018'!H20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28096225.870000001</v>
      </c>
      <c r="J25" s="357">
        <f>J17+J23</f>
        <v>62705.429923500022</v>
      </c>
      <c r="L25" s="357">
        <f>L17+L23</f>
        <v>3145520.33</v>
      </c>
      <c r="N25" s="357">
        <f>N17+N23</f>
        <v>3445.7731762500007</v>
      </c>
      <c r="P25" s="357">
        <f>P17+P23</f>
        <v>66151.203099750011</v>
      </c>
      <c r="R25" s="357">
        <f>R17+R23</f>
        <v>31241746.200000003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'201805 Bk Depr'!R28</f>
        <v>1456620.7</v>
      </c>
      <c r="J28" s="358"/>
      <c r="L28" s="359">
        <f>'Cap&amp;OpEx 2018'!H25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'201805 Bk Depr'!R29</f>
        <v>420215.00000000006</v>
      </c>
      <c r="J29" s="358"/>
      <c r="L29" s="359">
        <f>'Cap&amp;OpEx 2018'!H27</f>
        <v>45124.59</v>
      </c>
      <c r="N29" s="358"/>
      <c r="P29" s="358"/>
      <c r="R29" s="358">
        <f>L29+F29</f>
        <v>465339.59000000008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'201805 Bk Depr'!R30</f>
        <v>0</v>
      </c>
      <c r="J30" s="358"/>
      <c r="L30" s="360">
        <f>'Cap&amp;OpEx 2018'!H28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1876835.7</v>
      </c>
      <c r="J31" s="356">
        <f>SUM(J28:J30)</f>
        <v>0</v>
      </c>
      <c r="L31" s="356">
        <f>SUM(L28:L30)</f>
        <v>45124.59</v>
      </c>
      <c r="N31" s="356">
        <f>SUM(N28:N30)</f>
        <v>0</v>
      </c>
      <c r="P31" s="356">
        <f>SUM(P28:P30)</f>
        <v>0</v>
      </c>
      <c r="R31" s="356">
        <f>SUM(R28:R30)</f>
        <v>1921960.29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292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'201806 Bk Depr'!R13</f>
        <v>10930176.639999999</v>
      </c>
      <c r="H13" s="1">
        <f>1.62%/12</f>
        <v>1.3500000000000003E-3</v>
      </c>
      <c r="J13" s="358">
        <f>F13*H13</f>
        <v>14755.738464000002</v>
      </c>
      <c r="L13" s="359">
        <f>'Cap&amp;OpEx 2018'!I10</f>
        <v>1084441.95</v>
      </c>
      <c r="N13" s="358">
        <f>H13*L13*0.5</f>
        <v>731.99831625000013</v>
      </c>
      <c r="P13" s="358">
        <f>J13+N13</f>
        <v>15487.736780250001</v>
      </c>
      <c r="R13" s="358">
        <f>L13+F13</f>
        <v>12014618.589999998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'201806 Bk Depr'!R14</f>
        <v>2941304.8400000003</v>
      </c>
      <c r="H14" s="1">
        <f>3.24%/12</f>
        <v>2.7000000000000006E-3</v>
      </c>
      <c r="J14" s="358">
        <f>F14*H14</f>
        <v>7941.5230680000022</v>
      </c>
      <c r="L14" s="359">
        <f>'Cap&amp;OpEx 2018'!I12</f>
        <v>212142.14</v>
      </c>
      <c r="N14" s="358">
        <f>H14*L14*0.5</f>
        <v>286.39188900000011</v>
      </c>
      <c r="P14" s="358">
        <f>J14+N14</f>
        <v>8227.9149570000027</v>
      </c>
      <c r="R14" s="358">
        <f>L14+F14</f>
        <v>3153446.9800000004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'201806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2018'!I13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'201806 Bk Depr'!R16</f>
        <v>10266416.99</v>
      </c>
      <c r="H16" s="1">
        <f t="shared" si="1"/>
        <v>2.7000000000000006E-3</v>
      </c>
      <c r="J16" s="358">
        <f>F16*H16</f>
        <v>27719.325873000005</v>
      </c>
      <c r="L16" s="360">
        <f>'Cap&amp;OpEx 2018'!I14</f>
        <v>1805002.32</v>
      </c>
      <c r="N16" s="358">
        <f>H16*L16*0.5</f>
        <v>2436.7531320000007</v>
      </c>
      <c r="P16" s="358">
        <f>J16+N16</f>
        <v>30156.079005000007</v>
      </c>
      <c r="R16" s="358">
        <f>L16+F16</f>
        <v>12071419.310000001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31241746.200000003</v>
      </c>
      <c r="J17" s="356">
        <f>SUM(J13:J16)</f>
        <v>69596.976276000016</v>
      </c>
      <c r="L17" s="356">
        <f>SUM(L13:L16)</f>
        <v>3101586.41</v>
      </c>
      <c r="N17" s="356">
        <f>SUM(N13:N16)</f>
        <v>3455.143337250001</v>
      </c>
      <c r="P17" s="356">
        <f>SUM(P13:P16)</f>
        <v>73052.119613250019</v>
      </c>
      <c r="R17" s="356">
        <f>SUM(R13:R16)</f>
        <v>34343332.609999999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'201806 Bk Depr'!R20</f>
        <v>0</v>
      </c>
      <c r="H20" s="1">
        <f>1.62%/12</f>
        <v>1.3500000000000003E-3</v>
      </c>
      <c r="J20" s="358">
        <f>F20*H20</f>
        <v>0</v>
      </c>
      <c r="L20" s="359">
        <f>'Cap&amp;OpEx 2018'!I17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'201806 Bk Depr'!R21</f>
        <v>0</v>
      </c>
      <c r="H21" s="1">
        <f>3.24%/12</f>
        <v>2.7000000000000006E-3</v>
      </c>
      <c r="J21" s="358">
        <f>F21*H21</f>
        <v>0</v>
      </c>
      <c r="L21" s="359">
        <f>'Cap&amp;OpEx 2018'!I19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'201806 Bk Depr'!R22</f>
        <v>0</v>
      </c>
      <c r="H22" s="1">
        <f>3.24%/12</f>
        <v>2.7000000000000006E-3</v>
      </c>
      <c r="J22" s="358">
        <f>F22*H22</f>
        <v>0</v>
      </c>
      <c r="L22" s="360">
        <f>'Cap&amp;OpEx 2018'!I20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31241746.200000003</v>
      </c>
      <c r="J25" s="357">
        <f>J17+J23</f>
        <v>69596.976276000016</v>
      </c>
      <c r="L25" s="357">
        <f>L17+L23</f>
        <v>3101586.41</v>
      </c>
      <c r="N25" s="357">
        <f>N17+N23</f>
        <v>3455.143337250001</v>
      </c>
      <c r="P25" s="357">
        <f>P17+P23</f>
        <v>73052.119613250019</v>
      </c>
      <c r="R25" s="357">
        <f>R17+R23</f>
        <v>34343332.609999999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'201806 Bk Depr'!R28</f>
        <v>1456620.7</v>
      </c>
      <c r="J28" s="358"/>
      <c r="L28" s="359">
        <f>'Cap&amp;OpEx 2018'!I25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'201806 Bk Depr'!R29</f>
        <v>465339.59000000008</v>
      </c>
      <c r="J29" s="358"/>
      <c r="L29" s="359">
        <f>'Cap&amp;OpEx 2018'!I27</f>
        <v>46511.94</v>
      </c>
      <c r="N29" s="358"/>
      <c r="P29" s="358"/>
      <c r="R29" s="358">
        <f>L29+F29</f>
        <v>511851.53000000009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'201806 Bk Depr'!R30</f>
        <v>0</v>
      </c>
      <c r="J30" s="358"/>
      <c r="L30" s="360">
        <f>'Cap&amp;OpEx 2018'!I28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1921960.29</v>
      </c>
      <c r="J31" s="356">
        <f>SUM(J28:J30)</f>
        <v>0</v>
      </c>
      <c r="L31" s="356">
        <f>SUM(L28:L30)</f>
        <v>46511.94</v>
      </c>
      <c r="N31" s="356">
        <f>SUM(N28:N30)</f>
        <v>0</v>
      </c>
      <c r="P31" s="356">
        <f>SUM(P28:P30)</f>
        <v>0</v>
      </c>
      <c r="R31" s="356">
        <f>SUM(R28:R30)</f>
        <v>1968472.23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2.75"/>
  <cols>
    <col min="1" max="16384" width="9.140625" style="250"/>
  </cols>
  <sheetData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293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'201807 Bk Depr'!R13</f>
        <v>12014618.589999998</v>
      </c>
      <c r="H13" s="1">
        <f>1.62%/12</f>
        <v>1.3500000000000003E-3</v>
      </c>
      <c r="J13" s="358">
        <f>F13*H13</f>
        <v>16219.735096500001</v>
      </c>
      <c r="L13" s="359">
        <f>'Cap&amp;OpEx 2018'!J10</f>
        <v>1100514.97</v>
      </c>
      <c r="N13" s="358">
        <f>H13*L13*0.5</f>
        <v>742.84760475000019</v>
      </c>
      <c r="P13" s="358">
        <f>J13+N13</f>
        <v>16962.582701250001</v>
      </c>
      <c r="R13" s="358">
        <f>L13+F13</f>
        <v>13115133.559999999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'201807 Bk Depr'!R14</f>
        <v>3153446.9800000004</v>
      </c>
      <c r="H14" s="1">
        <f>3.24%/12</f>
        <v>2.7000000000000006E-3</v>
      </c>
      <c r="J14" s="358">
        <f>F14*H14</f>
        <v>8514.3068460000031</v>
      </c>
      <c r="L14" s="359">
        <f>'Cap&amp;OpEx 2018'!J12</f>
        <v>244825.08</v>
      </c>
      <c r="N14" s="358">
        <f>H14*L14*0.5</f>
        <v>330.51385800000003</v>
      </c>
      <c r="P14" s="358">
        <f>J14+N14</f>
        <v>8844.8207040000034</v>
      </c>
      <c r="R14" s="358">
        <f>L14+F14</f>
        <v>3398272.0600000005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'201807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2018'!J13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'201807 Bk Depr'!R16</f>
        <v>12071419.310000001</v>
      </c>
      <c r="H16" s="1">
        <f t="shared" si="1"/>
        <v>2.7000000000000006E-3</v>
      </c>
      <c r="J16" s="358">
        <f>F16*H16</f>
        <v>32592.832137000009</v>
      </c>
      <c r="L16" s="360">
        <f>'Cap&amp;OpEx 2018'!J14</f>
        <v>1922111.88</v>
      </c>
      <c r="N16" s="358">
        <f>H16*L16*0.5</f>
        <v>2594.8510380000002</v>
      </c>
      <c r="P16" s="358">
        <f>J16+N16</f>
        <v>35187.683175000006</v>
      </c>
      <c r="R16" s="358">
        <f>L16+F16</f>
        <v>13993531.190000001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34343332.609999999</v>
      </c>
      <c r="J17" s="356">
        <f>SUM(J13:J16)</f>
        <v>76507.262950500022</v>
      </c>
      <c r="L17" s="356">
        <f>SUM(L13:L16)</f>
        <v>3267451.9299999997</v>
      </c>
      <c r="N17" s="356">
        <f>SUM(N13:N16)</f>
        <v>3668.2125007500003</v>
      </c>
      <c r="P17" s="356">
        <f>SUM(P13:P16)</f>
        <v>80175.475451250008</v>
      </c>
      <c r="R17" s="356">
        <f>SUM(R13:R16)</f>
        <v>37610784.540000007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'201807 Bk Depr'!R20</f>
        <v>0</v>
      </c>
      <c r="H20" s="1">
        <f>1.62%/12</f>
        <v>1.3500000000000003E-3</v>
      </c>
      <c r="J20" s="358">
        <f>F20*H20</f>
        <v>0</v>
      </c>
      <c r="L20" s="359">
        <f>'Cap&amp;OpEx 2018'!J17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'201807 Bk Depr'!R21</f>
        <v>0</v>
      </c>
      <c r="H21" s="1">
        <f>3.24%/12</f>
        <v>2.7000000000000006E-3</v>
      </c>
      <c r="J21" s="358">
        <f>F21*H21</f>
        <v>0</v>
      </c>
      <c r="L21" s="359">
        <f>'Cap&amp;OpEx 2018'!J19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'201807 Bk Depr'!R22</f>
        <v>0</v>
      </c>
      <c r="H22" s="1">
        <f>3.24%/12</f>
        <v>2.7000000000000006E-3</v>
      </c>
      <c r="J22" s="358">
        <f>F22*H22</f>
        <v>0</v>
      </c>
      <c r="L22" s="360">
        <f>'Cap&amp;OpEx 2018'!J20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34343332.609999999</v>
      </c>
      <c r="J25" s="357">
        <f>J17+J23</f>
        <v>76507.262950500022</v>
      </c>
      <c r="L25" s="357">
        <f>L17+L23</f>
        <v>3267451.9299999997</v>
      </c>
      <c r="N25" s="357">
        <f>N17+N23</f>
        <v>3668.2125007500003</v>
      </c>
      <c r="P25" s="357">
        <f>P17+P23</f>
        <v>80175.475451250008</v>
      </c>
      <c r="R25" s="357">
        <f>R17+R23</f>
        <v>37610784.540000007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'201807 Bk Depr'!R28</f>
        <v>1456620.7</v>
      </c>
      <c r="J28" s="358"/>
      <c r="L28" s="359">
        <f>'Cap&amp;OpEx 2018'!J25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'201807 Bk Depr'!R29</f>
        <v>511851.53000000009</v>
      </c>
      <c r="J29" s="358"/>
      <c r="L29" s="359">
        <f>'Cap&amp;OpEx 2018'!J27</f>
        <v>50113.919999999998</v>
      </c>
      <c r="N29" s="358"/>
      <c r="P29" s="358"/>
      <c r="R29" s="358">
        <f>L29+F29</f>
        <v>561965.45000000007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'201807 Bk Depr'!R30</f>
        <v>0</v>
      </c>
      <c r="J30" s="358"/>
      <c r="L30" s="360">
        <f>'Cap&amp;OpEx 2018'!J28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1968472.23</v>
      </c>
      <c r="J31" s="356">
        <f>SUM(J28:J30)</f>
        <v>0</v>
      </c>
      <c r="L31" s="356">
        <f>SUM(L28:L30)</f>
        <v>50113.919999999998</v>
      </c>
      <c r="N31" s="356">
        <f>SUM(N28:N30)</f>
        <v>0</v>
      </c>
      <c r="P31" s="356">
        <f>SUM(P28:P30)</f>
        <v>0</v>
      </c>
      <c r="R31" s="356">
        <f>SUM(R28:R30)</f>
        <v>2018586.15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294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'201808 Bk Depr'!R13</f>
        <v>13115133.559999999</v>
      </c>
      <c r="H13" s="1">
        <f>1.62%/12</f>
        <v>1.3500000000000003E-3</v>
      </c>
      <c r="J13" s="358">
        <f>F13*H13</f>
        <v>17705.430306000002</v>
      </c>
      <c r="L13" s="359">
        <f>'Cap&amp;OpEx 2018'!K10</f>
        <v>1038073.44</v>
      </c>
      <c r="N13" s="358">
        <f>H13*L13*0.5</f>
        <v>700.6995720000001</v>
      </c>
      <c r="P13" s="358">
        <f>J13+N13</f>
        <v>18406.129878000003</v>
      </c>
      <c r="R13" s="358">
        <f>L13+F13</f>
        <v>14153206.999999998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'201808 Bk Depr'!R14</f>
        <v>3398272.0600000005</v>
      </c>
      <c r="H14" s="1">
        <f>3.24%/12</f>
        <v>2.7000000000000006E-3</v>
      </c>
      <c r="J14" s="358">
        <f>F14*H14</f>
        <v>9175.3345620000036</v>
      </c>
      <c r="L14" s="359">
        <f>'Cap&amp;OpEx 2018'!K12</f>
        <v>203809.94</v>
      </c>
      <c r="N14" s="358">
        <f>H14*L14*0.5</f>
        <v>275.14341900000005</v>
      </c>
      <c r="P14" s="358">
        <f>J14+N14</f>
        <v>9450.4779810000036</v>
      </c>
      <c r="R14" s="358">
        <f>L14+F14</f>
        <v>3602082.0000000005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'201808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2018'!K13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'201808 Bk Depr'!R16</f>
        <v>13993531.190000001</v>
      </c>
      <c r="H16" s="1">
        <f t="shared" si="1"/>
        <v>2.7000000000000006E-3</v>
      </c>
      <c r="J16" s="358">
        <f>F16*H16</f>
        <v>37782.534213000014</v>
      </c>
      <c r="L16" s="360">
        <f>'Cap&amp;OpEx 2018'!K14</f>
        <v>1794182.35</v>
      </c>
      <c r="N16" s="358">
        <f>H16*L16*0.5</f>
        <v>2422.1461725000008</v>
      </c>
      <c r="P16" s="358">
        <f>J16+N16</f>
        <v>40204.680385500018</v>
      </c>
      <c r="R16" s="358">
        <f>L16+F16</f>
        <v>15787713.540000001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37610784.540000007</v>
      </c>
      <c r="J17" s="356">
        <f>SUM(J13:J16)</f>
        <v>83843.687952000037</v>
      </c>
      <c r="L17" s="356">
        <f>SUM(L13:L16)</f>
        <v>3036065.73</v>
      </c>
      <c r="N17" s="356">
        <f>SUM(N13:N16)</f>
        <v>3397.9891635000013</v>
      </c>
      <c r="P17" s="356">
        <f>SUM(P13:P16)</f>
        <v>87241.677115500032</v>
      </c>
      <c r="R17" s="356">
        <f>SUM(R13:R16)</f>
        <v>40646850.270000003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'201808 Bk Depr'!R20</f>
        <v>0</v>
      </c>
      <c r="H20" s="1">
        <f>1.62%/12</f>
        <v>1.3500000000000003E-3</v>
      </c>
      <c r="J20" s="358">
        <f>F20*H20</f>
        <v>0</v>
      </c>
      <c r="L20" s="359">
        <f>'Cap&amp;OpEx 2018'!K17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'201808 Bk Depr'!R21</f>
        <v>0</v>
      </c>
      <c r="H21" s="1">
        <f>3.24%/12</f>
        <v>2.7000000000000006E-3</v>
      </c>
      <c r="J21" s="358">
        <f>F21*H21</f>
        <v>0</v>
      </c>
      <c r="L21" s="359">
        <f>'Cap&amp;OpEx 2018'!K19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'201808 Bk Depr'!R22</f>
        <v>0</v>
      </c>
      <c r="H22" s="1">
        <f>3.24%/12</f>
        <v>2.7000000000000006E-3</v>
      </c>
      <c r="J22" s="358">
        <f>F22*H22</f>
        <v>0</v>
      </c>
      <c r="L22" s="360">
        <f>'Cap&amp;OpEx 2018'!K20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37610784.540000007</v>
      </c>
      <c r="J25" s="357">
        <f>J17+J23</f>
        <v>83843.687952000037</v>
      </c>
      <c r="L25" s="357">
        <f>L17+L23</f>
        <v>3036065.73</v>
      </c>
      <c r="N25" s="357">
        <f>N17+N23</f>
        <v>3397.9891635000013</v>
      </c>
      <c r="P25" s="357">
        <f>P17+P23</f>
        <v>87241.677115500032</v>
      </c>
      <c r="R25" s="357">
        <f>R17+R23</f>
        <v>40646850.270000003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'201808 Bk Depr'!R28</f>
        <v>1456620.7</v>
      </c>
      <c r="J28" s="358"/>
      <c r="L28" s="359">
        <f>'Cap&amp;OpEx 2018'!K25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'201808 Bk Depr'!R29</f>
        <v>561965.45000000007</v>
      </c>
      <c r="J29" s="358"/>
      <c r="L29" s="359">
        <f>'Cap&amp;OpEx 2018'!K27</f>
        <v>45083.14</v>
      </c>
      <c r="N29" s="358"/>
      <c r="P29" s="358"/>
      <c r="R29" s="358">
        <f>L29+F29</f>
        <v>607048.59000000008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'201808 Bk Depr'!R30</f>
        <v>0</v>
      </c>
      <c r="J30" s="358"/>
      <c r="L30" s="360">
        <f>'Cap&amp;OpEx 2018'!K28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2018586.15</v>
      </c>
      <c r="J31" s="356">
        <f>SUM(J28:J30)</f>
        <v>0</v>
      </c>
      <c r="L31" s="356">
        <f>SUM(L28:L30)</f>
        <v>45083.14</v>
      </c>
      <c r="N31" s="356">
        <f>SUM(N28:N30)</f>
        <v>0</v>
      </c>
      <c r="P31" s="356">
        <f>SUM(P28:P30)</f>
        <v>0</v>
      </c>
      <c r="R31" s="356">
        <f>SUM(R28:R30)</f>
        <v>2063669.29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295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'201809 Bk Depr'!R13</f>
        <v>14153206.999999998</v>
      </c>
      <c r="H13" s="1">
        <f>1.62%/12</f>
        <v>1.3500000000000003E-3</v>
      </c>
      <c r="J13" s="358">
        <f>F13*H13</f>
        <v>19106.829450000001</v>
      </c>
      <c r="L13" s="359">
        <f>'Cap&amp;OpEx 2018'!L10</f>
        <v>1051356.06</v>
      </c>
      <c r="N13" s="358">
        <f>H13*L13*0.5</f>
        <v>709.66534050000018</v>
      </c>
      <c r="P13" s="358">
        <f>J13+N13</f>
        <v>19816.494790500001</v>
      </c>
      <c r="R13" s="358">
        <f>L13+F13</f>
        <v>15204563.059999999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'201809 Bk Depr'!R14</f>
        <v>3602082.0000000005</v>
      </c>
      <c r="H14" s="1">
        <f>3.24%/12</f>
        <v>2.7000000000000006E-3</v>
      </c>
      <c r="J14" s="358">
        <f>F14*H14</f>
        <v>9725.6214000000036</v>
      </c>
      <c r="L14" s="359">
        <f>'Cap&amp;OpEx 2018'!L12</f>
        <v>253415.2</v>
      </c>
      <c r="N14" s="358">
        <f>H14*L14*0.5</f>
        <v>342.11052000000007</v>
      </c>
      <c r="P14" s="358">
        <f>J14+N14</f>
        <v>10067.731920000004</v>
      </c>
      <c r="R14" s="358">
        <f>L14+F14</f>
        <v>3855497.2000000007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'201809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2018'!L13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'201809 Bk Depr'!R16</f>
        <v>15787713.540000001</v>
      </c>
      <c r="H16" s="1">
        <f t="shared" si="1"/>
        <v>2.7000000000000006E-3</v>
      </c>
      <c r="J16" s="358">
        <f>F16*H16</f>
        <v>42626.826558000015</v>
      </c>
      <c r="L16" s="360">
        <f>'Cap&amp;OpEx 2018'!L14</f>
        <v>1842411.63</v>
      </c>
      <c r="N16" s="358">
        <f>H16*L16*0.5</f>
        <v>2487.2557005000003</v>
      </c>
      <c r="P16" s="358">
        <f>J16+N16</f>
        <v>45114.082258500013</v>
      </c>
      <c r="R16" s="358">
        <f>L16+F16</f>
        <v>17630125.170000002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40646850.270000003</v>
      </c>
      <c r="J17" s="356">
        <f>SUM(J13:J16)</f>
        <v>90639.666279000026</v>
      </c>
      <c r="L17" s="356">
        <f>SUM(L13:L16)</f>
        <v>3147182.8899999997</v>
      </c>
      <c r="N17" s="356">
        <f>SUM(N13:N16)</f>
        <v>3539.0315610000007</v>
      </c>
      <c r="P17" s="356">
        <f>SUM(P13:P16)</f>
        <v>94178.697840000023</v>
      </c>
      <c r="R17" s="356">
        <f>SUM(R13:R16)</f>
        <v>43794033.159999996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'201809 Bk Depr'!R20</f>
        <v>0</v>
      </c>
      <c r="H20" s="1">
        <f>1.62%/12</f>
        <v>1.3500000000000003E-3</v>
      </c>
      <c r="J20" s="358">
        <f>F20*H20</f>
        <v>0</v>
      </c>
      <c r="L20" s="359">
        <f>'Cap&amp;OpEx 2018'!L17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'201809 Bk Depr'!R21</f>
        <v>0</v>
      </c>
      <c r="H21" s="1">
        <f>3.24%/12</f>
        <v>2.7000000000000006E-3</v>
      </c>
      <c r="J21" s="358">
        <f>F21*H21</f>
        <v>0</v>
      </c>
      <c r="L21" s="359">
        <f>'Cap&amp;OpEx 2018'!L19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'201809 Bk Depr'!R22</f>
        <v>0</v>
      </c>
      <c r="H22" s="1">
        <f>3.24%/12</f>
        <v>2.7000000000000006E-3</v>
      </c>
      <c r="J22" s="358">
        <f>F22*H22</f>
        <v>0</v>
      </c>
      <c r="L22" s="360">
        <f>'Cap&amp;OpEx 2018'!L20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40646850.270000003</v>
      </c>
      <c r="J25" s="357">
        <f>J17+J23</f>
        <v>90639.666279000026</v>
      </c>
      <c r="L25" s="357">
        <f>L17+L23</f>
        <v>3147182.8899999997</v>
      </c>
      <c r="N25" s="357">
        <f>N17+N23</f>
        <v>3539.0315610000007</v>
      </c>
      <c r="P25" s="357">
        <f>P17+P23</f>
        <v>94178.697840000023</v>
      </c>
      <c r="R25" s="357">
        <f>R17+R23</f>
        <v>43794033.159999996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'201809 Bk Depr'!R28</f>
        <v>1456620.7</v>
      </c>
      <c r="J28" s="358"/>
      <c r="L28" s="359">
        <f>'Cap&amp;OpEx 2018'!L25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'201809 Bk Depr'!R29</f>
        <v>607048.59000000008</v>
      </c>
      <c r="J29" s="358"/>
      <c r="L29" s="359">
        <f>'Cap&amp;OpEx 2018'!L27</f>
        <v>49418.58</v>
      </c>
      <c r="N29" s="358"/>
      <c r="P29" s="358"/>
      <c r="R29" s="358">
        <f>L29+F29</f>
        <v>656467.17000000004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'201809 Bk Depr'!R30</f>
        <v>0</v>
      </c>
      <c r="J30" s="358"/>
      <c r="L30" s="360">
        <f>'Cap&amp;OpEx 2018'!L28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2063669.29</v>
      </c>
      <c r="J31" s="356">
        <f>SUM(J28:J30)</f>
        <v>0</v>
      </c>
      <c r="L31" s="356">
        <f>SUM(L28:L30)</f>
        <v>49418.58</v>
      </c>
      <c r="N31" s="356">
        <f>SUM(N28:N30)</f>
        <v>0</v>
      </c>
      <c r="P31" s="356">
        <f>SUM(P28:P30)</f>
        <v>0</v>
      </c>
      <c r="R31" s="356">
        <f>SUM(R28:R30)</f>
        <v>2113087.87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296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'201810 Bk Depr'!R13</f>
        <v>15204563.059999999</v>
      </c>
      <c r="H13" s="1">
        <f>1.62%/12</f>
        <v>1.3500000000000003E-3</v>
      </c>
      <c r="J13" s="358">
        <f>F13*H13</f>
        <v>20526.160131000004</v>
      </c>
      <c r="L13" s="359">
        <f>'Cap&amp;OpEx 2018'!M10</f>
        <v>986034.35</v>
      </c>
      <c r="N13" s="358">
        <f>H13*L13*0.5</f>
        <v>665.57318625000016</v>
      </c>
      <c r="P13" s="358">
        <f>J13+N13</f>
        <v>21191.733317250004</v>
      </c>
      <c r="R13" s="358">
        <f>L13+F13</f>
        <v>16190597.409999998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'201810 Bk Depr'!R14</f>
        <v>3855497.2000000007</v>
      </c>
      <c r="H14" s="1">
        <f>3.24%/12</f>
        <v>2.7000000000000006E-3</v>
      </c>
      <c r="J14" s="358">
        <f>F14*H14</f>
        <v>10409.842440000004</v>
      </c>
      <c r="L14" s="359">
        <f>'Cap&amp;OpEx 2018'!M12</f>
        <v>212351.47</v>
      </c>
      <c r="N14" s="358">
        <f>H14*L14*0.5</f>
        <v>286.67448450000006</v>
      </c>
      <c r="P14" s="358">
        <f>J14+N14</f>
        <v>10696.516924500003</v>
      </c>
      <c r="R14" s="358">
        <f>L14+F14</f>
        <v>4067848.6700000009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'201810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2018'!M13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'201810 Bk Depr'!R16</f>
        <v>17630125.170000002</v>
      </c>
      <c r="H16" s="1">
        <f t="shared" si="1"/>
        <v>2.7000000000000006E-3</v>
      </c>
      <c r="J16" s="358">
        <f>F16*H16</f>
        <v>47601.337959000019</v>
      </c>
      <c r="L16" s="360">
        <f>'Cap&amp;OpEx 2018'!M14</f>
        <v>1083747.3400000001</v>
      </c>
      <c r="N16" s="358">
        <f>H16*L16*0.5</f>
        <v>1463.0589090000003</v>
      </c>
      <c r="P16" s="358">
        <f>J16+N16</f>
        <v>49064.396868000018</v>
      </c>
      <c r="R16" s="358">
        <f>L16+F16</f>
        <v>18713872.510000002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43794033.159999996</v>
      </c>
      <c r="J17" s="356">
        <f>SUM(J13:J16)</f>
        <v>97717.729401000033</v>
      </c>
      <c r="L17" s="356">
        <f>SUM(L13:L16)</f>
        <v>2282133.16</v>
      </c>
      <c r="N17" s="356">
        <f>SUM(N13:N16)</f>
        <v>2415.3065797500003</v>
      </c>
      <c r="P17" s="356">
        <f>SUM(P13:P16)</f>
        <v>100133.03598075002</v>
      </c>
      <c r="R17" s="356">
        <f>SUM(R13:R16)</f>
        <v>46076166.32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'201810 Bk Depr'!R20</f>
        <v>0</v>
      </c>
      <c r="H20" s="1">
        <f>1.62%/12</f>
        <v>1.3500000000000003E-3</v>
      </c>
      <c r="J20" s="358">
        <f>F20*H20</f>
        <v>0</v>
      </c>
      <c r="L20" s="359">
        <f>'Cap&amp;OpEx 2018'!M17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'201810 Bk Depr'!R21</f>
        <v>0</v>
      </c>
      <c r="H21" s="1">
        <f>3.24%/12</f>
        <v>2.7000000000000006E-3</v>
      </c>
      <c r="J21" s="358">
        <f>F21*H21</f>
        <v>0</v>
      </c>
      <c r="L21" s="359">
        <f>'Cap&amp;OpEx 2018'!M19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'201810 Bk Depr'!R22</f>
        <v>0</v>
      </c>
      <c r="H22" s="1">
        <f>3.24%/12</f>
        <v>2.7000000000000006E-3</v>
      </c>
      <c r="J22" s="358">
        <f>F22*H22</f>
        <v>0</v>
      </c>
      <c r="L22" s="360">
        <f>'Cap&amp;OpEx 2018'!M20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43794033.159999996</v>
      </c>
      <c r="J25" s="357">
        <f>J17+J23</f>
        <v>97717.729401000033</v>
      </c>
      <c r="L25" s="357">
        <f>L17+L23</f>
        <v>2282133.16</v>
      </c>
      <c r="N25" s="357">
        <f>N17+N23</f>
        <v>2415.3065797500003</v>
      </c>
      <c r="P25" s="357">
        <f>P17+P23</f>
        <v>100133.03598075002</v>
      </c>
      <c r="R25" s="357">
        <f>R17+R23</f>
        <v>46076166.32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'201810 Bk Depr'!R28</f>
        <v>1456620.7</v>
      </c>
      <c r="J28" s="358"/>
      <c r="L28" s="359">
        <f>'Cap&amp;OpEx 2018'!M25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'201810 Bk Depr'!R29</f>
        <v>656467.17000000004</v>
      </c>
      <c r="J29" s="358"/>
      <c r="L29" s="359">
        <f>'Cap&amp;OpEx 2018'!M27</f>
        <v>45465.22</v>
      </c>
      <c r="N29" s="358"/>
      <c r="P29" s="358"/>
      <c r="R29" s="358">
        <f>L29+F29</f>
        <v>701932.39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'201810 Bk Depr'!R30</f>
        <v>0</v>
      </c>
      <c r="J30" s="358"/>
      <c r="L30" s="360">
        <f>'Cap&amp;OpEx 2018'!M28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2113087.87</v>
      </c>
      <c r="J31" s="356">
        <f>SUM(J28:J30)</f>
        <v>0</v>
      </c>
      <c r="L31" s="356">
        <f>SUM(L28:L30)</f>
        <v>45465.22</v>
      </c>
      <c r="N31" s="356">
        <f>SUM(N28:N30)</f>
        <v>0</v>
      </c>
      <c r="P31" s="356">
        <f>SUM(P28:P30)</f>
        <v>0</v>
      </c>
      <c r="R31" s="356">
        <f>SUM(R28:R30)</f>
        <v>2158553.09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297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17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4">
        <f>'201811 Bk Depr'!R13</f>
        <v>16190597.409999998</v>
      </c>
      <c r="H13" s="1">
        <f>1.62%/12</f>
        <v>1.3500000000000003E-3</v>
      </c>
      <c r="J13" s="358">
        <f>F13*H13</f>
        <v>21857.306503500004</v>
      </c>
      <c r="L13" s="359">
        <f>'Cap&amp;OpEx 2018'!N10</f>
        <v>718264.11</v>
      </c>
      <c r="N13" s="358">
        <f>H13*L13*0.5</f>
        <v>484.82827425000011</v>
      </c>
      <c r="P13" s="358">
        <f>J13+N13</f>
        <v>22342.134777750005</v>
      </c>
      <c r="R13" s="358">
        <f>L13+F13</f>
        <v>16908861.52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'201811 Bk Depr'!R14</f>
        <v>4067848.6700000009</v>
      </c>
      <c r="H14" s="1">
        <f>3.24%/12</f>
        <v>2.7000000000000006E-3</v>
      </c>
      <c r="J14" s="358">
        <f>F14*H14</f>
        <v>10983.191409000005</v>
      </c>
      <c r="L14" s="359">
        <f>'Cap&amp;OpEx 2018'!N12</f>
        <v>181096.31</v>
      </c>
      <c r="N14" s="358">
        <f>H14*L14*0.5</f>
        <v>244.48001850000006</v>
      </c>
      <c r="P14" s="358">
        <f>J14+N14</f>
        <v>11227.671427500005</v>
      </c>
      <c r="R14" s="358">
        <f>L14+F14</f>
        <v>4248944.9800000004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'201811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2018'!N13</f>
        <v>0</v>
      </c>
      <c r="N15" s="358">
        <f>H15*L15*0.5</f>
        <v>0</v>
      </c>
      <c r="P15" s="358">
        <f>J15+N15</f>
        <v>19180.388871000006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5">
        <f>'201811 Bk Depr'!R16</f>
        <v>18713872.510000002</v>
      </c>
      <c r="H16" s="1">
        <f t="shared" si="1"/>
        <v>2.7000000000000006E-3</v>
      </c>
      <c r="J16" s="358">
        <f>F16*H16</f>
        <v>50527.455777000017</v>
      </c>
      <c r="L16" s="360">
        <f>'Cap&amp;OpEx 2018'!N14</f>
        <v>843552.31</v>
      </c>
      <c r="N16" s="358">
        <f>H16*L16*0.5</f>
        <v>1138.7956185000003</v>
      </c>
      <c r="P16" s="358">
        <f>J16+N16</f>
        <v>51666.251395500018</v>
      </c>
      <c r="R16" s="358">
        <f>L16+F16</f>
        <v>19557424.82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46076166.32</v>
      </c>
      <c r="J17" s="356">
        <f>SUM(J13:J16)</f>
        <v>102548.34256050002</v>
      </c>
      <c r="L17" s="356">
        <f>SUM(L13:L16)</f>
        <v>1742912.73</v>
      </c>
      <c r="N17" s="356">
        <f>SUM(N13:N16)</f>
        <v>1868.1039112500005</v>
      </c>
      <c r="P17" s="356">
        <f>SUM(P13:P16)</f>
        <v>104416.44647175004</v>
      </c>
      <c r="R17" s="356">
        <f>SUM(R13:R16)</f>
        <v>47819079.049999997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4">
        <f>'201811 Bk Depr'!R20</f>
        <v>0</v>
      </c>
      <c r="H20" s="1">
        <f>1.62%/12</f>
        <v>1.3500000000000003E-3</v>
      </c>
      <c r="J20" s="358">
        <f>F20*H20</f>
        <v>0</v>
      </c>
      <c r="L20" s="359">
        <f>'Cap&amp;OpEx 2018'!N17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'201811 Bk Depr'!R21</f>
        <v>0</v>
      </c>
      <c r="H21" s="1">
        <f>3.24%/12</f>
        <v>2.7000000000000006E-3</v>
      </c>
      <c r="J21" s="358">
        <f>F21*H21</f>
        <v>0</v>
      </c>
      <c r="L21" s="359">
        <f>'Cap&amp;OpEx 2018'!N19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'201811 Bk Depr'!R22</f>
        <v>0</v>
      </c>
      <c r="H22" s="1">
        <f>3.24%/12</f>
        <v>2.7000000000000006E-3</v>
      </c>
      <c r="J22" s="358">
        <f>F22*H22</f>
        <v>0</v>
      </c>
      <c r="L22" s="360">
        <f>'Cap&amp;OpEx 2018'!N20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46076166.32</v>
      </c>
      <c r="J25" s="357">
        <f>J17+J23</f>
        <v>102548.34256050002</v>
      </c>
      <c r="L25" s="357">
        <f>L17+L23</f>
        <v>1742912.73</v>
      </c>
      <c r="N25" s="357">
        <f>N17+N23</f>
        <v>1868.1039112500005</v>
      </c>
      <c r="P25" s="357">
        <f>P17+P23</f>
        <v>104416.44647175004</v>
      </c>
      <c r="R25" s="357">
        <f>R17+R23</f>
        <v>47819079.049999997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4">
        <f>'201811 Bk Depr'!R28</f>
        <v>1456620.7</v>
      </c>
      <c r="J28" s="358"/>
      <c r="L28" s="359">
        <f>'Cap&amp;OpEx 2018'!N25</f>
        <v>0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'201811 Bk Depr'!R29</f>
        <v>701932.39</v>
      </c>
      <c r="J29" s="358"/>
      <c r="L29" s="359">
        <f>'Cap&amp;OpEx 2018'!N27</f>
        <v>41996.3</v>
      </c>
      <c r="N29" s="358"/>
      <c r="P29" s="358"/>
      <c r="R29" s="358">
        <f>L29+F29</f>
        <v>743928.69000000006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'201811 Bk Depr'!R30</f>
        <v>0</v>
      </c>
      <c r="J30" s="358"/>
      <c r="L30" s="360">
        <f>'Cap&amp;OpEx 2018'!N28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2158553.09</v>
      </c>
      <c r="J31" s="356">
        <f>SUM(J28:J30)</f>
        <v>0</v>
      </c>
      <c r="L31" s="356">
        <f>SUM(L28:L30)</f>
        <v>41996.3</v>
      </c>
      <c r="N31" s="356">
        <f>SUM(N28:N30)</f>
        <v>0</v>
      </c>
      <c r="P31" s="356">
        <f>SUM(P28:P30)</f>
        <v>0</v>
      </c>
      <c r="R31" s="356">
        <f>SUM(R28:R30)</f>
        <v>2200549.39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16 of 17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1"/>
  <sheetViews>
    <sheetView zoomScale="80" zoomScaleNormal="80" workbookViewId="0"/>
  </sheetViews>
  <sheetFormatPr defaultRowHeight="12.75"/>
  <cols>
    <col min="1" max="1" width="5.140625" style="49" customWidth="1"/>
    <col min="2" max="2" width="3.28515625" style="49" customWidth="1"/>
    <col min="3" max="3" width="11.7109375" style="49" customWidth="1"/>
    <col min="4" max="4" width="11.7109375" style="49" hidden="1" customWidth="1"/>
    <col min="5" max="5" width="1.28515625" style="49" customWidth="1"/>
    <col min="6" max="6" width="6.140625" style="49" bestFit="1" customWidth="1"/>
    <col min="7" max="7" width="14.28515625" style="49" bestFit="1" customWidth="1"/>
    <col min="8" max="8" width="14.28515625" style="49" customWidth="1"/>
    <col min="9" max="9" width="15" style="49" bestFit="1" customWidth="1"/>
    <col min="10" max="10" width="13.7109375" style="49" bestFit="1" customWidth="1"/>
    <col min="11" max="11" width="14.42578125" style="49" bestFit="1" customWidth="1"/>
    <col min="12" max="12" width="13.7109375" style="49" bestFit="1" customWidth="1"/>
    <col min="13" max="13" width="11.5703125" style="49" bestFit="1" customWidth="1"/>
    <col min="14" max="14" width="10.85546875" style="49" customWidth="1"/>
    <col min="15" max="15" width="11.42578125" style="49" customWidth="1"/>
    <col min="16" max="16" width="11.140625" style="49" customWidth="1"/>
    <col min="17" max="17" width="14.85546875" style="49" customWidth="1"/>
    <col min="18" max="18" width="12" style="49" customWidth="1"/>
    <col min="19" max="19" width="9.140625" style="49"/>
    <col min="20" max="20" width="13.7109375" style="49" customWidth="1"/>
    <col min="21" max="23" width="9.140625" style="49"/>
    <col min="24" max="24" width="11.85546875" style="49" customWidth="1"/>
    <col min="25" max="16384" width="9.140625" style="49"/>
  </cols>
  <sheetData>
    <row r="1" spans="1:25" ht="18.75">
      <c r="A1" s="188" t="s">
        <v>67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5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5" ht="18.75">
      <c r="A3" s="188" t="s">
        <v>76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5">
      <c r="A4" s="50"/>
    </row>
    <row r="6" spans="1:25">
      <c r="A6" s="51"/>
      <c r="B6" s="51"/>
      <c r="C6" s="51"/>
      <c r="D6" s="51" t="s">
        <v>24</v>
      </c>
      <c r="E6" s="51"/>
      <c r="F6" s="51"/>
      <c r="G6" s="51"/>
      <c r="H6" s="51"/>
      <c r="I6" s="150"/>
      <c r="J6" s="51"/>
      <c r="K6" s="51"/>
      <c r="L6" s="51"/>
      <c r="M6" s="51"/>
      <c r="N6" s="51"/>
      <c r="O6" s="51"/>
      <c r="P6" s="51"/>
      <c r="Q6" s="51"/>
    </row>
    <row r="7" spans="1:25" ht="25.5">
      <c r="A7" s="51"/>
      <c r="B7" s="51"/>
      <c r="C7" s="52" t="s">
        <v>197</v>
      </c>
      <c r="D7" s="51" t="s">
        <v>25</v>
      </c>
      <c r="E7" s="51"/>
      <c r="F7" s="51"/>
      <c r="G7" s="51">
        <v>2017</v>
      </c>
      <c r="H7" s="51">
        <v>2018</v>
      </c>
      <c r="I7" s="51"/>
      <c r="J7" s="51" t="s">
        <v>35</v>
      </c>
      <c r="K7" s="51"/>
      <c r="L7" s="51"/>
      <c r="M7" s="52" t="s">
        <v>187</v>
      </c>
      <c r="N7" s="52" t="s">
        <v>188</v>
      </c>
      <c r="O7" s="52" t="s">
        <v>193</v>
      </c>
      <c r="P7" s="52" t="s">
        <v>195</v>
      </c>
      <c r="Q7" s="51" t="s">
        <v>41</v>
      </c>
      <c r="R7" s="52" t="s">
        <v>169</v>
      </c>
      <c r="S7" s="52"/>
      <c r="T7" s="52" t="s">
        <v>251</v>
      </c>
    </row>
    <row r="8" spans="1:25">
      <c r="A8" s="51" t="s">
        <v>4</v>
      </c>
      <c r="B8" s="51"/>
      <c r="C8" s="51" t="s">
        <v>26</v>
      </c>
      <c r="D8" s="51" t="s">
        <v>26</v>
      </c>
      <c r="E8" s="51"/>
      <c r="F8" s="51"/>
      <c r="G8" s="51" t="s">
        <v>28</v>
      </c>
      <c r="H8" s="51" t="s">
        <v>29</v>
      </c>
      <c r="I8" s="51" t="s">
        <v>34</v>
      </c>
      <c r="J8" s="51" t="s">
        <v>36</v>
      </c>
      <c r="K8" s="51" t="s">
        <v>38</v>
      </c>
      <c r="L8" s="51"/>
      <c r="M8" s="51" t="s">
        <v>34</v>
      </c>
      <c r="N8" s="51" t="s">
        <v>34</v>
      </c>
      <c r="O8" s="51" t="s">
        <v>194</v>
      </c>
      <c r="P8" s="51" t="s">
        <v>196</v>
      </c>
      <c r="Q8" s="51" t="s">
        <v>40</v>
      </c>
      <c r="R8" s="51" t="s">
        <v>252</v>
      </c>
      <c r="S8" s="51" t="s">
        <v>169</v>
      </c>
      <c r="T8" s="51" t="s">
        <v>40</v>
      </c>
    </row>
    <row r="9" spans="1:25">
      <c r="A9" s="180" t="s">
        <v>5</v>
      </c>
      <c r="B9" s="180"/>
      <c r="C9" s="180" t="s">
        <v>2</v>
      </c>
      <c r="D9" s="180" t="s">
        <v>2</v>
      </c>
      <c r="E9" s="180"/>
      <c r="F9" s="180" t="s">
        <v>108</v>
      </c>
      <c r="G9" s="180" t="s">
        <v>20</v>
      </c>
      <c r="H9" s="222" t="s">
        <v>20</v>
      </c>
      <c r="I9" s="180" t="s">
        <v>0</v>
      </c>
      <c r="J9" s="180" t="s">
        <v>37</v>
      </c>
      <c r="K9" s="180" t="s">
        <v>0</v>
      </c>
      <c r="L9" s="180" t="s">
        <v>39</v>
      </c>
      <c r="M9" s="53" t="s">
        <v>371</v>
      </c>
      <c r="N9" s="53" t="s">
        <v>192</v>
      </c>
      <c r="O9" s="53" t="s">
        <v>371</v>
      </c>
      <c r="P9" s="53" t="s">
        <v>12</v>
      </c>
      <c r="Q9" s="180" t="s">
        <v>42</v>
      </c>
      <c r="R9" s="53" t="s">
        <v>253</v>
      </c>
      <c r="S9" s="53" t="s">
        <v>254</v>
      </c>
      <c r="T9" s="180" t="s">
        <v>42</v>
      </c>
    </row>
    <row r="10" spans="1:25">
      <c r="C10" s="54"/>
      <c r="D10" s="54" t="s">
        <v>71</v>
      </c>
      <c r="E10" s="55"/>
      <c r="F10" s="55"/>
      <c r="G10" s="55"/>
      <c r="H10" s="55"/>
    </row>
    <row r="11" spans="1:25">
      <c r="A11" s="49">
        <v>1</v>
      </c>
      <c r="C11" s="54" t="s">
        <v>70</v>
      </c>
      <c r="D11" s="56"/>
      <c r="G11" s="228">
        <f>'Tax Depr 2017'!L11</f>
        <v>8436780.1900000013</v>
      </c>
      <c r="H11" s="28">
        <f>'2018 Capital Budget'!R36-H12</f>
        <v>56107823.270000011</v>
      </c>
    </row>
    <row r="12" spans="1:25">
      <c r="A12" s="49">
        <v>2</v>
      </c>
      <c r="C12" s="54" t="s">
        <v>74</v>
      </c>
      <c r="D12" s="56"/>
      <c r="G12" s="228"/>
      <c r="H12" s="228">
        <f>SUM('2018 Capital Budget'!R8:R11,'2018 Capital Budget'!R26:R29,'2018 Capital Budget'!R35)</f>
        <v>4832943.2300000004</v>
      </c>
    </row>
    <row r="13" spans="1:25">
      <c r="A13" s="49">
        <v>3</v>
      </c>
      <c r="C13" s="54" t="s">
        <v>191</v>
      </c>
      <c r="D13" s="56"/>
      <c r="G13" s="228"/>
      <c r="H13" s="228">
        <v>0</v>
      </c>
    </row>
    <row r="14" spans="1:25">
      <c r="C14" s="56"/>
      <c r="V14" s="47"/>
      <c r="W14" s="47"/>
      <c r="X14" s="47"/>
      <c r="Y14" s="47"/>
    </row>
    <row r="15" spans="1:25">
      <c r="G15" s="192"/>
      <c r="H15" s="192"/>
      <c r="I15" s="192"/>
      <c r="J15" s="192"/>
      <c r="K15" s="241"/>
      <c r="V15" s="47"/>
      <c r="W15" s="47"/>
      <c r="X15" s="47"/>
      <c r="Y15" s="47"/>
    </row>
    <row r="16" spans="1:25">
      <c r="P16" s="28">
        <v>0</v>
      </c>
      <c r="Q16" s="28">
        <f>P16+'Tax Depr 2017'!U28</f>
        <v>4031690.8392467606</v>
      </c>
      <c r="T16" s="228">
        <f>Q16</f>
        <v>4031690.8392467606</v>
      </c>
      <c r="V16" s="47"/>
      <c r="W16" s="47"/>
      <c r="X16" s="47"/>
      <c r="Y16" s="47"/>
    </row>
    <row r="17" spans="1:25">
      <c r="A17" s="49">
        <f>A13+1</f>
        <v>4</v>
      </c>
      <c r="C17" s="58">
        <v>3.7499999999999999E-2</v>
      </c>
      <c r="D17" s="58">
        <v>0.05</v>
      </c>
      <c r="F17" s="49">
        <v>1</v>
      </c>
      <c r="G17" s="228">
        <f>$G$11*$C$18/12</f>
        <v>50754.263493008351</v>
      </c>
      <c r="H17" s="28">
        <f>(('201801 Bk Depr'!$L$17-SUM('2018 Capital Budget'!F8:F11,'2018 Capital Budget'!F26:F29,'2018 Capital Budget'!F35)-(1/12*$H$13))*$C$17)+SUM('2018 Capital Budget'!F8:F11,'2018 Capital Budget'!F26:F29,'2018 Capital Budget'!F35)+(1/12*$H$13)</f>
        <v>480827.83550000004</v>
      </c>
      <c r="I17" s="228">
        <f t="shared" ref="I17:I22" si="0">SUM(G17:H17)</f>
        <v>531582.09899300837</v>
      </c>
      <c r="J17" s="228">
        <f>'201801 Bk Depr'!$L$31</f>
        <v>48989.79</v>
      </c>
      <c r="K17" s="228">
        <f>'201801 Bk Depr'!$P$17</f>
        <v>42241.899438000015</v>
      </c>
      <c r="L17" s="228">
        <f t="shared" ref="L17:L22" si="1">I17+J17-K17</f>
        <v>538329.98955500836</v>
      </c>
      <c r="M17" s="228">
        <f t="shared" ref="M17:M22" si="2">L17*0.21</f>
        <v>113049.29780655175</v>
      </c>
      <c r="N17" s="228">
        <f t="shared" ref="N17:N22" si="3">M60</f>
        <v>32299.799373300499</v>
      </c>
      <c r="O17" s="228">
        <f t="shared" ref="O17:O22" si="4">-N17*0.21</f>
        <v>-6782.957868393104</v>
      </c>
      <c r="P17" s="28"/>
      <c r="Q17" s="228">
        <f t="shared" ref="Q17:Q22" si="5">Q16+M17+N17+O17+P17</f>
        <v>4170256.9785582195</v>
      </c>
      <c r="R17" s="228">
        <f>Q17-Q16</f>
        <v>138566.13931145892</v>
      </c>
      <c r="S17" s="244" t="s">
        <v>391</v>
      </c>
      <c r="T17" s="228">
        <f>T16+R17*335/365</f>
        <v>4158867.9808065929</v>
      </c>
      <c r="W17" s="47"/>
      <c r="X17" s="48"/>
      <c r="Y17" s="47"/>
    </row>
    <row r="18" spans="1:25">
      <c r="A18" s="49">
        <f>A17+1</f>
        <v>5</v>
      </c>
      <c r="C18" s="58">
        <v>7.2190000000000004E-2</v>
      </c>
      <c r="D18" s="58">
        <v>9.5000000000000001E-2</v>
      </c>
      <c r="F18" s="49">
        <v>2</v>
      </c>
      <c r="G18" s="228">
        <f t="shared" ref="G18:G28" si="6">$G$11*$C$18/12</f>
        <v>50754.263493008351</v>
      </c>
      <c r="H18" s="28">
        <f>(('201802 Bk Depr'!$L$17-SUM('2018 Capital Budget'!G8:G11,'2018 Capital Budget'!G26:G29,'2018 Capital Budget'!G35)-(1/12*$H$13))*$C$17)+SUM('2018 Capital Budget'!G8:G11,'2018 Capital Budget'!G26:G29,'2018 Capital Budget'!G35)+(1/12*$H$13)</f>
        <v>403190.98987499991</v>
      </c>
      <c r="I18" s="228">
        <f t="shared" si="0"/>
        <v>453945.25336800824</v>
      </c>
      <c r="J18" s="228">
        <f>'201802 Bk Depr'!$L$31</f>
        <v>44356.46</v>
      </c>
      <c r="K18" s="228">
        <f>'201802 Bk Depr'!$P$17</f>
        <v>45268.38520650001</v>
      </c>
      <c r="L18" s="228">
        <f t="shared" si="1"/>
        <v>453033.32816150825</v>
      </c>
      <c r="M18" s="228">
        <f t="shared" si="2"/>
        <v>95136.99891391673</v>
      </c>
      <c r="N18" s="228">
        <f t="shared" si="3"/>
        <v>27181.999689690496</v>
      </c>
      <c r="O18" s="228">
        <f t="shared" si="4"/>
        <v>-5708.2199348350041</v>
      </c>
      <c r="P18" s="28"/>
      <c r="Q18" s="228">
        <f t="shared" si="5"/>
        <v>4286867.7572269915</v>
      </c>
      <c r="R18" s="228">
        <f t="shared" ref="R18:R28" si="7">Q18-Q17</f>
        <v>116610.77866877196</v>
      </c>
      <c r="S18" s="244" t="s">
        <v>392</v>
      </c>
      <c r="T18" s="228">
        <f>T17+R18*307/365</f>
        <v>4256948.827522519</v>
      </c>
      <c r="W18" s="47"/>
      <c r="X18" s="48"/>
      <c r="Y18" s="47"/>
    </row>
    <row r="19" spans="1:25">
      <c r="A19" s="49">
        <f t="shared" ref="A19:A44" si="8">A18+1</f>
        <v>6</v>
      </c>
      <c r="C19" s="58">
        <v>6.6769999999999996E-2</v>
      </c>
      <c r="D19" s="58">
        <v>8.5500000000000007E-2</v>
      </c>
      <c r="F19" s="49">
        <v>3</v>
      </c>
      <c r="G19" s="228">
        <f t="shared" si="6"/>
        <v>50754.263493008351</v>
      </c>
      <c r="H19" s="28">
        <f>(('201803 Bk Depr'!$L$17-SUM('2018 Capital Budget'!H8:H11,'2018 Capital Budget'!H26:H29,'2018 Capital Budget'!H35)-(1/12*$H$13))*$C$17)+SUM('2018 Capital Budget'!H8:H11,'2018 Capital Budget'!H26:H29,'2018 Capital Budget'!H35)+(1/12*$H$13)</f>
        <v>517603.45662499999</v>
      </c>
      <c r="I19" s="228">
        <f t="shared" si="0"/>
        <v>568357.72011800832</v>
      </c>
      <c r="J19" s="228">
        <f>'201803 Bk Depr'!$L$31</f>
        <v>46163.42</v>
      </c>
      <c r="K19" s="228">
        <f>'201803 Bk Depr'!$P$17</f>
        <v>49271.971173750018</v>
      </c>
      <c r="L19" s="228">
        <f t="shared" si="1"/>
        <v>565249.16894425836</v>
      </c>
      <c r="M19" s="228">
        <f t="shared" si="2"/>
        <v>118702.32547829425</v>
      </c>
      <c r="N19" s="228">
        <f t="shared" si="3"/>
        <v>33914.950136655498</v>
      </c>
      <c r="O19" s="228">
        <f t="shared" si="4"/>
        <v>-7122.139528697654</v>
      </c>
      <c r="P19" s="28"/>
      <c r="Q19" s="228">
        <f t="shared" si="5"/>
        <v>4432362.893313244</v>
      </c>
      <c r="R19" s="228">
        <f t="shared" si="7"/>
        <v>145495.13608625252</v>
      </c>
      <c r="S19" s="244" t="s">
        <v>393</v>
      </c>
      <c r="T19" s="228">
        <f>T18+R19*276/365</f>
        <v>4366967.0674123978</v>
      </c>
      <c r="W19" s="47"/>
      <c r="X19" s="48"/>
      <c r="Y19" s="47"/>
    </row>
    <row r="20" spans="1:25">
      <c r="A20" s="49">
        <f t="shared" si="8"/>
        <v>7</v>
      </c>
      <c r="C20" s="58">
        <v>6.1769999999999999E-2</v>
      </c>
      <c r="D20" s="58">
        <v>7.6999999999999999E-2</v>
      </c>
      <c r="F20" s="49">
        <v>4</v>
      </c>
      <c r="G20" s="228">
        <f t="shared" si="6"/>
        <v>50754.263493008351</v>
      </c>
      <c r="H20" s="28">
        <f>(('201804 Bk Depr'!$L$17-SUM('2018 Capital Budget'!I8:I11,'2018 Capital Budget'!I26:I29,'2018 Capital Budget'!I35)-(1/12*$H$13))*$C$17)+SUM('2018 Capital Budget'!I8:I11,'2018 Capital Budget'!I26:I29,'2018 Capital Budget'!I35)+(1/12*$H$13)</f>
        <v>456241.167625</v>
      </c>
      <c r="I20" s="228">
        <f t="shared" si="0"/>
        <v>506995.43111800833</v>
      </c>
      <c r="J20" s="228">
        <f>'201804 Bk Depr'!$L$31</f>
        <v>44778.83</v>
      </c>
      <c r="K20" s="228">
        <f>'201804 Bk Depr'!$P$17</f>
        <v>54274.478726250003</v>
      </c>
      <c r="L20" s="228">
        <f t="shared" si="1"/>
        <v>497499.78239175829</v>
      </c>
      <c r="M20" s="228">
        <f t="shared" si="2"/>
        <v>104474.95430226924</v>
      </c>
      <c r="N20" s="228">
        <f t="shared" si="3"/>
        <v>29849.986943505497</v>
      </c>
      <c r="O20" s="228">
        <f t="shared" si="4"/>
        <v>-6268.4972581361544</v>
      </c>
      <c r="P20" s="28"/>
      <c r="Q20" s="228">
        <f t="shared" si="5"/>
        <v>4560419.3373008827</v>
      </c>
      <c r="R20" s="228">
        <f t="shared" si="7"/>
        <v>128056.44398763869</v>
      </c>
      <c r="S20" s="244" t="s">
        <v>394</v>
      </c>
      <c r="T20" s="228">
        <f>T19+R20*246/365</f>
        <v>4453273.602264341</v>
      </c>
      <c r="W20" s="148"/>
      <c r="X20" s="48"/>
      <c r="Y20" s="47"/>
    </row>
    <row r="21" spans="1:25">
      <c r="A21" s="49">
        <f t="shared" si="8"/>
        <v>8</v>
      </c>
      <c r="C21" s="58">
        <v>5.713E-2</v>
      </c>
      <c r="D21" s="58">
        <v>6.93E-2</v>
      </c>
      <c r="F21" s="49">
        <v>5</v>
      </c>
      <c r="G21" s="228">
        <f t="shared" si="6"/>
        <v>50754.263493008351</v>
      </c>
      <c r="H21" s="28">
        <f>(('201805 Bk Depr'!$L$17-SUM('2018 Capital Budget'!J8:J11,'2018 Capital Budget'!J26:J29,'2018 Capital Budget'!J35)-(1/12*$H$13))*$C$17)+SUM('2018 Capital Budget'!J8:J11,'2018 Capital Budget'!J26:J29,'2018 Capital Budget'!J35)+(1/12*$H$13)</f>
        <v>539492.83299999998</v>
      </c>
      <c r="I21" s="228">
        <f t="shared" si="0"/>
        <v>590247.09649300831</v>
      </c>
      <c r="J21" s="228">
        <f>'201805 Bk Depr'!$L$31</f>
        <v>48830.07</v>
      </c>
      <c r="K21" s="228">
        <f>'201805 Bk Depr'!$P$17</f>
        <v>59773.80952575001</v>
      </c>
      <c r="L21" s="228">
        <f t="shared" si="1"/>
        <v>579303.35696725827</v>
      </c>
      <c r="M21" s="228">
        <f t="shared" si="2"/>
        <v>121653.70496312423</v>
      </c>
      <c r="N21" s="228">
        <f t="shared" si="3"/>
        <v>34758.201418035496</v>
      </c>
      <c r="O21" s="228">
        <f t="shared" si="4"/>
        <v>-7299.2222977874544</v>
      </c>
      <c r="P21" s="28"/>
      <c r="Q21" s="228">
        <f t="shared" si="5"/>
        <v>4709532.021384255</v>
      </c>
      <c r="R21" s="228">
        <f t="shared" si="7"/>
        <v>149112.68408337235</v>
      </c>
      <c r="S21" s="244" t="s">
        <v>395</v>
      </c>
      <c r="T21" s="228">
        <f>T20+R21*215/365</f>
        <v>4541107.1011079708</v>
      </c>
      <c r="W21" s="47"/>
      <c r="X21" s="48"/>
      <c r="Y21" s="47"/>
    </row>
    <row r="22" spans="1:25">
      <c r="A22" s="49">
        <f t="shared" si="8"/>
        <v>9</v>
      </c>
      <c r="C22" s="58">
        <v>5.2850000000000001E-2</v>
      </c>
      <c r="D22" s="58">
        <v>6.2300000000000001E-2</v>
      </c>
      <c r="F22" s="49">
        <v>6</v>
      </c>
      <c r="G22" s="228">
        <f t="shared" si="6"/>
        <v>50754.263493008351</v>
      </c>
      <c r="H22" s="28">
        <f>(('201806 Bk Depr'!$L$17-SUM('2018 Capital Budget'!K8:K11,'2018 Capital Budget'!K26:K29,'2018 Capital Budget'!K35)-(1/12*$H$13))*$C$17)+SUM('2018 Capital Budget'!K8:K11,'2018 Capital Budget'!K26:K29,'2018 Capital Budget'!K35)+(1/12*$H$13)</f>
        <v>493337.48899999994</v>
      </c>
      <c r="I22" s="228">
        <f t="shared" si="0"/>
        <v>544091.75249300827</v>
      </c>
      <c r="J22" s="228">
        <f>'201806 Bk Depr'!$L$31</f>
        <v>45124.59</v>
      </c>
      <c r="K22" s="228">
        <f>'201806 Bk Depr'!$P$17</f>
        <v>66151.203099750011</v>
      </c>
      <c r="L22" s="228">
        <f t="shared" si="1"/>
        <v>523065.13939325826</v>
      </c>
      <c r="M22" s="228">
        <f t="shared" si="2"/>
        <v>109843.67927258422</v>
      </c>
      <c r="N22" s="228">
        <f t="shared" si="3"/>
        <v>31383.908363595496</v>
      </c>
      <c r="O22" s="228">
        <f t="shared" si="4"/>
        <v>-6590.6207563550543</v>
      </c>
      <c r="P22" s="28"/>
      <c r="Q22" s="228">
        <f t="shared" si="5"/>
        <v>4844168.9882640801</v>
      </c>
      <c r="R22" s="228">
        <f t="shared" si="7"/>
        <v>134636.96687982511</v>
      </c>
      <c r="S22" s="244" t="s">
        <v>390</v>
      </c>
      <c r="T22" s="228">
        <f>T21+R22*185/365</f>
        <v>4609347.7555539096</v>
      </c>
      <c r="W22" s="47"/>
      <c r="X22" s="47"/>
      <c r="Y22" s="47"/>
    </row>
    <row r="23" spans="1:25">
      <c r="A23" s="49">
        <f t="shared" si="8"/>
        <v>10</v>
      </c>
      <c r="C23" s="58">
        <v>4.888E-2</v>
      </c>
      <c r="D23" s="58">
        <v>5.8999999999999997E-2</v>
      </c>
      <c r="F23" s="49">
        <v>7</v>
      </c>
      <c r="G23" s="228">
        <f>$G$11*$C$18/12</f>
        <v>50754.263493008351</v>
      </c>
      <c r="H23" s="151">
        <f>(('201807 Bk Depr'!$L$17-SUM('2018 Capital Budget'!L8:L11,'2018 Capital Budget'!L26:L29,'2018 Capital Budget'!L35)-(1/12*$H$13))*$C$17)+SUM('2018 Capital Budget'!L8:L11,'2018 Capital Budget'!L26:L29,'2018 Capital Budget'!L35)+(1/12*$H$13)</f>
        <v>492163.37262499996</v>
      </c>
      <c r="I23" s="228">
        <f t="shared" ref="I23:I28" si="9">SUM(G23:H23)</f>
        <v>542917.63611800829</v>
      </c>
      <c r="J23" s="228">
        <f>'201807 Bk Depr'!$L$31</f>
        <v>46511.94</v>
      </c>
      <c r="K23" s="228">
        <f>'201807 Bk Depr'!$P$17</f>
        <v>73052.119613250019</v>
      </c>
      <c r="L23" s="228">
        <f t="shared" ref="L23:L28" si="10">I23+J23-K23</f>
        <v>516377.45650475821</v>
      </c>
      <c r="M23" s="228">
        <f>L23*0.21</f>
        <v>108439.26586599922</v>
      </c>
      <c r="N23" s="228">
        <f t="shared" ref="N23:N28" si="11">M66</f>
        <v>30982.647390285492</v>
      </c>
      <c r="O23" s="228">
        <f>-N23*0.21</f>
        <v>-6506.355951959953</v>
      </c>
      <c r="P23" s="28"/>
      <c r="Q23" s="228">
        <f t="shared" ref="Q23:Q28" si="12">Q22+M23+N23+O23+P23</f>
        <v>4977084.5455684047</v>
      </c>
      <c r="R23" s="228">
        <f t="shared" si="7"/>
        <v>132915.55730432458</v>
      </c>
      <c r="S23" s="244" t="s">
        <v>386</v>
      </c>
      <c r="T23" s="228">
        <f>T22+R23*154/365</f>
        <v>4665427.1961699808</v>
      </c>
      <c r="W23" s="47"/>
      <c r="X23" s="47"/>
      <c r="Y23" s="47"/>
    </row>
    <row r="24" spans="1:25">
      <c r="A24" s="49">
        <f t="shared" si="8"/>
        <v>11</v>
      </c>
      <c r="C24" s="58">
        <v>4.5220000000000003E-2</v>
      </c>
      <c r="D24" s="58">
        <v>5.8999999999999997E-2</v>
      </c>
      <c r="F24" s="49">
        <v>8</v>
      </c>
      <c r="G24" s="228">
        <f t="shared" si="6"/>
        <v>50754.263493008351</v>
      </c>
      <c r="H24" s="151">
        <f>(('201808 Bk Depr'!$L$17-SUM('2018 Capital Budget'!M8:M11,'2018 Capital Budget'!M26:M29,'2018 Capital Budget'!M35)-(1/12*$H$13))*$C$17)+SUM('2018 Capital Budget'!M8:M11,'2018 Capital Budget'!M26:M29,'2018 Capital Budget'!M35)+(1/12*$H$13)</f>
        <v>553842.31974999991</v>
      </c>
      <c r="I24" s="228">
        <f t="shared" si="9"/>
        <v>604596.58324300824</v>
      </c>
      <c r="J24" s="228">
        <f>'201808 Bk Depr'!$L$31</f>
        <v>50113.919999999998</v>
      </c>
      <c r="K24" s="228">
        <f>'201808 Bk Depr'!$P$17</f>
        <v>80175.475451250008</v>
      </c>
      <c r="L24" s="228">
        <f t="shared" si="10"/>
        <v>574535.0277917583</v>
      </c>
      <c r="M24" s="228">
        <f t="shared" ref="M24:M28" si="13">L24*0.21</f>
        <v>120652.35583626924</v>
      </c>
      <c r="N24" s="228">
        <f t="shared" si="11"/>
        <v>34472.1016675055</v>
      </c>
      <c r="O24" s="228">
        <f t="shared" ref="O24:O28" si="14">-N24*0.21</f>
        <v>-7239.1413501761544</v>
      </c>
      <c r="P24" s="28"/>
      <c r="Q24" s="228">
        <f t="shared" si="12"/>
        <v>5124969.8617220037</v>
      </c>
      <c r="R24" s="228">
        <f t="shared" si="7"/>
        <v>147885.31615359895</v>
      </c>
      <c r="S24" s="244" t="s">
        <v>387</v>
      </c>
      <c r="T24" s="228">
        <f>T23+R24*123/365</f>
        <v>4715262.5218874952</v>
      </c>
      <c r="W24" s="47"/>
      <c r="X24" s="47"/>
      <c r="Y24" s="47"/>
    </row>
    <row r="25" spans="1:25">
      <c r="A25" s="49">
        <f t="shared" si="8"/>
        <v>12</v>
      </c>
      <c r="C25" s="58">
        <v>4.462E-2</v>
      </c>
      <c r="D25" s="58">
        <v>5.91E-2</v>
      </c>
      <c r="F25" s="49">
        <v>9</v>
      </c>
      <c r="G25" s="228">
        <f t="shared" si="6"/>
        <v>50754.263493008351</v>
      </c>
      <c r="H25" s="151">
        <f>(('201809 Bk Depr'!$L$17-SUM('2018 Capital Budget'!N8:N11,'2018 Capital Budget'!N26:N29,'2018 Capital Budget'!N35)-(1/12*$H$13))*$C$17)+SUM('2018 Capital Budget'!N8:N11,'2018 Capital Budget'!N26:N29,'2018 Capital Budget'!N35)+(1/12*$H$13)</f>
        <v>464466.17062499997</v>
      </c>
      <c r="I25" s="228">
        <f t="shared" si="9"/>
        <v>515220.4341180083</v>
      </c>
      <c r="J25" s="228">
        <f>'201809 Bk Depr'!$L$31</f>
        <v>45083.14</v>
      </c>
      <c r="K25" s="228">
        <f>'201809 Bk Depr'!$P$17</f>
        <v>87241.677115500032</v>
      </c>
      <c r="L25" s="228">
        <f t="shared" si="10"/>
        <v>473061.89700250822</v>
      </c>
      <c r="M25" s="228">
        <f t="shared" si="13"/>
        <v>99342.998370526722</v>
      </c>
      <c r="N25" s="228">
        <f t="shared" si="11"/>
        <v>28383.713820150493</v>
      </c>
      <c r="O25" s="228">
        <f t="shared" si="14"/>
        <v>-5960.5799022316032</v>
      </c>
      <c r="P25" s="28"/>
      <c r="Q25" s="228">
        <f t="shared" si="12"/>
        <v>5246735.9940104485</v>
      </c>
      <c r="R25" s="228">
        <f t="shared" si="7"/>
        <v>121766.13228844479</v>
      </c>
      <c r="S25" s="244" t="s">
        <v>388</v>
      </c>
      <c r="T25" s="228">
        <f>T24+R25*93/365</f>
        <v>4746287.8651829073</v>
      </c>
    </row>
    <row r="26" spans="1:25">
      <c r="A26" s="49">
        <f t="shared" si="8"/>
        <v>13</v>
      </c>
      <c r="C26" s="58">
        <v>4.4609999999999997E-2</v>
      </c>
      <c r="D26" s="58">
        <v>5.8999999999999997E-2</v>
      </c>
      <c r="F26" s="49">
        <v>10</v>
      </c>
      <c r="G26" s="228">
        <f t="shared" si="6"/>
        <v>50754.263493008351</v>
      </c>
      <c r="H26" s="151">
        <f>(('201810 Bk Depr'!$L$17-SUM('2018 Capital Budget'!O8:O11,'2018 Capital Budget'!O26:O29,'2018 Capital Budget'!O35)-(1/12*$H$13))*$C$17)+SUM('2018 Capital Budget'!O8:O11,'2018 Capital Budget'!O26:O29,'2018 Capital Budget'!O35)+(1/12*$H$13)</f>
        <v>542511.05099999998</v>
      </c>
      <c r="I26" s="228">
        <f t="shared" si="9"/>
        <v>593265.31449300831</v>
      </c>
      <c r="J26" s="228">
        <f>'201810 Bk Depr'!$L$31</f>
        <v>49418.58</v>
      </c>
      <c r="K26" s="228">
        <f>'201810 Bk Depr'!$P$17</f>
        <v>94178.697840000023</v>
      </c>
      <c r="L26" s="228">
        <f t="shared" si="10"/>
        <v>548505.19665300823</v>
      </c>
      <c r="M26" s="228">
        <f t="shared" si="13"/>
        <v>115186.09129713173</v>
      </c>
      <c r="N26" s="228">
        <f t="shared" si="11"/>
        <v>32910.31179918049</v>
      </c>
      <c r="O26" s="228">
        <f t="shared" si="14"/>
        <v>-6911.1654778279026</v>
      </c>
      <c r="P26" s="28"/>
      <c r="Q26" s="228">
        <f t="shared" si="12"/>
        <v>5387921.231628933</v>
      </c>
      <c r="R26" s="228">
        <f t="shared" si="7"/>
        <v>141185.23761848453</v>
      </c>
      <c r="S26" s="244" t="s">
        <v>389</v>
      </c>
      <c r="T26" s="228">
        <f>T25+R26*62/365</f>
        <v>4770270.0151345404</v>
      </c>
    </row>
    <row r="27" spans="1:25">
      <c r="A27" s="49">
        <f t="shared" si="8"/>
        <v>14</v>
      </c>
      <c r="C27" s="58">
        <v>4.462E-2</v>
      </c>
      <c r="D27" s="58">
        <v>5.91E-2</v>
      </c>
      <c r="F27" s="49">
        <v>11</v>
      </c>
      <c r="G27" s="228">
        <f t="shared" si="6"/>
        <v>50754.263493008351</v>
      </c>
      <c r="H27" s="151">
        <f>(('201811 Bk Depr'!$L$17-SUM('2018 Capital Budget'!P8:P11,'2018 Capital Budget'!P26:P29,'2018 Capital Budget'!P35)-(1/12*$H$13))*$C$17)+SUM('2018 Capital Budget'!P8:P11,'2018 Capital Budget'!P26:P29,'2018 Capital Budget'!P35)+(1/12*$H$13)</f>
        <v>452421.09312500001</v>
      </c>
      <c r="I27" s="228">
        <f t="shared" si="9"/>
        <v>503175.35661800834</v>
      </c>
      <c r="J27" s="228">
        <f>'201811 Bk Depr'!$L$31</f>
        <v>45465.22</v>
      </c>
      <c r="K27" s="228">
        <f>'201811 Bk Depr'!$P$17</f>
        <v>100133.03598075002</v>
      </c>
      <c r="L27" s="228">
        <f t="shared" si="10"/>
        <v>448507.54063725832</v>
      </c>
      <c r="M27" s="228">
        <f t="shared" si="13"/>
        <v>94186.583533824247</v>
      </c>
      <c r="N27" s="228">
        <f t="shared" si="11"/>
        <v>26910.452438235498</v>
      </c>
      <c r="O27" s="228">
        <f t="shared" si="14"/>
        <v>-5651.1950120294541</v>
      </c>
      <c r="P27" s="28"/>
      <c r="Q27" s="228">
        <f t="shared" si="12"/>
        <v>5503367.0725889634</v>
      </c>
      <c r="R27" s="228">
        <f t="shared" si="7"/>
        <v>115445.84096003044</v>
      </c>
      <c r="S27" s="244" t="s">
        <v>385</v>
      </c>
      <c r="T27" s="228">
        <f>T26+R27*32/365</f>
        <v>4780391.2943419954</v>
      </c>
    </row>
    <row r="28" spans="1:25">
      <c r="A28" s="49">
        <f t="shared" si="8"/>
        <v>15</v>
      </c>
      <c r="C28" s="58">
        <v>4.4609999999999997E-2</v>
      </c>
      <c r="D28" s="58">
        <v>5.8999999999999997E-2</v>
      </c>
      <c r="F28" s="49">
        <v>12</v>
      </c>
      <c r="G28" s="228">
        <f t="shared" si="6"/>
        <v>50754.263493008351</v>
      </c>
      <c r="H28" s="151">
        <f>(('201812 Bk Depr'!$L$17-SUM('2018 Capital Budget'!Q8:Q11,'2018 Capital Budget'!Q26:Q29,'2018 Capital Budget'!Q35)-(1/12*$H$13))*$C$17)+SUM('2018 Capital Budget'!Q8:Q11,'2018 Capital Budget'!Q26:Q29,'2018 Capital Budget'!Q35)+(1/12*$H$13)</f>
        <v>385751.299375</v>
      </c>
      <c r="I28" s="228">
        <f t="shared" si="9"/>
        <v>436505.56286800833</v>
      </c>
      <c r="J28" s="228">
        <f>'201812 Bk Depr'!$L$31</f>
        <v>41996.3</v>
      </c>
      <c r="K28" s="228">
        <f>'201812 Bk Depr'!$P$17</f>
        <v>104416.44647175004</v>
      </c>
      <c r="L28" s="228">
        <f t="shared" si="10"/>
        <v>374085.41639625828</v>
      </c>
      <c r="M28" s="228">
        <f t="shared" si="13"/>
        <v>78557.937443214236</v>
      </c>
      <c r="N28" s="228">
        <f t="shared" si="11"/>
        <v>22445.124983775495</v>
      </c>
      <c r="O28" s="228">
        <f t="shared" si="14"/>
        <v>-4713.4762465928534</v>
      </c>
      <c r="P28" s="28"/>
      <c r="Q28" s="228">
        <f t="shared" si="12"/>
        <v>5599656.6587693607</v>
      </c>
      <c r="R28" s="228">
        <f t="shared" si="7"/>
        <v>96289.586180397309</v>
      </c>
      <c r="S28" s="244" t="s">
        <v>384</v>
      </c>
      <c r="T28" s="228">
        <f>T27+R28*1/365</f>
        <v>4780655.101427421</v>
      </c>
    </row>
    <row r="29" spans="1:25">
      <c r="A29" s="49">
        <f t="shared" si="8"/>
        <v>16</v>
      </c>
      <c r="C29" s="58">
        <v>4.462E-2</v>
      </c>
      <c r="D29" s="58">
        <v>5.91E-2</v>
      </c>
      <c r="G29" s="28"/>
      <c r="H29" s="28"/>
      <c r="I29" s="28"/>
      <c r="J29" s="28"/>
      <c r="K29" s="28"/>
      <c r="L29" s="28"/>
      <c r="M29" s="28"/>
      <c r="N29" s="28"/>
      <c r="O29" s="28"/>
      <c r="P29" s="28" t="str">
        <f t="shared" ref="P29:P43" si="15">IF(O29="","",O29*0.389)</f>
        <v/>
      </c>
      <c r="Q29" s="59"/>
      <c r="T29" s="28"/>
    </row>
    <row r="30" spans="1:25">
      <c r="A30" s="49">
        <f t="shared" si="8"/>
        <v>17</v>
      </c>
      <c r="C30" s="58">
        <v>4.4609999999999997E-2</v>
      </c>
      <c r="D30" s="58">
        <v>5.8999999999999997E-2</v>
      </c>
      <c r="G30" s="28"/>
      <c r="H30" s="28"/>
      <c r="I30" s="28"/>
      <c r="J30" s="28"/>
      <c r="K30" s="28"/>
      <c r="L30" s="28"/>
      <c r="M30" s="28"/>
      <c r="N30" s="28"/>
      <c r="O30" s="28"/>
      <c r="P30" s="28" t="str">
        <f t="shared" si="15"/>
        <v/>
      </c>
      <c r="Q30" s="28" t="str">
        <f t="shared" ref="Q30:Q43" si="16">IF(M30="","",Q29+M30)</f>
        <v/>
      </c>
    </row>
    <row r="31" spans="1:25">
      <c r="A31" s="49">
        <f t="shared" si="8"/>
        <v>18</v>
      </c>
      <c r="C31" s="58">
        <v>4.462E-2</v>
      </c>
      <c r="D31" s="58">
        <v>5.91E-2</v>
      </c>
      <c r="G31" s="28"/>
      <c r="H31" s="28"/>
      <c r="I31" s="28"/>
      <c r="J31" s="28"/>
      <c r="K31" s="28"/>
      <c r="L31" s="28"/>
      <c r="M31" s="28"/>
      <c r="N31" s="28"/>
      <c r="O31" s="28"/>
      <c r="P31" s="28" t="str">
        <f t="shared" si="15"/>
        <v/>
      </c>
      <c r="Q31" s="28" t="str">
        <f t="shared" si="16"/>
        <v/>
      </c>
    </row>
    <row r="32" spans="1:25">
      <c r="A32" s="49">
        <f t="shared" si="8"/>
        <v>19</v>
      </c>
      <c r="C32" s="58">
        <v>4.4609999999999997E-2</v>
      </c>
      <c r="D32" s="58">
        <v>2.9499999999999998E-2</v>
      </c>
      <c r="G32" s="28"/>
      <c r="H32" s="28"/>
      <c r="I32" s="28"/>
      <c r="J32" s="28"/>
      <c r="K32" s="28"/>
      <c r="L32" s="28"/>
      <c r="M32" s="28"/>
      <c r="N32" s="28"/>
      <c r="O32" s="28"/>
      <c r="P32" s="28" t="str">
        <f t="shared" si="15"/>
        <v/>
      </c>
      <c r="Q32" s="28" t="str">
        <f t="shared" si="16"/>
        <v/>
      </c>
    </row>
    <row r="33" spans="1:17">
      <c r="A33" s="49">
        <f t="shared" si="8"/>
        <v>20</v>
      </c>
      <c r="C33" s="58">
        <v>4.462E-2</v>
      </c>
      <c r="D33" s="58"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 t="str">
        <f t="shared" si="15"/>
        <v/>
      </c>
      <c r="Q33" s="28" t="str">
        <f t="shared" si="16"/>
        <v/>
      </c>
    </row>
    <row r="34" spans="1:17">
      <c r="A34" s="49">
        <f t="shared" si="8"/>
        <v>21</v>
      </c>
      <c r="C34" s="58">
        <v>4.4609999999999997E-2</v>
      </c>
      <c r="D34" s="58"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 t="str">
        <f t="shared" si="15"/>
        <v/>
      </c>
      <c r="Q34" s="28" t="str">
        <f t="shared" si="16"/>
        <v/>
      </c>
    </row>
    <row r="35" spans="1:17">
      <c r="A35" s="49">
        <f t="shared" si="8"/>
        <v>22</v>
      </c>
      <c r="C35" s="58">
        <v>4.462E-2</v>
      </c>
      <c r="D35" s="58"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 t="str">
        <f t="shared" si="15"/>
        <v/>
      </c>
      <c r="Q35" s="28" t="str">
        <f t="shared" si="16"/>
        <v/>
      </c>
    </row>
    <row r="36" spans="1:17">
      <c r="A36" s="49">
        <f t="shared" si="8"/>
        <v>23</v>
      </c>
      <c r="C36" s="58">
        <v>4.4609999999999997E-2</v>
      </c>
      <c r="D36" s="58"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 t="str">
        <f t="shared" si="15"/>
        <v/>
      </c>
      <c r="Q36" s="28" t="str">
        <f t="shared" si="16"/>
        <v/>
      </c>
    </row>
    <row r="37" spans="1:17">
      <c r="A37" s="49">
        <f t="shared" si="8"/>
        <v>24</v>
      </c>
      <c r="C37" s="58">
        <v>2.231E-2</v>
      </c>
      <c r="D37" s="58"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 t="str">
        <f t="shared" si="15"/>
        <v/>
      </c>
      <c r="Q37" s="28" t="str">
        <f t="shared" si="16"/>
        <v/>
      </c>
    </row>
    <row r="38" spans="1:17">
      <c r="A38" s="49">
        <f t="shared" si="8"/>
        <v>25</v>
      </c>
      <c r="C38" s="58">
        <v>0</v>
      </c>
      <c r="D38" s="58"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 t="str">
        <f t="shared" si="15"/>
        <v/>
      </c>
      <c r="Q38" s="28" t="str">
        <f t="shared" si="16"/>
        <v/>
      </c>
    </row>
    <row r="39" spans="1:17">
      <c r="A39" s="49">
        <f t="shared" si="8"/>
        <v>26</v>
      </c>
      <c r="C39" s="58">
        <v>0</v>
      </c>
      <c r="G39" s="28"/>
      <c r="H39" s="28"/>
      <c r="I39" s="28"/>
      <c r="L39" s="28"/>
      <c r="M39" s="28"/>
      <c r="N39" s="28"/>
      <c r="O39" s="28"/>
      <c r="P39" s="28" t="str">
        <f t="shared" si="15"/>
        <v/>
      </c>
      <c r="Q39" s="28" t="str">
        <f t="shared" si="16"/>
        <v/>
      </c>
    </row>
    <row r="40" spans="1:17">
      <c r="A40" s="49">
        <f t="shared" si="8"/>
        <v>27</v>
      </c>
      <c r="C40" s="58">
        <v>0</v>
      </c>
      <c r="G40" s="28"/>
      <c r="H40" s="28"/>
      <c r="I40" s="28"/>
      <c r="L40" s="28"/>
      <c r="M40" s="28"/>
      <c r="N40" s="28"/>
      <c r="O40" s="28"/>
      <c r="P40" s="28" t="str">
        <f t="shared" si="15"/>
        <v/>
      </c>
      <c r="Q40" s="28" t="str">
        <f t="shared" si="16"/>
        <v/>
      </c>
    </row>
    <row r="41" spans="1:17">
      <c r="A41" s="49">
        <f t="shared" si="8"/>
        <v>28</v>
      </c>
      <c r="C41" s="58">
        <v>0</v>
      </c>
      <c r="G41" s="28"/>
      <c r="H41" s="28"/>
      <c r="I41" s="28"/>
      <c r="L41" s="28"/>
      <c r="M41" s="28"/>
      <c r="N41" s="28"/>
      <c r="O41" s="28"/>
      <c r="P41" s="28" t="str">
        <f t="shared" si="15"/>
        <v/>
      </c>
      <c r="Q41" s="28" t="str">
        <f t="shared" si="16"/>
        <v/>
      </c>
    </row>
    <row r="42" spans="1:17">
      <c r="A42" s="49">
        <f t="shared" si="8"/>
        <v>29</v>
      </c>
      <c r="C42" s="58">
        <v>0</v>
      </c>
      <c r="G42" s="28"/>
      <c r="H42" s="28"/>
      <c r="I42" s="28"/>
      <c r="L42" s="28"/>
      <c r="M42" s="28"/>
      <c r="N42" s="28"/>
      <c r="O42" s="28"/>
      <c r="P42" s="28" t="str">
        <f t="shared" si="15"/>
        <v/>
      </c>
      <c r="Q42" s="28" t="str">
        <f t="shared" si="16"/>
        <v/>
      </c>
    </row>
    <row r="43" spans="1:17">
      <c r="A43" s="49">
        <f t="shared" si="8"/>
        <v>30</v>
      </c>
      <c r="C43" s="58">
        <v>0</v>
      </c>
      <c r="I43" s="28"/>
      <c r="L43" s="28"/>
      <c r="M43" s="28"/>
      <c r="N43" s="28"/>
      <c r="O43" s="28"/>
      <c r="P43" s="28" t="str">
        <f t="shared" si="15"/>
        <v/>
      </c>
      <c r="Q43" s="28" t="str">
        <f t="shared" si="16"/>
        <v/>
      </c>
    </row>
    <row r="44" spans="1:17">
      <c r="A44" s="49">
        <f t="shared" si="8"/>
        <v>31</v>
      </c>
      <c r="G44" s="28">
        <f>SUM(G17:G43)</f>
        <v>609051.16191610007</v>
      </c>
      <c r="H44" s="28">
        <f t="shared" ref="H44:P44" si="17">SUM(H17:H43)</f>
        <v>5781849.078125</v>
      </c>
      <c r="I44" s="28">
        <f t="shared" si="17"/>
        <v>6390900.2400410995</v>
      </c>
      <c r="J44" s="28">
        <f t="shared" si="17"/>
        <v>556832.26000000013</v>
      </c>
      <c r="K44" s="28">
        <f t="shared" si="17"/>
        <v>856179.19964250026</v>
      </c>
      <c r="L44" s="28">
        <f t="shared" si="17"/>
        <v>6091553.3003985994</v>
      </c>
      <c r="M44" s="28">
        <f t="shared" si="17"/>
        <v>1279226.1930837058</v>
      </c>
      <c r="N44" s="28">
        <f t="shared" si="17"/>
        <v>365493.19802391593</v>
      </c>
      <c r="O44" s="28">
        <f t="shared" si="17"/>
        <v>-76753.571585022335</v>
      </c>
      <c r="P44" s="28">
        <f t="shared" si="17"/>
        <v>0</v>
      </c>
      <c r="Q44" s="28">
        <f>AVERAGE(Q16:Q28)</f>
        <v>4836541.0907371193</v>
      </c>
    </row>
    <row r="45" spans="1:17">
      <c r="G45" s="28"/>
      <c r="H45" s="28"/>
      <c r="I45" s="28"/>
      <c r="J45" s="28"/>
      <c r="K45" s="28"/>
      <c r="Q45" s="28"/>
    </row>
    <row r="46" spans="1:17">
      <c r="N46" s="28"/>
      <c r="O46" s="28"/>
      <c r="P46" s="28"/>
    </row>
    <row r="47" spans="1:17">
      <c r="B47" s="57" t="s">
        <v>171</v>
      </c>
      <c r="C47" s="49" t="s">
        <v>381</v>
      </c>
      <c r="N47" s="51"/>
      <c r="O47" s="51"/>
      <c r="P47" s="51"/>
    </row>
    <row r="48" spans="1:17">
      <c r="B48" s="57" t="s">
        <v>172</v>
      </c>
      <c r="C48" s="49" t="s">
        <v>380</v>
      </c>
      <c r="D48" s="242"/>
      <c r="N48" s="45"/>
      <c r="O48" s="45"/>
      <c r="P48" s="45"/>
    </row>
    <row r="49" spans="1:17">
      <c r="A49" s="51"/>
      <c r="B49" s="51"/>
      <c r="C49" s="51"/>
      <c r="D49" s="51" t="s">
        <v>24</v>
      </c>
      <c r="E49" s="51"/>
      <c r="F49" s="51"/>
      <c r="G49" s="51"/>
      <c r="H49" s="51"/>
      <c r="I49" s="51"/>
      <c r="J49" s="51"/>
      <c r="K49" s="51"/>
      <c r="L49" s="51"/>
      <c r="M49" s="51"/>
      <c r="N49" s="46"/>
      <c r="O49" s="46"/>
      <c r="P49" s="46"/>
      <c r="Q49" s="51"/>
    </row>
    <row r="50" spans="1:17" ht="25.5">
      <c r="A50" s="51"/>
      <c r="B50" s="51"/>
      <c r="C50" s="52" t="s">
        <v>197</v>
      </c>
      <c r="D50" s="51" t="s">
        <v>25</v>
      </c>
      <c r="E50" s="51"/>
      <c r="F50" s="51"/>
      <c r="G50" s="51">
        <v>2017</v>
      </c>
      <c r="H50" s="51">
        <v>2018</v>
      </c>
      <c r="I50" s="51"/>
      <c r="J50" s="51" t="s">
        <v>35</v>
      </c>
      <c r="K50" s="51"/>
      <c r="L50" s="51"/>
      <c r="M50" s="52" t="s">
        <v>188</v>
      </c>
      <c r="Q50" s="46"/>
    </row>
    <row r="51" spans="1:17">
      <c r="A51" s="51" t="s">
        <v>4</v>
      </c>
      <c r="B51" s="51"/>
      <c r="C51" s="51" t="s">
        <v>26</v>
      </c>
      <c r="D51" s="51" t="s">
        <v>26</v>
      </c>
      <c r="E51" s="51"/>
      <c r="F51" s="51"/>
      <c r="G51" s="51" t="s">
        <v>28</v>
      </c>
      <c r="H51" s="51" t="s">
        <v>29</v>
      </c>
      <c r="I51" s="51" t="s">
        <v>34</v>
      </c>
      <c r="J51" s="51" t="s">
        <v>36</v>
      </c>
      <c r="K51" s="51" t="s">
        <v>38</v>
      </c>
      <c r="L51" s="51"/>
      <c r="M51" s="51" t="s">
        <v>34</v>
      </c>
      <c r="Q51" s="46"/>
    </row>
    <row r="52" spans="1:17">
      <c r="A52" s="180" t="s">
        <v>5</v>
      </c>
      <c r="B52" s="180"/>
      <c r="C52" s="180" t="s">
        <v>2</v>
      </c>
      <c r="D52" s="180" t="s">
        <v>2</v>
      </c>
      <c r="E52" s="180"/>
      <c r="F52" s="180" t="s">
        <v>108</v>
      </c>
      <c r="G52" s="180" t="s">
        <v>20</v>
      </c>
      <c r="H52" s="229" t="s">
        <v>20</v>
      </c>
      <c r="I52" s="180" t="s">
        <v>0</v>
      </c>
      <c r="J52" s="180" t="s">
        <v>37</v>
      </c>
      <c r="K52" s="180" t="s">
        <v>0</v>
      </c>
      <c r="L52" s="180" t="s">
        <v>39</v>
      </c>
      <c r="M52" s="53" t="s">
        <v>190</v>
      </c>
      <c r="Q52" s="46"/>
    </row>
    <row r="53" spans="1:17">
      <c r="C53" s="54"/>
      <c r="D53" s="54" t="s">
        <v>71</v>
      </c>
      <c r="E53" s="55"/>
      <c r="F53" s="55"/>
      <c r="G53" s="55"/>
      <c r="H53" s="55"/>
      <c r="Q53" s="47"/>
    </row>
    <row r="54" spans="1:17">
      <c r="A54" s="49">
        <v>1</v>
      </c>
      <c r="C54" s="54" t="s">
        <v>70</v>
      </c>
      <c r="D54" s="56"/>
      <c r="G54" s="28">
        <f>G11+G13</f>
        <v>8436780.1900000013</v>
      </c>
      <c r="H54" s="28">
        <f>H11</f>
        <v>56107823.270000011</v>
      </c>
      <c r="I54" s="59"/>
      <c r="Q54" s="47"/>
    </row>
    <row r="55" spans="1:17">
      <c r="A55" s="49">
        <v>2</v>
      </c>
      <c r="C55" s="54" t="s">
        <v>74</v>
      </c>
      <c r="D55" s="56"/>
      <c r="G55" s="28"/>
      <c r="H55" s="28">
        <f>H12</f>
        <v>4832943.2300000004</v>
      </c>
      <c r="Q55" s="47"/>
    </row>
    <row r="56" spans="1:17">
      <c r="A56" s="49">
        <v>3</v>
      </c>
      <c r="C56" s="54" t="s">
        <v>191</v>
      </c>
      <c r="D56" s="56"/>
      <c r="G56" s="28"/>
      <c r="H56" s="28"/>
      <c r="Q56" s="47"/>
    </row>
    <row r="57" spans="1:17">
      <c r="C57" s="56"/>
      <c r="Q57" s="47"/>
    </row>
    <row r="58" spans="1:17">
      <c r="G58" s="192"/>
      <c r="H58" s="192"/>
      <c r="I58" s="192"/>
      <c r="J58" s="192"/>
      <c r="K58" s="241"/>
      <c r="Q58" s="47"/>
    </row>
    <row r="59" spans="1:17">
      <c r="Q59" s="48"/>
    </row>
    <row r="60" spans="1:17">
      <c r="A60" s="49">
        <f>A56+1</f>
        <v>4</v>
      </c>
      <c r="C60" s="58">
        <v>3.7499999999999999E-2</v>
      </c>
      <c r="D60" s="58">
        <v>0.05</v>
      </c>
      <c r="F60" s="49">
        <v>1</v>
      </c>
      <c r="G60" s="28">
        <f>G17</f>
        <v>50754.263493008351</v>
      </c>
      <c r="H60" s="28">
        <f>(('201801 Bk Depr'!$L$17-SUM('2018 Capital Budget'!F8:F11,'2018 Capital Budget'!F26:F29,'2018 Capital Budget'!F35))*$C$60)+SUM('2018 Capital Budget'!F8:F11,'2018 Capital Budget'!F26:F29,'2018 Capital Budget'!F35)</f>
        <v>480827.83550000004</v>
      </c>
      <c r="I60" s="28">
        <f>SUM(G60:H60)</f>
        <v>531582.09899300837</v>
      </c>
      <c r="J60" s="228">
        <f>'201801 Bk Depr'!$L$31</f>
        <v>48989.79</v>
      </c>
      <c r="K60" s="228">
        <f>'201801 Bk Depr'!$P$17</f>
        <v>42241.899438000015</v>
      </c>
      <c r="L60" s="28">
        <f t="shared" ref="L60:L65" si="18">I60+J60-K60</f>
        <v>538329.98955500836</v>
      </c>
      <c r="M60" s="28">
        <f t="shared" ref="M60:M65" si="19">L60*0.06</f>
        <v>32299.799373300499</v>
      </c>
      <c r="Q60" s="48"/>
    </row>
    <row r="61" spans="1:17">
      <c r="A61" s="49">
        <f>A60+1</f>
        <v>5</v>
      </c>
      <c r="C61" s="58">
        <v>7.2190000000000004E-2</v>
      </c>
      <c r="D61" s="58">
        <v>9.5000000000000001E-2</v>
      </c>
      <c r="F61" s="49">
        <v>2</v>
      </c>
      <c r="G61" s="28">
        <f t="shared" ref="G61:G71" si="20">G18</f>
        <v>50754.263493008351</v>
      </c>
      <c r="H61" s="28">
        <f>(('201802 Bk Depr'!$L$17-SUM('2018 Capital Budget'!G8:G11,'2018 Capital Budget'!G26:G29,'2018 Capital Budget'!G35))*$C$60)+SUM('2018 Capital Budget'!G8:G11,'2018 Capital Budget'!G26:G29,'2018 Capital Budget'!G35)</f>
        <v>403190.98987499991</v>
      </c>
      <c r="I61" s="28">
        <f t="shared" ref="I61:I71" si="21">SUM(G61:H61)</f>
        <v>453945.25336800824</v>
      </c>
      <c r="J61" s="228">
        <f>'201802 Bk Depr'!$L$31</f>
        <v>44356.46</v>
      </c>
      <c r="K61" s="228">
        <f>'201802 Bk Depr'!$P$17</f>
        <v>45268.38520650001</v>
      </c>
      <c r="L61" s="28">
        <f t="shared" si="18"/>
        <v>453033.32816150825</v>
      </c>
      <c r="M61" s="28">
        <f t="shared" si="19"/>
        <v>27181.999689690496</v>
      </c>
      <c r="Q61" s="48"/>
    </row>
    <row r="62" spans="1:17">
      <c r="A62" s="49">
        <f t="shared" ref="A62:A87" si="22">A61+1</f>
        <v>6</v>
      </c>
      <c r="C62" s="58">
        <v>6.6769999999999996E-2</v>
      </c>
      <c r="D62" s="58">
        <v>8.5500000000000007E-2</v>
      </c>
      <c r="F62" s="49">
        <v>3</v>
      </c>
      <c r="G62" s="28">
        <f t="shared" si="20"/>
        <v>50754.263493008351</v>
      </c>
      <c r="H62" s="28">
        <f>(('201803 Bk Depr'!$L$17-SUM('2018 Capital Budget'!H8:H11,'2018 Capital Budget'!H26:H29,'2018 Capital Budget'!H35))*$C$60)+SUM('2018 Capital Budget'!H8:H11,'2018 Capital Budget'!H26:H29,'2018 Capital Budget'!H35)</f>
        <v>517603.45662499999</v>
      </c>
      <c r="I62" s="28">
        <f t="shared" si="21"/>
        <v>568357.72011800832</v>
      </c>
      <c r="J62" s="228">
        <f>'201803 Bk Depr'!$L$31</f>
        <v>46163.42</v>
      </c>
      <c r="K62" s="228">
        <f>'201803 Bk Depr'!$P$17</f>
        <v>49271.971173750018</v>
      </c>
      <c r="L62" s="28">
        <f t="shared" si="18"/>
        <v>565249.16894425836</v>
      </c>
      <c r="M62" s="28">
        <f t="shared" si="19"/>
        <v>33914.950136655498</v>
      </c>
      <c r="Q62" s="48"/>
    </row>
    <row r="63" spans="1:17">
      <c r="A63" s="49">
        <f t="shared" si="22"/>
        <v>7</v>
      </c>
      <c r="C63" s="58">
        <v>6.1769999999999999E-2</v>
      </c>
      <c r="D63" s="58">
        <v>7.6999999999999999E-2</v>
      </c>
      <c r="F63" s="49">
        <v>4</v>
      </c>
      <c r="G63" s="28">
        <f t="shared" si="20"/>
        <v>50754.263493008351</v>
      </c>
      <c r="H63" s="28">
        <f>(('201804 Bk Depr'!$L$17-SUM('2018 Capital Budget'!I8:I11,'2018 Capital Budget'!I26:I29,'2018 Capital Budget'!I35))*$C$60)+SUM('2018 Capital Budget'!I8:I11,'2018 Capital Budget'!I26:I29,'2018 Capital Budget'!I35)</f>
        <v>456241.167625</v>
      </c>
      <c r="I63" s="28">
        <f t="shared" si="21"/>
        <v>506995.43111800833</v>
      </c>
      <c r="J63" s="228">
        <f>'201804 Bk Depr'!$L$31</f>
        <v>44778.83</v>
      </c>
      <c r="K63" s="228">
        <f>'201804 Bk Depr'!$P$17</f>
        <v>54274.478726250003</v>
      </c>
      <c r="L63" s="28">
        <f t="shared" si="18"/>
        <v>497499.78239175829</v>
      </c>
      <c r="M63" s="28">
        <f t="shared" si="19"/>
        <v>29849.986943505497</v>
      </c>
      <c r="Q63" s="48"/>
    </row>
    <row r="64" spans="1:17">
      <c r="A64" s="49">
        <f t="shared" si="22"/>
        <v>8</v>
      </c>
      <c r="C64" s="58">
        <v>5.713E-2</v>
      </c>
      <c r="D64" s="58">
        <v>6.93E-2</v>
      </c>
      <c r="F64" s="49">
        <v>5</v>
      </c>
      <c r="G64" s="28">
        <f t="shared" si="20"/>
        <v>50754.263493008351</v>
      </c>
      <c r="H64" s="28">
        <f>(('201805 Bk Depr'!$L$17-SUM('2018 Capital Budget'!J8:J11,'2018 Capital Budget'!J26:J29,'2018 Capital Budget'!J35))*$C$60)+SUM('2018 Capital Budget'!J8:J11,'2018 Capital Budget'!J26:J29,'2018 Capital Budget'!J35)</f>
        <v>539492.83299999998</v>
      </c>
      <c r="I64" s="28">
        <f t="shared" si="21"/>
        <v>590247.09649300831</v>
      </c>
      <c r="J64" s="228">
        <f>'201805 Bk Depr'!$L$31</f>
        <v>48830.07</v>
      </c>
      <c r="K64" s="228">
        <f>'201805 Bk Depr'!$P$17</f>
        <v>59773.80952575001</v>
      </c>
      <c r="L64" s="28">
        <f t="shared" si="18"/>
        <v>579303.35696725827</v>
      </c>
      <c r="M64" s="28">
        <f t="shared" si="19"/>
        <v>34758.201418035496</v>
      </c>
      <c r="Q64" s="48"/>
    </row>
    <row r="65" spans="1:17">
      <c r="A65" s="49">
        <f t="shared" si="22"/>
        <v>9</v>
      </c>
      <c r="C65" s="58">
        <v>5.2850000000000001E-2</v>
      </c>
      <c r="D65" s="58">
        <v>6.2300000000000001E-2</v>
      </c>
      <c r="F65" s="49">
        <v>6</v>
      </c>
      <c r="G65" s="28">
        <f t="shared" si="20"/>
        <v>50754.263493008351</v>
      </c>
      <c r="H65" s="28">
        <f>(('201806 Bk Depr'!$L$17-SUM('2018 Capital Budget'!K8:K11,'2018 Capital Budget'!K26:K29,'2018 Capital Budget'!K35))*$C$60)+SUM('2018 Capital Budget'!K8:K11,'2018 Capital Budget'!K26:K29,'2018 Capital Budget'!K35)</f>
        <v>493337.48899999994</v>
      </c>
      <c r="I65" s="28">
        <f t="shared" si="21"/>
        <v>544091.75249300827</v>
      </c>
      <c r="J65" s="228">
        <f>'201806 Bk Depr'!$L$31</f>
        <v>45124.59</v>
      </c>
      <c r="K65" s="228">
        <f>'201806 Bk Depr'!$P$17</f>
        <v>66151.203099750011</v>
      </c>
      <c r="L65" s="28">
        <f t="shared" si="18"/>
        <v>523065.13939325826</v>
      </c>
      <c r="M65" s="28">
        <f t="shared" si="19"/>
        <v>31383.908363595496</v>
      </c>
      <c r="Q65" s="48"/>
    </row>
    <row r="66" spans="1:17">
      <c r="A66" s="49">
        <f t="shared" si="22"/>
        <v>10</v>
      </c>
      <c r="C66" s="58">
        <v>4.888E-2</v>
      </c>
      <c r="D66" s="58">
        <v>5.8999999999999997E-2</v>
      </c>
      <c r="F66" s="49">
        <v>7</v>
      </c>
      <c r="G66" s="28">
        <f t="shared" si="20"/>
        <v>50754.263493008351</v>
      </c>
      <c r="H66" s="28">
        <f>(('201807 Bk Depr'!$L$17-SUM('2018 Capital Budget'!L8:L11,'2018 Capital Budget'!L26:L29,'2018 Capital Budget'!L35))*$C$60)+SUM('2018 Capital Budget'!L8:L11,'2018 Capital Budget'!L26:L29,'2018 Capital Budget'!L35)</f>
        <v>492163.37262499996</v>
      </c>
      <c r="I66" s="28">
        <f t="shared" si="21"/>
        <v>542917.63611800829</v>
      </c>
      <c r="J66" s="228">
        <f>'201807 Bk Depr'!$L$31</f>
        <v>46511.94</v>
      </c>
      <c r="K66" s="228">
        <f>'201807 Bk Depr'!$P$17</f>
        <v>73052.119613250019</v>
      </c>
      <c r="L66" s="28">
        <f t="shared" ref="L66:L71" si="23">I66+J66-K66</f>
        <v>516377.45650475821</v>
      </c>
      <c r="M66" s="28">
        <f t="shared" ref="M66:M71" si="24">L66*0.06</f>
        <v>30982.647390285492</v>
      </c>
      <c r="Q66" s="48"/>
    </row>
    <row r="67" spans="1:17">
      <c r="A67" s="49">
        <f t="shared" si="22"/>
        <v>11</v>
      </c>
      <c r="C67" s="58">
        <v>4.5220000000000003E-2</v>
      </c>
      <c r="D67" s="58">
        <v>5.8999999999999997E-2</v>
      </c>
      <c r="F67" s="49">
        <v>8</v>
      </c>
      <c r="G67" s="28">
        <f t="shared" si="20"/>
        <v>50754.263493008351</v>
      </c>
      <c r="H67" s="28">
        <f>(('201808 Bk Depr'!$L$17-SUM('2018 Capital Budget'!M8:M11,'2018 Capital Budget'!M26:M29,'2018 Capital Budget'!M35))*$C$60)+SUM('2018 Capital Budget'!M8:M11,'2018 Capital Budget'!M26:M29,'2018 Capital Budget'!M35)</f>
        <v>553842.31974999991</v>
      </c>
      <c r="I67" s="28">
        <f t="shared" si="21"/>
        <v>604596.58324300824</v>
      </c>
      <c r="J67" s="228">
        <f>'201808 Bk Depr'!$L$31</f>
        <v>50113.919999999998</v>
      </c>
      <c r="K67" s="228">
        <f>'201808 Bk Depr'!$P$17</f>
        <v>80175.475451250008</v>
      </c>
      <c r="L67" s="28">
        <f t="shared" si="23"/>
        <v>574535.0277917583</v>
      </c>
      <c r="M67" s="28">
        <f t="shared" si="24"/>
        <v>34472.1016675055</v>
      </c>
      <c r="Q67" s="48"/>
    </row>
    <row r="68" spans="1:17">
      <c r="A68" s="49">
        <f t="shared" si="22"/>
        <v>12</v>
      </c>
      <c r="C68" s="58">
        <v>4.462E-2</v>
      </c>
      <c r="D68" s="58">
        <v>5.91E-2</v>
      </c>
      <c r="F68" s="49">
        <v>9</v>
      </c>
      <c r="G68" s="28">
        <f t="shared" si="20"/>
        <v>50754.263493008351</v>
      </c>
      <c r="H68" s="28">
        <f>(('201809 Bk Depr'!$L$17-SUM('2018 Capital Budget'!N8:N11,'2018 Capital Budget'!N26:N29,'2018 Capital Budget'!N35))*$C$60)+SUM('2018 Capital Budget'!N8:N11,'2018 Capital Budget'!N26:N29,'2018 Capital Budget'!N35)</f>
        <v>464466.17062499997</v>
      </c>
      <c r="I68" s="28">
        <f t="shared" si="21"/>
        <v>515220.4341180083</v>
      </c>
      <c r="J68" s="228">
        <f>'201809 Bk Depr'!$L$31</f>
        <v>45083.14</v>
      </c>
      <c r="K68" s="228">
        <f>'201809 Bk Depr'!$P$17</f>
        <v>87241.677115500032</v>
      </c>
      <c r="L68" s="28">
        <f t="shared" si="23"/>
        <v>473061.89700250822</v>
      </c>
      <c r="M68" s="28">
        <f t="shared" si="24"/>
        <v>28383.713820150493</v>
      </c>
      <c r="Q68" s="48"/>
    </row>
    <row r="69" spans="1:17">
      <c r="A69" s="49">
        <f t="shared" si="22"/>
        <v>13</v>
      </c>
      <c r="C69" s="58">
        <v>4.4609999999999997E-2</v>
      </c>
      <c r="D69" s="58">
        <v>5.8999999999999997E-2</v>
      </c>
      <c r="F69" s="49">
        <v>10</v>
      </c>
      <c r="G69" s="28">
        <f t="shared" si="20"/>
        <v>50754.263493008351</v>
      </c>
      <c r="H69" s="28">
        <f>(('201810 Bk Depr'!$L$17-SUM('2018 Capital Budget'!O8:O11,'2018 Capital Budget'!O26:O29,'2018 Capital Budget'!O35))*$C$60)+SUM('2018 Capital Budget'!O8:O11,'2018 Capital Budget'!O26:O29,'2018 Capital Budget'!O35)</f>
        <v>542511.05099999998</v>
      </c>
      <c r="I69" s="28">
        <f t="shared" si="21"/>
        <v>593265.31449300831</v>
      </c>
      <c r="J69" s="228">
        <f>'201810 Bk Depr'!$L$31</f>
        <v>49418.58</v>
      </c>
      <c r="K69" s="228">
        <f>'201810 Bk Depr'!$P$17</f>
        <v>94178.697840000023</v>
      </c>
      <c r="L69" s="28">
        <f t="shared" si="23"/>
        <v>548505.19665300823</v>
      </c>
      <c r="M69" s="28">
        <f t="shared" si="24"/>
        <v>32910.31179918049</v>
      </c>
      <c r="Q69" s="48"/>
    </row>
    <row r="70" spans="1:17">
      <c r="A70" s="49">
        <f t="shared" si="22"/>
        <v>14</v>
      </c>
      <c r="C70" s="58">
        <v>4.462E-2</v>
      </c>
      <c r="D70" s="58">
        <v>5.91E-2</v>
      </c>
      <c r="F70" s="49">
        <v>11</v>
      </c>
      <c r="G70" s="28">
        <f t="shared" si="20"/>
        <v>50754.263493008351</v>
      </c>
      <c r="H70" s="28">
        <f>(('201811 Bk Depr'!$L$17-SUM('2018 Capital Budget'!P8:P11,'2018 Capital Budget'!P26:P29,'2018 Capital Budget'!P35))*$C$60)+SUM('2018 Capital Budget'!P8:P11,'2018 Capital Budget'!P26:P29,'2018 Capital Budget'!P35)</f>
        <v>452421.09312500001</v>
      </c>
      <c r="I70" s="28">
        <f t="shared" si="21"/>
        <v>503175.35661800834</v>
      </c>
      <c r="J70" s="228">
        <f>'201811 Bk Depr'!$L$31</f>
        <v>45465.22</v>
      </c>
      <c r="K70" s="228">
        <f>'201811 Bk Depr'!$P$17</f>
        <v>100133.03598075002</v>
      </c>
      <c r="L70" s="28">
        <f t="shared" si="23"/>
        <v>448507.54063725832</v>
      </c>
      <c r="M70" s="28">
        <f t="shared" si="24"/>
        <v>26910.452438235498</v>
      </c>
      <c r="Q70" s="48"/>
    </row>
    <row r="71" spans="1:17">
      <c r="A71" s="49">
        <f t="shared" si="22"/>
        <v>15</v>
      </c>
      <c r="C71" s="58">
        <v>4.4609999999999997E-2</v>
      </c>
      <c r="D71" s="58">
        <v>5.8999999999999997E-2</v>
      </c>
      <c r="F71" s="49">
        <v>12</v>
      </c>
      <c r="G71" s="28">
        <f t="shared" si="20"/>
        <v>50754.263493008351</v>
      </c>
      <c r="H71" s="28">
        <f>(('201812 Bk Depr'!$L$17-SUM('2018 Capital Budget'!Q8:Q11,'2018 Capital Budget'!Q26:Q29,'2018 Capital Budget'!Q35))*$C$60)+SUM('2018 Capital Budget'!Q8:Q11,'2018 Capital Budget'!Q26:Q29,'2018 Capital Budget'!Q35)</f>
        <v>385751.299375</v>
      </c>
      <c r="I71" s="28">
        <f t="shared" si="21"/>
        <v>436505.56286800833</v>
      </c>
      <c r="J71" s="228">
        <f>'201812 Bk Depr'!$L$31</f>
        <v>41996.3</v>
      </c>
      <c r="K71" s="228">
        <f>'201812 Bk Depr'!$P$17</f>
        <v>104416.44647175004</v>
      </c>
      <c r="L71" s="28">
        <f t="shared" si="23"/>
        <v>374085.41639625828</v>
      </c>
      <c r="M71" s="28">
        <f t="shared" si="24"/>
        <v>22445.124983775495</v>
      </c>
      <c r="Q71" s="48"/>
    </row>
    <row r="72" spans="1:17">
      <c r="A72" s="49">
        <f t="shared" si="22"/>
        <v>16</v>
      </c>
      <c r="C72" s="58">
        <v>4.462E-2</v>
      </c>
      <c r="D72" s="58">
        <v>5.91E-2</v>
      </c>
      <c r="G72" s="28"/>
      <c r="H72" s="28"/>
      <c r="I72" s="28"/>
      <c r="J72" s="28"/>
      <c r="K72" s="28"/>
      <c r="L72" s="28" t="str">
        <f t="shared" ref="L72:L86" si="25">IF(K72=0,"",I72+J72-K72)</f>
        <v/>
      </c>
      <c r="M72" s="28" t="str">
        <f t="shared" ref="M72:M86" si="26">IF(L72="","",L72*0.389)</f>
        <v/>
      </c>
      <c r="N72" s="48"/>
      <c r="O72" s="48"/>
      <c r="P72" s="48"/>
      <c r="Q72" s="28" t="str">
        <f t="shared" ref="Q72:Q86" si="27">IF(M72="","",Q71+M72)</f>
        <v/>
      </c>
    </row>
    <row r="73" spans="1:17">
      <c r="A73" s="49">
        <f t="shared" si="22"/>
        <v>17</v>
      </c>
      <c r="C73" s="58">
        <v>4.4609999999999997E-2</v>
      </c>
      <c r="D73" s="58">
        <v>5.8999999999999997E-2</v>
      </c>
      <c r="G73" s="28"/>
      <c r="H73" s="28"/>
      <c r="I73" s="28"/>
      <c r="J73" s="28"/>
      <c r="K73" s="28"/>
      <c r="L73" s="28" t="str">
        <f t="shared" si="25"/>
        <v/>
      </c>
      <c r="M73" s="28" t="str">
        <f t="shared" si="26"/>
        <v/>
      </c>
      <c r="N73" s="48"/>
      <c r="O73" s="48"/>
      <c r="P73" s="48"/>
      <c r="Q73" s="28" t="str">
        <f t="shared" si="27"/>
        <v/>
      </c>
    </row>
    <row r="74" spans="1:17">
      <c r="A74" s="49">
        <f t="shared" si="22"/>
        <v>18</v>
      </c>
      <c r="C74" s="58">
        <v>4.462E-2</v>
      </c>
      <c r="D74" s="58">
        <v>5.91E-2</v>
      </c>
      <c r="G74" s="28"/>
      <c r="H74" s="28"/>
      <c r="I74" s="28"/>
      <c r="J74" s="28"/>
      <c r="K74" s="28"/>
      <c r="L74" s="28" t="str">
        <f t="shared" si="25"/>
        <v/>
      </c>
      <c r="M74" s="28" t="str">
        <f t="shared" si="26"/>
        <v/>
      </c>
      <c r="N74" s="48"/>
      <c r="O74" s="48"/>
      <c r="P74" s="48"/>
      <c r="Q74" s="28" t="str">
        <f t="shared" si="27"/>
        <v/>
      </c>
    </row>
    <row r="75" spans="1:17">
      <c r="A75" s="49">
        <f t="shared" si="22"/>
        <v>19</v>
      </c>
      <c r="C75" s="58">
        <v>4.4609999999999997E-2</v>
      </c>
      <c r="D75" s="58">
        <v>2.9499999999999998E-2</v>
      </c>
      <c r="G75" s="28"/>
      <c r="H75" s="28"/>
      <c r="I75" s="28"/>
      <c r="J75" s="28"/>
      <c r="K75" s="28"/>
      <c r="L75" s="28" t="str">
        <f t="shared" si="25"/>
        <v/>
      </c>
      <c r="M75" s="28" t="str">
        <f t="shared" si="26"/>
        <v/>
      </c>
      <c r="N75" s="48"/>
      <c r="O75" s="48"/>
      <c r="P75" s="48"/>
      <c r="Q75" s="28" t="str">
        <f t="shared" si="27"/>
        <v/>
      </c>
    </row>
    <row r="76" spans="1:17">
      <c r="A76" s="49">
        <f t="shared" si="22"/>
        <v>20</v>
      </c>
      <c r="C76" s="58">
        <v>4.462E-2</v>
      </c>
      <c r="D76" s="58">
        <v>0</v>
      </c>
      <c r="G76" s="28"/>
      <c r="H76" s="28"/>
      <c r="I76" s="28"/>
      <c r="J76" s="28"/>
      <c r="K76" s="28"/>
      <c r="L76" s="28" t="str">
        <f t="shared" si="25"/>
        <v/>
      </c>
      <c r="M76" s="28" t="str">
        <f t="shared" si="26"/>
        <v/>
      </c>
      <c r="N76" s="48"/>
      <c r="O76" s="48"/>
      <c r="P76" s="48"/>
      <c r="Q76" s="28" t="str">
        <f t="shared" si="27"/>
        <v/>
      </c>
    </row>
    <row r="77" spans="1:17">
      <c r="A77" s="49">
        <f t="shared" si="22"/>
        <v>21</v>
      </c>
      <c r="C77" s="58">
        <v>4.4609999999999997E-2</v>
      </c>
      <c r="D77" s="58">
        <v>0</v>
      </c>
      <c r="G77" s="28"/>
      <c r="H77" s="28"/>
      <c r="I77" s="28"/>
      <c r="J77" s="28"/>
      <c r="K77" s="28"/>
      <c r="L77" s="28" t="str">
        <f t="shared" si="25"/>
        <v/>
      </c>
      <c r="M77" s="28" t="str">
        <f t="shared" si="26"/>
        <v/>
      </c>
      <c r="N77" s="48"/>
      <c r="O77" s="48"/>
      <c r="P77" s="48"/>
      <c r="Q77" s="28" t="str">
        <f t="shared" si="27"/>
        <v/>
      </c>
    </row>
    <row r="78" spans="1:17">
      <c r="A78" s="49">
        <f t="shared" si="22"/>
        <v>22</v>
      </c>
      <c r="C78" s="58">
        <v>4.462E-2</v>
      </c>
      <c r="D78" s="58">
        <v>0</v>
      </c>
      <c r="G78" s="28"/>
      <c r="H78" s="28"/>
      <c r="I78" s="28"/>
      <c r="J78" s="28"/>
      <c r="K78" s="28"/>
      <c r="L78" s="28" t="str">
        <f t="shared" si="25"/>
        <v/>
      </c>
      <c r="M78" s="28" t="str">
        <f t="shared" si="26"/>
        <v/>
      </c>
      <c r="N78" s="48"/>
      <c r="O78" s="48"/>
      <c r="P78" s="48"/>
      <c r="Q78" s="28" t="str">
        <f t="shared" si="27"/>
        <v/>
      </c>
    </row>
    <row r="79" spans="1:17">
      <c r="A79" s="49">
        <f t="shared" si="22"/>
        <v>23</v>
      </c>
      <c r="C79" s="58">
        <v>4.4609999999999997E-2</v>
      </c>
      <c r="D79" s="58">
        <v>0</v>
      </c>
      <c r="G79" s="28"/>
      <c r="H79" s="28"/>
      <c r="I79" s="28"/>
      <c r="J79" s="28"/>
      <c r="K79" s="28"/>
      <c r="L79" s="28" t="str">
        <f t="shared" si="25"/>
        <v/>
      </c>
      <c r="M79" s="28" t="str">
        <f t="shared" si="26"/>
        <v/>
      </c>
      <c r="N79" s="48"/>
      <c r="O79" s="48"/>
      <c r="P79" s="48"/>
      <c r="Q79" s="28" t="str">
        <f t="shared" si="27"/>
        <v/>
      </c>
    </row>
    <row r="80" spans="1:17">
      <c r="A80" s="49">
        <f t="shared" si="22"/>
        <v>24</v>
      </c>
      <c r="C80" s="58">
        <v>2.231E-2</v>
      </c>
      <c r="D80" s="58">
        <v>0</v>
      </c>
      <c r="G80" s="28"/>
      <c r="H80" s="28"/>
      <c r="I80" s="28"/>
      <c r="J80" s="28"/>
      <c r="K80" s="28"/>
      <c r="L80" s="28" t="str">
        <f t="shared" si="25"/>
        <v/>
      </c>
      <c r="M80" s="28" t="str">
        <f t="shared" si="26"/>
        <v/>
      </c>
      <c r="N80" s="48"/>
      <c r="O80" s="48"/>
      <c r="P80" s="48"/>
      <c r="Q80" s="28" t="str">
        <f t="shared" si="27"/>
        <v/>
      </c>
    </row>
    <row r="81" spans="1:17">
      <c r="A81" s="49">
        <f t="shared" si="22"/>
        <v>25</v>
      </c>
      <c r="C81" s="58">
        <v>0</v>
      </c>
      <c r="D81" s="58">
        <v>0</v>
      </c>
      <c r="G81" s="28"/>
      <c r="H81" s="28"/>
      <c r="I81" s="28"/>
      <c r="J81" s="28"/>
      <c r="K81" s="28"/>
      <c r="L81" s="28" t="str">
        <f t="shared" si="25"/>
        <v/>
      </c>
      <c r="M81" s="28" t="str">
        <f t="shared" si="26"/>
        <v/>
      </c>
      <c r="N81" s="48"/>
      <c r="O81" s="48"/>
      <c r="P81" s="48"/>
      <c r="Q81" s="28" t="str">
        <f t="shared" si="27"/>
        <v/>
      </c>
    </row>
    <row r="82" spans="1:17">
      <c r="A82" s="49">
        <f t="shared" si="22"/>
        <v>26</v>
      </c>
      <c r="C82" s="58">
        <v>0</v>
      </c>
      <c r="G82" s="28"/>
      <c r="H82" s="28"/>
      <c r="I82" s="28"/>
      <c r="L82" s="28" t="str">
        <f t="shared" si="25"/>
        <v/>
      </c>
      <c r="M82" s="28" t="str">
        <f t="shared" si="26"/>
        <v/>
      </c>
      <c r="N82" s="48"/>
      <c r="O82" s="48"/>
      <c r="P82" s="48"/>
      <c r="Q82" s="28" t="str">
        <f t="shared" si="27"/>
        <v/>
      </c>
    </row>
    <row r="83" spans="1:17">
      <c r="A83" s="49">
        <f t="shared" si="22"/>
        <v>27</v>
      </c>
      <c r="C83" s="58">
        <v>0</v>
      </c>
      <c r="G83" s="28"/>
      <c r="H83" s="28"/>
      <c r="I83" s="28"/>
      <c r="L83" s="28" t="str">
        <f t="shared" si="25"/>
        <v/>
      </c>
      <c r="M83" s="28" t="str">
        <f t="shared" si="26"/>
        <v/>
      </c>
      <c r="N83" s="48"/>
      <c r="O83" s="48"/>
      <c r="P83" s="48"/>
      <c r="Q83" s="28" t="str">
        <f t="shared" si="27"/>
        <v/>
      </c>
    </row>
    <row r="84" spans="1:17">
      <c r="A84" s="49">
        <f t="shared" si="22"/>
        <v>28</v>
      </c>
      <c r="C84" s="58">
        <v>0</v>
      </c>
      <c r="G84" s="28"/>
      <c r="H84" s="28"/>
      <c r="I84" s="28"/>
      <c r="L84" s="28" t="str">
        <f t="shared" si="25"/>
        <v/>
      </c>
      <c r="M84" s="28" t="str">
        <f t="shared" si="26"/>
        <v/>
      </c>
      <c r="N84" s="48"/>
      <c r="O84" s="48"/>
      <c r="P84" s="48"/>
      <c r="Q84" s="28" t="str">
        <f t="shared" si="27"/>
        <v/>
      </c>
    </row>
    <row r="85" spans="1:17">
      <c r="A85" s="49">
        <f t="shared" si="22"/>
        <v>29</v>
      </c>
      <c r="C85" s="58">
        <v>0</v>
      </c>
      <c r="G85" s="28"/>
      <c r="H85" s="28"/>
      <c r="I85" s="28"/>
      <c r="L85" s="28" t="str">
        <f t="shared" si="25"/>
        <v/>
      </c>
      <c r="M85" s="28" t="str">
        <f t="shared" si="26"/>
        <v/>
      </c>
      <c r="N85" s="48"/>
      <c r="O85" s="48"/>
      <c r="P85" s="48"/>
      <c r="Q85" s="28" t="str">
        <f t="shared" si="27"/>
        <v/>
      </c>
    </row>
    <row r="86" spans="1:17">
      <c r="A86" s="49">
        <f t="shared" si="22"/>
        <v>30</v>
      </c>
      <c r="C86" s="58">
        <v>0</v>
      </c>
      <c r="I86" s="28"/>
      <c r="L86" s="28" t="str">
        <f t="shared" si="25"/>
        <v/>
      </c>
      <c r="M86" s="28" t="str">
        <f t="shared" si="26"/>
        <v/>
      </c>
      <c r="Q86" s="28" t="str">
        <f t="shared" si="27"/>
        <v/>
      </c>
    </row>
    <row r="87" spans="1:17">
      <c r="A87" s="49">
        <f t="shared" si="22"/>
        <v>31</v>
      </c>
      <c r="G87" s="28">
        <f t="shared" ref="G87:M87" si="28">SUM(G60:G86)</f>
        <v>609051.16191610007</v>
      </c>
      <c r="H87" s="28">
        <f t="shared" si="28"/>
        <v>5781849.078125</v>
      </c>
      <c r="I87" s="28">
        <f t="shared" si="28"/>
        <v>6390900.2400410995</v>
      </c>
      <c r="J87" s="28">
        <f t="shared" si="28"/>
        <v>556832.26000000013</v>
      </c>
      <c r="K87" s="28">
        <f t="shared" si="28"/>
        <v>856179.19964250026</v>
      </c>
      <c r="L87" s="28">
        <f t="shared" si="28"/>
        <v>6091553.3003985994</v>
      </c>
      <c r="M87" s="28">
        <f t="shared" si="28"/>
        <v>365493.19802391593</v>
      </c>
      <c r="N87" s="28"/>
      <c r="O87" s="28"/>
      <c r="P87" s="28"/>
      <c r="Q87" s="28"/>
    </row>
    <row r="88" spans="1:17">
      <c r="G88" s="28"/>
      <c r="H88" s="28"/>
      <c r="I88" s="28"/>
      <c r="J88" s="28"/>
      <c r="K88" s="28"/>
      <c r="Q88" s="28"/>
    </row>
    <row r="90" spans="1:17">
      <c r="B90" s="57" t="s">
        <v>171</v>
      </c>
      <c r="C90" s="49" t="s">
        <v>383</v>
      </c>
    </row>
    <row r="91" spans="1:17">
      <c r="B91" s="57" t="s">
        <v>172</v>
      </c>
      <c r="C91" s="49" t="s">
        <v>382</v>
      </c>
      <c r="D91" s="242"/>
    </row>
  </sheetData>
  <pageMargins left="0.7" right="0.7" top="0.75" bottom="0.75" header="0.3" footer="0.3"/>
  <pageSetup scale="10" orientation="landscape" r:id="rId1"/>
  <headerFooter>
    <oddFooter>&amp;R&amp;"Times New Roman,Bold"&amp;17Exhibit 4
Page 17 of 17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6.42578125" style="196" customWidth="1"/>
    <col min="2" max="2" width="12" style="196" bestFit="1" customWidth="1"/>
    <col min="3" max="3" width="13.85546875" style="196" bestFit="1" customWidth="1"/>
    <col min="4" max="4" width="34.7109375" style="196" bestFit="1" customWidth="1"/>
    <col min="5" max="5" width="7" style="196" bestFit="1" customWidth="1"/>
    <col min="6" max="17" width="9.7109375" style="196" customWidth="1"/>
    <col min="18" max="18" width="11.5703125" style="196" customWidth="1"/>
    <col min="19" max="16384" width="9.140625" style="196"/>
  </cols>
  <sheetData>
    <row r="1" spans="1:19">
      <c r="A1" s="195" t="s">
        <v>298</v>
      </c>
    </row>
    <row r="2" spans="1:19">
      <c r="A2" s="195" t="s">
        <v>299</v>
      </c>
    </row>
    <row r="3" spans="1:19">
      <c r="A3" s="195" t="s">
        <v>300</v>
      </c>
    </row>
    <row r="6" spans="1:19">
      <c r="A6" s="197" t="s">
        <v>301</v>
      </c>
      <c r="B6" s="197" t="s">
        <v>139</v>
      </c>
      <c r="C6" s="197" t="s">
        <v>141</v>
      </c>
      <c r="D6" s="197" t="s">
        <v>302</v>
      </c>
      <c r="E6" s="197" t="s">
        <v>143</v>
      </c>
      <c r="F6" s="197" t="s">
        <v>303</v>
      </c>
      <c r="G6" s="197" t="s">
        <v>304</v>
      </c>
      <c r="H6" s="197" t="s">
        <v>305</v>
      </c>
      <c r="I6" s="197" t="s">
        <v>306</v>
      </c>
      <c r="J6" s="197" t="s">
        <v>307</v>
      </c>
      <c r="K6" s="197" t="s">
        <v>308</v>
      </c>
      <c r="L6" s="197" t="s">
        <v>309</v>
      </c>
      <c r="M6" s="197" t="s">
        <v>310</v>
      </c>
      <c r="N6" s="197" t="s">
        <v>311</v>
      </c>
      <c r="O6" s="197" t="s">
        <v>312</v>
      </c>
      <c r="P6" s="197" t="s">
        <v>313</v>
      </c>
      <c r="Q6" s="197" t="s">
        <v>314</v>
      </c>
      <c r="R6" s="197" t="s">
        <v>315</v>
      </c>
    </row>
    <row r="7" spans="1:19">
      <c r="A7" s="198" t="s">
        <v>316</v>
      </c>
      <c r="B7" s="198"/>
      <c r="C7" s="198"/>
      <c r="D7" s="198"/>
      <c r="E7" s="198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>
      <c r="B8" s="200" t="s">
        <v>113</v>
      </c>
      <c r="C8" s="211" t="s">
        <v>317</v>
      </c>
      <c r="D8" s="212" t="s">
        <v>318</v>
      </c>
      <c r="E8" s="196">
        <v>2018</v>
      </c>
      <c r="F8" s="243">
        <v>0</v>
      </c>
      <c r="G8" s="201">
        <v>0</v>
      </c>
      <c r="H8" s="201">
        <v>0</v>
      </c>
      <c r="I8" s="201">
        <v>0</v>
      </c>
      <c r="J8" s="201">
        <v>0</v>
      </c>
      <c r="K8" s="201">
        <v>0</v>
      </c>
      <c r="L8" s="201">
        <v>0</v>
      </c>
      <c r="M8" s="201">
        <v>0</v>
      </c>
      <c r="N8" s="201">
        <v>0</v>
      </c>
      <c r="O8" s="201">
        <v>0</v>
      </c>
      <c r="P8" s="201">
        <v>0</v>
      </c>
      <c r="Q8" s="201">
        <v>0</v>
      </c>
      <c r="R8" s="201">
        <f>SUM(F8:Q8)</f>
        <v>0</v>
      </c>
    </row>
    <row r="9" spans="1:19">
      <c r="B9" s="200"/>
      <c r="C9" s="215" t="s">
        <v>114</v>
      </c>
      <c r="D9" s="216" t="s">
        <v>115</v>
      </c>
      <c r="E9" s="196">
        <v>2018</v>
      </c>
      <c r="F9" s="243">
        <v>179648.85</v>
      </c>
      <c r="G9" s="201">
        <v>155090.59</v>
      </c>
      <c r="H9" s="201">
        <v>162789.72</v>
      </c>
      <c r="I9" s="201">
        <v>157974.81</v>
      </c>
      <c r="J9" s="201">
        <v>177340.42</v>
      </c>
      <c r="K9" s="201">
        <v>155859.04999999999</v>
      </c>
      <c r="L9" s="201">
        <v>164023.85999999999</v>
      </c>
      <c r="M9" s="201">
        <v>183683.63</v>
      </c>
      <c r="N9" s="201">
        <v>156938.01999999999</v>
      </c>
      <c r="O9" s="201">
        <v>179364.03</v>
      </c>
      <c r="P9" s="201">
        <v>158065.04</v>
      </c>
      <c r="Q9" s="201">
        <v>140292.72</v>
      </c>
      <c r="R9" s="201">
        <f t="shared" ref="R9:R35" si="0">SUM(F9:Q9)</f>
        <v>1971070.7399999998</v>
      </c>
    </row>
    <row r="10" spans="1:19">
      <c r="B10" s="200"/>
      <c r="C10" s="215" t="s">
        <v>116</v>
      </c>
      <c r="D10" s="216" t="s">
        <v>117</v>
      </c>
      <c r="E10" s="196">
        <v>2018</v>
      </c>
      <c r="F10" s="243">
        <v>6447.43</v>
      </c>
      <c r="G10" s="202">
        <v>3238.8700000000008</v>
      </c>
      <c r="H10" s="202">
        <v>4848.2199999999993</v>
      </c>
      <c r="I10" s="202">
        <v>3038.5499999999993</v>
      </c>
      <c r="J10" s="202">
        <v>4336.7900000000009</v>
      </c>
      <c r="K10" s="202">
        <v>3568.2800000000007</v>
      </c>
      <c r="L10" s="202">
        <v>3549.9400000000005</v>
      </c>
      <c r="M10" s="202">
        <v>3669.09</v>
      </c>
      <c r="N10" s="202">
        <v>3526.0200000000004</v>
      </c>
      <c r="O10" s="202">
        <v>4196.4599999999991</v>
      </c>
      <c r="P10" s="202">
        <v>6394.2000000000007</v>
      </c>
      <c r="Q10" s="202">
        <v>4058.01</v>
      </c>
      <c r="R10" s="201">
        <f t="shared" si="0"/>
        <v>50871.860000000008</v>
      </c>
      <c r="S10" s="201"/>
    </row>
    <row r="11" spans="1:19">
      <c r="B11" s="200"/>
      <c r="C11" s="215" t="s">
        <v>118</v>
      </c>
      <c r="D11" s="216" t="s">
        <v>119</v>
      </c>
      <c r="E11" s="196">
        <v>2018</v>
      </c>
      <c r="F11" s="243">
        <v>9054.6299999999992</v>
      </c>
      <c r="G11" s="202">
        <v>0</v>
      </c>
      <c r="H11" s="202">
        <v>8387.7900000000009</v>
      </c>
      <c r="I11" s="202">
        <v>0</v>
      </c>
      <c r="J11" s="202">
        <v>12719.8</v>
      </c>
      <c r="K11" s="202">
        <v>27344.799999999999</v>
      </c>
      <c r="L11" s="202">
        <v>10781.6</v>
      </c>
      <c r="M11" s="202">
        <v>15939.47</v>
      </c>
      <c r="N11" s="202">
        <v>0</v>
      </c>
      <c r="O11" s="202">
        <v>4054.64</v>
      </c>
      <c r="P11" s="202">
        <v>4322.8999999999996</v>
      </c>
      <c r="Q11" s="202">
        <v>7427.84</v>
      </c>
      <c r="R11" s="201">
        <f t="shared" si="0"/>
        <v>100033.46999999999</v>
      </c>
    </row>
    <row r="12" spans="1:19">
      <c r="B12" s="200"/>
      <c r="C12" s="217" t="s">
        <v>120</v>
      </c>
      <c r="D12" s="216" t="s">
        <v>121</v>
      </c>
      <c r="E12" s="196">
        <v>2018</v>
      </c>
      <c r="F12" s="245">
        <v>395694.99</v>
      </c>
      <c r="G12" s="202">
        <v>337241.99</v>
      </c>
      <c r="H12" s="202">
        <v>353447.66</v>
      </c>
      <c r="I12" s="202">
        <v>344333.07</v>
      </c>
      <c r="J12" s="202">
        <v>390708.03</v>
      </c>
      <c r="K12" s="202">
        <v>337199.58</v>
      </c>
      <c r="L12" s="202">
        <v>357831.15</v>
      </c>
      <c r="M12" s="202">
        <v>406356.29</v>
      </c>
      <c r="N12" s="202">
        <v>339182.25</v>
      </c>
      <c r="O12" s="202">
        <v>394379.66</v>
      </c>
      <c r="P12" s="202">
        <v>342124.61</v>
      </c>
      <c r="Q12" s="202">
        <v>295978.93</v>
      </c>
      <c r="R12" s="201">
        <f t="shared" si="0"/>
        <v>4294478.21</v>
      </c>
    </row>
    <row r="13" spans="1:19">
      <c r="B13" s="200"/>
      <c r="C13" s="215" t="s">
        <v>122</v>
      </c>
      <c r="D13" s="216" t="s">
        <v>230</v>
      </c>
      <c r="E13" s="196">
        <v>2018</v>
      </c>
      <c r="F13" s="245">
        <v>11286.69</v>
      </c>
      <c r="G13" s="202">
        <v>0</v>
      </c>
      <c r="H13" s="202">
        <v>0</v>
      </c>
      <c r="I13" s="202">
        <v>5000</v>
      </c>
      <c r="J13" s="202">
        <v>2040.8</v>
      </c>
      <c r="K13" s="202">
        <v>5000</v>
      </c>
      <c r="L13" s="202">
        <v>5000</v>
      </c>
      <c r="M13" s="202">
        <v>1041</v>
      </c>
      <c r="N13" s="202">
        <v>0</v>
      </c>
      <c r="O13" s="202">
        <v>6122.39</v>
      </c>
      <c r="P13" s="202">
        <v>4081.59</v>
      </c>
      <c r="Q13" s="202">
        <v>0</v>
      </c>
      <c r="R13" s="201">
        <f t="shared" si="0"/>
        <v>39572.47</v>
      </c>
      <c r="S13" s="201"/>
    </row>
    <row r="14" spans="1:19">
      <c r="B14" s="200"/>
      <c r="C14" s="215" t="s">
        <v>319</v>
      </c>
      <c r="D14" s="216" t="s">
        <v>320</v>
      </c>
      <c r="E14" s="196">
        <v>2018</v>
      </c>
      <c r="F14" s="245">
        <v>5000</v>
      </c>
      <c r="G14" s="202">
        <v>2026.78</v>
      </c>
      <c r="H14" s="202">
        <v>0</v>
      </c>
      <c r="I14" s="202">
        <v>3249.29</v>
      </c>
      <c r="J14" s="202">
        <v>0</v>
      </c>
      <c r="K14" s="202">
        <v>10914.4</v>
      </c>
      <c r="L14" s="202">
        <v>0</v>
      </c>
      <c r="M14" s="202">
        <v>0</v>
      </c>
      <c r="N14" s="202">
        <v>2156.3200000000002</v>
      </c>
      <c r="O14" s="202">
        <v>0</v>
      </c>
      <c r="P14" s="202">
        <v>0</v>
      </c>
      <c r="Q14" s="202">
        <v>0</v>
      </c>
      <c r="R14" s="201">
        <f t="shared" si="0"/>
        <v>23346.79</v>
      </c>
    </row>
    <row r="15" spans="1:19">
      <c r="B15" s="200"/>
      <c r="C15" s="215" t="s">
        <v>321</v>
      </c>
      <c r="D15" s="216" t="s">
        <v>322</v>
      </c>
      <c r="E15" s="196">
        <v>2018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202">
        <v>0</v>
      </c>
      <c r="P15" s="202">
        <v>0</v>
      </c>
      <c r="Q15" s="202">
        <v>0</v>
      </c>
      <c r="R15" s="201">
        <f t="shared" si="0"/>
        <v>0</v>
      </c>
    </row>
    <row r="16" spans="1:19">
      <c r="B16" s="200"/>
      <c r="C16" s="215" t="s">
        <v>323</v>
      </c>
      <c r="D16" s="216" t="s">
        <v>324</v>
      </c>
      <c r="E16" s="196">
        <v>2018</v>
      </c>
      <c r="F16" s="202">
        <v>0</v>
      </c>
      <c r="G16" s="202">
        <v>0</v>
      </c>
      <c r="H16" s="202">
        <v>0</v>
      </c>
      <c r="I16" s="202">
        <v>0</v>
      </c>
      <c r="J16" s="202">
        <v>0</v>
      </c>
      <c r="K16" s="202">
        <v>0</v>
      </c>
      <c r="L16" s="202">
        <v>0</v>
      </c>
      <c r="M16" s="202">
        <v>0</v>
      </c>
      <c r="N16" s="202">
        <v>0</v>
      </c>
      <c r="O16" s="202">
        <v>0</v>
      </c>
      <c r="P16" s="202">
        <v>0</v>
      </c>
      <c r="Q16" s="202">
        <v>0</v>
      </c>
      <c r="R16" s="201">
        <f t="shared" si="0"/>
        <v>0</v>
      </c>
    </row>
    <row r="17" spans="2:19">
      <c r="B17" s="200"/>
      <c r="C17" s="215" t="s">
        <v>325</v>
      </c>
      <c r="D17" s="216" t="s">
        <v>326</v>
      </c>
      <c r="E17" s="196">
        <v>2018</v>
      </c>
      <c r="F17" s="202">
        <v>0</v>
      </c>
      <c r="G17" s="202">
        <v>0</v>
      </c>
      <c r="H17" s="202">
        <v>0</v>
      </c>
      <c r="I17" s="202">
        <v>0</v>
      </c>
      <c r="J17" s="202">
        <v>0</v>
      </c>
      <c r="K17" s="202">
        <v>0</v>
      </c>
      <c r="L17" s="202">
        <v>0</v>
      </c>
      <c r="M17" s="202">
        <v>0</v>
      </c>
      <c r="N17" s="202">
        <v>0</v>
      </c>
      <c r="O17" s="202">
        <v>0</v>
      </c>
      <c r="P17" s="202">
        <v>0</v>
      </c>
      <c r="Q17" s="202">
        <v>0</v>
      </c>
      <c r="R17" s="201">
        <f t="shared" si="0"/>
        <v>0</v>
      </c>
    </row>
    <row r="18" spans="2:19">
      <c r="B18" s="200"/>
      <c r="C18" s="215" t="s">
        <v>234</v>
      </c>
      <c r="D18" s="216" t="s">
        <v>235</v>
      </c>
      <c r="E18" s="196">
        <v>2018</v>
      </c>
      <c r="F18" s="202">
        <v>54607.4</v>
      </c>
      <c r="G18" s="202">
        <v>130778.02</v>
      </c>
      <c r="H18" s="202">
        <v>473545.74</v>
      </c>
      <c r="I18" s="202">
        <v>578280.31999999995</v>
      </c>
      <c r="J18" s="202">
        <v>730621.54</v>
      </c>
      <c r="K18" s="202">
        <v>1216209.1499999999</v>
      </c>
      <c r="L18" s="202">
        <v>1263815.77</v>
      </c>
      <c r="M18" s="202">
        <v>1311422.3999999999</v>
      </c>
      <c r="N18" s="202">
        <v>1292379.74</v>
      </c>
      <c r="O18" s="202">
        <v>1254294.45</v>
      </c>
      <c r="P18" s="202">
        <v>568759</v>
      </c>
      <c r="Q18" s="202">
        <v>395794.81</v>
      </c>
      <c r="R18" s="201">
        <f t="shared" si="0"/>
        <v>9270508.3400000017</v>
      </c>
    </row>
    <row r="19" spans="2:19">
      <c r="B19" s="200"/>
      <c r="C19" s="215" t="s">
        <v>327</v>
      </c>
      <c r="D19" s="216" t="s">
        <v>328</v>
      </c>
      <c r="E19" s="196">
        <v>2018</v>
      </c>
      <c r="F19" s="202">
        <v>0</v>
      </c>
      <c r="G19" s="202">
        <v>0</v>
      </c>
      <c r="H19" s="202">
        <v>0</v>
      </c>
      <c r="I19" s="202">
        <v>0</v>
      </c>
      <c r="J19" s="202">
        <v>0</v>
      </c>
      <c r="K19" s="202">
        <v>0</v>
      </c>
      <c r="L19" s="202">
        <v>0</v>
      </c>
      <c r="M19" s="202">
        <v>0</v>
      </c>
      <c r="N19" s="202">
        <v>0</v>
      </c>
      <c r="O19" s="202">
        <v>0</v>
      </c>
      <c r="P19" s="202">
        <v>0</v>
      </c>
      <c r="Q19" s="202">
        <v>0</v>
      </c>
      <c r="R19" s="201">
        <f t="shared" si="0"/>
        <v>0</v>
      </c>
    </row>
    <row r="20" spans="2:19">
      <c r="B20" s="200"/>
      <c r="C20" s="215" t="s">
        <v>329</v>
      </c>
      <c r="D20" s="216" t="s">
        <v>330</v>
      </c>
      <c r="E20" s="196">
        <v>2018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0</v>
      </c>
      <c r="M20" s="202">
        <v>0</v>
      </c>
      <c r="N20" s="202">
        <v>0</v>
      </c>
      <c r="O20" s="202">
        <v>0</v>
      </c>
      <c r="P20" s="202">
        <v>0</v>
      </c>
      <c r="Q20" s="202">
        <v>0</v>
      </c>
      <c r="R20" s="201">
        <f t="shared" si="0"/>
        <v>0</v>
      </c>
    </row>
    <row r="21" spans="2:19">
      <c r="B21" s="200"/>
      <c r="C21" s="215" t="s">
        <v>331</v>
      </c>
      <c r="D21" s="216" t="s">
        <v>332</v>
      </c>
      <c r="E21" s="196">
        <v>2018</v>
      </c>
      <c r="F21" s="202">
        <v>0</v>
      </c>
      <c r="G21" s="202">
        <v>0</v>
      </c>
      <c r="H21" s="202">
        <v>0</v>
      </c>
      <c r="I21" s="202">
        <v>0</v>
      </c>
      <c r="J21" s="202">
        <v>0</v>
      </c>
      <c r="K21" s="202">
        <v>0</v>
      </c>
      <c r="L21" s="202">
        <v>0</v>
      </c>
      <c r="M21" s="202">
        <v>0</v>
      </c>
      <c r="N21" s="202">
        <v>0</v>
      </c>
      <c r="O21" s="202">
        <v>0</v>
      </c>
      <c r="P21" s="202">
        <v>0</v>
      </c>
      <c r="Q21" s="202">
        <v>0</v>
      </c>
      <c r="R21" s="201">
        <f t="shared" si="0"/>
        <v>0</v>
      </c>
    </row>
    <row r="22" spans="2:19">
      <c r="B22" s="200"/>
      <c r="C22" s="211" t="s">
        <v>123</v>
      </c>
      <c r="D22" s="212" t="s">
        <v>124</v>
      </c>
      <c r="E22" s="196">
        <v>2018</v>
      </c>
      <c r="F22" s="202">
        <v>50000</v>
      </c>
      <c r="G22" s="202">
        <v>359775.86</v>
      </c>
      <c r="H22" s="202">
        <v>715971.8</v>
      </c>
      <c r="I22" s="202">
        <v>767050.8</v>
      </c>
      <c r="J22" s="202">
        <v>768934.66</v>
      </c>
      <c r="K22" s="202">
        <v>763140.7</v>
      </c>
      <c r="L22" s="202">
        <v>662483.02</v>
      </c>
      <c r="M22" s="202">
        <v>667715.34</v>
      </c>
      <c r="N22" s="202">
        <v>609549.23</v>
      </c>
      <c r="O22" s="202">
        <v>615271.98</v>
      </c>
      <c r="P22" s="202">
        <v>609549.23</v>
      </c>
      <c r="Q22" s="202">
        <v>359307.12</v>
      </c>
      <c r="R22" s="201">
        <f t="shared" si="0"/>
        <v>6948749.7400000012</v>
      </c>
    </row>
    <row r="23" spans="2:19">
      <c r="B23" s="200"/>
      <c r="C23" s="213" t="s">
        <v>333</v>
      </c>
      <c r="D23" s="214" t="s">
        <v>334</v>
      </c>
      <c r="E23" s="196">
        <v>2018</v>
      </c>
      <c r="F23" s="245">
        <v>0</v>
      </c>
      <c r="G23" s="202">
        <v>0</v>
      </c>
      <c r="H23" s="202">
        <v>0</v>
      </c>
      <c r="I23" s="202">
        <v>0</v>
      </c>
      <c r="J23" s="202">
        <v>0</v>
      </c>
      <c r="K23" s="202">
        <v>0</v>
      </c>
      <c r="L23" s="202">
        <v>0</v>
      </c>
      <c r="M23" s="202">
        <v>0</v>
      </c>
      <c r="N23" s="202">
        <v>0</v>
      </c>
      <c r="O23" s="202">
        <v>0</v>
      </c>
      <c r="P23" s="202">
        <v>0</v>
      </c>
      <c r="Q23" s="202">
        <v>0</v>
      </c>
      <c r="R23" s="201">
        <f t="shared" si="0"/>
        <v>0</v>
      </c>
    </row>
    <row r="24" spans="2:19">
      <c r="B24" s="200"/>
      <c r="C24" s="211" t="s">
        <v>126</v>
      </c>
      <c r="D24" s="212" t="s">
        <v>127</v>
      </c>
      <c r="E24" s="196">
        <v>2018</v>
      </c>
      <c r="F24" s="202">
        <v>294738.8</v>
      </c>
      <c r="G24" s="202">
        <v>306072.28000000003</v>
      </c>
      <c r="H24" s="202">
        <v>405041.91</v>
      </c>
      <c r="I24" s="202">
        <v>421730.19</v>
      </c>
      <c r="J24" s="202">
        <v>422057.45</v>
      </c>
      <c r="K24" s="202">
        <v>423050.81</v>
      </c>
      <c r="L24" s="202">
        <v>421958.93</v>
      </c>
      <c r="M24" s="202">
        <v>432799.63</v>
      </c>
      <c r="N24" s="202">
        <v>428524.21</v>
      </c>
      <c r="O24" s="202">
        <v>436084.08</v>
      </c>
      <c r="P24" s="202">
        <v>376485.12</v>
      </c>
      <c r="Q24" s="202">
        <v>358956.99</v>
      </c>
      <c r="R24" s="201">
        <f t="shared" si="0"/>
        <v>4727500.4000000004</v>
      </c>
    </row>
    <row r="25" spans="2:19">
      <c r="B25" s="200"/>
      <c r="C25" s="213" t="s">
        <v>335</v>
      </c>
      <c r="D25" s="214" t="s">
        <v>336</v>
      </c>
      <c r="E25" s="196">
        <v>2018</v>
      </c>
      <c r="F25" s="202">
        <v>0</v>
      </c>
      <c r="G25" s="202">
        <v>0</v>
      </c>
      <c r="H25" s="202">
        <v>0</v>
      </c>
      <c r="I25" s="202">
        <v>0</v>
      </c>
      <c r="J25" s="202">
        <v>0</v>
      </c>
      <c r="K25" s="202">
        <v>0</v>
      </c>
      <c r="L25" s="202">
        <v>0</v>
      </c>
      <c r="M25" s="202">
        <v>0</v>
      </c>
      <c r="N25" s="202">
        <v>0</v>
      </c>
      <c r="O25" s="202">
        <v>0</v>
      </c>
      <c r="P25" s="202">
        <v>0</v>
      </c>
      <c r="Q25" s="202">
        <v>0</v>
      </c>
      <c r="R25" s="201">
        <f t="shared" si="0"/>
        <v>0</v>
      </c>
    </row>
    <row r="26" spans="2:19">
      <c r="B26" s="200"/>
      <c r="C26" s="211" t="s">
        <v>128</v>
      </c>
      <c r="D26" s="212" t="s">
        <v>129</v>
      </c>
      <c r="E26" s="196">
        <v>2018</v>
      </c>
      <c r="F26" s="243">
        <v>3000</v>
      </c>
      <c r="G26" s="202">
        <v>3000</v>
      </c>
      <c r="H26" s="202">
        <v>57000</v>
      </c>
      <c r="I26" s="202">
        <v>0</v>
      </c>
      <c r="J26" s="202">
        <v>0</v>
      </c>
      <c r="K26" s="202">
        <v>0</v>
      </c>
      <c r="L26" s="202">
        <v>0</v>
      </c>
      <c r="M26" s="202">
        <v>0</v>
      </c>
      <c r="N26" s="202">
        <v>0</v>
      </c>
      <c r="O26" s="202">
        <v>0</v>
      </c>
      <c r="P26" s="202">
        <v>0</v>
      </c>
      <c r="Q26" s="202">
        <v>0</v>
      </c>
      <c r="R26" s="201">
        <f t="shared" si="0"/>
        <v>63000</v>
      </c>
    </row>
    <row r="27" spans="2:19">
      <c r="B27" s="200"/>
      <c r="C27" s="209" t="s">
        <v>130</v>
      </c>
      <c r="D27" s="210" t="s">
        <v>131</v>
      </c>
      <c r="E27" s="196">
        <v>2018</v>
      </c>
      <c r="F27" s="243">
        <v>222779.12</v>
      </c>
      <c r="G27" s="202">
        <v>186418.24</v>
      </c>
      <c r="H27" s="202">
        <v>197545.64</v>
      </c>
      <c r="I27" s="202">
        <v>191437.59</v>
      </c>
      <c r="J27" s="202">
        <v>221299.73</v>
      </c>
      <c r="K27" s="202">
        <v>185900.33</v>
      </c>
      <c r="L27" s="202">
        <v>199603.45</v>
      </c>
      <c r="M27" s="202">
        <v>229613.02</v>
      </c>
      <c r="N27" s="202">
        <v>187364.47</v>
      </c>
      <c r="O27" s="202">
        <v>221577.56</v>
      </c>
      <c r="P27" s="202">
        <v>186936.7</v>
      </c>
      <c r="Q27" s="202">
        <v>157016.56</v>
      </c>
      <c r="R27" s="201">
        <f t="shared" si="0"/>
        <v>2387492.41</v>
      </c>
    </row>
    <row r="28" spans="2:19">
      <c r="B28" s="200"/>
      <c r="C28" s="209" t="s">
        <v>132</v>
      </c>
      <c r="D28" s="210" t="s">
        <v>133</v>
      </c>
      <c r="E28" s="196">
        <v>2018</v>
      </c>
      <c r="F28" s="243">
        <v>13301.01</v>
      </c>
      <c r="G28" s="202">
        <v>12847.23</v>
      </c>
      <c r="H28" s="202">
        <v>13981.82</v>
      </c>
      <c r="I28" s="202">
        <v>24303.58</v>
      </c>
      <c r="J28" s="202">
        <v>37007.5</v>
      </c>
      <c r="K28" s="202">
        <v>17333.23</v>
      </c>
      <c r="L28" s="202">
        <v>12538.69</v>
      </c>
      <c r="M28" s="202">
        <v>15212.06</v>
      </c>
      <c r="N28" s="202">
        <v>16445.47</v>
      </c>
      <c r="O28" s="202">
        <v>31837.64</v>
      </c>
      <c r="P28" s="202">
        <v>25414.77</v>
      </c>
      <c r="Q28" s="202">
        <v>24079.75</v>
      </c>
      <c r="R28" s="201">
        <f t="shared" si="0"/>
        <v>244302.74999999997</v>
      </c>
      <c r="S28" s="201"/>
    </row>
    <row r="29" spans="2:19">
      <c r="B29" s="200"/>
      <c r="C29" s="209" t="s">
        <v>337</v>
      </c>
      <c r="D29" s="210" t="s">
        <v>338</v>
      </c>
      <c r="E29" s="196">
        <v>2018</v>
      </c>
      <c r="F29" s="243">
        <v>0</v>
      </c>
      <c r="G29" s="202">
        <v>0</v>
      </c>
      <c r="H29" s="202">
        <v>0</v>
      </c>
      <c r="I29" s="202">
        <v>0</v>
      </c>
      <c r="J29" s="202">
        <v>0</v>
      </c>
      <c r="K29" s="202">
        <v>0</v>
      </c>
      <c r="L29" s="202">
        <v>0</v>
      </c>
      <c r="M29" s="202">
        <v>0</v>
      </c>
      <c r="N29" s="202">
        <v>0</v>
      </c>
      <c r="O29" s="202">
        <v>0</v>
      </c>
      <c r="P29" s="202">
        <v>0</v>
      </c>
      <c r="Q29" s="202">
        <v>0</v>
      </c>
      <c r="R29" s="201">
        <f t="shared" si="0"/>
        <v>0</v>
      </c>
      <c r="S29" s="201"/>
    </row>
    <row r="30" spans="2:19">
      <c r="B30" s="200"/>
      <c r="C30" s="213" t="s">
        <v>339</v>
      </c>
      <c r="D30" s="214" t="s">
        <v>340</v>
      </c>
      <c r="E30" s="196">
        <v>2018</v>
      </c>
      <c r="F30" s="202">
        <v>0</v>
      </c>
      <c r="G30" s="202">
        <v>0</v>
      </c>
      <c r="H30" s="202">
        <v>0</v>
      </c>
      <c r="I30" s="202">
        <v>0</v>
      </c>
      <c r="J30" s="202">
        <v>0</v>
      </c>
      <c r="K30" s="202">
        <v>0</v>
      </c>
      <c r="L30" s="202">
        <v>0</v>
      </c>
      <c r="M30" s="202">
        <v>0</v>
      </c>
      <c r="N30" s="202">
        <v>0</v>
      </c>
      <c r="O30" s="202">
        <v>0</v>
      </c>
      <c r="P30" s="202">
        <v>0</v>
      </c>
      <c r="Q30" s="202">
        <v>0</v>
      </c>
      <c r="R30" s="201">
        <f t="shared" si="0"/>
        <v>0</v>
      </c>
    </row>
    <row r="31" spans="2:19">
      <c r="B31" s="200"/>
      <c r="C31" s="218" t="s">
        <v>341</v>
      </c>
      <c r="D31" s="219" t="s">
        <v>342</v>
      </c>
      <c r="E31" s="196">
        <v>2018</v>
      </c>
      <c r="F31" s="202">
        <v>83077.3</v>
      </c>
      <c r="G31" s="202">
        <v>140349.45000000001</v>
      </c>
      <c r="H31" s="202">
        <v>155878.68</v>
      </c>
      <c r="I31" s="202">
        <v>139079.15</v>
      </c>
      <c r="J31" s="202">
        <v>142995.64000000001</v>
      </c>
      <c r="K31" s="202">
        <v>111500.71</v>
      </c>
      <c r="L31" s="202">
        <v>106500.05</v>
      </c>
      <c r="M31" s="202">
        <v>110987.05</v>
      </c>
      <c r="N31" s="202">
        <v>106500.05</v>
      </c>
      <c r="O31" s="202">
        <v>116891.51</v>
      </c>
      <c r="P31" s="202">
        <v>117110.13</v>
      </c>
      <c r="Q31" s="202">
        <v>1921484.13</v>
      </c>
      <c r="R31" s="201">
        <f t="shared" si="0"/>
        <v>3252353.85</v>
      </c>
      <c r="S31" s="196" t="s">
        <v>491</v>
      </c>
    </row>
    <row r="32" spans="2:19">
      <c r="B32" s="200"/>
      <c r="C32" s="218" t="s">
        <v>343</v>
      </c>
      <c r="D32" s="219" t="s">
        <v>344</v>
      </c>
      <c r="E32" s="196">
        <v>2018</v>
      </c>
      <c r="F32" s="202">
        <v>238930.76</v>
      </c>
      <c r="G32" s="202">
        <v>479189.42</v>
      </c>
      <c r="H32" s="202">
        <v>4550668.0199999996</v>
      </c>
      <c r="I32" s="202">
        <v>3166727.64</v>
      </c>
      <c r="J32" s="202">
        <v>3659306.94</v>
      </c>
      <c r="K32" s="202">
        <v>3853464.02</v>
      </c>
      <c r="L32" s="202">
        <v>2379503.2599999998</v>
      </c>
      <c r="M32" s="202">
        <v>3414198.45</v>
      </c>
      <c r="N32" s="202">
        <v>1276183.19</v>
      </c>
      <c r="O32" s="202">
        <v>1230406.1200000001</v>
      </c>
      <c r="P32" s="202">
        <v>697430.67</v>
      </c>
      <c r="Q32" s="202">
        <v>351214.76</v>
      </c>
      <c r="R32" s="201">
        <f t="shared" si="0"/>
        <v>25297223.250000004</v>
      </c>
      <c r="S32" s="196" t="s">
        <v>491</v>
      </c>
    </row>
    <row r="33" spans="1:19">
      <c r="B33" s="200"/>
      <c r="C33" s="218" t="s">
        <v>345</v>
      </c>
      <c r="D33" s="219" t="s">
        <v>346</v>
      </c>
      <c r="E33" s="196">
        <v>2018</v>
      </c>
      <c r="F33" s="202">
        <v>259090.91</v>
      </c>
      <c r="G33" s="202">
        <v>118259.58</v>
      </c>
      <c r="H33" s="202">
        <v>88467.27</v>
      </c>
      <c r="I33" s="202">
        <v>105496.72</v>
      </c>
      <c r="J33" s="202">
        <v>99600.51</v>
      </c>
      <c r="K33" s="202">
        <v>87536.54</v>
      </c>
      <c r="L33" s="202">
        <v>71101.210000000006</v>
      </c>
      <c r="M33" s="202">
        <v>78171.399999999994</v>
      </c>
      <c r="N33" s="202">
        <v>71654.39</v>
      </c>
      <c r="O33" s="202">
        <v>70743.03</v>
      </c>
      <c r="P33" s="202">
        <v>84773.1</v>
      </c>
      <c r="Q33" s="202">
        <v>1119195.56</v>
      </c>
      <c r="R33" s="201">
        <f t="shared" si="0"/>
        <v>2254090.2200000002</v>
      </c>
      <c r="S33" s="196" t="s">
        <v>491</v>
      </c>
    </row>
    <row r="34" spans="1:19">
      <c r="B34" s="200"/>
      <c r="C34" s="218" t="s">
        <v>347</v>
      </c>
      <c r="D34" s="219" t="s">
        <v>348</v>
      </c>
      <c r="E34" s="196">
        <v>2018</v>
      </c>
      <c r="F34" s="202">
        <v>0</v>
      </c>
      <c r="G34" s="202">
        <v>0</v>
      </c>
      <c r="H34" s="202">
        <v>0</v>
      </c>
      <c r="I34" s="202">
        <v>0</v>
      </c>
      <c r="J34" s="202">
        <v>0</v>
      </c>
      <c r="K34" s="202">
        <v>0</v>
      </c>
      <c r="L34" s="202">
        <v>0</v>
      </c>
      <c r="M34" s="202">
        <v>0</v>
      </c>
      <c r="N34" s="202">
        <v>0</v>
      </c>
      <c r="O34" s="202">
        <v>0</v>
      </c>
      <c r="P34" s="202">
        <v>0</v>
      </c>
      <c r="Q34" s="202">
        <v>0</v>
      </c>
      <c r="R34" s="201">
        <f t="shared" si="0"/>
        <v>0</v>
      </c>
    </row>
    <row r="35" spans="1:19">
      <c r="B35" s="200"/>
      <c r="C35" s="211" t="s">
        <v>198</v>
      </c>
      <c r="D35" s="212" t="s">
        <v>199</v>
      </c>
      <c r="E35" s="196">
        <v>2018</v>
      </c>
      <c r="F35" s="243">
        <v>16172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f t="shared" si="0"/>
        <v>16172</v>
      </c>
    </row>
    <row r="36" spans="1:19">
      <c r="A36" s="203" t="s">
        <v>349</v>
      </c>
      <c r="B36" s="203"/>
      <c r="C36" s="203"/>
      <c r="D36" s="203"/>
      <c r="E36" s="203"/>
      <c r="F36" s="204">
        <f>SUM(F8:F35)</f>
        <v>1842829.8900000001</v>
      </c>
      <c r="G36" s="204">
        <f t="shared" ref="G36:R36" si="1">SUM(G8:G35)</f>
        <v>2234288.31</v>
      </c>
      <c r="H36" s="204">
        <f t="shared" si="1"/>
        <v>7187574.2699999996</v>
      </c>
      <c r="I36" s="204">
        <f t="shared" si="1"/>
        <v>5907701.71</v>
      </c>
      <c r="J36" s="204">
        <f t="shared" si="1"/>
        <v>6668969.8100000005</v>
      </c>
      <c r="K36" s="204">
        <f t="shared" si="1"/>
        <v>7198021.6000000006</v>
      </c>
      <c r="L36" s="204">
        <f t="shared" si="1"/>
        <v>5658690.9299999997</v>
      </c>
      <c r="M36" s="204">
        <f t="shared" si="1"/>
        <v>6870808.8300000001</v>
      </c>
      <c r="N36" s="204">
        <f t="shared" si="1"/>
        <v>4490403.3600000003</v>
      </c>
      <c r="O36" s="204">
        <f t="shared" si="1"/>
        <v>4565223.55</v>
      </c>
      <c r="P36" s="204">
        <f t="shared" si="1"/>
        <v>3181447.06</v>
      </c>
      <c r="Q36" s="204">
        <f t="shared" si="1"/>
        <v>5134807.18</v>
      </c>
      <c r="R36" s="204">
        <f t="shared" si="1"/>
        <v>60940766.500000007</v>
      </c>
    </row>
    <row r="37" spans="1:19"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</row>
    <row r="38" spans="1:19">
      <c r="A38" s="198" t="s">
        <v>350</v>
      </c>
      <c r="B38" s="198"/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</row>
    <row r="39" spans="1:19">
      <c r="B39" s="200" t="s">
        <v>135</v>
      </c>
      <c r="C39" s="211" t="s">
        <v>317</v>
      </c>
      <c r="D39" s="212" t="s">
        <v>318</v>
      </c>
      <c r="E39" s="196">
        <v>2018</v>
      </c>
      <c r="F39" s="201">
        <v>0</v>
      </c>
      <c r="G39" s="201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1">
        <v>0</v>
      </c>
      <c r="P39" s="201">
        <v>0</v>
      </c>
      <c r="Q39" s="201">
        <v>0</v>
      </c>
      <c r="R39" s="201">
        <f>SUM(F39:Q39)</f>
        <v>0</v>
      </c>
    </row>
    <row r="40" spans="1:19">
      <c r="B40" s="200"/>
      <c r="C40" s="215" t="s">
        <v>234</v>
      </c>
      <c r="D40" s="216" t="s">
        <v>235</v>
      </c>
      <c r="E40" s="196">
        <v>2018</v>
      </c>
      <c r="F40" s="201">
        <v>21563.200000000001</v>
      </c>
      <c r="G40" s="201">
        <v>21563.200000000001</v>
      </c>
      <c r="H40" s="201">
        <v>21563.200000000001</v>
      </c>
      <c r="I40" s="201">
        <v>21563.200000000001</v>
      </c>
      <c r="J40" s="201">
        <v>21563.200000000001</v>
      </c>
      <c r="K40" s="201">
        <v>21563.200000000001</v>
      </c>
      <c r="L40" s="201">
        <v>21563.200000000001</v>
      </c>
      <c r="M40" s="201">
        <v>21563.200000000001</v>
      </c>
      <c r="N40" s="201">
        <v>21563.200000000001</v>
      </c>
      <c r="O40" s="201">
        <v>21563.200000000001</v>
      </c>
      <c r="P40" s="201">
        <v>21563.200000000001</v>
      </c>
      <c r="Q40" s="201">
        <v>21563.200000000001</v>
      </c>
      <c r="R40" s="201">
        <f t="shared" ref="R40:R49" si="2">SUM(F40:Q40)</f>
        <v>258758.40000000005</v>
      </c>
    </row>
    <row r="41" spans="1:19">
      <c r="B41" s="200"/>
      <c r="C41" s="211" t="s">
        <v>123</v>
      </c>
      <c r="D41" s="212" t="s">
        <v>124</v>
      </c>
      <c r="E41" s="196">
        <v>2018</v>
      </c>
      <c r="F41" s="201">
        <v>0</v>
      </c>
      <c r="G41" s="201">
        <v>0</v>
      </c>
      <c r="H41" s="201">
        <v>0</v>
      </c>
      <c r="I41" s="201">
        <v>0</v>
      </c>
      <c r="J41" s="201">
        <v>0</v>
      </c>
      <c r="K41" s="201">
        <v>0</v>
      </c>
      <c r="L41" s="201">
        <v>0</v>
      </c>
      <c r="M41" s="201">
        <v>0</v>
      </c>
      <c r="N41" s="201">
        <v>0</v>
      </c>
      <c r="O41" s="201">
        <v>0</v>
      </c>
      <c r="P41" s="201">
        <v>0</v>
      </c>
      <c r="Q41" s="201">
        <v>0</v>
      </c>
      <c r="R41" s="201">
        <f t="shared" si="2"/>
        <v>0</v>
      </c>
    </row>
    <row r="42" spans="1:19">
      <c r="B42" s="200"/>
      <c r="C42" s="211" t="s">
        <v>126</v>
      </c>
      <c r="D42" s="212" t="s">
        <v>127</v>
      </c>
      <c r="E42" s="196">
        <v>2018</v>
      </c>
      <c r="F42" s="201">
        <v>0</v>
      </c>
      <c r="G42" s="201">
        <v>0</v>
      </c>
      <c r="H42" s="201">
        <v>0</v>
      </c>
      <c r="I42" s="201">
        <v>0</v>
      </c>
      <c r="J42" s="201">
        <v>0</v>
      </c>
      <c r="K42" s="201">
        <v>0</v>
      </c>
      <c r="L42" s="201">
        <v>0</v>
      </c>
      <c r="M42" s="201">
        <v>0</v>
      </c>
      <c r="N42" s="201">
        <v>0</v>
      </c>
      <c r="O42" s="201">
        <v>0</v>
      </c>
      <c r="P42" s="201">
        <v>0</v>
      </c>
      <c r="Q42" s="201">
        <v>0</v>
      </c>
      <c r="R42" s="201">
        <f t="shared" si="2"/>
        <v>0</v>
      </c>
    </row>
    <row r="43" spans="1:19">
      <c r="B43" s="200"/>
      <c r="C43" s="211" t="s">
        <v>128</v>
      </c>
      <c r="D43" s="212" t="s">
        <v>129</v>
      </c>
      <c r="E43" s="196">
        <v>2018</v>
      </c>
      <c r="F43" s="201">
        <v>0</v>
      </c>
      <c r="G43" s="201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0</v>
      </c>
      <c r="N43" s="201">
        <v>0</v>
      </c>
      <c r="O43" s="201">
        <v>0</v>
      </c>
      <c r="P43" s="201">
        <v>0</v>
      </c>
      <c r="Q43" s="201">
        <v>0</v>
      </c>
      <c r="R43" s="201">
        <f t="shared" si="2"/>
        <v>0</v>
      </c>
    </row>
    <row r="44" spans="1:19">
      <c r="B44" s="200"/>
      <c r="C44" s="215" t="s">
        <v>130</v>
      </c>
      <c r="D44" s="216" t="s">
        <v>131</v>
      </c>
      <c r="E44" s="196">
        <v>2018</v>
      </c>
      <c r="F44" s="201">
        <v>27426.59</v>
      </c>
      <c r="G44" s="201">
        <v>22793.26</v>
      </c>
      <c r="H44" s="201">
        <v>24600.22</v>
      </c>
      <c r="I44" s="201">
        <v>23215.63</v>
      </c>
      <c r="J44" s="201">
        <v>27266.87</v>
      </c>
      <c r="K44" s="201">
        <v>23561.39</v>
      </c>
      <c r="L44" s="201">
        <v>24948.74</v>
      </c>
      <c r="M44" s="201">
        <v>28550.720000000001</v>
      </c>
      <c r="N44" s="201">
        <v>23519.94</v>
      </c>
      <c r="O44" s="201">
        <v>27855.38</v>
      </c>
      <c r="P44" s="201">
        <v>23902.02</v>
      </c>
      <c r="Q44" s="201">
        <v>20433.099999999999</v>
      </c>
      <c r="R44" s="201">
        <f t="shared" si="2"/>
        <v>298073.86</v>
      </c>
    </row>
    <row r="45" spans="1:19">
      <c r="B45" s="200"/>
      <c r="C45" s="215" t="s">
        <v>132</v>
      </c>
      <c r="D45" s="216" t="s">
        <v>133</v>
      </c>
      <c r="E45" s="196">
        <v>2018</v>
      </c>
      <c r="F45" s="201">
        <v>0</v>
      </c>
      <c r="G45" s="201">
        <v>0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01">
        <v>0</v>
      </c>
      <c r="R45" s="201">
        <f t="shared" si="2"/>
        <v>0</v>
      </c>
    </row>
    <row r="46" spans="1:19">
      <c r="B46" s="200"/>
      <c r="C46" s="218" t="s">
        <v>341</v>
      </c>
      <c r="D46" s="219" t="s">
        <v>342</v>
      </c>
      <c r="E46" s="196">
        <v>2018</v>
      </c>
      <c r="F46" s="202">
        <v>0</v>
      </c>
      <c r="G46" s="202">
        <v>0</v>
      </c>
      <c r="H46" s="202">
        <v>0</v>
      </c>
      <c r="I46" s="202">
        <v>0</v>
      </c>
      <c r="J46" s="202">
        <v>0</v>
      </c>
      <c r="K46" s="202">
        <v>0</v>
      </c>
      <c r="L46" s="202">
        <v>0</v>
      </c>
      <c r="M46" s="202">
        <v>0</v>
      </c>
      <c r="N46" s="202">
        <v>0</v>
      </c>
      <c r="O46" s="202">
        <v>0</v>
      </c>
      <c r="P46" s="202">
        <v>0</v>
      </c>
      <c r="Q46" s="202">
        <v>0</v>
      </c>
      <c r="R46" s="201">
        <f t="shared" si="2"/>
        <v>0</v>
      </c>
    </row>
    <row r="47" spans="1:19">
      <c r="B47" s="200"/>
      <c r="C47" s="218" t="s">
        <v>343</v>
      </c>
      <c r="D47" s="219" t="s">
        <v>344</v>
      </c>
      <c r="E47" s="196">
        <v>2018</v>
      </c>
      <c r="F47" s="202">
        <v>0</v>
      </c>
      <c r="G47" s="202">
        <v>0</v>
      </c>
      <c r="H47" s="202">
        <v>0</v>
      </c>
      <c r="I47" s="202">
        <v>37537.699999999997</v>
      </c>
      <c r="J47" s="202">
        <v>37537.699999999997</v>
      </c>
      <c r="K47" s="202">
        <v>37537.699999999997</v>
      </c>
      <c r="L47" s="202">
        <v>37537.699999999997</v>
      </c>
      <c r="M47" s="202">
        <v>37537.699999999997</v>
      </c>
      <c r="N47" s="202">
        <v>37537.699999999997</v>
      </c>
      <c r="O47" s="202">
        <v>37537.699999999997</v>
      </c>
      <c r="P47" s="202">
        <v>37537.699999999997</v>
      </c>
      <c r="Q47" s="202">
        <v>37536.82</v>
      </c>
      <c r="R47" s="201">
        <f t="shared" si="2"/>
        <v>337838.42000000004</v>
      </c>
      <c r="S47" s="196" t="s">
        <v>491</v>
      </c>
    </row>
    <row r="48" spans="1:19">
      <c r="B48" s="200"/>
      <c r="C48" s="218" t="s">
        <v>345</v>
      </c>
      <c r="D48" s="219" t="s">
        <v>346</v>
      </c>
      <c r="E48" s="196">
        <v>2018</v>
      </c>
      <c r="F48" s="202">
        <v>0</v>
      </c>
      <c r="G48" s="202">
        <v>0</v>
      </c>
      <c r="H48" s="202">
        <v>0</v>
      </c>
      <c r="I48" s="202">
        <v>0</v>
      </c>
      <c r="J48" s="202">
        <v>0</v>
      </c>
      <c r="K48" s="202">
        <v>0</v>
      </c>
      <c r="L48" s="202">
        <v>0</v>
      </c>
      <c r="M48" s="202">
        <v>0</v>
      </c>
      <c r="N48" s="202">
        <v>0</v>
      </c>
      <c r="O48" s="202">
        <v>0</v>
      </c>
      <c r="P48" s="202">
        <v>0</v>
      </c>
      <c r="Q48" s="202">
        <v>0</v>
      </c>
      <c r="R48" s="201">
        <f t="shared" si="2"/>
        <v>0</v>
      </c>
    </row>
    <row r="49" spans="1:18">
      <c r="B49" s="200"/>
      <c r="C49" s="211" t="s">
        <v>198</v>
      </c>
      <c r="D49" s="212" t="s">
        <v>199</v>
      </c>
      <c r="E49" s="196">
        <v>2018</v>
      </c>
      <c r="F49" s="201">
        <v>0</v>
      </c>
      <c r="G49" s="201">
        <v>0</v>
      </c>
      <c r="H49" s="201">
        <v>0</v>
      </c>
      <c r="I49" s="201">
        <v>0</v>
      </c>
      <c r="J49" s="201">
        <v>0</v>
      </c>
      <c r="K49" s="201">
        <v>0</v>
      </c>
      <c r="L49" s="201">
        <v>0</v>
      </c>
      <c r="M49" s="201">
        <v>0</v>
      </c>
      <c r="N49" s="201">
        <v>0</v>
      </c>
      <c r="O49" s="201">
        <v>0</v>
      </c>
      <c r="P49" s="201">
        <v>0</v>
      </c>
      <c r="Q49" s="201">
        <v>0</v>
      </c>
      <c r="R49" s="201">
        <f t="shared" si="2"/>
        <v>0</v>
      </c>
    </row>
    <row r="50" spans="1:18">
      <c r="A50" s="203" t="s">
        <v>351</v>
      </c>
      <c r="B50" s="203"/>
      <c r="C50" s="203"/>
      <c r="D50" s="203"/>
      <c r="E50" s="203"/>
      <c r="F50" s="204">
        <f>SUM(F39:F49)</f>
        <v>48989.79</v>
      </c>
      <c r="G50" s="204">
        <f t="shared" ref="G50:R50" si="3">SUM(G39:G49)</f>
        <v>44356.46</v>
      </c>
      <c r="H50" s="204">
        <f t="shared" si="3"/>
        <v>46163.42</v>
      </c>
      <c r="I50" s="204">
        <f t="shared" si="3"/>
        <v>82316.53</v>
      </c>
      <c r="J50" s="204">
        <f t="shared" si="3"/>
        <v>86367.76999999999</v>
      </c>
      <c r="K50" s="204">
        <f t="shared" si="3"/>
        <v>82662.289999999994</v>
      </c>
      <c r="L50" s="204">
        <f t="shared" si="3"/>
        <v>84049.64</v>
      </c>
      <c r="M50" s="204">
        <f t="shared" si="3"/>
        <v>87651.62</v>
      </c>
      <c r="N50" s="204">
        <f t="shared" si="3"/>
        <v>82620.84</v>
      </c>
      <c r="O50" s="204">
        <f t="shared" si="3"/>
        <v>86956.28</v>
      </c>
      <c r="P50" s="204">
        <f t="shared" si="3"/>
        <v>83002.92</v>
      </c>
      <c r="Q50" s="204">
        <f t="shared" si="3"/>
        <v>79533.119999999995</v>
      </c>
      <c r="R50" s="204">
        <f t="shared" si="3"/>
        <v>894670.68</v>
      </c>
    </row>
    <row r="51" spans="1:18"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</row>
    <row r="52" spans="1:18">
      <c r="A52" s="205" t="s">
        <v>352</v>
      </c>
      <c r="B52" s="205"/>
      <c r="C52" s="205"/>
      <c r="D52" s="205"/>
      <c r="E52" s="205"/>
      <c r="F52" s="206">
        <f>F36+F50</f>
        <v>1891819.6800000002</v>
      </c>
      <c r="G52" s="206">
        <f t="shared" ref="G52:R52" si="4">G36+G50</f>
        <v>2278644.77</v>
      </c>
      <c r="H52" s="206">
        <f t="shared" si="4"/>
        <v>7233737.6899999995</v>
      </c>
      <c r="I52" s="206">
        <f t="shared" si="4"/>
        <v>5990018.2400000002</v>
      </c>
      <c r="J52" s="206">
        <f t="shared" si="4"/>
        <v>6755337.5800000001</v>
      </c>
      <c r="K52" s="206">
        <f t="shared" si="4"/>
        <v>7280683.8900000006</v>
      </c>
      <c r="L52" s="206">
        <f t="shared" si="4"/>
        <v>5742740.5699999994</v>
      </c>
      <c r="M52" s="206">
        <f t="shared" si="4"/>
        <v>6958460.4500000002</v>
      </c>
      <c r="N52" s="206">
        <f t="shared" si="4"/>
        <v>4573024.2</v>
      </c>
      <c r="O52" s="206">
        <f t="shared" si="4"/>
        <v>4652179.83</v>
      </c>
      <c r="P52" s="206">
        <f t="shared" si="4"/>
        <v>3264449.98</v>
      </c>
      <c r="Q52" s="206">
        <f t="shared" si="4"/>
        <v>5214340.3</v>
      </c>
      <c r="R52" s="206">
        <f t="shared" si="4"/>
        <v>61835437.180000007</v>
      </c>
    </row>
    <row r="53" spans="1:18">
      <c r="Q53" s="207"/>
      <c r="R53" s="208"/>
    </row>
    <row r="54" spans="1:18">
      <c r="Q54" s="207"/>
      <c r="R54" s="208"/>
    </row>
    <row r="55" spans="1:18">
      <c r="Q55" s="207"/>
      <c r="R55" s="201"/>
    </row>
    <row r="57" spans="1:18">
      <c r="R57" s="201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/>
  </sheetViews>
  <sheetFormatPr defaultRowHeight="12.75"/>
  <cols>
    <col min="1" max="16384" width="9.140625" style="196"/>
  </cols>
  <sheetData>
    <row r="1" spans="1:20">
      <c r="A1" s="196" t="s">
        <v>137</v>
      </c>
      <c r="B1" s="196" t="s">
        <v>138</v>
      </c>
      <c r="C1" s="196" t="s">
        <v>139</v>
      </c>
      <c r="D1" s="196" t="s">
        <v>140</v>
      </c>
      <c r="E1" s="196" t="s">
        <v>141</v>
      </c>
      <c r="F1" s="196" t="s">
        <v>142</v>
      </c>
      <c r="G1" s="196" t="s">
        <v>143</v>
      </c>
      <c r="H1" s="196" t="s">
        <v>355</v>
      </c>
      <c r="I1" s="196" t="s">
        <v>356</v>
      </c>
      <c r="J1" s="196" t="s">
        <v>357</v>
      </c>
      <c r="K1" s="196" t="s">
        <v>358</v>
      </c>
      <c r="L1" s="196" t="s">
        <v>359</v>
      </c>
      <c r="M1" s="196" t="s">
        <v>360</v>
      </c>
      <c r="N1" s="196" t="s">
        <v>361</v>
      </c>
      <c r="O1" s="196" t="s">
        <v>362</v>
      </c>
      <c r="P1" s="196" t="s">
        <v>363</v>
      </c>
      <c r="Q1" s="196" t="s">
        <v>364</v>
      </c>
      <c r="R1" s="196" t="s">
        <v>365</v>
      </c>
      <c r="S1" s="196" t="s">
        <v>366</v>
      </c>
      <c r="T1" s="196" t="s">
        <v>145</v>
      </c>
    </row>
    <row r="2" spans="1:20">
      <c r="A2" s="196" t="s">
        <v>146</v>
      </c>
      <c r="B2" s="196" t="s">
        <v>146</v>
      </c>
      <c r="C2" s="196" t="s">
        <v>147</v>
      </c>
      <c r="D2" s="196" t="s">
        <v>201</v>
      </c>
      <c r="E2" s="196" t="s">
        <v>149</v>
      </c>
      <c r="F2" s="196" t="s">
        <v>150</v>
      </c>
      <c r="G2" s="196" t="s">
        <v>238</v>
      </c>
      <c r="H2" s="196">
        <v>16178</v>
      </c>
      <c r="I2" s="196">
        <v>15936</v>
      </c>
      <c r="J2" s="196">
        <v>17624</v>
      </c>
      <c r="K2" s="196">
        <v>20311</v>
      </c>
      <c r="L2" s="196">
        <v>20719</v>
      </c>
      <c r="M2" s="196">
        <v>19475</v>
      </c>
      <c r="N2" s="196">
        <v>19676</v>
      </c>
      <c r="O2" s="196">
        <v>19943</v>
      </c>
      <c r="P2" s="196">
        <v>19789</v>
      </c>
      <c r="Q2" s="196">
        <v>22080</v>
      </c>
      <c r="R2" s="196">
        <v>18555</v>
      </c>
      <c r="S2" s="196">
        <v>16713</v>
      </c>
      <c r="T2" s="196">
        <v>226999</v>
      </c>
    </row>
    <row r="3" spans="1:20">
      <c r="A3" s="196" t="s">
        <v>151</v>
      </c>
      <c r="B3" s="196" t="s">
        <v>151</v>
      </c>
      <c r="C3" s="196" t="s">
        <v>182</v>
      </c>
      <c r="D3" s="196" t="s">
        <v>367</v>
      </c>
      <c r="E3" s="196" t="s">
        <v>176</v>
      </c>
      <c r="F3" s="196" t="s">
        <v>205</v>
      </c>
      <c r="G3" s="196" t="s">
        <v>238</v>
      </c>
      <c r="H3" s="196">
        <v>40.9</v>
      </c>
      <c r="I3" s="196">
        <v>-2570.2199999999998</v>
      </c>
      <c r="J3" s="196">
        <v>0</v>
      </c>
      <c r="K3" s="196">
        <v>-6851.81</v>
      </c>
      <c r="L3" s="196">
        <v>-432.75</v>
      </c>
      <c r="M3" s="196">
        <v>-22.27</v>
      </c>
      <c r="N3" s="196">
        <v>-870.16</v>
      </c>
      <c r="O3" s="196">
        <v>-1245.72</v>
      </c>
      <c r="P3" s="196">
        <v>-1157.32</v>
      </c>
      <c r="Q3" s="196">
        <v>-3183.54</v>
      </c>
      <c r="R3" s="196">
        <v>-3296.54</v>
      </c>
      <c r="S3" s="196">
        <v>-627.74</v>
      </c>
      <c r="T3" s="196">
        <v>-20217.169999999998</v>
      </c>
    </row>
    <row r="4" spans="1:20">
      <c r="A4" s="196" t="s">
        <v>151</v>
      </c>
      <c r="B4" s="196" t="s">
        <v>151</v>
      </c>
      <c r="C4" s="196" t="s">
        <v>206</v>
      </c>
      <c r="D4" s="196" t="s">
        <v>367</v>
      </c>
      <c r="E4" s="196" t="s">
        <v>176</v>
      </c>
      <c r="F4" s="196" t="s">
        <v>207</v>
      </c>
      <c r="G4" s="196" t="s">
        <v>238</v>
      </c>
      <c r="H4" s="196">
        <v>41282.94</v>
      </c>
      <c r="I4" s="196">
        <v>25280.97</v>
      </c>
      <c r="J4" s="196">
        <v>39316.300000000003</v>
      </c>
      <c r="K4" s="196">
        <v>31754.71</v>
      </c>
      <c r="L4" s="196">
        <v>48680.82</v>
      </c>
      <c r="M4" s="196">
        <v>39287.99</v>
      </c>
      <c r="N4" s="196">
        <v>41615.019999999997</v>
      </c>
      <c r="O4" s="196">
        <v>38690.699999999997</v>
      </c>
      <c r="P4" s="196">
        <v>40056.03</v>
      </c>
      <c r="Q4" s="196">
        <v>52346.82</v>
      </c>
      <c r="R4" s="196">
        <v>83332.41</v>
      </c>
      <c r="S4" s="196">
        <v>71168.59</v>
      </c>
      <c r="T4" s="196">
        <v>552813.30000000005</v>
      </c>
    </row>
    <row r="5" spans="1:20">
      <c r="A5" s="196" t="s">
        <v>151</v>
      </c>
      <c r="B5" s="196" t="s">
        <v>151</v>
      </c>
      <c r="C5" s="196" t="s">
        <v>208</v>
      </c>
      <c r="D5" s="196" t="s">
        <v>367</v>
      </c>
      <c r="E5" s="196" t="s">
        <v>176</v>
      </c>
      <c r="F5" s="196" t="s">
        <v>209</v>
      </c>
      <c r="G5" s="196" t="s">
        <v>238</v>
      </c>
      <c r="H5" s="196">
        <v>-5294.77</v>
      </c>
      <c r="I5" s="196">
        <v>-8415.14</v>
      </c>
      <c r="J5" s="196">
        <v>-15714.68</v>
      </c>
      <c r="K5" s="196">
        <v>-11229.1</v>
      </c>
      <c r="L5" s="196">
        <v>-10763.51</v>
      </c>
      <c r="M5" s="196">
        <v>-9469.65</v>
      </c>
      <c r="N5" s="196">
        <v>-11200.54</v>
      </c>
      <c r="O5" s="196">
        <v>-11440.51</v>
      </c>
      <c r="P5" s="196">
        <v>-12667.1</v>
      </c>
      <c r="Q5" s="196">
        <v>-7721.22</v>
      </c>
      <c r="R5" s="196">
        <v>-10685.87</v>
      </c>
      <c r="S5" s="196">
        <v>-7709.83</v>
      </c>
      <c r="T5" s="196">
        <v>-122311.92</v>
      </c>
    </row>
    <row r="6" spans="1:20">
      <c r="A6" s="196" t="s">
        <v>151</v>
      </c>
      <c r="B6" s="196" t="s">
        <v>151</v>
      </c>
      <c r="C6" s="196" t="s">
        <v>147</v>
      </c>
      <c r="D6" s="196" t="s">
        <v>367</v>
      </c>
      <c r="E6" s="196" t="s">
        <v>176</v>
      </c>
      <c r="F6" s="196" t="s">
        <v>203</v>
      </c>
      <c r="G6" s="196" t="s">
        <v>238</v>
      </c>
      <c r="H6" s="196">
        <v>-4450.72</v>
      </c>
      <c r="I6" s="196">
        <v>-2729.15</v>
      </c>
      <c r="J6" s="196">
        <v>-777.04</v>
      </c>
      <c r="K6" s="196">
        <v>-3381.3</v>
      </c>
      <c r="L6" s="196">
        <v>-2620.0500000000002</v>
      </c>
      <c r="M6" s="196">
        <v>-242.86</v>
      </c>
      <c r="N6" s="196">
        <v>-1526.9</v>
      </c>
      <c r="O6" s="196">
        <v>-3055.32</v>
      </c>
      <c r="P6" s="196">
        <v>-4289.7700000000004</v>
      </c>
      <c r="Q6" s="196">
        <v>-6220.61</v>
      </c>
      <c r="R6" s="196">
        <v>-3013.66</v>
      </c>
      <c r="S6" s="196">
        <v>-2104.81</v>
      </c>
      <c r="T6" s="196">
        <v>-34412.19</v>
      </c>
    </row>
    <row r="7" spans="1:20">
      <c r="A7" s="196" t="s">
        <v>151</v>
      </c>
      <c r="B7" s="196" t="s">
        <v>151</v>
      </c>
      <c r="C7" s="196" t="s">
        <v>175</v>
      </c>
      <c r="D7" s="196" t="s">
        <v>367</v>
      </c>
      <c r="E7" s="196" t="s">
        <v>176</v>
      </c>
      <c r="F7" s="196" t="s">
        <v>177</v>
      </c>
      <c r="G7" s="196" t="s">
        <v>238</v>
      </c>
      <c r="H7" s="196">
        <v>9716.86</v>
      </c>
      <c r="I7" s="196">
        <v>-25465.77</v>
      </c>
      <c r="J7" s="196">
        <v>-16958.32</v>
      </c>
      <c r="K7" s="196">
        <v>-96723.33</v>
      </c>
      <c r="L7" s="196">
        <v>-2172.4499999999998</v>
      </c>
      <c r="M7" s="196">
        <v>-15750.16</v>
      </c>
      <c r="N7" s="196">
        <v>-33168.86</v>
      </c>
      <c r="O7" s="196">
        <v>-17099.759999999998</v>
      </c>
      <c r="P7" s="196">
        <v>8731.75</v>
      </c>
      <c r="Q7" s="196">
        <v>-10575.7</v>
      </c>
      <c r="R7" s="196">
        <v>799.69</v>
      </c>
      <c r="S7" s="196">
        <v>-4560.2</v>
      </c>
      <c r="T7" s="196">
        <v>-203226.25</v>
      </c>
    </row>
    <row r="8" spans="1:20">
      <c r="A8" s="196" t="s">
        <v>151</v>
      </c>
      <c r="B8" s="196" t="s">
        <v>151</v>
      </c>
      <c r="C8" s="196" t="s">
        <v>152</v>
      </c>
      <c r="D8" s="196" t="s">
        <v>180</v>
      </c>
      <c r="E8" s="196" t="s">
        <v>159</v>
      </c>
      <c r="F8" s="196" t="s">
        <v>154</v>
      </c>
      <c r="G8" s="196" t="s">
        <v>238</v>
      </c>
      <c r="H8" s="196">
        <v>4984.22</v>
      </c>
      <c r="I8" s="196">
        <v>4181.71</v>
      </c>
      <c r="J8" s="196">
        <v>4430</v>
      </c>
      <c r="K8" s="196">
        <v>4307.78</v>
      </c>
      <c r="L8" s="196">
        <v>5011.93</v>
      </c>
      <c r="M8" s="196">
        <v>4127.26</v>
      </c>
      <c r="N8" s="196">
        <v>4474.8100000000004</v>
      </c>
      <c r="O8" s="196">
        <v>5152.96</v>
      </c>
      <c r="P8" s="196">
        <v>4160.1000000000004</v>
      </c>
      <c r="Q8" s="196">
        <v>4938</v>
      </c>
      <c r="R8" s="196">
        <v>4097.62</v>
      </c>
      <c r="S8" s="196">
        <v>3349.62</v>
      </c>
      <c r="T8" s="196">
        <v>53216.01</v>
      </c>
    </row>
    <row r="9" spans="1:20">
      <c r="A9" s="196" t="s">
        <v>151</v>
      </c>
      <c r="B9" s="196" t="s">
        <v>151</v>
      </c>
      <c r="C9" s="196" t="s">
        <v>152</v>
      </c>
      <c r="D9" s="196" t="s">
        <v>160</v>
      </c>
      <c r="E9" s="196" t="s">
        <v>153</v>
      </c>
      <c r="F9" s="196" t="s">
        <v>154</v>
      </c>
      <c r="G9" s="196" t="s">
        <v>238</v>
      </c>
      <c r="H9" s="196">
        <v>13929.69</v>
      </c>
      <c r="I9" s="196">
        <v>11441.33</v>
      </c>
      <c r="J9" s="196">
        <v>11307.31</v>
      </c>
      <c r="K9" s="196">
        <v>11691.38</v>
      </c>
      <c r="L9" s="196">
        <v>10652.22</v>
      </c>
      <c r="M9" s="196">
        <v>14166.95</v>
      </c>
      <c r="N9" s="196">
        <v>12633.88</v>
      </c>
      <c r="O9" s="196">
        <v>13907.7</v>
      </c>
      <c r="P9" s="196">
        <v>13535.84</v>
      </c>
      <c r="Q9" s="196">
        <v>14906.23</v>
      </c>
      <c r="R9" s="196">
        <v>15751.12</v>
      </c>
      <c r="S9" s="196">
        <v>17201.37</v>
      </c>
      <c r="T9" s="196">
        <v>161125.01999999999</v>
      </c>
    </row>
    <row r="10" spans="1:20">
      <c r="A10" s="196" t="s">
        <v>151</v>
      </c>
      <c r="B10" s="196" t="s">
        <v>151</v>
      </c>
      <c r="C10" s="196" t="s">
        <v>152</v>
      </c>
      <c r="D10" s="196" t="s">
        <v>201</v>
      </c>
      <c r="E10" s="196" t="s">
        <v>153</v>
      </c>
      <c r="F10" s="196" t="s">
        <v>154</v>
      </c>
      <c r="G10" s="196" t="s">
        <v>238</v>
      </c>
      <c r="H10" s="196">
        <v>81647.12</v>
      </c>
      <c r="I10" s="196">
        <v>68501.100000000006</v>
      </c>
      <c r="J10" s="196">
        <v>72568.31</v>
      </c>
      <c r="K10" s="196">
        <v>70566.34</v>
      </c>
      <c r="L10" s="196">
        <v>82101.039999999994</v>
      </c>
      <c r="M10" s="196">
        <v>67609.13</v>
      </c>
      <c r="N10" s="196">
        <v>73302.48</v>
      </c>
      <c r="O10" s="196">
        <v>84411.26</v>
      </c>
      <c r="P10" s="196">
        <v>68147.14</v>
      </c>
      <c r="Q10" s="196">
        <v>80889.97</v>
      </c>
      <c r="R10" s="196">
        <v>67123.62</v>
      </c>
      <c r="S10" s="196">
        <v>54870.49</v>
      </c>
      <c r="T10" s="196">
        <v>871738</v>
      </c>
    </row>
    <row r="11" spans="1:20">
      <c r="A11" s="196" t="s">
        <v>151</v>
      </c>
      <c r="B11" s="196" t="s">
        <v>151</v>
      </c>
      <c r="C11" s="196" t="s">
        <v>152</v>
      </c>
      <c r="D11" s="196" t="s">
        <v>201</v>
      </c>
      <c r="E11" s="196" t="s">
        <v>159</v>
      </c>
      <c r="F11" s="196" t="s">
        <v>154</v>
      </c>
      <c r="G11" s="196" t="s">
        <v>238</v>
      </c>
      <c r="H11" s="196">
        <v>26802.45</v>
      </c>
      <c r="I11" s="196">
        <v>22486.98</v>
      </c>
      <c r="J11" s="196">
        <v>23822.13</v>
      </c>
      <c r="K11" s="196">
        <v>23164.94</v>
      </c>
      <c r="L11" s="196">
        <v>26951.46</v>
      </c>
      <c r="M11" s="196">
        <v>22194.17</v>
      </c>
      <c r="N11" s="196">
        <v>24063.14</v>
      </c>
      <c r="O11" s="196">
        <v>27709.84</v>
      </c>
      <c r="P11" s="196">
        <v>22370.79</v>
      </c>
      <c r="Q11" s="196">
        <v>26553.9</v>
      </c>
      <c r="R11" s="196">
        <v>22034.79</v>
      </c>
      <c r="S11" s="196">
        <v>18012.439999999999</v>
      </c>
      <c r="T11" s="196">
        <v>286167.03000000003</v>
      </c>
    </row>
    <row r="12" spans="1:20">
      <c r="A12" s="196" t="s">
        <v>151</v>
      </c>
      <c r="B12" s="196" t="s">
        <v>151</v>
      </c>
      <c r="C12" s="196" t="s">
        <v>152</v>
      </c>
      <c r="D12" s="196" t="s">
        <v>161</v>
      </c>
      <c r="E12" s="196" t="s">
        <v>153</v>
      </c>
      <c r="F12" s="196" t="s">
        <v>154</v>
      </c>
      <c r="G12" s="196" t="s">
        <v>238</v>
      </c>
      <c r="H12" s="196">
        <v>3616.76</v>
      </c>
      <c r="I12" s="196">
        <v>2970.67</v>
      </c>
      <c r="J12" s="196">
        <v>2935.88</v>
      </c>
      <c r="K12" s="196">
        <v>3035.6</v>
      </c>
      <c r="L12" s="196">
        <v>2765.79</v>
      </c>
      <c r="M12" s="196">
        <v>3678.37</v>
      </c>
      <c r="N12" s="196">
        <v>3280.31</v>
      </c>
      <c r="O12" s="196">
        <v>3611.05</v>
      </c>
      <c r="P12" s="196">
        <v>3514.5</v>
      </c>
      <c r="Q12" s="196">
        <v>3870.32</v>
      </c>
      <c r="R12" s="196">
        <v>4089.69</v>
      </c>
      <c r="S12" s="196">
        <v>4466.24</v>
      </c>
      <c r="T12" s="196">
        <v>41835.18</v>
      </c>
    </row>
    <row r="13" spans="1:20">
      <c r="A13" s="196" t="s">
        <v>151</v>
      </c>
      <c r="B13" s="196" t="s">
        <v>151</v>
      </c>
      <c r="C13" s="196" t="s">
        <v>152</v>
      </c>
      <c r="D13" s="196" t="s">
        <v>161</v>
      </c>
      <c r="E13" s="196" t="s">
        <v>159</v>
      </c>
      <c r="F13" s="196" t="s">
        <v>154</v>
      </c>
      <c r="G13" s="196" t="s">
        <v>238</v>
      </c>
      <c r="H13" s="196">
        <v>1294.1199999999999</v>
      </c>
      <c r="I13" s="196">
        <v>1085.76</v>
      </c>
      <c r="J13" s="196">
        <v>1150.22</v>
      </c>
      <c r="K13" s="196">
        <v>1118.49</v>
      </c>
      <c r="L13" s="196">
        <v>1301.32</v>
      </c>
      <c r="M13" s="196">
        <v>1071.6199999999999</v>
      </c>
      <c r="N13" s="196">
        <v>1161.8599999999999</v>
      </c>
      <c r="O13" s="196">
        <v>1337.94</v>
      </c>
      <c r="P13" s="196">
        <v>1080.1500000000001</v>
      </c>
      <c r="Q13" s="196">
        <v>1282.1199999999999</v>
      </c>
      <c r="R13" s="196">
        <v>1063.92</v>
      </c>
      <c r="S13" s="196">
        <v>869.71</v>
      </c>
      <c r="T13" s="196">
        <v>13817.23</v>
      </c>
    </row>
    <row r="14" spans="1:20">
      <c r="A14" s="196" t="s">
        <v>151</v>
      </c>
      <c r="B14" s="196" t="s">
        <v>151</v>
      </c>
      <c r="C14" s="196" t="s">
        <v>152</v>
      </c>
      <c r="D14" s="196" t="s">
        <v>367</v>
      </c>
      <c r="E14" s="196" t="s">
        <v>176</v>
      </c>
      <c r="F14" s="196" t="s">
        <v>204</v>
      </c>
      <c r="G14" s="196" t="s">
        <v>238</v>
      </c>
      <c r="H14" s="196">
        <v>-15651.51</v>
      </c>
      <c r="I14" s="196">
        <v>-43447.9</v>
      </c>
      <c r="J14" s="196">
        <v>-31606.28</v>
      </c>
      <c r="K14" s="196">
        <v>-22238.68</v>
      </c>
      <c r="L14" s="196">
        <v>-10594.51</v>
      </c>
      <c r="M14" s="196">
        <v>-16549.54</v>
      </c>
      <c r="N14" s="196">
        <v>-29027.32</v>
      </c>
      <c r="O14" s="196">
        <v>-10963.46</v>
      </c>
      <c r="P14" s="196">
        <v>-19640.03</v>
      </c>
      <c r="Q14" s="196">
        <v>-9496.58</v>
      </c>
      <c r="R14" s="196">
        <v>-36643.910000000003</v>
      </c>
      <c r="S14" s="196">
        <v>-11786.06</v>
      </c>
      <c r="T14" s="196">
        <v>-257645.78</v>
      </c>
    </row>
    <row r="15" spans="1:20">
      <c r="A15" s="196" t="s">
        <v>151</v>
      </c>
      <c r="B15" s="196" t="s">
        <v>151</v>
      </c>
      <c r="C15" s="196" t="s">
        <v>152</v>
      </c>
      <c r="D15" s="196" t="s">
        <v>181</v>
      </c>
      <c r="E15" s="196" t="s">
        <v>159</v>
      </c>
      <c r="F15" s="196" t="s">
        <v>154</v>
      </c>
      <c r="G15" s="196" t="s">
        <v>238</v>
      </c>
      <c r="H15" s="196">
        <v>1292.46</v>
      </c>
      <c r="I15" s="196">
        <v>1084.3599999999999</v>
      </c>
      <c r="J15" s="196">
        <v>1148.75</v>
      </c>
      <c r="K15" s="196">
        <v>1117.05</v>
      </c>
      <c r="L15" s="196">
        <v>1299.6400000000001</v>
      </c>
      <c r="M15" s="196">
        <v>1070.24</v>
      </c>
      <c r="N15" s="196">
        <v>1160.3599999999999</v>
      </c>
      <c r="O15" s="196">
        <v>1336.22</v>
      </c>
      <c r="P15" s="196">
        <v>1078.76</v>
      </c>
      <c r="Q15" s="196">
        <v>1280.48</v>
      </c>
      <c r="R15" s="196">
        <v>1062.55</v>
      </c>
      <c r="S15" s="196">
        <v>868.59</v>
      </c>
      <c r="T15" s="196">
        <v>13799.46</v>
      </c>
    </row>
    <row r="16" spans="1:20">
      <c r="A16" s="196" t="s">
        <v>151</v>
      </c>
      <c r="B16" s="196" t="s">
        <v>151</v>
      </c>
      <c r="C16" s="196" t="s">
        <v>152</v>
      </c>
      <c r="D16" s="196" t="s">
        <v>162</v>
      </c>
      <c r="E16" s="196" t="s">
        <v>153</v>
      </c>
      <c r="F16" s="196" t="s">
        <v>154</v>
      </c>
      <c r="G16" s="196" t="s">
        <v>238</v>
      </c>
      <c r="H16" s="196">
        <v>1236.4000000000001</v>
      </c>
      <c r="I16" s="196">
        <v>1015.53</v>
      </c>
      <c r="J16" s="196">
        <v>1003.64</v>
      </c>
      <c r="K16" s="196">
        <v>1037.73</v>
      </c>
      <c r="L16" s="196">
        <v>945.49</v>
      </c>
      <c r="M16" s="196">
        <v>1257.46</v>
      </c>
      <c r="N16" s="196">
        <v>1121.3800000000001</v>
      </c>
      <c r="O16" s="196">
        <v>1234.45</v>
      </c>
      <c r="P16" s="196">
        <v>1201.44</v>
      </c>
      <c r="Q16" s="196">
        <v>1323.08</v>
      </c>
      <c r="R16" s="196">
        <v>1398.07</v>
      </c>
      <c r="S16" s="196">
        <v>1526.79</v>
      </c>
      <c r="T16" s="196">
        <v>14301.46</v>
      </c>
    </row>
    <row r="17" spans="1:20">
      <c r="A17" s="196" t="s">
        <v>155</v>
      </c>
      <c r="B17" s="196" t="s">
        <v>155</v>
      </c>
      <c r="C17" s="196" t="s">
        <v>152</v>
      </c>
      <c r="D17" s="196" t="s">
        <v>148</v>
      </c>
      <c r="E17" s="196" t="s">
        <v>156</v>
      </c>
      <c r="F17" s="196" t="s">
        <v>368</v>
      </c>
      <c r="G17" s="196" t="s">
        <v>238</v>
      </c>
      <c r="H17" s="196">
        <v>2000</v>
      </c>
      <c r="I17" s="196">
        <v>3000</v>
      </c>
      <c r="J17" s="196">
        <v>2000</v>
      </c>
      <c r="K17" s="196">
        <v>2000</v>
      </c>
      <c r="L17" s="196">
        <v>3000</v>
      </c>
      <c r="M17" s="196">
        <v>2000</v>
      </c>
      <c r="N17" s="196">
        <v>2000</v>
      </c>
      <c r="O17" s="196">
        <v>2000</v>
      </c>
      <c r="P17" s="196">
        <v>2000</v>
      </c>
      <c r="Q17" s="196">
        <v>3000</v>
      </c>
      <c r="R17" s="196">
        <v>2000</v>
      </c>
      <c r="S17" s="196">
        <v>3000</v>
      </c>
      <c r="T17" s="196">
        <v>28000</v>
      </c>
    </row>
    <row r="18" spans="1:20">
      <c r="A18" s="196" t="s">
        <v>155</v>
      </c>
      <c r="B18" s="196" t="s">
        <v>155</v>
      </c>
      <c r="C18" s="196" t="s">
        <v>152</v>
      </c>
      <c r="D18" s="196" t="s">
        <v>369</v>
      </c>
      <c r="E18" s="196" t="s">
        <v>156</v>
      </c>
      <c r="F18" s="196" t="s">
        <v>368</v>
      </c>
      <c r="G18" s="196" t="s">
        <v>238</v>
      </c>
      <c r="H18" s="196">
        <v>0</v>
      </c>
      <c r="I18" s="196">
        <v>943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943</v>
      </c>
      <c r="R18" s="196">
        <v>0</v>
      </c>
      <c r="S18" s="196">
        <v>0</v>
      </c>
      <c r="T18" s="196">
        <v>1886</v>
      </c>
    </row>
    <row r="19" spans="1:20">
      <c r="A19" s="196" t="s">
        <v>155</v>
      </c>
      <c r="B19" s="196" t="s">
        <v>155</v>
      </c>
      <c r="C19" s="196" t="s">
        <v>152</v>
      </c>
      <c r="D19" s="196" t="s">
        <v>370</v>
      </c>
      <c r="E19" s="196" t="s">
        <v>156</v>
      </c>
      <c r="F19" s="196" t="s">
        <v>368</v>
      </c>
      <c r="G19" s="196" t="s">
        <v>238</v>
      </c>
      <c r="H19" s="196">
        <v>0</v>
      </c>
      <c r="I19" s="196">
        <v>66.010000000000005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66.010000000000005</v>
      </c>
      <c r="R19" s="196">
        <v>0</v>
      </c>
      <c r="S19" s="196">
        <v>0</v>
      </c>
      <c r="T19" s="196">
        <v>132.02000000000001</v>
      </c>
    </row>
    <row r="20" spans="1:20">
      <c r="A20" s="196" t="s">
        <v>157</v>
      </c>
      <c r="B20" s="196" t="s">
        <v>210</v>
      </c>
      <c r="C20" s="196" t="s">
        <v>152</v>
      </c>
      <c r="D20" s="196" t="s">
        <v>180</v>
      </c>
      <c r="E20" s="196" t="s">
        <v>158</v>
      </c>
      <c r="F20" s="196" t="s">
        <v>154</v>
      </c>
      <c r="G20" s="196" t="s">
        <v>238</v>
      </c>
      <c r="H20" s="196">
        <v>0</v>
      </c>
      <c r="I20" s="196">
        <v>0</v>
      </c>
      <c r="J20" s="196">
        <v>0</v>
      </c>
      <c r="K20" s="196">
        <v>1000</v>
      </c>
      <c r="L20" s="196">
        <v>0</v>
      </c>
      <c r="M20" s="196">
        <v>1000</v>
      </c>
      <c r="N20" s="196">
        <v>0</v>
      </c>
      <c r="O20" s="196">
        <v>1000</v>
      </c>
      <c r="P20" s="196">
        <v>0</v>
      </c>
      <c r="Q20" s="196">
        <v>1000</v>
      </c>
      <c r="R20" s="196">
        <v>0</v>
      </c>
      <c r="S20" s="196">
        <v>1000</v>
      </c>
      <c r="T20" s="196">
        <v>5000</v>
      </c>
    </row>
    <row r="21" spans="1:20">
      <c r="A21" s="196" t="s">
        <v>157</v>
      </c>
      <c r="B21" s="196" t="s">
        <v>210</v>
      </c>
      <c r="C21" s="196" t="s">
        <v>152</v>
      </c>
      <c r="D21" s="196" t="s">
        <v>161</v>
      </c>
      <c r="E21" s="196" t="s">
        <v>158</v>
      </c>
      <c r="F21" s="196" t="s">
        <v>154</v>
      </c>
      <c r="G21" s="196" t="s">
        <v>238</v>
      </c>
      <c r="H21" s="196">
        <v>0</v>
      </c>
      <c r="I21" s="196">
        <v>0</v>
      </c>
      <c r="J21" s="196">
        <v>0</v>
      </c>
      <c r="K21" s="196">
        <v>185</v>
      </c>
      <c r="L21" s="196">
        <v>0</v>
      </c>
      <c r="M21" s="196">
        <v>185</v>
      </c>
      <c r="N21" s="196">
        <v>0</v>
      </c>
      <c r="O21" s="196">
        <v>185</v>
      </c>
      <c r="P21" s="196">
        <v>0</v>
      </c>
      <c r="Q21" s="196">
        <v>185</v>
      </c>
      <c r="R21" s="196">
        <v>0</v>
      </c>
      <c r="S21" s="196">
        <v>185</v>
      </c>
      <c r="T21" s="196">
        <v>925</v>
      </c>
    </row>
    <row r="22" spans="1:20">
      <c r="A22" s="196" t="s">
        <v>157</v>
      </c>
      <c r="B22" s="196" t="s">
        <v>210</v>
      </c>
      <c r="C22" s="196" t="s">
        <v>152</v>
      </c>
      <c r="D22" s="196" t="s">
        <v>181</v>
      </c>
      <c r="E22" s="196" t="s">
        <v>158</v>
      </c>
      <c r="F22" s="196" t="s">
        <v>154</v>
      </c>
      <c r="G22" s="196" t="s">
        <v>238</v>
      </c>
      <c r="H22" s="196">
        <v>0</v>
      </c>
      <c r="I22" s="196">
        <v>0</v>
      </c>
      <c r="J22" s="196">
        <v>0</v>
      </c>
      <c r="K22" s="196">
        <v>259.31</v>
      </c>
      <c r="L22" s="196">
        <v>0</v>
      </c>
      <c r="M22" s="196">
        <v>259.31</v>
      </c>
      <c r="N22" s="196">
        <v>0</v>
      </c>
      <c r="O22" s="196">
        <v>259.31</v>
      </c>
      <c r="P22" s="196">
        <v>0</v>
      </c>
      <c r="Q22" s="196">
        <v>259.31</v>
      </c>
      <c r="R22" s="196">
        <v>0</v>
      </c>
      <c r="S22" s="196">
        <v>259.31</v>
      </c>
      <c r="T22" s="196">
        <v>1296.55</v>
      </c>
    </row>
    <row r="23" spans="1:20">
      <c r="A23" s="220" t="s">
        <v>211</v>
      </c>
      <c r="B23" s="220" t="s">
        <v>211</v>
      </c>
      <c r="C23" s="220" t="s">
        <v>212</v>
      </c>
      <c r="D23" s="220" t="s">
        <v>202</v>
      </c>
      <c r="E23" s="220" t="s">
        <v>213</v>
      </c>
      <c r="F23" s="220" t="s">
        <v>214</v>
      </c>
      <c r="G23" s="220" t="s">
        <v>238</v>
      </c>
      <c r="H23" s="220">
        <v>26136.04</v>
      </c>
      <c r="I23" s="220">
        <v>26136.04</v>
      </c>
      <c r="J23" s="220">
        <v>26136.04</v>
      </c>
      <c r="K23" s="220">
        <v>26136.04</v>
      </c>
      <c r="L23" s="220">
        <v>26136.04</v>
      </c>
      <c r="M23" s="220">
        <v>26136.04</v>
      </c>
      <c r="N23" s="220">
        <v>26136.04</v>
      </c>
      <c r="O23" s="220">
        <v>26136.04</v>
      </c>
      <c r="P23" s="220">
        <v>26136.04</v>
      </c>
      <c r="Q23" s="220">
        <v>26136.04</v>
      </c>
      <c r="R23" s="220">
        <v>26136.04</v>
      </c>
      <c r="S23" s="220">
        <v>26136.04</v>
      </c>
      <c r="T23" s="220">
        <v>313632.48</v>
      </c>
    </row>
    <row r="24" spans="1:20">
      <c r="H24" s="196">
        <f>SUM(H2:H23)</f>
        <v>204760.95999999999</v>
      </c>
      <c r="I24" s="196">
        <f t="shared" ref="I24:T24" si="0">SUM(I2:I23)</f>
        <v>101501.28</v>
      </c>
      <c r="J24" s="196">
        <f t="shared" si="0"/>
        <v>138386.26</v>
      </c>
      <c r="K24" s="196">
        <f t="shared" si="0"/>
        <v>57261.14999999998</v>
      </c>
      <c r="L24" s="196">
        <f t="shared" si="0"/>
        <v>202981.48</v>
      </c>
      <c r="M24" s="196">
        <f t="shared" si="0"/>
        <v>161484.06</v>
      </c>
      <c r="N24" s="196">
        <f t="shared" si="0"/>
        <v>134831.49999999997</v>
      </c>
      <c r="O24" s="196">
        <f t="shared" si="0"/>
        <v>183110.7</v>
      </c>
      <c r="P24" s="196">
        <f t="shared" si="0"/>
        <v>174047.32</v>
      </c>
      <c r="Q24" s="196">
        <f t="shared" si="0"/>
        <v>203862.63000000003</v>
      </c>
      <c r="R24" s="196">
        <f t="shared" si="0"/>
        <v>193804.54</v>
      </c>
      <c r="S24" s="196">
        <f t="shared" si="0"/>
        <v>192838.55</v>
      </c>
      <c r="T24" s="196">
        <f t="shared" si="0"/>
        <v>1948870.43</v>
      </c>
    </row>
    <row r="27" spans="1:20">
      <c r="F27" s="207" t="s">
        <v>486</v>
      </c>
      <c r="G27" s="196">
        <v>2018</v>
      </c>
      <c r="H27" s="196">
        <v>440.78</v>
      </c>
      <c r="I27" s="196">
        <v>440.78</v>
      </c>
      <c r="J27" s="196">
        <v>440.78</v>
      </c>
      <c r="K27" s="196">
        <v>440.78</v>
      </c>
      <c r="L27" s="196">
        <v>440.78</v>
      </c>
      <c r="M27" s="196">
        <v>440.78</v>
      </c>
      <c r="N27" s="196">
        <v>440.78</v>
      </c>
      <c r="O27" s="196">
        <v>440.78</v>
      </c>
      <c r="P27" s="196">
        <v>440.78</v>
      </c>
      <c r="Q27" s="196">
        <v>440.78</v>
      </c>
      <c r="R27" s="196">
        <v>440.78</v>
      </c>
      <c r="S27" s="196">
        <v>440.78</v>
      </c>
      <c r="T27" s="196">
        <f>SUM(H27:S27)</f>
        <v>5289.3599999999979</v>
      </c>
    </row>
  </sheetData>
  <pageMargins left="0.75" right="0.75" top="1" bottom="1" header="0.5" footer="0.5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76"/>
  <sheetViews>
    <sheetView zoomScale="55" zoomScaleNormal="55" workbookViewId="0"/>
  </sheetViews>
  <sheetFormatPr defaultRowHeight="20.25"/>
  <cols>
    <col min="1" max="1" width="9.5703125" style="69" customWidth="1"/>
    <col min="2" max="2" width="9.140625" style="69"/>
    <col min="3" max="3" width="54.7109375" style="69" customWidth="1"/>
    <col min="4" max="17" width="21.7109375" style="69" customWidth="1"/>
    <col min="18" max="18" width="13.7109375" customWidth="1"/>
    <col min="19" max="19" width="18.7109375" style="69" customWidth="1"/>
    <col min="20" max="20" width="18" style="69" customWidth="1"/>
    <col min="21" max="21" width="17" style="69" customWidth="1"/>
    <col min="22" max="22" width="14.7109375" style="69" bestFit="1" customWidth="1"/>
    <col min="23" max="23" width="14.5703125" style="69" bestFit="1" customWidth="1"/>
    <col min="24" max="24" width="13.140625" style="69" bestFit="1" customWidth="1"/>
    <col min="25" max="25" width="14" style="69" customWidth="1"/>
    <col min="26" max="26" width="15.5703125" style="69" customWidth="1"/>
    <col min="27" max="27" width="14.42578125" style="69" bestFit="1" customWidth="1"/>
    <col min="28" max="28" width="14.85546875" style="69" customWidth="1"/>
    <col min="29" max="29" width="15.7109375" style="69" customWidth="1"/>
    <col min="30" max="30" width="13.42578125" style="69" customWidth="1"/>
    <col min="31" max="31" width="12.140625" style="69" bestFit="1" customWidth="1"/>
    <col min="32" max="32" width="16.5703125" style="69" customWidth="1"/>
    <col min="33" max="33" width="14.42578125" style="69" customWidth="1"/>
    <col min="34" max="34" width="15.140625" style="69" customWidth="1"/>
    <col min="35" max="35" width="9.42578125" style="69" bestFit="1" customWidth="1"/>
    <col min="36" max="36" width="12.7109375" style="69" customWidth="1"/>
    <col min="37" max="16384" width="9.140625" style="69"/>
  </cols>
  <sheetData>
    <row r="1" spans="1:36">
      <c r="A1" s="190" t="s">
        <v>67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36">
      <c r="A2" s="190" t="s">
        <v>273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36">
      <c r="A3" s="190" t="s">
        <v>79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4" spans="1:36" s="34" customFormat="1">
      <c r="A4" s="70"/>
      <c r="D4" s="31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4" customFormat="1">
      <c r="D5" s="440" t="s">
        <v>272</v>
      </c>
      <c r="E5" s="441"/>
      <c r="F5" s="441"/>
      <c r="G5" s="441"/>
      <c r="H5" s="441"/>
      <c r="I5" s="441"/>
      <c r="J5" s="442"/>
      <c r="K5" s="443" t="s">
        <v>260</v>
      </c>
      <c r="L5" s="444"/>
      <c r="M5" s="444"/>
      <c r="N5" s="444"/>
      <c r="O5" s="444"/>
      <c r="P5" s="444"/>
      <c r="Q5" s="445"/>
      <c r="R5"/>
      <c r="U5" s="15"/>
      <c r="V5" s="14"/>
      <c r="W5" s="14"/>
      <c r="X5" s="14"/>
      <c r="Y5" s="14"/>
      <c r="Z5" s="14"/>
      <c r="AA5" s="14"/>
      <c r="AB5" s="14"/>
      <c r="AC5" s="439"/>
      <c r="AD5" s="439"/>
      <c r="AE5" s="439"/>
      <c r="AF5" s="439"/>
      <c r="AG5" s="439"/>
      <c r="AH5" s="439"/>
      <c r="AI5" s="439"/>
      <c r="AJ5" s="439"/>
    </row>
    <row r="6" spans="1:36" s="34" customFormat="1">
      <c r="A6" s="85" t="s">
        <v>4</v>
      </c>
      <c r="B6" s="35"/>
      <c r="D6" s="95">
        <v>2016</v>
      </c>
      <c r="E6" s="91">
        <v>2017</v>
      </c>
      <c r="F6" s="91">
        <f t="shared" ref="F6:P6" si="0">$E$6</f>
        <v>2017</v>
      </c>
      <c r="G6" s="91">
        <f t="shared" si="0"/>
        <v>2017</v>
      </c>
      <c r="H6" s="91">
        <f t="shared" si="0"/>
        <v>2017</v>
      </c>
      <c r="I6" s="91">
        <f t="shared" si="0"/>
        <v>2017</v>
      </c>
      <c r="J6" s="96">
        <f t="shared" si="0"/>
        <v>2017</v>
      </c>
      <c r="K6" s="110">
        <f t="shared" si="0"/>
        <v>2017</v>
      </c>
      <c r="L6" s="90">
        <f t="shared" si="0"/>
        <v>2017</v>
      </c>
      <c r="M6" s="90">
        <f t="shared" si="0"/>
        <v>2017</v>
      </c>
      <c r="N6" s="90">
        <f t="shared" si="0"/>
        <v>2017</v>
      </c>
      <c r="O6" s="90">
        <f t="shared" si="0"/>
        <v>2017</v>
      </c>
      <c r="P6" s="90">
        <f t="shared" si="0"/>
        <v>2017</v>
      </c>
      <c r="Q6" s="111">
        <v>2017</v>
      </c>
      <c r="R6"/>
      <c r="U6" s="87"/>
      <c r="V6" s="16"/>
      <c r="W6" s="87"/>
      <c r="X6" s="87"/>
      <c r="Y6" s="87"/>
      <c r="Z6" s="87"/>
      <c r="AA6" s="87"/>
      <c r="AB6" s="87"/>
      <c r="AC6" s="87"/>
      <c r="AD6" s="87"/>
      <c r="AE6" s="87"/>
      <c r="AF6" s="16"/>
      <c r="AG6" s="87"/>
      <c r="AH6" s="87"/>
      <c r="AI6" s="87"/>
      <c r="AJ6" s="87"/>
    </row>
    <row r="7" spans="1:36" s="34" customFormat="1">
      <c r="A7" s="71" t="s">
        <v>5</v>
      </c>
      <c r="B7" s="35"/>
      <c r="C7" s="71" t="s">
        <v>6</v>
      </c>
      <c r="D7" s="97" t="s">
        <v>107</v>
      </c>
      <c r="E7" s="92" t="s">
        <v>95</v>
      </c>
      <c r="F7" s="92" t="s">
        <v>98</v>
      </c>
      <c r="G7" s="92" t="s">
        <v>99</v>
      </c>
      <c r="H7" s="92" t="s">
        <v>100</v>
      </c>
      <c r="I7" s="92" t="s">
        <v>88</v>
      </c>
      <c r="J7" s="98" t="s">
        <v>101</v>
      </c>
      <c r="K7" s="112" t="s">
        <v>102</v>
      </c>
      <c r="L7" s="72" t="s">
        <v>103</v>
      </c>
      <c r="M7" s="72" t="s">
        <v>104</v>
      </c>
      <c r="N7" s="72" t="s">
        <v>105</v>
      </c>
      <c r="O7" s="72" t="s">
        <v>106</v>
      </c>
      <c r="P7" s="72" t="s">
        <v>107</v>
      </c>
      <c r="Q7" s="113" t="s">
        <v>259</v>
      </c>
      <c r="R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16"/>
      <c r="AG7" s="87"/>
      <c r="AH7" s="87"/>
      <c r="AI7" s="87"/>
      <c r="AJ7" s="87"/>
    </row>
    <row r="8" spans="1:36" s="34" customFormat="1">
      <c r="A8" s="85"/>
      <c r="B8" s="35"/>
      <c r="C8" s="73">
        <v>-1</v>
      </c>
      <c r="D8" s="99">
        <v>-2</v>
      </c>
      <c r="E8" s="100">
        <v>-3</v>
      </c>
      <c r="F8" s="100">
        <v>-4</v>
      </c>
      <c r="G8" s="100">
        <v>-5</v>
      </c>
      <c r="H8" s="100">
        <v>-6</v>
      </c>
      <c r="I8" s="100">
        <v>-7</v>
      </c>
      <c r="J8" s="101">
        <v>-8</v>
      </c>
      <c r="K8" s="114">
        <v>-9</v>
      </c>
      <c r="L8" s="115">
        <v>-10</v>
      </c>
      <c r="M8" s="115">
        <v>-11</v>
      </c>
      <c r="N8" s="115">
        <v>-12</v>
      </c>
      <c r="O8" s="115">
        <v>-13</v>
      </c>
      <c r="P8" s="115">
        <v>-14</v>
      </c>
      <c r="Q8" s="116">
        <v>-15</v>
      </c>
      <c r="R8"/>
      <c r="U8" s="87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4" customFormat="1">
      <c r="A9" s="35"/>
      <c r="B9" s="35"/>
      <c r="D9" s="102"/>
      <c r="E9" s="103"/>
      <c r="F9" s="103"/>
      <c r="G9" s="103"/>
      <c r="H9" s="103"/>
      <c r="I9" s="103"/>
      <c r="J9" s="104"/>
      <c r="K9" s="117"/>
      <c r="L9" s="13"/>
      <c r="M9" s="13"/>
      <c r="N9" s="13"/>
      <c r="O9" s="13"/>
      <c r="P9" s="13"/>
      <c r="Q9" s="118"/>
      <c r="R9"/>
      <c r="U9" s="87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4" customFormat="1">
      <c r="A10" s="35"/>
      <c r="B10" s="74" t="s">
        <v>51</v>
      </c>
      <c r="D10" s="102"/>
      <c r="E10" s="103"/>
      <c r="F10" s="103"/>
      <c r="G10" s="103"/>
      <c r="H10" s="103"/>
      <c r="I10" s="103"/>
      <c r="J10" s="104"/>
      <c r="K10" s="117"/>
      <c r="L10" s="13"/>
      <c r="M10" s="13"/>
      <c r="N10" s="13"/>
      <c r="O10" s="13"/>
      <c r="P10" s="13"/>
      <c r="Q10" s="118"/>
      <c r="R10"/>
      <c r="U10" s="87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4" customFormat="1">
      <c r="A11" s="35">
        <v>1</v>
      </c>
      <c r="B11" s="35"/>
      <c r="C11" s="75" t="s">
        <v>481</v>
      </c>
      <c r="D11" s="383">
        <v>218673518.64999992</v>
      </c>
      <c r="E11" s="384">
        <v>221555022.26999992</v>
      </c>
      <c r="F11" s="384">
        <v>224484281.51999995</v>
      </c>
      <c r="G11" s="384">
        <v>228235660.75999993</v>
      </c>
      <c r="H11" s="384">
        <v>232266198.41999993</v>
      </c>
      <c r="I11" s="384">
        <v>236524388.05999991</v>
      </c>
      <c r="J11" s="385">
        <v>240904618.2599999</v>
      </c>
      <c r="K11" s="365">
        <f>'201707 Bk Depr'!$R25</f>
        <v>3037429.9600000004</v>
      </c>
      <c r="L11" s="366">
        <f>'201708 Bk Depr'!$R25</f>
        <v>6302967.0000000009</v>
      </c>
      <c r="M11" s="366">
        <f>'201709 Bk Depr'!$R25</f>
        <v>9459921.3600000013</v>
      </c>
      <c r="N11" s="366">
        <f>'201710 Bk Depr'!$R25</f>
        <v>13359775.57</v>
      </c>
      <c r="O11" s="366">
        <f>'201711 Bk Depr'!$R25</f>
        <v>16010268.989999998</v>
      </c>
      <c r="P11" s="366">
        <f>'201712 Bk Depr'!$R25</f>
        <v>17681979.870000001</v>
      </c>
      <c r="Q11" s="367">
        <f>SUM(K11:P11)/7</f>
        <v>9407477.5357142854</v>
      </c>
      <c r="R11"/>
      <c r="U11" s="87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4" customFormat="1">
      <c r="A12" s="35">
        <v>2</v>
      </c>
      <c r="B12" s="35"/>
      <c r="C12" s="34" t="s">
        <v>19</v>
      </c>
      <c r="D12" s="383">
        <v>4540286.8899999997</v>
      </c>
      <c r="E12" s="384">
        <v>4642448.26</v>
      </c>
      <c r="F12" s="384">
        <v>4749273.92</v>
      </c>
      <c r="G12" s="384">
        <v>4859999.8599999994</v>
      </c>
      <c r="H12" s="384">
        <v>4969441.51</v>
      </c>
      <c r="I12" s="384">
        <v>5089001.5799999991</v>
      </c>
      <c r="J12" s="385">
        <v>5209606.8599999994</v>
      </c>
      <c r="K12" s="365">
        <f>'201707 Bk Depr'!$R31</f>
        <v>221050.71000000002</v>
      </c>
      <c r="L12" s="366">
        <f>'201708 Bk Depr'!$R31</f>
        <v>354600.65</v>
      </c>
      <c r="M12" s="366">
        <f>'201709 Bk Depr'!$R31</f>
        <v>502267.67000000004</v>
      </c>
      <c r="N12" s="366">
        <f>'201710 Bk Depr'!$R31</f>
        <v>903421.45</v>
      </c>
      <c r="O12" s="366">
        <f>'201711 Bk Depr'!$R31</f>
        <v>1192482.7000000002</v>
      </c>
      <c r="P12" s="366">
        <f>'201712 Bk Depr'!$R31</f>
        <v>1643717.13</v>
      </c>
      <c r="Q12" s="367">
        <f t="shared" ref="Q12:Q13" si="1">SUM(K12:P12)/7</f>
        <v>688220.04428571439</v>
      </c>
      <c r="R12"/>
      <c r="U12" s="87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4" customFormat="1">
      <c r="A13" s="35">
        <v>3</v>
      </c>
      <c r="B13" s="35"/>
      <c r="C13" s="34" t="s">
        <v>52</v>
      </c>
      <c r="D13" s="386">
        <v>-11624581.388949178</v>
      </c>
      <c r="E13" s="387">
        <v>-12223718.714747511</v>
      </c>
      <c r="F13" s="387">
        <v>-12830571.515023053</v>
      </c>
      <c r="G13" s="387">
        <v>-13446162.154084053</v>
      </c>
      <c r="H13" s="387">
        <v>-14071952.10238922</v>
      </c>
      <c r="I13" s="387">
        <v>-14708754.916368136</v>
      </c>
      <c r="J13" s="388">
        <v>-15357043.41514772</v>
      </c>
      <c r="K13" s="369">
        <f>-'Cap&amp;OpEx 2017'!C$22-'201707 Bk Depr'!P17</f>
        <v>-3483.0979357500009</v>
      </c>
      <c r="L13" s="370">
        <f>-'Cap&amp;OpEx 2017'!D$22-'201708 Bk Depr'!P17+K13</f>
        <v>-41623.970000000008</v>
      </c>
      <c r="M13" s="370">
        <f>-'Cap&amp;OpEx 2017'!E$22-'201709 Bk Depr'!P17+L13</f>
        <v>-60027.202751000012</v>
      </c>
      <c r="N13" s="370">
        <f>-'Cap&amp;OpEx 2017'!F$22-'201710 Bk Depr'!P17+M13</f>
        <v>-86150.91145325001</v>
      </c>
      <c r="O13" s="370">
        <f>-'Cap&amp;OpEx 2017'!G$22-'201711 Bk Depr'!P17+N13</f>
        <v>-119677.57448000001</v>
      </c>
      <c r="P13" s="370">
        <f>-'Cap&amp;OpEx 2017'!H$22-'201712 Bk Depr'!P17+O13</f>
        <v>-158385.19315550002</v>
      </c>
      <c r="Q13" s="368">
        <f t="shared" si="1"/>
        <v>-67049.707110785734</v>
      </c>
      <c r="R13"/>
      <c r="U13" s="87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4" customFormat="1">
      <c r="A14" s="35">
        <v>4</v>
      </c>
      <c r="B14" s="35"/>
      <c r="C14" s="34" t="s">
        <v>53</v>
      </c>
      <c r="D14" s="383">
        <v>211589224.15105072</v>
      </c>
      <c r="E14" s="384">
        <v>213973751.81525239</v>
      </c>
      <c r="F14" s="384">
        <v>216402983.92497689</v>
      </c>
      <c r="G14" s="384">
        <v>219649498.46591589</v>
      </c>
      <c r="H14" s="384">
        <v>223163687.8276107</v>
      </c>
      <c r="I14" s="384">
        <v>226904634.7236318</v>
      </c>
      <c r="J14" s="385">
        <v>230757181.70485216</v>
      </c>
      <c r="K14" s="365">
        <f t="shared" ref="K14:Q14" si="2">SUM(K11:K13)</f>
        <v>3254997.5720642502</v>
      </c>
      <c r="L14" s="366">
        <f t="shared" si="2"/>
        <v>6615943.6800000016</v>
      </c>
      <c r="M14" s="366">
        <f t="shared" si="2"/>
        <v>9902161.8272490017</v>
      </c>
      <c r="N14" s="366">
        <f t="shared" si="2"/>
        <v>14177046.108546749</v>
      </c>
      <c r="O14" s="366">
        <f t="shared" si="2"/>
        <v>17083074.115519997</v>
      </c>
      <c r="P14" s="366">
        <f t="shared" si="2"/>
        <v>19167311.806844499</v>
      </c>
      <c r="Q14" s="367">
        <f t="shared" si="2"/>
        <v>10028647.872889215</v>
      </c>
      <c r="R14"/>
      <c r="U14" s="87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4" customFormat="1">
      <c r="A15" s="35"/>
      <c r="B15" s="35"/>
      <c r="D15" s="105"/>
      <c r="E15" s="93"/>
      <c r="F15" s="93"/>
      <c r="G15" s="93"/>
      <c r="H15" s="93"/>
      <c r="I15" s="93"/>
      <c r="J15" s="106"/>
      <c r="K15" s="119"/>
      <c r="L15" s="44"/>
      <c r="M15" s="44"/>
      <c r="N15" s="44"/>
      <c r="O15" s="44"/>
      <c r="P15" s="44"/>
      <c r="Q15" s="120"/>
      <c r="R15"/>
      <c r="U15" s="87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4" customFormat="1">
      <c r="A16" s="35">
        <v>5</v>
      </c>
      <c r="B16" s="35"/>
      <c r="C16" s="34" t="s">
        <v>54</v>
      </c>
      <c r="D16" s="386">
        <v>-29925580.547962356</v>
      </c>
      <c r="E16" s="387">
        <v>-36933741.090531789</v>
      </c>
      <c r="F16" s="387">
        <v>-37531662.582907513</v>
      </c>
      <c r="G16" s="387">
        <v>-38157645.852782331</v>
      </c>
      <c r="H16" s="387">
        <v>-38708863.869166292</v>
      </c>
      <c r="I16" s="387">
        <v>-39205882.884475417</v>
      </c>
      <c r="J16" s="388">
        <v>-39638805.084670633</v>
      </c>
      <c r="K16" s="369">
        <f>-'Tax Depr 2017'!$X23</f>
        <v>-571103.22913344356</v>
      </c>
      <c r="L16" s="370">
        <f>-'Tax Depr 2017'!$X24</f>
        <v>-1023944.0385581255</v>
      </c>
      <c r="M16" s="370">
        <f>-'Tax Depr 2017'!$X25</f>
        <v>-1403447.7266286644</v>
      </c>
      <c r="N16" s="370">
        <f>-'Tax Depr 2017'!$X26</f>
        <v>-1629510.1331059334</v>
      </c>
      <c r="O16" s="370">
        <f>-'Tax Depr 2017'!$X27</f>
        <v>-1726357.4124550656</v>
      </c>
      <c r="P16" s="370">
        <f>-'Tax Depr 2017'!$X28</f>
        <v>-1730125.3504440216</v>
      </c>
      <c r="Q16" s="368">
        <f>P16</f>
        <v>-1730125.3504440216</v>
      </c>
      <c r="R16"/>
      <c r="U16" s="8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4" customFormat="1">
      <c r="A17" s="35"/>
      <c r="B17" s="35"/>
      <c r="D17" s="105"/>
      <c r="E17" s="93"/>
      <c r="F17" s="93"/>
      <c r="G17" s="93"/>
      <c r="H17" s="93"/>
      <c r="I17" s="93"/>
      <c r="J17" s="106"/>
      <c r="K17" s="119"/>
      <c r="L17" s="44"/>
      <c r="M17" s="44"/>
      <c r="N17" s="44"/>
      <c r="O17" s="44"/>
      <c r="P17" s="44"/>
      <c r="Q17" s="120"/>
      <c r="R17"/>
    </row>
    <row r="18" spans="1:19" s="34" customFormat="1">
      <c r="A18" s="35">
        <v>6</v>
      </c>
      <c r="B18" s="35"/>
      <c r="C18" s="75" t="s">
        <v>55</v>
      </c>
      <c r="D18" s="383">
        <v>181663643.60308835</v>
      </c>
      <c r="E18" s="384">
        <v>177040010.7247206</v>
      </c>
      <c r="F18" s="384">
        <v>178871321.34206939</v>
      </c>
      <c r="G18" s="384">
        <v>181491852.61313355</v>
      </c>
      <c r="H18" s="384">
        <v>184454823.95844442</v>
      </c>
      <c r="I18" s="384">
        <v>187698751.83915639</v>
      </c>
      <c r="J18" s="385">
        <v>191118376.62018153</v>
      </c>
      <c r="K18" s="365">
        <f t="shared" ref="K18:Q18" si="3">SUM(K14:K16)</f>
        <v>2683894.3429308068</v>
      </c>
      <c r="L18" s="366">
        <f t="shared" si="3"/>
        <v>5591999.6414418761</v>
      </c>
      <c r="M18" s="366">
        <f t="shared" si="3"/>
        <v>8498714.1006203368</v>
      </c>
      <c r="N18" s="366">
        <f t="shared" si="3"/>
        <v>12547535.975440815</v>
      </c>
      <c r="O18" s="366">
        <f t="shared" si="3"/>
        <v>15356716.703064932</v>
      </c>
      <c r="P18" s="366">
        <f t="shared" si="3"/>
        <v>17437186.456400476</v>
      </c>
      <c r="Q18" s="367">
        <f t="shared" si="3"/>
        <v>8298522.5224451935</v>
      </c>
      <c r="R18"/>
      <c r="S18" s="77"/>
    </row>
    <row r="19" spans="1:19" s="34" customFormat="1">
      <c r="A19" s="35"/>
      <c r="B19" s="35"/>
      <c r="D19" s="102"/>
      <c r="E19" s="103"/>
      <c r="F19" s="103"/>
      <c r="G19" s="103"/>
      <c r="H19" s="103"/>
      <c r="I19" s="103"/>
      <c r="J19" s="104"/>
      <c r="K19" s="117"/>
      <c r="L19" s="13"/>
      <c r="M19" s="13"/>
      <c r="N19" s="13"/>
      <c r="O19" s="13"/>
      <c r="P19" s="13"/>
      <c r="Q19" s="118"/>
      <c r="R19"/>
    </row>
    <row r="20" spans="1:19" s="34" customFormat="1">
      <c r="A20" s="35">
        <v>7</v>
      </c>
      <c r="B20" s="35"/>
      <c r="C20" s="34" t="s">
        <v>56</v>
      </c>
      <c r="D20" s="107">
        <v>8.7039841473943429E-3</v>
      </c>
      <c r="E20" s="94">
        <v>8.7039841473943429E-3</v>
      </c>
      <c r="F20" s="94">
        <v>8.7039841473943429E-3</v>
      </c>
      <c r="G20" s="94">
        <v>8.7039841473943429E-3</v>
      </c>
      <c r="H20" s="94">
        <v>8.7039841473943429E-3</v>
      </c>
      <c r="I20" s="94">
        <v>8.7039841473943429E-3</v>
      </c>
      <c r="J20" s="108">
        <v>8.7039841473943429E-3</v>
      </c>
      <c r="K20" s="121">
        <v>8.5431530257663712E-3</v>
      </c>
      <c r="L20" s="37">
        <v>8.5431530257663712E-3</v>
      </c>
      <c r="M20" s="37">
        <v>8.5431530257663712E-3</v>
      </c>
      <c r="N20" s="37">
        <v>8.5431530257663712E-3</v>
      </c>
      <c r="O20" s="37">
        <v>8.5431530257663712E-3</v>
      </c>
      <c r="P20" s="37">
        <v>8.5431530257663712E-3</v>
      </c>
      <c r="Q20" s="122">
        <f>SUM(K20:P20)</f>
        <v>5.1258918154598231E-2</v>
      </c>
      <c r="R20"/>
    </row>
    <row r="21" spans="1:19" s="34" customFormat="1">
      <c r="A21" s="35"/>
      <c r="B21" s="35"/>
      <c r="D21" s="109"/>
      <c r="E21" s="103"/>
      <c r="F21" s="103"/>
      <c r="G21" s="103"/>
      <c r="H21" s="103"/>
      <c r="I21" s="103"/>
      <c r="J21" s="104"/>
      <c r="K21" s="117"/>
      <c r="L21" s="13"/>
      <c r="M21" s="13"/>
      <c r="N21" s="13"/>
      <c r="O21" s="13"/>
      <c r="P21" s="13"/>
      <c r="Q21" s="118"/>
      <c r="R21"/>
    </row>
    <row r="22" spans="1:19" s="34" customFormat="1">
      <c r="A22" s="35">
        <v>8</v>
      </c>
      <c r="B22" s="35"/>
      <c r="C22" s="34" t="s">
        <v>57</v>
      </c>
      <c r="D22" s="389">
        <v>1581197.4740791768</v>
      </c>
      <c r="E22" s="390">
        <v>1540953.4468024925</v>
      </c>
      <c r="F22" s="390">
        <v>1556893.1453848514</v>
      </c>
      <c r="G22" s="390">
        <v>1579702.2080259449</v>
      </c>
      <c r="H22" s="390">
        <v>1605491.8636447145</v>
      </c>
      <c r="I22" s="390">
        <v>1633726.960493722</v>
      </c>
      <c r="J22" s="391">
        <v>1663491.3203778018</v>
      </c>
      <c r="K22" s="392">
        <f t="shared" ref="K22:Q22" si="4">K18*K20</f>
        <v>22928.920076646569</v>
      </c>
      <c r="L22" s="393">
        <f t="shared" si="4"/>
        <v>47773.308656868627</v>
      </c>
      <c r="M22" s="393">
        <f t="shared" si="4"/>
        <v>72605.815083837952</v>
      </c>
      <c r="N22" s="393">
        <f t="shared" si="4"/>
        <v>107195.51993449959</v>
      </c>
      <c r="O22" s="393">
        <f t="shared" si="4"/>
        <v>131194.78076762613</v>
      </c>
      <c r="P22" s="393">
        <f t="shared" si="4"/>
        <v>148968.5522358501</v>
      </c>
      <c r="Q22" s="394">
        <f t="shared" si="4"/>
        <v>425373.28678210825</v>
      </c>
      <c r="R22"/>
    </row>
    <row r="23" spans="1:19" s="34" customFormat="1">
      <c r="A23" s="35"/>
      <c r="B23" s="35"/>
      <c r="D23" s="109"/>
      <c r="E23" s="103"/>
      <c r="F23" s="103"/>
      <c r="G23" s="103"/>
      <c r="H23" s="103"/>
      <c r="I23" s="103"/>
      <c r="J23" s="104"/>
      <c r="K23" s="117"/>
      <c r="L23" s="13"/>
      <c r="M23" s="13"/>
      <c r="N23" s="13"/>
      <c r="O23" s="13"/>
      <c r="P23" s="13"/>
      <c r="Q23" s="118"/>
      <c r="R23"/>
    </row>
    <row r="24" spans="1:19" s="34" customFormat="1">
      <c r="A24" s="35"/>
      <c r="B24" s="74" t="s">
        <v>58</v>
      </c>
      <c r="D24" s="102"/>
      <c r="E24" s="103"/>
      <c r="F24" s="103"/>
      <c r="G24" s="103"/>
      <c r="H24" s="103"/>
      <c r="I24" s="103"/>
      <c r="J24" s="104"/>
      <c r="K24" s="117"/>
      <c r="L24" s="13"/>
      <c r="M24" s="13"/>
      <c r="N24" s="13"/>
      <c r="O24" s="13"/>
      <c r="P24" s="13"/>
      <c r="Q24" s="118"/>
      <c r="R24"/>
    </row>
    <row r="25" spans="1:19" s="34" customFormat="1">
      <c r="A25" s="35">
        <v>9</v>
      </c>
      <c r="B25" s="35"/>
      <c r="C25" s="34" t="s">
        <v>0</v>
      </c>
      <c r="D25" s="383">
        <v>579467.52354124992</v>
      </c>
      <c r="E25" s="384">
        <v>588476.18058408331</v>
      </c>
      <c r="F25" s="384">
        <v>596191.65506129165</v>
      </c>
      <c r="G25" s="384">
        <v>604929.49384674989</v>
      </c>
      <c r="H25" s="384">
        <v>615128.8030909166</v>
      </c>
      <c r="I25" s="384">
        <v>626141.66876466665</v>
      </c>
      <c r="J25" s="385">
        <v>637627.35356533329</v>
      </c>
      <c r="K25" s="365">
        <f>'201707 Bk Depr'!$P25</f>
        <v>3483.0979357500009</v>
      </c>
      <c r="L25" s="366">
        <f>'201708 Bk Depr'!$P25</f>
        <v>38140.872064250005</v>
      </c>
      <c r="M25" s="366">
        <f>'201709 Bk Depr'!$P25</f>
        <v>18403.232751000003</v>
      </c>
      <c r="N25" s="366">
        <f>'201710 Bk Depr'!$P25</f>
        <v>26123.708702250005</v>
      </c>
      <c r="O25" s="366">
        <f>'201711 Bk Depr'!$P25</f>
        <v>33526.663026750008</v>
      </c>
      <c r="P25" s="366">
        <f>'201712 Bk Depr'!$P25</f>
        <v>38707.618675500009</v>
      </c>
      <c r="Q25" s="367">
        <f>SUM(K25:P25)</f>
        <v>158385.19315550002</v>
      </c>
      <c r="R25"/>
      <c r="S25" s="77"/>
    </row>
    <row r="26" spans="1:19" s="34" customFormat="1">
      <c r="A26" s="35">
        <v>10</v>
      </c>
      <c r="B26" s="35"/>
      <c r="C26" s="13" t="s">
        <v>59</v>
      </c>
      <c r="D26" s="383">
        <v>117915.46000000002</v>
      </c>
      <c r="E26" s="384">
        <v>139510.51999999999</v>
      </c>
      <c r="F26" s="384">
        <v>73320.98000000001</v>
      </c>
      <c r="G26" s="384">
        <v>111290.44000000003</v>
      </c>
      <c r="H26" s="384">
        <v>45198.47</v>
      </c>
      <c r="I26" s="384">
        <v>140279.72</v>
      </c>
      <c r="J26" s="385">
        <v>120955.86000000002</v>
      </c>
      <c r="K26" s="365">
        <f>'Cap&amp;OpEx 2017'!C29</f>
        <v>102067.34000000001</v>
      </c>
      <c r="L26" s="366">
        <f>'Cap&amp;OpEx 2017'!D29</f>
        <v>136533.25999999992</v>
      </c>
      <c r="M26" s="366">
        <f>'Cap&amp;OpEx 2017'!E29</f>
        <v>129354</v>
      </c>
      <c r="N26" s="366">
        <f>'Cap&amp;OpEx 2017'!F29</f>
        <v>148435.16999999998</v>
      </c>
      <c r="O26" s="366">
        <f>'Cap&amp;OpEx 2017'!G29</f>
        <v>116794.94999999998</v>
      </c>
      <c r="P26" s="366">
        <f>'Cap&amp;OpEx 2017'!H29</f>
        <v>115895.67000000001</v>
      </c>
      <c r="Q26" s="367">
        <f>SUM(K26:P26)</f>
        <v>749080.3899999999</v>
      </c>
      <c r="R26"/>
      <c r="S26" s="77"/>
    </row>
    <row r="27" spans="1:19" s="34" customFormat="1">
      <c r="A27" s="35">
        <v>11</v>
      </c>
      <c r="B27" s="35"/>
      <c r="C27" s="34" t="s">
        <v>184</v>
      </c>
      <c r="D27" s="383">
        <v>178960</v>
      </c>
      <c r="E27" s="384">
        <v>237772.02999999994</v>
      </c>
      <c r="F27" s="384">
        <v>237772.02999999994</v>
      </c>
      <c r="G27" s="384">
        <v>237772.02999999994</v>
      </c>
      <c r="H27" s="384">
        <v>237772.02999999994</v>
      </c>
      <c r="I27" s="384">
        <v>237772.02999999994</v>
      </c>
      <c r="J27" s="385">
        <v>237772.02999999994</v>
      </c>
      <c r="K27" s="365">
        <f>'Cap&amp;OpEx 2017'!C30</f>
        <v>0</v>
      </c>
      <c r="L27" s="366">
        <f>'Cap&amp;OpEx 2017'!D30</f>
        <v>0</v>
      </c>
      <c r="M27" s="366">
        <f>'Cap&amp;OpEx 2017'!E30</f>
        <v>0</v>
      </c>
      <c r="N27" s="366">
        <f>'Cap&amp;OpEx 2017'!F30</f>
        <v>0</v>
      </c>
      <c r="O27" s="366">
        <f>'Cap&amp;OpEx 2017'!G30</f>
        <v>0</v>
      </c>
      <c r="P27" s="366">
        <f>'Cap&amp;OpEx 2017'!H30</f>
        <v>0</v>
      </c>
      <c r="Q27" s="367">
        <f>SUM(K27:P27)</f>
        <v>0</v>
      </c>
      <c r="R27"/>
      <c r="S27" s="77"/>
    </row>
    <row r="28" spans="1:19" s="34" customFormat="1">
      <c r="A28" s="35"/>
      <c r="B28" s="35"/>
      <c r="D28" s="105"/>
      <c r="E28" s="93"/>
      <c r="F28" s="93"/>
      <c r="G28" s="93"/>
      <c r="H28" s="93"/>
      <c r="I28" s="93"/>
      <c r="J28" s="106"/>
      <c r="K28" s="119"/>
      <c r="L28" s="44"/>
      <c r="M28" s="44"/>
      <c r="N28" s="44"/>
      <c r="O28" s="44"/>
      <c r="P28" s="44"/>
      <c r="Q28" s="120"/>
      <c r="R28"/>
    </row>
    <row r="29" spans="1:19" s="34" customFormat="1">
      <c r="A29" s="35">
        <v>12</v>
      </c>
      <c r="B29" s="35"/>
      <c r="C29" s="34" t="s">
        <v>60</v>
      </c>
      <c r="D29" s="383">
        <v>876342.98354125</v>
      </c>
      <c r="E29" s="384">
        <v>965758.73058408324</v>
      </c>
      <c r="F29" s="384">
        <v>907284.66506129154</v>
      </c>
      <c r="G29" s="384">
        <v>953991.96384674986</v>
      </c>
      <c r="H29" s="384">
        <v>898099.30309091648</v>
      </c>
      <c r="I29" s="384">
        <v>1004193.4187646665</v>
      </c>
      <c r="J29" s="385">
        <v>996355.24356533319</v>
      </c>
      <c r="K29" s="365">
        <f t="shared" ref="K29:Q29" si="5">SUM(K25:K28)</f>
        <v>105550.43793575001</v>
      </c>
      <c r="L29" s="366">
        <f t="shared" si="5"/>
        <v>174674.13206424992</v>
      </c>
      <c r="M29" s="366">
        <f t="shared" si="5"/>
        <v>147757.232751</v>
      </c>
      <c r="N29" s="366">
        <f t="shared" si="5"/>
        <v>174558.87870224999</v>
      </c>
      <c r="O29" s="366">
        <f t="shared" si="5"/>
        <v>150321.61302674998</v>
      </c>
      <c r="P29" s="366">
        <f t="shared" si="5"/>
        <v>154603.28867550002</v>
      </c>
      <c r="Q29" s="367">
        <f t="shared" si="5"/>
        <v>907465.58315549989</v>
      </c>
      <c r="R29"/>
    </row>
    <row r="30" spans="1:19" s="34" customFormat="1">
      <c r="A30" s="35"/>
      <c r="B30" s="35"/>
      <c r="D30" s="102"/>
      <c r="E30" s="103"/>
      <c r="F30" s="103"/>
      <c r="G30" s="103"/>
      <c r="H30" s="103"/>
      <c r="I30" s="103"/>
      <c r="J30" s="104"/>
      <c r="K30" s="117"/>
      <c r="L30" s="13"/>
      <c r="M30" s="13"/>
      <c r="N30" s="13"/>
      <c r="O30" s="13"/>
      <c r="P30" s="13"/>
      <c r="Q30" s="118"/>
      <c r="R30"/>
    </row>
    <row r="31" spans="1:19" s="34" customFormat="1">
      <c r="A31" s="35">
        <v>13</v>
      </c>
      <c r="B31" s="74" t="s">
        <v>170</v>
      </c>
      <c r="D31" s="395">
        <v>2457540.457620427</v>
      </c>
      <c r="E31" s="396">
        <v>2506712.1773865758</v>
      </c>
      <c r="F31" s="396">
        <v>2464177.8104461432</v>
      </c>
      <c r="G31" s="396">
        <v>2533694.171872695</v>
      </c>
      <c r="H31" s="396">
        <v>2503591.1667356309</v>
      </c>
      <c r="I31" s="396">
        <v>2637920.3792583887</v>
      </c>
      <c r="J31" s="397">
        <v>2659846.5639431351</v>
      </c>
      <c r="K31" s="398">
        <f t="shared" ref="K31:Q31" si="6">K22+K29</f>
        <v>128479.35801239658</v>
      </c>
      <c r="L31" s="399">
        <f t="shared" si="6"/>
        <v>222447.44072111853</v>
      </c>
      <c r="M31" s="399">
        <f t="shared" si="6"/>
        <v>220363.04783483795</v>
      </c>
      <c r="N31" s="399">
        <f t="shared" si="6"/>
        <v>281754.3986367496</v>
      </c>
      <c r="O31" s="399">
        <f t="shared" si="6"/>
        <v>281516.39379437611</v>
      </c>
      <c r="P31" s="399">
        <f t="shared" si="6"/>
        <v>303571.8409113501</v>
      </c>
      <c r="Q31" s="400">
        <f t="shared" si="6"/>
        <v>1332838.869937608</v>
      </c>
      <c r="R31"/>
    </row>
    <row r="32" spans="1:19" s="34" customFormat="1">
      <c r="A32" s="35"/>
      <c r="B32" s="35"/>
      <c r="D32" s="77"/>
      <c r="P32" s="77"/>
      <c r="R32"/>
    </row>
    <row r="33" spans="1:28" customFormat="1" ht="12.75"/>
    <row r="34" spans="1:28" s="34" customFormat="1">
      <c r="D34" s="36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R34"/>
    </row>
    <row r="35" spans="1:28" s="34" customFormat="1">
      <c r="A35" s="152"/>
      <c r="B35" s="15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54"/>
      <c r="B36" s="155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4"/>
      <c r="B37" s="154"/>
      <c r="C37" s="156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4"/>
      <c r="B38" s="154"/>
      <c r="C38" s="156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4"/>
      <c r="B39" s="154"/>
      <c r="C39" s="156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4"/>
      <c r="B40" s="154"/>
      <c r="C40" s="156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58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59"/>
      <c r="C42" s="160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0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16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>
      <c r="A51" s="154"/>
      <c r="B51" s="15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23"/>
      <c r="U51" s="19"/>
      <c r="V51" s="20"/>
      <c r="W51" s="20"/>
      <c r="X51" s="20"/>
      <c r="Y51" s="20"/>
      <c r="Z51" s="20"/>
      <c r="AA51" s="20"/>
      <c r="AB51" s="20"/>
      <c r="AC51" s="89"/>
      <c r="AD51" s="89"/>
      <c r="AE51" s="89"/>
      <c r="AF51" s="89"/>
      <c r="AG51" s="89"/>
      <c r="AH51" s="89"/>
      <c r="AI51" s="89"/>
      <c r="AJ51" s="89"/>
    </row>
    <row r="52" spans="1:36">
      <c r="A52" s="21"/>
      <c r="B52" s="154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81"/>
      <c r="B53" s="154"/>
      <c r="C53" s="81"/>
      <c r="D53" s="80"/>
      <c r="E53" s="81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S53" s="2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>
      <c r="A54" s="21"/>
      <c r="B54" s="154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S54" s="23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>
      <c r="A55" s="154"/>
      <c r="B55" s="15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>
      <c r="A56" s="154"/>
      <c r="B56" s="16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4"/>
      <c r="B57" s="154"/>
      <c r="C57" s="156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4"/>
      <c r="B58" s="154"/>
      <c r="C58" s="23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4"/>
      <c r="B59" s="154"/>
      <c r="C59" s="23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S59" s="23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4"/>
      <c r="B60" s="154"/>
      <c r="C60" s="23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4"/>
      <c r="B61" s="154"/>
      <c r="C61" s="23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S61" s="23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>
      <c r="A62" s="154"/>
      <c r="B62" s="154"/>
      <c r="C62" s="23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S62" s="23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4"/>
      <c r="B63" s="154"/>
      <c r="C63" s="23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4"/>
      <c r="B64" s="154"/>
      <c r="C64" s="156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4"/>
      <c r="B65" s="15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4"/>
      <c r="B66" s="154"/>
      <c r="C66" s="23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4"/>
      <c r="B67" s="15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4"/>
      <c r="B68" s="154"/>
      <c r="C68" s="23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4"/>
      <c r="B69" s="15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4"/>
      <c r="B70" s="164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4"/>
      <c r="B71" s="154"/>
      <c r="C71" s="23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4"/>
      <c r="B72" s="154"/>
      <c r="C72" s="23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4"/>
      <c r="B73" s="154"/>
      <c r="C73" s="23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4"/>
      <c r="B74" s="154"/>
      <c r="C74" s="23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4"/>
      <c r="B75" s="15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4"/>
      <c r="B76" s="164"/>
      <c r="C76" s="23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4"/>
      <c r="B77" s="154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4"/>
      <c r="B78" s="164"/>
      <c r="C78" s="23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4"/>
      <c r="B79" s="164"/>
      <c r="C79" s="23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4"/>
      <c r="B80" s="154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4"/>
      <c r="B81" s="155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4"/>
      <c r="B82" s="154"/>
      <c r="C82" s="156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4"/>
      <c r="B83" s="154"/>
      <c r="C83" s="156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4"/>
      <c r="B84" s="154"/>
      <c r="C84" s="156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4"/>
      <c r="B85" s="154"/>
      <c r="C85" s="156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4"/>
      <c r="B86" s="154"/>
      <c r="C86" s="16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4"/>
      <c r="B87" s="159"/>
      <c r="C87" s="160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4"/>
      <c r="B88" s="154"/>
      <c r="C88" s="160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3"/>
      <c r="B111" s="123"/>
      <c r="C111" s="124"/>
      <c r="D111" s="124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79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34" spans="14:19">
      <c r="N134"/>
      <c r="O134"/>
      <c r="P134"/>
      <c r="Q134"/>
      <c r="S134"/>
    </row>
    <row r="1048576" spans="19:19">
      <c r="S1048576" s="77">
        <f>SUM(D1048576:P1048576)</f>
        <v>0</v>
      </c>
    </row>
  </sheetData>
  <mergeCells count="3">
    <mergeCell ref="AC5:AJ5"/>
    <mergeCell ref="D5:J5"/>
    <mergeCell ref="K5:Q5"/>
  </mergeCells>
  <pageMargins left="0.7" right="0.7" top="0.75" bottom="0.75" header="0.3" footer="0.3"/>
  <pageSetup scale="29" fitToWidth="0" fitToHeight="0" orientation="landscape" r:id="rId1"/>
  <headerFooter scaleWithDoc="0">
    <oddFooter>&amp;R&amp;"Times New Roman,Bold"&amp;12Exhibit CMG-5
Page 2 of 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="80" zoomScaleNormal="80" workbookViewId="0"/>
  </sheetViews>
  <sheetFormatPr defaultColWidth="9.140625" defaultRowHeight="12.75"/>
  <cols>
    <col min="1" max="1" width="20.7109375" style="302" customWidth="1"/>
    <col min="2" max="2" width="14.140625" style="302" customWidth="1"/>
    <col min="3" max="3" width="13.7109375" style="302" customWidth="1"/>
    <col min="4" max="6" width="14.7109375" style="302" customWidth="1"/>
    <col min="7" max="7" width="15.7109375" style="267" customWidth="1"/>
    <col min="8" max="8" width="9.140625" style="267" customWidth="1"/>
    <col min="9" max="11" width="9.140625" style="267"/>
    <col min="12" max="13" width="9.140625" style="267" customWidth="1"/>
    <col min="14" max="16384" width="9.140625" style="267"/>
  </cols>
  <sheetData>
    <row r="1" spans="1:8" ht="15.75">
      <c r="A1" s="429" t="s">
        <v>67</v>
      </c>
      <c r="B1" s="430"/>
      <c r="C1" s="430"/>
      <c r="D1" s="430"/>
      <c r="E1" s="430"/>
      <c r="F1" s="430"/>
      <c r="G1" s="431"/>
    </row>
    <row r="2" spans="1:8" ht="15.75" customHeight="1">
      <c r="A2" s="298" t="s">
        <v>397</v>
      </c>
      <c r="B2" s="298"/>
      <c r="C2" s="298"/>
      <c r="D2" s="299"/>
      <c r="E2" s="299"/>
      <c r="F2" s="299"/>
      <c r="G2" s="300"/>
    </row>
    <row r="3" spans="1:8" ht="15.75" customHeight="1">
      <c r="A3" s="301" t="s">
        <v>398</v>
      </c>
      <c r="B3" s="299"/>
      <c r="C3" s="301"/>
      <c r="D3" s="301"/>
      <c r="E3" s="299"/>
      <c r="F3" s="299"/>
      <c r="G3" s="300"/>
    </row>
    <row r="4" spans="1:8" ht="15.75" customHeight="1"/>
    <row r="5" spans="1:8" ht="15.75" customHeight="1"/>
    <row r="6" spans="1:8" ht="15.75" customHeight="1">
      <c r="A6" s="303" t="s">
        <v>399</v>
      </c>
      <c r="B6" s="304" t="s">
        <v>400</v>
      </c>
      <c r="C6" s="304" t="s">
        <v>401</v>
      </c>
      <c r="D6" s="304" t="s">
        <v>402</v>
      </c>
      <c r="E6" s="304" t="s">
        <v>403</v>
      </c>
      <c r="F6" s="304" t="s">
        <v>404</v>
      </c>
      <c r="G6" s="304" t="s">
        <v>405</v>
      </c>
    </row>
    <row r="7" spans="1:8" s="302" customFormat="1" ht="15.95" customHeight="1">
      <c r="A7" s="433" t="s">
        <v>406</v>
      </c>
      <c r="B7" s="432" t="s">
        <v>165</v>
      </c>
      <c r="C7" s="432" t="s">
        <v>407</v>
      </c>
      <c r="D7" s="432" t="s">
        <v>408</v>
      </c>
      <c r="E7" s="432" t="s">
        <v>409</v>
      </c>
      <c r="F7" s="432" t="s">
        <v>410</v>
      </c>
      <c r="G7" s="432" t="s">
        <v>411</v>
      </c>
    </row>
    <row r="8" spans="1:8" s="302" customFormat="1" ht="15.95" customHeight="1">
      <c r="A8" s="433"/>
      <c r="B8" s="433"/>
      <c r="C8" s="433"/>
      <c r="D8" s="433"/>
      <c r="E8" s="433"/>
      <c r="F8" s="435"/>
      <c r="G8" s="433"/>
    </row>
    <row r="9" spans="1:8" s="302" customFormat="1" ht="15.95" customHeight="1">
      <c r="A9" s="434"/>
      <c r="B9" s="434"/>
      <c r="C9" s="434"/>
      <c r="D9" s="434"/>
      <c r="E9" s="434"/>
      <c r="F9" s="434"/>
      <c r="G9" s="434"/>
    </row>
    <row r="10" spans="1:8" s="307" customFormat="1" ht="15.75" customHeight="1">
      <c r="A10" s="305"/>
      <c r="B10" s="306"/>
      <c r="C10" s="306"/>
      <c r="D10" s="306" t="s">
        <v>412</v>
      </c>
      <c r="E10" s="306"/>
      <c r="F10" s="306"/>
      <c r="G10" s="305" t="s">
        <v>413</v>
      </c>
    </row>
    <row r="11" spans="1:8" ht="15.95" customHeight="1">
      <c r="A11" s="330">
        <v>42736</v>
      </c>
      <c r="B11" s="308">
        <v>2491364.9900000002</v>
      </c>
      <c r="C11" s="308">
        <v>112972.73</v>
      </c>
      <c r="D11" s="308">
        <f t="shared" ref="D11:D22" si="0">B11+C11</f>
        <v>2604337.7200000002</v>
      </c>
      <c r="E11" s="308">
        <v>2478136.9500000002</v>
      </c>
      <c r="F11" s="308">
        <v>0</v>
      </c>
      <c r="G11" s="309">
        <f>D11-E11-F11</f>
        <v>126200.77000000002</v>
      </c>
      <c r="H11" s="302"/>
    </row>
    <row r="12" spans="1:8" ht="15.95" customHeight="1">
      <c r="A12" s="310">
        <f>DATE(YEAR(A11+45),MONTH(A11+45),1)</f>
        <v>42767</v>
      </c>
      <c r="B12" s="308">
        <v>2436372.5099999998</v>
      </c>
      <c r="C12" s="308">
        <v>112972.73</v>
      </c>
      <c r="D12" s="308">
        <f t="shared" si="0"/>
        <v>2549345.2399999998</v>
      </c>
      <c r="E12" s="308">
        <v>2299532.75</v>
      </c>
      <c r="F12" s="308">
        <v>0</v>
      </c>
      <c r="G12" s="311">
        <f t="shared" ref="G12:G22" si="1">D12-E12-F12</f>
        <v>249812.48999999976</v>
      </c>
      <c r="H12" s="302"/>
    </row>
    <row r="13" spans="1:8" ht="15.95" customHeight="1">
      <c r="A13" s="310">
        <f t="shared" ref="A13:A22" si="2">DATE(YEAR(A12+45),MONTH(A12+45),1)</f>
        <v>42795</v>
      </c>
      <c r="B13" s="308">
        <v>2451110.19</v>
      </c>
      <c r="C13" s="308">
        <v>112972.73</v>
      </c>
      <c r="D13" s="308">
        <f t="shared" si="0"/>
        <v>2564082.92</v>
      </c>
      <c r="E13" s="308">
        <v>2839369.74</v>
      </c>
      <c r="F13" s="308">
        <v>0</v>
      </c>
      <c r="G13" s="311">
        <f t="shared" si="1"/>
        <v>-275286.8200000003</v>
      </c>
      <c r="H13" s="302"/>
    </row>
    <row r="14" spans="1:8" ht="15.95" customHeight="1">
      <c r="A14" s="310">
        <f t="shared" si="2"/>
        <v>42826</v>
      </c>
      <c r="B14" s="308">
        <v>2345199.66</v>
      </c>
      <c r="C14" s="308">
        <v>112972.73</v>
      </c>
      <c r="D14" s="308">
        <f t="shared" si="0"/>
        <v>2458172.39</v>
      </c>
      <c r="E14" s="308">
        <v>2830770.25</v>
      </c>
      <c r="F14" s="308">
        <v>0</v>
      </c>
      <c r="G14" s="311">
        <f t="shared" si="1"/>
        <v>-372597.85999999987</v>
      </c>
      <c r="H14" s="302"/>
    </row>
    <row r="15" spans="1:8" ht="15.95" customHeight="1">
      <c r="A15" s="310">
        <f t="shared" si="2"/>
        <v>42856</v>
      </c>
      <c r="B15" s="308">
        <v>2481386.15</v>
      </c>
      <c r="C15" s="308">
        <v>87067.72</v>
      </c>
      <c r="D15" s="308">
        <f t="shared" si="0"/>
        <v>2568453.87</v>
      </c>
      <c r="E15" s="308">
        <v>2762273.0300000003</v>
      </c>
      <c r="F15" s="308">
        <v>0</v>
      </c>
      <c r="G15" s="311">
        <f t="shared" si="1"/>
        <v>-193819.16000000015</v>
      </c>
      <c r="H15" s="302"/>
    </row>
    <row r="16" spans="1:8" ht="15.95" customHeight="1">
      <c r="A16" s="310">
        <f t="shared" si="2"/>
        <v>42887</v>
      </c>
      <c r="B16" s="308">
        <v>2511309.3600000003</v>
      </c>
      <c r="C16" s="308">
        <v>61162.67</v>
      </c>
      <c r="D16" s="308">
        <f t="shared" si="0"/>
        <v>2572472.0300000003</v>
      </c>
      <c r="E16" s="308">
        <v>2797014.89</v>
      </c>
      <c r="F16" s="308">
        <v>0</v>
      </c>
      <c r="G16" s="311">
        <f t="shared" si="1"/>
        <v>-224542.85999999987</v>
      </c>
      <c r="H16" s="302"/>
    </row>
    <row r="17" spans="1:8" ht="15.95" customHeight="1">
      <c r="A17" s="310">
        <f t="shared" si="2"/>
        <v>42917</v>
      </c>
      <c r="B17" s="308">
        <v>137885.57</v>
      </c>
      <c r="C17" s="308">
        <v>61162.67</v>
      </c>
      <c r="D17" s="308">
        <f t="shared" si="0"/>
        <v>199048.24</v>
      </c>
      <c r="E17" s="308">
        <v>1365987.23</v>
      </c>
      <c r="F17" s="308">
        <v>0</v>
      </c>
      <c r="G17" s="311">
        <f t="shared" si="1"/>
        <v>-1166938.99</v>
      </c>
      <c r="H17" s="302"/>
    </row>
    <row r="18" spans="1:8" ht="15.95" customHeight="1">
      <c r="A18" s="310">
        <f t="shared" si="2"/>
        <v>42948</v>
      </c>
      <c r="B18" s="308">
        <v>195753.59</v>
      </c>
      <c r="C18" s="308">
        <v>61162.67</v>
      </c>
      <c r="D18" s="308">
        <f t="shared" si="0"/>
        <v>256916.26</v>
      </c>
      <c r="E18" s="308">
        <v>311699.43</v>
      </c>
      <c r="F18" s="308">
        <v>0</v>
      </c>
      <c r="G18" s="311">
        <f t="shared" si="1"/>
        <v>-54783.169999999984</v>
      </c>
      <c r="H18" s="302"/>
    </row>
    <row r="19" spans="1:8" ht="15.95" customHeight="1">
      <c r="A19" s="310">
        <f t="shared" si="2"/>
        <v>42979</v>
      </c>
      <c r="B19" s="308">
        <v>155477.88</v>
      </c>
      <c r="C19" s="308">
        <v>61162.67</v>
      </c>
      <c r="D19" s="308">
        <f t="shared" si="0"/>
        <v>216640.55</v>
      </c>
      <c r="E19" s="308">
        <v>302415.96000000002</v>
      </c>
      <c r="F19" s="308">
        <v>0</v>
      </c>
      <c r="G19" s="311">
        <f t="shared" si="1"/>
        <v>-85775.410000000033</v>
      </c>
      <c r="H19" s="302"/>
    </row>
    <row r="20" spans="1:8" ht="15.95" customHeight="1">
      <c r="A20" s="310">
        <f t="shared" si="2"/>
        <v>43009</v>
      </c>
      <c r="B20" s="308">
        <v>206060.17</v>
      </c>
      <c r="C20" s="308">
        <v>61162.67</v>
      </c>
      <c r="D20" s="308">
        <f t="shared" si="0"/>
        <v>267222.84000000003</v>
      </c>
      <c r="E20" s="308">
        <v>308281.83</v>
      </c>
      <c r="F20" s="308">
        <v>0</v>
      </c>
      <c r="G20" s="311">
        <f t="shared" si="1"/>
        <v>-41058.989999999991</v>
      </c>
      <c r="H20" s="302"/>
    </row>
    <row r="21" spans="1:8" ht="15.95" customHeight="1">
      <c r="A21" s="310">
        <f t="shared" si="2"/>
        <v>43040</v>
      </c>
      <c r="B21" s="308">
        <v>184559.25000000003</v>
      </c>
      <c r="C21" s="308">
        <v>61162.67</v>
      </c>
      <c r="D21" s="308">
        <f t="shared" si="0"/>
        <v>245721.92000000004</v>
      </c>
      <c r="E21" s="308">
        <v>311556.59000000003</v>
      </c>
      <c r="F21" s="308">
        <v>0</v>
      </c>
      <c r="G21" s="311">
        <f t="shared" si="1"/>
        <v>-65834.669999999984</v>
      </c>
      <c r="H21" s="302"/>
    </row>
    <row r="22" spans="1:8" ht="15.95" customHeight="1">
      <c r="A22" s="312">
        <f t="shared" si="2"/>
        <v>43070</v>
      </c>
      <c r="B22" s="313">
        <v>199885.48</v>
      </c>
      <c r="C22" s="313">
        <v>61162.67</v>
      </c>
      <c r="D22" s="313">
        <f t="shared" si="0"/>
        <v>261048.15000000002</v>
      </c>
      <c r="E22" s="313">
        <v>312734.57</v>
      </c>
      <c r="F22" s="313">
        <v>0</v>
      </c>
      <c r="G22" s="313">
        <f t="shared" si="1"/>
        <v>-51686.419999999984</v>
      </c>
      <c r="H22" s="302"/>
    </row>
    <row r="23" spans="1:8" s="302" customFormat="1" ht="15.95" customHeight="1" thickBot="1">
      <c r="A23" s="307"/>
      <c r="B23" s="314"/>
      <c r="C23" s="314"/>
      <c r="D23" s="314"/>
      <c r="F23" s="315" t="str">
        <f>+"TOTAL for Year, "&amp;TEXT(A11,"mm/yy")&amp;" - "&amp;TEXT(A22,"mm/yy")</f>
        <v>TOTAL for Year, 01/17 - 12/17</v>
      </c>
      <c r="G23" s="316">
        <f>SUM(G11:G22)</f>
        <v>-2156311.0900000003</v>
      </c>
    </row>
    <row r="24" spans="1:8" s="302" customFormat="1" ht="15.75" customHeight="1" thickTop="1"/>
    <row r="25" spans="1:8" s="302" customFormat="1" ht="15.75" customHeight="1"/>
    <row r="26" spans="1:8" s="302" customFormat="1" ht="15.75" customHeight="1">
      <c r="A26" s="317"/>
      <c r="B26" s="318"/>
    </row>
    <row r="27" spans="1:8" s="302" customFormat="1" ht="15.75">
      <c r="A27" s="303" t="s">
        <v>414</v>
      </c>
      <c r="B27" s="304" t="s">
        <v>415</v>
      </c>
      <c r="C27" s="304" t="s">
        <v>416</v>
      </c>
      <c r="D27" s="304" t="s">
        <v>417</v>
      </c>
      <c r="E27" s="304" t="s">
        <v>418</v>
      </c>
      <c r="F27" s="304" t="s">
        <v>419</v>
      </c>
      <c r="G27" s="304" t="s">
        <v>420</v>
      </c>
    </row>
    <row r="28" spans="1:8" s="302" customFormat="1" ht="15.75" customHeight="1">
      <c r="A28" s="433" t="s">
        <v>406</v>
      </c>
      <c r="B28" s="432" t="s">
        <v>165</v>
      </c>
      <c r="C28" s="432" t="s">
        <v>407</v>
      </c>
      <c r="D28" s="432" t="s">
        <v>408</v>
      </c>
      <c r="E28" s="432" t="s">
        <v>409</v>
      </c>
      <c r="F28" s="432" t="s">
        <v>410</v>
      </c>
      <c r="G28" s="432" t="s">
        <v>411</v>
      </c>
    </row>
    <row r="29" spans="1:8" s="302" customFormat="1" ht="15.75" customHeight="1">
      <c r="A29" s="433"/>
      <c r="B29" s="433"/>
      <c r="C29" s="433"/>
      <c r="D29" s="433"/>
      <c r="E29" s="433"/>
      <c r="F29" s="435"/>
      <c r="G29" s="433"/>
    </row>
    <row r="30" spans="1:8" s="302" customFormat="1" ht="15.75" customHeight="1">
      <c r="A30" s="434"/>
      <c r="B30" s="434"/>
      <c r="C30" s="434"/>
      <c r="D30" s="434"/>
      <c r="E30" s="434"/>
      <c r="F30" s="434"/>
      <c r="G30" s="434"/>
    </row>
    <row r="31" spans="1:8" s="302" customFormat="1" ht="15.75">
      <c r="A31" s="305"/>
      <c r="B31" s="306"/>
      <c r="C31" s="306"/>
      <c r="D31" s="306" t="s">
        <v>421</v>
      </c>
      <c r="E31" s="306"/>
      <c r="F31" s="306"/>
      <c r="G31" s="305" t="s">
        <v>422</v>
      </c>
    </row>
    <row r="32" spans="1:8" s="302" customFormat="1" ht="15.75">
      <c r="A32" s="319">
        <f>A11</f>
        <v>42736</v>
      </c>
      <c r="B32" s="308"/>
      <c r="C32" s="308"/>
      <c r="D32" s="308">
        <f t="shared" ref="D32:D43" si="3">B32+C32</f>
        <v>0</v>
      </c>
      <c r="E32" s="308"/>
      <c r="F32" s="308"/>
      <c r="G32" s="309">
        <f>D32-E32-F32</f>
        <v>0</v>
      </c>
    </row>
    <row r="33" spans="1:7" ht="15.75">
      <c r="A33" s="310">
        <f t="shared" ref="A33:A43" si="4">A12</f>
        <v>42767</v>
      </c>
      <c r="B33" s="308"/>
      <c r="C33" s="308"/>
      <c r="D33" s="308">
        <f t="shared" si="3"/>
        <v>0</v>
      </c>
      <c r="E33" s="308"/>
      <c r="F33" s="308"/>
      <c r="G33" s="311">
        <f t="shared" ref="G33:G43" si="5">D33-E33-F33</f>
        <v>0</v>
      </c>
    </row>
    <row r="34" spans="1:7" ht="15.75">
      <c r="A34" s="310">
        <f t="shared" si="4"/>
        <v>42795</v>
      </c>
      <c r="B34" s="308"/>
      <c r="C34" s="308"/>
      <c r="D34" s="308">
        <f t="shared" si="3"/>
        <v>0</v>
      </c>
      <c r="E34" s="308"/>
      <c r="F34" s="308"/>
      <c r="G34" s="311">
        <f t="shared" si="5"/>
        <v>0</v>
      </c>
    </row>
    <row r="35" spans="1:7" ht="15.75">
      <c r="A35" s="310">
        <f t="shared" si="4"/>
        <v>42826</v>
      </c>
      <c r="B35" s="308"/>
      <c r="C35" s="308"/>
      <c r="D35" s="308">
        <f t="shared" si="3"/>
        <v>0</v>
      </c>
      <c r="E35" s="308"/>
      <c r="F35" s="308"/>
      <c r="G35" s="311">
        <f t="shared" si="5"/>
        <v>0</v>
      </c>
    </row>
    <row r="36" spans="1:7" ht="15.75">
      <c r="A36" s="310">
        <f t="shared" si="4"/>
        <v>42856</v>
      </c>
      <c r="B36" s="308"/>
      <c r="C36" s="308"/>
      <c r="D36" s="308">
        <f t="shared" si="3"/>
        <v>0</v>
      </c>
      <c r="E36" s="308"/>
      <c r="F36" s="308"/>
      <c r="G36" s="311">
        <f t="shared" si="5"/>
        <v>0</v>
      </c>
    </row>
    <row r="37" spans="1:7" ht="15.75">
      <c r="A37" s="310">
        <f t="shared" si="4"/>
        <v>42887</v>
      </c>
      <c r="B37" s="308"/>
      <c r="C37" s="308"/>
      <c r="D37" s="308">
        <f t="shared" si="3"/>
        <v>0</v>
      </c>
      <c r="E37" s="308"/>
      <c r="F37" s="308"/>
      <c r="G37" s="311">
        <f t="shared" si="5"/>
        <v>0</v>
      </c>
    </row>
    <row r="38" spans="1:7" ht="15.75">
      <c r="A38" s="310">
        <f t="shared" si="4"/>
        <v>42917</v>
      </c>
      <c r="B38" s="308">
        <v>8194.56</v>
      </c>
      <c r="C38" s="308">
        <v>0</v>
      </c>
      <c r="D38" s="308">
        <f t="shared" si="3"/>
        <v>8194.56</v>
      </c>
      <c r="E38" s="308">
        <v>2089.52</v>
      </c>
      <c r="F38" s="308">
        <v>2000</v>
      </c>
      <c r="G38" s="311">
        <f t="shared" si="5"/>
        <v>4105.0399999999991</v>
      </c>
    </row>
    <row r="39" spans="1:7" ht="15.75">
      <c r="A39" s="310">
        <f t="shared" si="4"/>
        <v>42948</v>
      </c>
      <c r="B39" s="308">
        <v>8194.56</v>
      </c>
      <c r="C39" s="308">
        <v>0</v>
      </c>
      <c r="D39" s="308">
        <f t="shared" si="3"/>
        <v>8194.56</v>
      </c>
      <c r="E39" s="308">
        <v>3692.55</v>
      </c>
      <c r="F39" s="308">
        <v>92</v>
      </c>
      <c r="G39" s="311">
        <f t="shared" si="5"/>
        <v>4410.0099999999993</v>
      </c>
    </row>
    <row r="40" spans="1:7" ht="15.75">
      <c r="A40" s="310">
        <f t="shared" si="4"/>
        <v>42979</v>
      </c>
      <c r="B40" s="308">
        <v>8194.56</v>
      </c>
      <c r="C40" s="308">
        <v>0</v>
      </c>
      <c r="D40" s="308">
        <f t="shared" si="3"/>
        <v>8194.56</v>
      </c>
      <c r="E40" s="308">
        <v>4490.41</v>
      </c>
      <c r="F40" s="308">
        <v>211</v>
      </c>
      <c r="G40" s="311">
        <f t="shared" si="5"/>
        <v>3493.1499999999996</v>
      </c>
    </row>
    <row r="41" spans="1:7" ht="15.75">
      <c r="A41" s="310">
        <f t="shared" si="4"/>
        <v>43009</v>
      </c>
      <c r="B41" s="308">
        <v>8194.56</v>
      </c>
      <c r="C41" s="308">
        <v>0</v>
      </c>
      <c r="D41" s="308">
        <f t="shared" si="3"/>
        <v>8194.56</v>
      </c>
      <c r="E41" s="308">
        <v>4774.3500000000004</v>
      </c>
      <c r="F41" s="308">
        <v>3077</v>
      </c>
      <c r="G41" s="311">
        <f t="shared" si="5"/>
        <v>343.20999999999913</v>
      </c>
    </row>
    <row r="42" spans="1:7" ht="15.75">
      <c r="A42" s="310">
        <f t="shared" si="4"/>
        <v>43040</v>
      </c>
      <c r="B42" s="308">
        <v>8194.56</v>
      </c>
      <c r="C42" s="308">
        <v>0</v>
      </c>
      <c r="D42" s="308">
        <f t="shared" si="3"/>
        <v>8194.56</v>
      </c>
      <c r="E42" s="308">
        <v>13275.96</v>
      </c>
      <c r="F42" s="308">
        <v>6138</v>
      </c>
      <c r="G42" s="311">
        <f t="shared" si="5"/>
        <v>-11219.4</v>
      </c>
    </row>
    <row r="43" spans="1:7" ht="15.75">
      <c r="A43" s="312">
        <f t="shared" si="4"/>
        <v>43070</v>
      </c>
      <c r="B43" s="313">
        <v>8194.56</v>
      </c>
      <c r="C43" s="313">
        <v>0</v>
      </c>
      <c r="D43" s="313">
        <f t="shared" si="3"/>
        <v>8194.56</v>
      </c>
      <c r="E43" s="313">
        <v>25309.47</v>
      </c>
      <c r="F43" s="313">
        <v>10038</v>
      </c>
      <c r="G43" s="313">
        <f t="shared" si="5"/>
        <v>-27152.910000000003</v>
      </c>
    </row>
    <row r="44" spans="1:7" ht="16.5" thickBot="1">
      <c r="A44" s="307"/>
      <c r="B44" s="314"/>
      <c r="C44" s="314"/>
      <c r="D44" s="314"/>
      <c r="F44" s="315" t="str">
        <f>+"TOTAL for Year, "&amp;TEXT(A32,"mm/yy")&amp;" - "&amp;TEXT(A43,"mm/yy")</f>
        <v>TOTAL for Year, 01/17 - 12/17</v>
      </c>
      <c r="G44" s="316">
        <f>SUM(G32:G43)</f>
        <v>-26020.900000000005</v>
      </c>
    </row>
    <row r="45" spans="1:7" ht="13.5" thickTop="1"/>
  </sheetData>
  <mergeCells count="14">
    <mergeCell ref="G7:G9"/>
    <mergeCell ref="A28:A30"/>
    <mergeCell ref="B28:B30"/>
    <mergeCell ref="C28:C30"/>
    <mergeCell ref="D28:D30"/>
    <mergeCell ref="E28:E30"/>
    <mergeCell ref="F28:F30"/>
    <mergeCell ref="G28:G30"/>
    <mergeCell ref="A7:A9"/>
    <mergeCell ref="B7:B9"/>
    <mergeCell ref="C7:C9"/>
    <mergeCell ref="D7:D9"/>
    <mergeCell ref="E7:E9"/>
    <mergeCell ref="F7:F9"/>
  </mergeCells>
  <pageMargins left="1" right="0.5" top="1.8" bottom="0.5" header="0.28000000000000003" footer="0"/>
  <pageSetup scale="77" orientation="portrait" r:id="rId1"/>
  <headerFooter scaleWithDoc="0" alignWithMargins="0">
    <oddHeader>&amp;R&amp;"Times New Roman,Bold"Exhibit 3
Page 1 of 4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8576"/>
  <sheetViews>
    <sheetView zoomScale="55" zoomScaleNormal="55" workbookViewId="0"/>
  </sheetViews>
  <sheetFormatPr defaultRowHeight="20.25"/>
  <cols>
    <col min="1" max="1" width="9.5703125" style="69" customWidth="1"/>
    <col min="2" max="2" width="9.140625" style="69"/>
    <col min="3" max="3" width="68.7109375" style="69" customWidth="1"/>
    <col min="4" max="5" width="19.140625" style="69" customWidth="1"/>
    <col min="6" max="6" width="20.7109375" style="69" customWidth="1"/>
    <col min="7" max="7" width="19" style="69" customWidth="1"/>
    <col min="8" max="8" width="19.5703125" style="69" customWidth="1"/>
    <col min="9" max="9" width="19.140625" style="69" customWidth="1"/>
    <col min="10" max="10" width="19" style="69" customWidth="1"/>
    <col min="11" max="11" width="19.140625" style="69" customWidth="1"/>
    <col min="12" max="14" width="22.5703125" style="69" bestFit="1" customWidth="1"/>
    <col min="15" max="16" width="19.140625" style="69" bestFit="1" customWidth="1"/>
    <col min="17" max="17" width="20.7109375" style="69" bestFit="1" customWidth="1"/>
    <col min="18" max="18" width="20.7109375" style="417" bestFit="1" customWidth="1"/>
    <col min="19" max="19" width="18.7109375" style="69" customWidth="1"/>
    <col min="20" max="20" width="18" style="69" customWidth="1"/>
    <col min="21" max="21" width="17" style="69" customWidth="1"/>
    <col min="22" max="22" width="14.7109375" style="69" bestFit="1" customWidth="1"/>
    <col min="23" max="23" width="14.5703125" style="69" bestFit="1" customWidth="1"/>
    <col min="24" max="24" width="13.140625" style="69" bestFit="1" customWidth="1"/>
    <col min="25" max="25" width="14" style="69" customWidth="1"/>
    <col min="26" max="26" width="15.5703125" style="69" customWidth="1"/>
    <col min="27" max="27" width="14.42578125" style="69" bestFit="1" customWidth="1"/>
    <col min="28" max="28" width="14.85546875" style="69" customWidth="1"/>
    <col min="29" max="29" width="15.7109375" style="69" customWidth="1"/>
    <col min="30" max="30" width="13.42578125" style="69" customWidth="1"/>
    <col min="31" max="31" width="12.140625" style="69" bestFit="1" customWidth="1"/>
    <col min="32" max="32" width="16.5703125" style="69" customWidth="1"/>
    <col min="33" max="33" width="14.42578125" style="69" customWidth="1"/>
    <col min="34" max="34" width="15.140625" style="69" customWidth="1"/>
    <col min="35" max="35" width="9.42578125" style="69" bestFit="1" customWidth="1"/>
    <col min="36" max="36" width="12.7109375" style="69" customWidth="1"/>
    <col min="37" max="16384" width="9.140625" style="69"/>
  </cols>
  <sheetData>
    <row r="1" spans="1:36">
      <c r="A1" s="190" t="s">
        <v>67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36">
      <c r="A2" s="189" t="s">
        <v>273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1:36">
      <c r="A3" s="190" t="s">
        <v>79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4" spans="1:36" s="34" customFormat="1">
      <c r="A4" s="70"/>
      <c r="D4" s="363"/>
      <c r="R4" s="417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4" customFormat="1">
      <c r="D5" s="446"/>
      <c r="E5" s="447"/>
      <c r="F5" s="447"/>
      <c r="G5" s="447"/>
      <c r="H5" s="447"/>
      <c r="I5" s="447"/>
      <c r="J5" s="448"/>
      <c r="K5" s="443" t="s">
        <v>261</v>
      </c>
      <c r="L5" s="444"/>
      <c r="M5" s="444"/>
      <c r="N5" s="444"/>
      <c r="O5" s="444"/>
      <c r="P5" s="444"/>
      <c r="Q5" s="445"/>
      <c r="R5" s="417"/>
      <c r="U5" s="15"/>
      <c r="V5" s="14"/>
      <c r="W5" s="14"/>
      <c r="X5" s="14"/>
      <c r="Y5" s="14"/>
      <c r="Z5" s="14"/>
      <c r="AA5" s="14"/>
      <c r="AB5" s="14"/>
      <c r="AC5" s="439"/>
      <c r="AD5" s="439"/>
      <c r="AE5" s="439"/>
      <c r="AF5" s="439"/>
      <c r="AG5" s="439"/>
      <c r="AH5" s="439"/>
      <c r="AI5" s="439"/>
      <c r="AJ5" s="439"/>
    </row>
    <row r="6" spans="1:36" s="34" customFormat="1">
      <c r="A6" s="221" t="s">
        <v>4</v>
      </c>
      <c r="B6" s="35"/>
      <c r="D6" s="129">
        <v>2016</v>
      </c>
      <c r="E6" s="130">
        <v>2017</v>
      </c>
      <c r="F6" s="130">
        <f t="shared" ref="F6:Q6" si="0">$E$6</f>
        <v>2017</v>
      </c>
      <c r="G6" s="130">
        <f t="shared" si="0"/>
        <v>2017</v>
      </c>
      <c r="H6" s="130">
        <f t="shared" si="0"/>
        <v>2017</v>
      </c>
      <c r="I6" s="130">
        <f t="shared" si="0"/>
        <v>2017</v>
      </c>
      <c r="J6" s="131">
        <f t="shared" si="0"/>
        <v>2017</v>
      </c>
      <c r="K6" s="126">
        <f t="shared" si="0"/>
        <v>2017</v>
      </c>
      <c r="L6" s="127">
        <f t="shared" si="0"/>
        <v>2017</v>
      </c>
      <c r="M6" s="127">
        <f t="shared" si="0"/>
        <v>2017</v>
      </c>
      <c r="N6" s="127">
        <f t="shared" si="0"/>
        <v>2017</v>
      </c>
      <c r="O6" s="127">
        <f t="shared" si="0"/>
        <v>2017</v>
      </c>
      <c r="P6" s="127">
        <f t="shared" si="0"/>
        <v>2017</v>
      </c>
      <c r="Q6" s="128">
        <f t="shared" si="0"/>
        <v>2017</v>
      </c>
      <c r="R6" s="417"/>
      <c r="U6" s="90"/>
      <c r="V6" s="16"/>
      <c r="W6" s="90"/>
      <c r="X6" s="90"/>
      <c r="Y6" s="90"/>
      <c r="Z6" s="90"/>
      <c r="AA6" s="90"/>
      <c r="AB6" s="90"/>
      <c r="AC6" s="90"/>
      <c r="AD6" s="90"/>
      <c r="AE6" s="90"/>
      <c r="AF6" s="16"/>
      <c r="AG6" s="90"/>
      <c r="AH6" s="90"/>
      <c r="AI6" s="90"/>
      <c r="AJ6" s="90"/>
    </row>
    <row r="7" spans="1:36" s="34" customFormat="1">
      <c r="A7" s="71" t="s">
        <v>5</v>
      </c>
      <c r="B7" s="35"/>
      <c r="C7" s="71" t="s">
        <v>6</v>
      </c>
      <c r="D7" s="132" t="s">
        <v>107</v>
      </c>
      <c r="E7" s="133" t="s">
        <v>95</v>
      </c>
      <c r="F7" s="133" t="s">
        <v>98</v>
      </c>
      <c r="G7" s="133" t="s">
        <v>99</v>
      </c>
      <c r="H7" s="133" t="s">
        <v>100</v>
      </c>
      <c r="I7" s="133" t="s">
        <v>88</v>
      </c>
      <c r="J7" s="134" t="s">
        <v>101</v>
      </c>
      <c r="K7" s="112" t="s">
        <v>102</v>
      </c>
      <c r="L7" s="72" t="s">
        <v>103</v>
      </c>
      <c r="M7" s="72" t="s">
        <v>104</v>
      </c>
      <c r="N7" s="72" t="s">
        <v>105</v>
      </c>
      <c r="O7" s="72" t="s">
        <v>106</v>
      </c>
      <c r="P7" s="72" t="s">
        <v>107</v>
      </c>
      <c r="Q7" s="113" t="s">
        <v>259</v>
      </c>
      <c r="R7" s="417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16"/>
      <c r="AG7" s="90"/>
      <c r="AH7" s="90"/>
      <c r="AI7" s="90"/>
      <c r="AJ7" s="90"/>
    </row>
    <row r="8" spans="1:36" s="34" customFormat="1">
      <c r="A8" s="221"/>
      <c r="B8" s="35"/>
      <c r="C8" s="73">
        <v>-1</v>
      </c>
      <c r="D8" s="135">
        <v>-2</v>
      </c>
      <c r="E8" s="136">
        <v>-3</v>
      </c>
      <c r="F8" s="136">
        <v>-4</v>
      </c>
      <c r="G8" s="136">
        <v>-5</v>
      </c>
      <c r="H8" s="136">
        <v>-6</v>
      </c>
      <c r="I8" s="136">
        <v>-7</v>
      </c>
      <c r="J8" s="137">
        <v>-8</v>
      </c>
      <c r="K8" s="114">
        <v>-9</v>
      </c>
      <c r="L8" s="115">
        <v>-10</v>
      </c>
      <c r="M8" s="115">
        <v>-11</v>
      </c>
      <c r="N8" s="115">
        <v>-12</v>
      </c>
      <c r="O8" s="115">
        <v>-13</v>
      </c>
      <c r="P8" s="115">
        <v>-14</v>
      </c>
      <c r="Q8" s="116">
        <v>-15</v>
      </c>
      <c r="R8" s="417"/>
      <c r="U8" s="90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4" customFormat="1">
      <c r="A9" s="35"/>
      <c r="B9" s="35"/>
      <c r="D9" s="138"/>
      <c r="E9" s="139"/>
      <c r="F9" s="139"/>
      <c r="G9" s="139"/>
      <c r="H9" s="139"/>
      <c r="I9" s="139"/>
      <c r="J9" s="140"/>
      <c r="K9" s="117"/>
      <c r="L9" s="13"/>
      <c r="M9" s="13"/>
      <c r="N9" s="13"/>
      <c r="O9" s="13"/>
      <c r="P9" s="13"/>
      <c r="Q9" s="118"/>
      <c r="R9" s="417"/>
      <c r="U9" s="90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4" customFormat="1">
      <c r="A10" s="35"/>
      <c r="B10" s="74" t="s">
        <v>51</v>
      </c>
      <c r="D10" s="138"/>
      <c r="E10" s="139"/>
      <c r="F10" s="139"/>
      <c r="G10" s="139"/>
      <c r="H10" s="139"/>
      <c r="I10" s="139"/>
      <c r="J10" s="140"/>
      <c r="K10" s="117"/>
      <c r="L10" s="13"/>
      <c r="M10" s="13"/>
      <c r="N10" s="13"/>
      <c r="O10" s="13"/>
      <c r="P10" s="13"/>
      <c r="Q10" s="118"/>
      <c r="R10" s="417"/>
      <c r="U10" s="90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4" customFormat="1">
      <c r="A11" s="35">
        <v>1</v>
      </c>
      <c r="B11" s="35"/>
      <c r="C11" s="75" t="s">
        <v>489</v>
      </c>
      <c r="D11" s="377">
        <v>0</v>
      </c>
      <c r="E11" s="378"/>
      <c r="F11" s="378"/>
      <c r="G11" s="378"/>
      <c r="H11" s="378"/>
      <c r="I11" s="378"/>
      <c r="J11" s="379"/>
      <c r="K11" s="365">
        <f>'Cap&amp;OpEx 2017'!C11</f>
        <v>239723.06</v>
      </c>
      <c r="L11" s="366">
        <f>'Cap&amp;OpEx 2017'!D11+K11</f>
        <v>310103.82</v>
      </c>
      <c r="M11" s="366">
        <f>'Cap&amp;OpEx 2017'!E11+L11</f>
        <v>616593.07000000007</v>
      </c>
      <c r="N11" s="366">
        <f>'Cap&amp;OpEx 2017'!F11+M11</f>
        <v>1046533.8500000001</v>
      </c>
      <c r="O11" s="366">
        <f>'Cap&amp;OpEx 2017'!G11+N11</f>
        <v>1439946.39</v>
      </c>
      <c r="P11" s="366">
        <f>'Cap&amp;OpEx 2017'!H11+O11</f>
        <v>3062641.21</v>
      </c>
      <c r="Q11" s="367">
        <f>SUM(K11:P11)/7</f>
        <v>959363.05714285723</v>
      </c>
      <c r="R11" s="417"/>
      <c r="U11" s="90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4" customFormat="1">
      <c r="A12" s="35">
        <v>2</v>
      </c>
      <c r="B12" s="35"/>
      <c r="C12" s="34" t="s">
        <v>19</v>
      </c>
      <c r="D12" s="377">
        <v>0</v>
      </c>
      <c r="E12" s="378"/>
      <c r="F12" s="378"/>
      <c r="G12" s="378"/>
      <c r="H12" s="378"/>
      <c r="I12" s="378"/>
      <c r="J12" s="379"/>
      <c r="K12" s="365">
        <v>0</v>
      </c>
      <c r="L12" s="366">
        <v>0</v>
      </c>
      <c r="M12" s="366">
        <v>0</v>
      </c>
      <c r="N12" s="366">
        <v>0</v>
      </c>
      <c r="O12" s="366">
        <v>0</v>
      </c>
      <c r="P12" s="366">
        <v>0</v>
      </c>
      <c r="Q12" s="367">
        <f t="shared" ref="Q12:Q13" si="1">SUM(K12:P12)/7</f>
        <v>0</v>
      </c>
      <c r="R12" s="417"/>
      <c r="U12" s="90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4" customFormat="1">
      <c r="A13" s="35">
        <v>3</v>
      </c>
      <c r="B13" s="35"/>
      <c r="C13" s="34" t="s">
        <v>52</v>
      </c>
      <c r="D13" s="380">
        <v>0</v>
      </c>
      <c r="E13" s="381"/>
      <c r="F13" s="381"/>
      <c r="G13" s="381"/>
      <c r="H13" s="381"/>
      <c r="I13" s="381"/>
      <c r="J13" s="382"/>
      <c r="K13" s="369">
        <v>0</v>
      </c>
      <c r="L13" s="370">
        <v>0</v>
      </c>
      <c r="M13" s="370">
        <v>0</v>
      </c>
      <c r="N13" s="370">
        <v>0</v>
      </c>
      <c r="O13" s="370">
        <v>0</v>
      </c>
      <c r="P13" s="370">
        <v>0</v>
      </c>
      <c r="Q13" s="368">
        <f t="shared" si="1"/>
        <v>0</v>
      </c>
      <c r="R13" s="417"/>
      <c r="U13" s="90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4" customFormat="1">
      <c r="A14" s="35">
        <v>4</v>
      </c>
      <c r="B14" s="35"/>
      <c r="C14" s="34" t="s">
        <v>53</v>
      </c>
      <c r="D14" s="377">
        <f t="shared" ref="D14:Q14" si="2">SUM(D11:D13)</f>
        <v>0</v>
      </c>
      <c r="E14" s="378">
        <f t="shared" si="2"/>
        <v>0</v>
      </c>
      <c r="F14" s="378">
        <f t="shared" si="2"/>
        <v>0</v>
      </c>
      <c r="G14" s="378">
        <f t="shared" si="2"/>
        <v>0</v>
      </c>
      <c r="H14" s="378">
        <f t="shared" si="2"/>
        <v>0</v>
      </c>
      <c r="I14" s="378">
        <f t="shared" si="2"/>
        <v>0</v>
      </c>
      <c r="J14" s="379">
        <f t="shared" si="2"/>
        <v>0</v>
      </c>
      <c r="K14" s="365">
        <f t="shared" si="2"/>
        <v>239723.06</v>
      </c>
      <c r="L14" s="366">
        <f t="shared" si="2"/>
        <v>310103.82</v>
      </c>
      <c r="M14" s="366">
        <f t="shared" si="2"/>
        <v>616593.07000000007</v>
      </c>
      <c r="N14" s="366">
        <f t="shared" si="2"/>
        <v>1046533.8500000001</v>
      </c>
      <c r="O14" s="366">
        <f t="shared" si="2"/>
        <v>1439946.39</v>
      </c>
      <c r="P14" s="366">
        <f t="shared" si="2"/>
        <v>3062641.21</v>
      </c>
      <c r="Q14" s="367">
        <f t="shared" si="2"/>
        <v>959363.05714285723</v>
      </c>
      <c r="R14" s="417"/>
      <c r="U14" s="90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4" customFormat="1">
      <c r="A15" s="35"/>
      <c r="B15" s="35"/>
      <c r="D15" s="141"/>
      <c r="E15" s="142"/>
      <c r="F15" s="142"/>
      <c r="G15" s="142"/>
      <c r="H15" s="142"/>
      <c r="I15" s="142"/>
      <c r="J15" s="143"/>
      <c r="K15" s="119"/>
      <c r="L15" s="44"/>
      <c r="M15" s="44"/>
      <c r="N15" s="44"/>
      <c r="O15" s="44"/>
      <c r="P15" s="44"/>
      <c r="Q15" s="120"/>
      <c r="R15" s="417"/>
      <c r="U15" s="90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4" customFormat="1">
      <c r="A16" s="35">
        <v>5</v>
      </c>
      <c r="B16" s="35"/>
      <c r="C16" s="34" t="s">
        <v>54</v>
      </c>
      <c r="D16" s="380">
        <v>0</v>
      </c>
      <c r="E16" s="381"/>
      <c r="F16" s="381"/>
      <c r="G16" s="381"/>
      <c r="H16" s="381"/>
      <c r="I16" s="381"/>
      <c r="J16" s="382"/>
      <c r="K16" s="369">
        <v>0</v>
      </c>
      <c r="L16" s="370">
        <v>0</v>
      </c>
      <c r="M16" s="370">
        <v>0</v>
      </c>
      <c r="N16" s="370">
        <v>0</v>
      </c>
      <c r="O16" s="370">
        <v>0</v>
      </c>
      <c r="P16" s="370">
        <v>0</v>
      </c>
      <c r="Q16" s="368">
        <f>SUM(K16:P16)/7</f>
        <v>0</v>
      </c>
      <c r="R16" s="417"/>
      <c r="U16" s="90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4" customFormat="1" ht="21" customHeight="1">
      <c r="A17" s="35"/>
      <c r="B17" s="35"/>
      <c r="D17" s="141"/>
      <c r="E17" s="142"/>
      <c r="F17" s="142"/>
      <c r="G17" s="142"/>
      <c r="H17" s="142"/>
      <c r="I17" s="142"/>
      <c r="J17" s="143"/>
      <c r="K17" s="119"/>
      <c r="L17" s="44"/>
      <c r="M17" s="44"/>
      <c r="N17" s="44"/>
      <c r="O17" s="44"/>
      <c r="P17" s="44"/>
      <c r="Q17" s="120"/>
      <c r="R17" s="417"/>
    </row>
    <row r="18" spans="1:19" s="34" customFormat="1">
      <c r="A18" s="35">
        <v>6</v>
      </c>
      <c r="B18" s="35"/>
      <c r="C18" s="75" t="s">
        <v>55</v>
      </c>
      <c r="D18" s="377">
        <f t="shared" ref="D18:Q18" si="3">SUM(D14:D16)</f>
        <v>0</v>
      </c>
      <c r="E18" s="378">
        <f t="shared" si="3"/>
        <v>0</v>
      </c>
      <c r="F18" s="378">
        <f t="shared" si="3"/>
        <v>0</v>
      </c>
      <c r="G18" s="378">
        <f t="shared" si="3"/>
        <v>0</v>
      </c>
      <c r="H18" s="378">
        <f t="shared" si="3"/>
        <v>0</v>
      </c>
      <c r="I18" s="378">
        <f t="shared" si="3"/>
        <v>0</v>
      </c>
      <c r="J18" s="379">
        <f t="shared" si="3"/>
        <v>0</v>
      </c>
      <c r="K18" s="365">
        <f t="shared" si="3"/>
        <v>239723.06</v>
      </c>
      <c r="L18" s="366">
        <f t="shared" si="3"/>
        <v>310103.82</v>
      </c>
      <c r="M18" s="366">
        <f t="shared" si="3"/>
        <v>616593.07000000007</v>
      </c>
      <c r="N18" s="366">
        <f t="shared" si="3"/>
        <v>1046533.8500000001</v>
      </c>
      <c r="O18" s="366">
        <f t="shared" si="3"/>
        <v>1439946.39</v>
      </c>
      <c r="P18" s="366">
        <f t="shared" si="3"/>
        <v>3062641.21</v>
      </c>
      <c r="Q18" s="367">
        <f t="shared" si="3"/>
        <v>959363.05714285723</v>
      </c>
      <c r="R18" s="417"/>
      <c r="S18" s="77"/>
    </row>
    <row r="19" spans="1:19" s="34" customFormat="1">
      <c r="A19" s="35"/>
      <c r="B19" s="35"/>
      <c r="D19" s="138"/>
      <c r="E19" s="139"/>
      <c r="F19" s="139"/>
      <c r="G19" s="139"/>
      <c r="H19" s="139"/>
      <c r="I19" s="139"/>
      <c r="J19" s="140"/>
      <c r="K19" s="117"/>
      <c r="L19" s="13"/>
      <c r="M19" s="13"/>
      <c r="N19" s="13"/>
      <c r="O19" s="13"/>
      <c r="P19" s="13"/>
      <c r="Q19" s="118"/>
      <c r="R19" s="417"/>
    </row>
    <row r="20" spans="1:19" s="34" customFormat="1">
      <c r="A20" s="35">
        <v>7</v>
      </c>
      <c r="B20" s="35"/>
      <c r="C20" s="34" t="s">
        <v>56</v>
      </c>
      <c r="D20" s="144"/>
      <c r="E20" s="145">
        <v>8.7039841473943429E-3</v>
      </c>
      <c r="F20" s="145">
        <v>8.7039841473943429E-3</v>
      </c>
      <c r="G20" s="145">
        <v>8.7039841473943429E-3</v>
      </c>
      <c r="H20" s="145">
        <v>8.7039841473943429E-3</v>
      </c>
      <c r="I20" s="145">
        <v>8.7039841473943429E-3</v>
      </c>
      <c r="J20" s="146">
        <v>8.7039841473943429E-3</v>
      </c>
      <c r="K20" s="121">
        <v>8.5431530257663712E-3</v>
      </c>
      <c r="L20" s="37">
        <v>8.5431530257663712E-3</v>
      </c>
      <c r="M20" s="37">
        <v>8.5431530257663712E-3</v>
      </c>
      <c r="N20" s="37">
        <v>8.5431530257663712E-3</v>
      </c>
      <c r="O20" s="37">
        <v>8.5431530257663712E-3</v>
      </c>
      <c r="P20" s="37">
        <v>8.5431530257663712E-3</v>
      </c>
      <c r="Q20" s="122">
        <f>SUM(K20:P20)</f>
        <v>5.1258918154598231E-2</v>
      </c>
      <c r="R20" s="417"/>
    </row>
    <row r="21" spans="1:19" s="34" customFormat="1">
      <c r="A21" s="35"/>
      <c r="B21" s="35"/>
      <c r="D21" s="147"/>
      <c r="E21" s="139"/>
      <c r="F21" s="139"/>
      <c r="G21" s="139"/>
      <c r="H21" s="139"/>
      <c r="I21" s="139"/>
      <c r="J21" s="140"/>
      <c r="K21" s="117"/>
      <c r="L21" s="13"/>
      <c r="M21" s="13"/>
      <c r="N21" s="13"/>
      <c r="O21" s="13"/>
      <c r="P21" s="13"/>
      <c r="Q21" s="118"/>
      <c r="R21" s="417"/>
    </row>
    <row r="22" spans="1:19" s="34" customFormat="1">
      <c r="A22" s="35">
        <v>8</v>
      </c>
      <c r="B22" s="35"/>
      <c r="C22" s="34" t="s">
        <v>57</v>
      </c>
      <c r="D22" s="380">
        <f t="shared" ref="D22:Q22" si="4">D18*D20</f>
        <v>0</v>
      </c>
      <c r="E22" s="381">
        <f t="shared" si="4"/>
        <v>0</v>
      </c>
      <c r="F22" s="381">
        <f t="shared" si="4"/>
        <v>0</v>
      </c>
      <c r="G22" s="381">
        <f t="shared" si="4"/>
        <v>0</v>
      </c>
      <c r="H22" s="381">
        <f t="shared" si="4"/>
        <v>0</v>
      </c>
      <c r="I22" s="381">
        <f t="shared" si="4"/>
        <v>0</v>
      </c>
      <c r="J22" s="382">
        <f t="shared" si="4"/>
        <v>0</v>
      </c>
      <c r="K22" s="369">
        <f t="shared" si="4"/>
        <v>2047.9907853849734</v>
      </c>
      <c r="L22" s="370">
        <f t="shared" si="4"/>
        <v>2649.2643881347103</v>
      </c>
      <c r="M22" s="370">
        <f t="shared" si="4"/>
        <v>5267.6489516370766</v>
      </c>
      <c r="N22" s="370">
        <f t="shared" si="4"/>
        <v>8940.6988271944301</v>
      </c>
      <c r="O22" s="370">
        <f t="shared" si="4"/>
        <v>12301.682358669863</v>
      </c>
      <c r="P22" s="370">
        <f t="shared" si="4"/>
        <v>26164.612520048278</v>
      </c>
      <c r="Q22" s="368">
        <f t="shared" si="4"/>
        <v>49175.912426630865</v>
      </c>
      <c r="R22" s="417"/>
    </row>
    <row r="23" spans="1:19" s="34" customFormat="1">
      <c r="A23" s="35"/>
      <c r="B23" s="35"/>
      <c r="D23" s="147"/>
      <c r="E23" s="139"/>
      <c r="F23" s="139"/>
      <c r="G23" s="139"/>
      <c r="H23" s="139"/>
      <c r="I23" s="139"/>
      <c r="J23" s="140"/>
      <c r="K23" s="117"/>
      <c r="L23" s="13"/>
      <c r="M23" s="13"/>
      <c r="N23" s="13"/>
      <c r="O23" s="13"/>
      <c r="P23" s="13"/>
      <c r="Q23" s="118"/>
      <c r="R23" s="417"/>
    </row>
    <row r="24" spans="1:19" s="34" customFormat="1">
      <c r="A24" s="35"/>
      <c r="B24" s="74" t="s">
        <v>58</v>
      </c>
      <c r="D24" s="138"/>
      <c r="E24" s="139"/>
      <c r="F24" s="139"/>
      <c r="G24" s="139"/>
      <c r="H24" s="139"/>
      <c r="I24" s="139"/>
      <c r="J24" s="140"/>
      <c r="K24" s="117"/>
      <c r="L24" s="13"/>
      <c r="M24" s="13"/>
      <c r="N24" s="13"/>
      <c r="O24" s="13"/>
      <c r="P24" s="13"/>
      <c r="Q24" s="118"/>
      <c r="R24" s="417"/>
    </row>
    <row r="25" spans="1:19" s="34" customFormat="1">
      <c r="A25" s="35">
        <v>9</v>
      </c>
      <c r="B25" s="35"/>
      <c r="C25" s="34" t="s">
        <v>0</v>
      </c>
      <c r="D25" s="377">
        <v>0</v>
      </c>
      <c r="E25" s="378"/>
      <c r="F25" s="378"/>
      <c r="G25" s="378"/>
      <c r="H25" s="378"/>
      <c r="I25" s="378"/>
      <c r="J25" s="379"/>
      <c r="K25" s="365">
        <v>0</v>
      </c>
      <c r="L25" s="366">
        <v>0</v>
      </c>
      <c r="M25" s="366">
        <v>0</v>
      </c>
      <c r="N25" s="366">
        <v>0</v>
      </c>
      <c r="O25" s="366">
        <v>0</v>
      </c>
      <c r="P25" s="366">
        <v>0</v>
      </c>
      <c r="Q25" s="367">
        <f>SUM(E25:P25)</f>
        <v>0</v>
      </c>
      <c r="R25" s="417"/>
      <c r="S25" s="77"/>
    </row>
    <row r="26" spans="1:19" s="34" customFormat="1">
      <c r="A26" s="35">
        <v>10</v>
      </c>
      <c r="B26" s="35"/>
      <c r="C26" s="13" t="s">
        <v>59</v>
      </c>
      <c r="D26" s="377">
        <v>0</v>
      </c>
      <c r="E26" s="378"/>
      <c r="F26" s="378"/>
      <c r="G26" s="378"/>
      <c r="H26" s="378"/>
      <c r="I26" s="378"/>
      <c r="J26" s="379"/>
      <c r="K26" s="365">
        <v>0</v>
      </c>
      <c r="L26" s="366">
        <v>0</v>
      </c>
      <c r="M26" s="366">
        <v>0</v>
      </c>
      <c r="N26" s="366">
        <v>0</v>
      </c>
      <c r="O26" s="366">
        <v>0</v>
      </c>
      <c r="P26" s="366">
        <v>0</v>
      </c>
      <c r="Q26" s="367">
        <f>SUM(E26:P26)</f>
        <v>0</v>
      </c>
      <c r="R26" s="417"/>
      <c r="S26" s="77"/>
    </row>
    <row r="27" spans="1:19" s="34" customFormat="1">
      <c r="A27" s="35">
        <v>11</v>
      </c>
      <c r="B27" s="35"/>
      <c r="C27" s="34" t="s">
        <v>184</v>
      </c>
      <c r="D27" s="377">
        <v>0</v>
      </c>
      <c r="E27" s="378"/>
      <c r="F27" s="378"/>
      <c r="G27" s="378"/>
      <c r="H27" s="378"/>
      <c r="I27" s="378"/>
      <c r="J27" s="379"/>
      <c r="K27" s="365">
        <f>'Cap&amp;OpEx 2017'!C31</f>
        <v>0</v>
      </c>
      <c r="L27" s="366">
        <f>'Cap&amp;OpEx 2017'!D31</f>
        <v>0</v>
      </c>
      <c r="M27" s="366">
        <f>'Cap&amp;OpEx 2017'!E31</f>
        <v>0</v>
      </c>
      <c r="N27" s="366">
        <f>'Cap&amp;OpEx 2017'!F31</f>
        <v>0</v>
      </c>
      <c r="O27" s="366">
        <f>'Cap&amp;OpEx 2017'!G31</f>
        <v>0</v>
      </c>
      <c r="P27" s="366">
        <f>'Cap&amp;OpEx 2017'!H31</f>
        <v>0</v>
      </c>
      <c r="Q27" s="367">
        <f>SUM(E27:P27)</f>
        <v>0</v>
      </c>
      <c r="R27" s="417"/>
      <c r="S27" s="77"/>
    </row>
    <row r="28" spans="1:19" s="34" customFormat="1">
      <c r="A28" s="35"/>
      <c r="B28" s="35"/>
      <c r="D28" s="141"/>
      <c r="E28" s="142"/>
      <c r="F28" s="142"/>
      <c r="G28" s="142"/>
      <c r="H28" s="142"/>
      <c r="I28" s="142"/>
      <c r="J28" s="143"/>
      <c r="K28" s="119"/>
      <c r="L28" s="44"/>
      <c r="M28" s="44"/>
      <c r="N28" s="44"/>
      <c r="O28" s="44"/>
      <c r="P28" s="44"/>
      <c r="Q28" s="120"/>
      <c r="R28" s="417"/>
    </row>
    <row r="29" spans="1:19" s="34" customFormat="1">
      <c r="A29" s="35">
        <v>12</v>
      </c>
      <c r="B29" s="35"/>
      <c r="C29" s="34" t="s">
        <v>60</v>
      </c>
      <c r="D29" s="377">
        <f t="shared" ref="D29:Q29" si="5">SUM(D25:D28)</f>
        <v>0</v>
      </c>
      <c r="E29" s="378">
        <f t="shared" si="5"/>
        <v>0</v>
      </c>
      <c r="F29" s="378">
        <f t="shared" si="5"/>
        <v>0</v>
      </c>
      <c r="G29" s="378">
        <f t="shared" si="5"/>
        <v>0</v>
      </c>
      <c r="H29" s="378">
        <f t="shared" si="5"/>
        <v>0</v>
      </c>
      <c r="I29" s="378">
        <f t="shared" si="5"/>
        <v>0</v>
      </c>
      <c r="J29" s="379">
        <f t="shared" si="5"/>
        <v>0</v>
      </c>
      <c r="K29" s="365">
        <f t="shared" si="5"/>
        <v>0</v>
      </c>
      <c r="L29" s="366">
        <f t="shared" si="5"/>
        <v>0</v>
      </c>
      <c r="M29" s="366">
        <f t="shared" si="5"/>
        <v>0</v>
      </c>
      <c r="N29" s="366">
        <f t="shared" si="5"/>
        <v>0</v>
      </c>
      <c r="O29" s="366">
        <f t="shared" si="5"/>
        <v>0</v>
      </c>
      <c r="P29" s="366">
        <f t="shared" si="5"/>
        <v>0</v>
      </c>
      <c r="Q29" s="367">
        <f t="shared" si="5"/>
        <v>0</v>
      </c>
      <c r="R29" s="417"/>
    </row>
    <row r="30" spans="1:19" s="34" customFormat="1">
      <c r="A30" s="35"/>
      <c r="B30" s="35"/>
      <c r="D30" s="138"/>
      <c r="E30" s="139"/>
      <c r="F30" s="139"/>
      <c r="G30" s="139"/>
      <c r="H30" s="139"/>
      <c r="I30" s="139"/>
      <c r="J30" s="140"/>
      <c r="K30" s="117"/>
      <c r="L30" s="13"/>
      <c r="M30" s="13"/>
      <c r="N30" s="13"/>
      <c r="O30" s="13"/>
      <c r="P30" s="13"/>
      <c r="Q30" s="118"/>
      <c r="R30" s="417"/>
    </row>
    <row r="31" spans="1:19" s="34" customFormat="1">
      <c r="A31" s="35">
        <v>13</v>
      </c>
      <c r="B31" s="74" t="s">
        <v>170</v>
      </c>
      <c r="D31" s="374">
        <f t="shared" ref="D31:Q31" si="6">D22+D29</f>
        <v>0</v>
      </c>
      <c r="E31" s="375">
        <f t="shared" si="6"/>
        <v>0</v>
      </c>
      <c r="F31" s="375">
        <f t="shared" si="6"/>
        <v>0</v>
      </c>
      <c r="G31" s="375">
        <f t="shared" si="6"/>
        <v>0</v>
      </c>
      <c r="H31" s="375">
        <f t="shared" si="6"/>
        <v>0</v>
      </c>
      <c r="I31" s="375">
        <f t="shared" si="6"/>
        <v>0</v>
      </c>
      <c r="J31" s="376">
        <f t="shared" si="6"/>
        <v>0</v>
      </c>
      <c r="K31" s="371">
        <f t="shared" si="6"/>
        <v>2047.9907853849734</v>
      </c>
      <c r="L31" s="372">
        <f t="shared" si="6"/>
        <v>2649.2643881347103</v>
      </c>
      <c r="M31" s="372">
        <f t="shared" si="6"/>
        <v>5267.6489516370766</v>
      </c>
      <c r="N31" s="372">
        <f t="shared" si="6"/>
        <v>8940.6988271944301</v>
      </c>
      <c r="O31" s="372">
        <f t="shared" si="6"/>
        <v>12301.682358669863</v>
      </c>
      <c r="P31" s="372">
        <f t="shared" si="6"/>
        <v>26164.612520048278</v>
      </c>
      <c r="Q31" s="373">
        <f t="shared" si="6"/>
        <v>49175.912426630865</v>
      </c>
      <c r="R31" s="417"/>
    </row>
    <row r="32" spans="1:19" s="34" customFormat="1">
      <c r="A32" s="35"/>
      <c r="B32" s="35"/>
      <c r="D32" s="77"/>
      <c r="P32" s="77"/>
      <c r="R32" s="417"/>
    </row>
    <row r="33" spans="1:18" s="417" customFormat="1" ht="12.75"/>
    <row r="34" spans="1:18" s="34" customFormat="1">
      <c r="D34" s="36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36"/>
      <c r="Q34" s="36"/>
      <c r="R34" s="417"/>
    </row>
    <row r="35" spans="1:18" s="34" customFormat="1">
      <c r="A35" s="76"/>
      <c r="B35" s="33"/>
      <c r="Q35" s="77"/>
      <c r="R35" s="417"/>
    </row>
    <row r="36" spans="1:18" s="417" customFormat="1" ht="12.75"/>
    <row r="37" spans="1:18" s="417" customFormat="1" ht="12.75"/>
    <row r="38" spans="1:18" s="417" customFormat="1" ht="12.75"/>
    <row r="39" spans="1:18" s="417" customFormat="1" ht="12.75"/>
    <row r="40" spans="1:18" s="417" customFormat="1" ht="12.75"/>
    <row r="41" spans="1:18" s="417" customFormat="1" ht="12.75"/>
    <row r="42" spans="1:18" s="417" customFormat="1" ht="12.75"/>
    <row r="43" spans="1:18" s="417" customFormat="1" ht="12.75"/>
    <row r="44" spans="1:18" s="417" customFormat="1" ht="12.75"/>
    <row r="45" spans="1:18" s="417" customFormat="1" ht="12.75"/>
    <row r="46" spans="1:18" s="417" customFormat="1" ht="12.75"/>
    <row r="47" spans="1:18" s="417" customFormat="1" ht="12.75"/>
    <row r="48" spans="1:18" s="417" customFormat="1" ht="12.75"/>
    <row r="49" s="417" customFormat="1" ht="12.75"/>
    <row r="50" s="417" customFormat="1" ht="12.75"/>
    <row r="51" s="417" customFormat="1" ht="12.75"/>
    <row r="52" s="417" customFormat="1" ht="12.75"/>
    <row r="53" s="417" customFormat="1" ht="12.75"/>
    <row r="54" s="417" customFormat="1" ht="12.75"/>
    <row r="55" s="417" customFormat="1" ht="12.75"/>
    <row r="56" s="417" customFormat="1" ht="12.75"/>
    <row r="57" s="417" customFormat="1" ht="12.75"/>
    <row r="58" s="417" customFormat="1" ht="12.75"/>
    <row r="59" s="417" customFormat="1" ht="12.75"/>
    <row r="60" s="417" customFormat="1" ht="12.75"/>
    <row r="61" s="417" customFormat="1" ht="12.75"/>
    <row r="62" s="417" customFormat="1" ht="12.75"/>
    <row r="63" s="417" customFormat="1" ht="12.75"/>
    <row r="64" s="417" customFormat="1" ht="12.75"/>
    <row r="65" s="417" customFormat="1" ht="12.75"/>
    <row r="66" s="417" customFormat="1" ht="12.75"/>
    <row r="67" s="417" customFormat="1" ht="12.75"/>
    <row r="68" s="417" customFormat="1" ht="12.75"/>
    <row r="69" s="417" customFormat="1" ht="12.75"/>
    <row r="70" s="417" customFormat="1" ht="12.75"/>
    <row r="71" s="417" customFormat="1" ht="12.75"/>
    <row r="72" s="417" customFormat="1" ht="12.75"/>
    <row r="73" s="417" customFormat="1" ht="12.75"/>
    <row r="74" s="417" customFormat="1" ht="12.75"/>
    <row r="75" s="417" customFormat="1" ht="12.75"/>
    <row r="76" s="417" customFormat="1" ht="12.75"/>
    <row r="77" s="417" customFormat="1" ht="12.75"/>
    <row r="78" s="417" customFormat="1" ht="12.75"/>
    <row r="79" s="417" customFormat="1" ht="12.75"/>
    <row r="80" s="417" customFormat="1" ht="12.75"/>
    <row r="81" s="417" customFormat="1" ht="12.75"/>
    <row r="82" s="417" customFormat="1" ht="12.75"/>
    <row r="83" s="417" customFormat="1" ht="12.75"/>
    <row r="84" s="417" customFormat="1" ht="12.75"/>
    <row r="85" s="417" customFormat="1" ht="12.75"/>
    <row r="86" s="417" customFormat="1" ht="12.75"/>
    <row r="87" s="417" customFormat="1" ht="12.75"/>
    <row r="88" s="417" customFormat="1" ht="12.75"/>
    <row r="89" s="417" customFormat="1" ht="12.75"/>
    <row r="90" s="417" customFormat="1" ht="12.75"/>
    <row r="91" s="417" customFormat="1" ht="12.75"/>
    <row r="92" s="417" customFormat="1" ht="12.75"/>
    <row r="93" s="417" customFormat="1" ht="12.75"/>
    <row r="94" s="417" customFormat="1" ht="12.75"/>
    <row r="95" s="417" customFormat="1" ht="12.75"/>
    <row r="96" s="417" customFormat="1" ht="12.75"/>
    <row r="97" s="417" customFormat="1" ht="12.75"/>
    <row r="98" s="417" customFormat="1" ht="12.75"/>
    <row r="99" s="417" customFormat="1" ht="12.75"/>
    <row r="100" s="417" customFormat="1" ht="12.75"/>
    <row r="101" s="417" customFormat="1" ht="12.75"/>
    <row r="102" s="417" customFormat="1" ht="12.75"/>
    <row r="103" s="417" customFormat="1" ht="12.75"/>
    <row r="104" s="417" customFormat="1" ht="12.75"/>
    <row r="105" s="417" customFormat="1" ht="12.75"/>
    <row r="106" s="417" customFormat="1" ht="12.75"/>
    <row r="107" s="417" customFormat="1" ht="12.75"/>
    <row r="108" s="417" customFormat="1" ht="12.75"/>
    <row r="109" s="417" customFormat="1" ht="12.75"/>
    <row r="110" s="417" customFormat="1" ht="12.75"/>
    <row r="111" s="417" customFormat="1" ht="12.75"/>
    <row r="112" s="417" customFormat="1" ht="12.75"/>
    <row r="113" s="417" customFormat="1" ht="12.75"/>
    <row r="114" s="417" customFormat="1" ht="12.75"/>
    <row r="115" s="417" customFormat="1" ht="12.75"/>
    <row r="116" s="417" customFormat="1" ht="12.75"/>
    <row r="117" s="417" customFormat="1" ht="12.75"/>
    <row r="118" s="417" customFormat="1" ht="12.75"/>
    <row r="1048576" spans="19:19">
      <c r="S1048576" s="77">
        <f>SUM(D1048576:P1048576)</f>
        <v>0</v>
      </c>
    </row>
  </sheetData>
  <mergeCells count="3">
    <mergeCell ref="AC5:AJ5"/>
    <mergeCell ref="K5:Q5"/>
    <mergeCell ref="D5:J5"/>
  </mergeCells>
  <pageMargins left="0.7" right="0.7" top="0.75" bottom="0.75" header="0.3" footer="0.3"/>
  <pageSetup scale="33" orientation="landscape" r:id="rId1"/>
  <headerFooter scaleWithDoc="0">
    <oddFooter>&amp;R&amp;"Arial,Bold"Exhibit CMG-5
Page 3 of 12</oddFooter>
  </headerFooter>
  <rowBreaks count="1" manualBreakCount="1">
    <brk id="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RowHeight="15.75"/>
  <cols>
    <col min="1" max="1" width="9.140625" style="363"/>
    <col min="2" max="2" width="35" style="27" bestFit="1" customWidth="1"/>
    <col min="3" max="3" width="15.7109375" style="27" customWidth="1"/>
    <col min="4" max="4" width="18" style="27" bestFit="1" customWidth="1"/>
    <col min="5" max="5" width="18.42578125" style="27" bestFit="1" customWidth="1"/>
    <col min="6" max="6" width="17.140625" style="27" customWidth="1"/>
    <col min="7" max="8" width="16.85546875" style="27" bestFit="1" customWidth="1"/>
    <col min="9" max="9" width="17" style="27" bestFit="1" customWidth="1"/>
    <col min="10" max="10" width="12.28515625" style="363" bestFit="1" customWidth="1"/>
    <col min="11" max="11" width="16.140625" style="363" bestFit="1" customWidth="1"/>
    <col min="12" max="24" width="14.7109375" style="363" customWidth="1"/>
    <col min="25" max="25" width="9.140625" style="363"/>
    <col min="26" max="26" width="10.5703125" style="363" bestFit="1" customWidth="1"/>
    <col min="27" max="16384" width="9.140625" style="363"/>
  </cols>
  <sheetData>
    <row r="1" spans="1:24" ht="18.75">
      <c r="B1" s="449" t="s">
        <v>67</v>
      </c>
      <c r="C1" s="449"/>
      <c r="D1" s="449"/>
      <c r="E1" s="449"/>
      <c r="F1" s="449"/>
      <c r="G1" s="449"/>
      <c r="H1" s="449"/>
      <c r="I1" s="449"/>
      <c r="K1" s="38"/>
      <c r="L1" s="38"/>
      <c r="M1" s="38"/>
      <c r="N1" s="38"/>
      <c r="O1" s="38"/>
      <c r="P1" s="38"/>
      <c r="Q1" s="38"/>
      <c r="R1" s="423"/>
      <c r="S1" s="423"/>
      <c r="T1" s="423"/>
      <c r="U1" s="423"/>
      <c r="V1" s="423"/>
      <c r="W1" s="423"/>
      <c r="X1" s="423"/>
    </row>
    <row r="2" spans="1:24" ht="18.75">
      <c r="A2" s="449" t="s">
        <v>273</v>
      </c>
      <c r="B2" s="449"/>
      <c r="C2" s="449"/>
      <c r="D2" s="449"/>
      <c r="E2" s="449"/>
      <c r="F2" s="449"/>
      <c r="G2" s="449"/>
      <c r="H2" s="449"/>
      <c r="I2" s="449"/>
      <c r="J2" s="38"/>
      <c r="K2" s="38"/>
      <c r="L2" s="38"/>
      <c r="M2" s="38"/>
      <c r="N2" s="38"/>
      <c r="O2" s="38"/>
      <c r="P2" s="38"/>
      <c r="Q2" s="38"/>
      <c r="R2" s="423"/>
      <c r="S2" s="423"/>
      <c r="T2" s="423"/>
      <c r="U2" s="423"/>
      <c r="V2" s="423"/>
      <c r="W2" s="423"/>
      <c r="X2" s="423"/>
    </row>
    <row r="3" spans="1:24" ht="18.75">
      <c r="B3" s="449" t="s">
        <v>166</v>
      </c>
      <c r="C3" s="449"/>
      <c r="D3" s="449"/>
      <c r="E3" s="449"/>
      <c r="F3" s="449"/>
      <c r="G3" s="449"/>
      <c r="H3" s="449"/>
      <c r="I3" s="449"/>
      <c r="K3" s="38"/>
      <c r="L3" s="38"/>
      <c r="M3" s="38"/>
      <c r="N3" s="38"/>
      <c r="O3" s="38"/>
      <c r="P3" s="38"/>
      <c r="Q3" s="38"/>
      <c r="R3" s="423"/>
      <c r="S3" s="423"/>
      <c r="T3" s="423"/>
      <c r="U3" s="423"/>
      <c r="V3" s="423"/>
      <c r="W3" s="423"/>
      <c r="X3" s="423"/>
    </row>
    <row r="4" spans="1:24">
      <c r="K4" s="423"/>
      <c r="L4" s="423"/>
      <c r="M4" s="423"/>
      <c r="N4" s="423"/>
      <c r="O4" s="423"/>
      <c r="P4" s="423"/>
      <c r="R4" s="423"/>
      <c r="S4" s="423"/>
      <c r="T4" s="423"/>
      <c r="U4" s="423"/>
      <c r="V4" s="423"/>
      <c r="W4" s="423"/>
      <c r="X4" s="423"/>
    </row>
    <row r="5" spans="1:24">
      <c r="K5" s="423"/>
      <c r="L5" s="423"/>
      <c r="M5" s="423"/>
      <c r="N5" s="423"/>
      <c r="O5" s="423"/>
      <c r="P5" s="423"/>
      <c r="R5" s="423"/>
      <c r="S5" s="423"/>
      <c r="T5" s="423"/>
      <c r="U5" s="423"/>
      <c r="V5" s="423"/>
      <c r="W5" s="423"/>
      <c r="X5" s="423"/>
    </row>
    <row r="6" spans="1:24" s="32" customFormat="1">
      <c r="A6" s="41" t="s">
        <v>4</v>
      </c>
      <c r="B6" s="40"/>
      <c r="C6" s="40"/>
      <c r="D6" s="40"/>
      <c r="E6" s="40"/>
      <c r="F6" s="40"/>
      <c r="G6" s="40"/>
      <c r="H6" s="40"/>
      <c r="I6" s="41" t="s">
        <v>69</v>
      </c>
      <c r="K6" s="363"/>
      <c r="L6" s="363"/>
      <c r="M6" s="363"/>
      <c r="N6" s="363"/>
      <c r="O6" s="363"/>
      <c r="P6" s="363"/>
      <c r="Q6" s="363"/>
    </row>
    <row r="7" spans="1:24" ht="16.5" thickBot="1">
      <c r="A7" s="42" t="s">
        <v>5</v>
      </c>
      <c r="B7" s="42" t="s">
        <v>6</v>
      </c>
      <c r="C7" s="42" t="s">
        <v>89</v>
      </c>
      <c r="D7" s="42" t="s">
        <v>90</v>
      </c>
      <c r="E7" s="42" t="s">
        <v>91</v>
      </c>
      <c r="F7" s="42" t="s">
        <v>92</v>
      </c>
      <c r="G7" s="42" t="s">
        <v>93</v>
      </c>
      <c r="H7" s="42" t="s">
        <v>94</v>
      </c>
      <c r="I7" s="42" t="s">
        <v>258</v>
      </c>
    </row>
    <row r="8" spans="1:24">
      <c r="A8" s="62" t="s">
        <v>215</v>
      </c>
      <c r="B8" s="62" t="s">
        <v>216</v>
      </c>
      <c r="C8" s="62" t="s">
        <v>217</v>
      </c>
      <c r="D8" s="62" t="s">
        <v>218</v>
      </c>
      <c r="E8" s="62" t="s">
        <v>219</v>
      </c>
      <c r="F8" s="62" t="s">
        <v>220</v>
      </c>
      <c r="G8" s="62" t="s">
        <v>221</v>
      </c>
      <c r="H8" s="62" t="s">
        <v>222</v>
      </c>
      <c r="I8" s="62" t="s">
        <v>223</v>
      </c>
    </row>
    <row r="9" spans="1:24">
      <c r="B9" s="43"/>
      <c r="C9" s="43"/>
      <c r="D9" s="43"/>
      <c r="E9" s="43"/>
      <c r="F9" s="43"/>
      <c r="G9" s="43"/>
      <c r="H9" s="43"/>
      <c r="I9" s="43"/>
    </row>
    <row r="10" spans="1:24">
      <c r="A10" s="422">
        <v>1</v>
      </c>
      <c r="B10" s="27" t="s">
        <v>268</v>
      </c>
      <c r="C10" s="428">
        <f>SUM('Capital Budget 2017'!K3:K7)</f>
        <v>914714.83000000007</v>
      </c>
      <c r="D10" s="428">
        <f>SUM('Capital Budget 2017'!L3:L7)</f>
        <v>593930.80999999994</v>
      </c>
      <c r="E10" s="428">
        <f>SUM('Capital Budget 2017'!M3:M7)</f>
        <v>1244436.9200000002</v>
      </c>
      <c r="F10" s="428">
        <f>SUM('Capital Budget 2017'!N3:N7)</f>
        <v>1431438.0699999998</v>
      </c>
      <c r="G10" s="428">
        <f>SUM('Capital Budget 2017'!O3:O7)</f>
        <v>701917.45000000019</v>
      </c>
      <c r="H10" s="428">
        <f>SUM('Capital Budget 2017'!P3:P7)</f>
        <v>267001.29999999993</v>
      </c>
      <c r="I10" s="428">
        <f>SUM(C10:H10)</f>
        <v>5153439.38</v>
      </c>
      <c r="J10" s="425"/>
    </row>
    <row r="11" spans="1:24">
      <c r="A11" s="422">
        <f>A10+1</f>
        <v>2</v>
      </c>
      <c r="B11" s="27" t="s">
        <v>269</v>
      </c>
      <c r="C11" s="428">
        <f>SUM('Capital Budget 2017'!E23:J23,'Capital Budget 2017'!K23)</f>
        <v>239723.06</v>
      </c>
      <c r="D11" s="428">
        <f>SUM('Capital Budget 2017'!L23)</f>
        <v>70380.760000000009</v>
      </c>
      <c r="E11" s="428">
        <f>SUM('Capital Budget 2017'!M23)</f>
        <v>306489.25000000006</v>
      </c>
      <c r="F11" s="428">
        <f>SUM('Capital Budget 2017'!N23)</f>
        <v>429940.78</v>
      </c>
      <c r="G11" s="428">
        <f>SUM('Capital Budget 2017'!O23)</f>
        <v>393412.5399999998</v>
      </c>
      <c r="H11" s="428">
        <f>SUM('Capital Budget 2017'!P23)</f>
        <v>1622694.82</v>
      </c>
      <c r="I11" s="428">
        <f>SUM(C11:H11)</f>
        <v>3062641.21</v>
      </c>
      <c r="J11" s="425"/>
    </row>
    <row r="12" spans="1:24">
      <c r="A12" s="422">
        <f>A11+1</f>
        <v>3</v>
      </c>
      <c r="B12" s="27" t="s">
        <v>80</v>
      </c>
      <c r="C12" s="428">
        <f>SUM('Capital Budget 2017'!K14,'Capital Budget 2017'!K16:K19)</f>
        <v>213529.98999999996</v>
      </c>
      <c r="D12" s="428">
        <f>SUM('Capital Budget 2017'!L14,'Capital Budget 2017'!L16:L19)</f>
        <v>590202.24000000011</v>
      </c>
      <c r="E12" s="428">
        <f>SUM('Capital Budget 2017'!M14,'Capital Budget 2017'!M16:M19)</f>
        <v>177970.46999999994</v>
      </c>
      <c r="F12" s="428">
        <f>SUM('Capital Budget 2017'!N14,'Capital Budget 2017'!N16:N19)</f>
        <v>206751.37</v>
      </c>
      <c r="G12" s="428">
        <f>SUM('Capital Budget 2017'!O14,'Capital Budget 2017'!O16:O19)</f>
        <v>135116.30000000005</v>
      </c>
      <c r="H12" s="428">
        <f>SUM('Capital Budget 2017'!P14,'Capital Budget 2017'!P16:P19)</f>
        <v>293579.44999999995</v>
      </c>
      <c r="I12" s="428">
        <f>SUM(C12:H12)</f>
        <v>1617149.82</v>
      </c>
      <c r="J12" s="425"/>
    </row>
    <row r="13" spans="1:24">
      <c r="A13" s="422">
        <f>A12+1</f>
        <v>4</v>
      </c>
      <c r="B13" s="27" t="s">
        <v>81</v>
      </c>
      <c r="C13" s="428">
        <f>'Capital Budget 2017'!K15</f>
        <v>1397473.08</v>
      </c>
      <c r="D13" s="428">
        <f>'Capital Budget 2017'!L15</f>
        <v>1524779.69</v>
      </c>
      <c r="E13" s="428">
        <f>'Capital Budget 2017'!M15</f>
        <v>1152787.42</v>
      </c>
      <c r="F13" s="428">
        <f>'Capital Budget 2017'!N15</f>
        <v>1487575.2799999998</v>
      </c>
      <c r="G13" s="428">
        <f>'Capital Budget 2017'!O15</f>
        <v>1174067.3700000001</v>
      </c>
      <c r="H13" s="428">
        <f>'Capital Budget 2017'!P15</f>
        <v>367164.8900000006</v>
      </c>
      <c r="I13" s="428">
        <f>SUM(C13:H13)</f>
        <v>7103847.7300000004</v>
      </c>
      <c r="J13" s="425"/>
    </row>
    <row r="14" spans="1:24">
      <c r="A14" s="422">
        <f>A13+1</f>
        <v>5</v>
      </c>
      <c r="B14" s="27" t="s">
        <v>167</v>
      </c>
      <c r="C14" s="426">
        <f>SUM('Capital Budget 2017'!K8:K13)</f>
        <v>511712.06000000006</v>
      </c>
      <c r="D14" s="426">
        <f>SUM('Capital Budget 2017'!L8:L13)</f>
        <v>556624.30000000005</v>
      </c>
      <c r="E14" s="426">
        <f>SUM('Capital Budget 2017'!M8:M13)</f>
        <v>581759.54999999993</v>
      </c>
      <c r="F14" s="426">
        <f>SUM('Capital Budget 2017'!N8:N13)</f>
        <v>774089.49000000011</v>
      </c>
      <c r="G14" s="426">
        <f>SUM('Capital Budget 2017'!O8:O13)</f>
        <v>639392.29999999981</v>
      </c>
      <c r="H14" s="426">
        <f>SUM('Capital Budget 2017'!P8:P13)</f>
        <v>743965.23999999987</v>
      </c>
      <c r="I14" s="426">
        <f>SUM(C14:H14)</f>
        <v>3807542.94</v>
      </c>
      <c r="J14" s="427"/>
    </row>
    <row r="15" spans="1:24">
      <c r="A15" s="422">
        <f>A14+1</f>
        <v>6</v>
      </c>
      <c r="B15" s="27" t="s">
        <v>82</v>
      </c>
      <c r="C15" s="428">
        <f t="shared" ref="C15:I15" si="0">SUM(C10:C14)</f>
        <v>3277153.02</v>
      </c>
      <c r="D15" s="428">
        <f t="shared" si="0"/>
        <v>3335917.8</v>
      </c>
      <c r="E15" s="428">
        <f t="shared" si="0"/>
        <v>3463443.61</v>
      </c>
      <c r="F15" s="428">
        <f t="shared" si="0"/>
        <v>4329794.9899999993</v>
      </c>
      <c r="G15" s="428">
        <f t="shared" si="0"/>
        <v>3043905.96</v>
      </c>
      <c r="H15" s="428">
        <f t="shared" si="0"/>
        <v>3294405.7000000007</v>
      </c>
      <c r="I15" s="428">
        <f t="shared" si="0"/>
        <v>20744621.080000002</v>
      </c>
      <c r="J15" s="425"/>
    </row>
    <row r="16" spans="1:24">
      <c r="C16" s="428"/>
      <c r="D16" s="428"/>
      <c r="E16" s="428"/>
      <c r="F16" s="428"/>
      <c r="G16" s="428"/>
      <c r="H16" s="428"/>
      <c r="I16" s="428"/>
      <c r="J16" s="425"/>
    </row>
    <row r="17" spans="1:10">
      <c r="A17" s="422">
        <f>A15+1</f>
        <v>7</v>
      </c>
      <c r="B17" s="27" t="s">
        <v>270</v>
      </c>
      <c r="C17" s="428">
        <v>0</v>
      </c>
      <c r="D17" s="428">
        <v>0</v>
      </c>
      <c r="E17" s="428">
        <v>0</v>
      </c>
      <c r="F17" s="428">
        <v>0</v>
      </c>
      <c r="G17" s="428">
        <v>0</v>
      </c>
      <c r="H17" s="428">
        <v>0</v>
      </c>
      <c r="I17" s="428">
        <f>SUM(C17:H17)</f>
        <v>0</v>
      </c>
      <c r="J17" s="425"/>
    </row>
    <row r="18" spans="1:10">
      <c r="A18" s="422">
        <f>A17+1</f>
        <v>8</v>
      </c>
      <c r="B18" s="27" t="s">
        <v>72</v>
      </c>
      <c r="C18" s="424">
        <v>0</v>
      </c>
      <c r="D18" s="424">
        <v>0</v>
      </c>
      <c r="E18" s="424">
        <v>0</v>
      </c>
      <c r="F18" s="424">
        <v>0</v>
      </c>
      <c r="G18" s="424">
        <v>0</v>
      </c>
      <c r="H18" s="424">
        <v>0</v>
      </c>
      <c r="I18" s="424">
        <f>SUM(C18:H18)</f>
        <v>0</v>
      </c>
      <c r="J18" s="425"/>
    </row>
    <row r="19" spans="1:10">
      <c r="A19" s="422">
        <f>A18+1</f>
        <v>9</v>
      </c>
      <c r="B19" s="27" t="s">
        <v>73</v>
      </c>
      <c r="C19" s="426">
        <v>0</v>
      </c>
      <c r="D19" s="426">
        <v>0</v>
      </c>
      <c r="E19" s="426">
        <v>0</v>
      </c>
      <c r="F19" s="426">
        <v>0</v>
      </c>
      <c r="G19" s="426">
        <v>0</v>
      </c>
      <c r="H19" s="426">
        <v>0</v>
      </c>
      <c r="I19" s="426">
        <f>SUM(C19:H19)</f>
        <v>0</v>
      </c>
      <c r="J19" s="425"/>
    </row>
    <row r="20" spans="1:10">
      <c r="A20" s="422">
        <f>A19+1</f>
        <v>10</v>
      </c>
      <c r="B20" s="27" t="s">
        <v>186</v>
      </c>
      <c r="C20" s="424">
        <f t="shared" ref="C20:I20" si="1">SUM(C17:C19)</f>
        <v>0</v>
      </c>
      <c r="D20" s="424">
        <f t="shared" si="1"/>
        <v>0</v>
      </c>
      <c r="E20" s="424">
        <f t="shared" si="1"/>
        <v>0</v>
      </c>
      <c r="F20" s="424">
        <f t="shared" si="1"/>
        <v>0</v>
      </c>
      <c r="G20" s="424">
        <f t="shared" si="1"/>
        <v>0</v>
      </c>
      <c r="H20" s="424">
        <f t="shared" si="1"/>
        <v>0</v>
      </c>
      <c r="I20" s="424">
        <f t="shared" si="1"/>
        <v>0</v>
      </c>
      <c r="J20" s="425"/>
    </row>
    <row r="21" spans="1:10">
      <c r="A21" s="422"/>
      <c r="C21" s="424"/>
      <c r="D21" s="424"/>
      <c r="E21" s="424"/>
      <c r="F21" s="424"/>
      <c r="G21" s="424"/>
      <c r="H21" s="424"/>
      <c r="I21" s="424"/>
      <c r="J21" s="425"/>
    </row>
    <row r="22" spans="1:10">
      <c r="A22" s="422">
        <f>A20+1</f>
        <v>11</v>
      </c>
      <c r="B22" s="27" t="s">
        <v>185</v>
      </c>
      <c r="C22" s="428">
        <v>0</v>
      </c>
      <c r="D22" s="428">
        <v>0</v>
      </c>
      <c r="E22" s="428">
        <v>0</v>
      </c>
      <c r="F22" s="428">
        <v>0</v>
      </c>
      <c r="G22" s="428">
        <f>-G32</f>
        <v>0</v>
      </c>
      <c r="H22" s="428">
        <v>0</v>
      </c>
      <c r="I22" s="428">
        <f>SUM(C22:H22)</f>
        <v>0</v>
      </c>
      <c r="J22" s="425"/>
    </row>
    <row r="23" spans="1:10">
      <c r="A23" s="422"/>
      <c r="C23" s="428"/>
      <c r="D23" s="428"/>
      <c r="E23" s="428"/>
      <c r="F23" s="428"/>
      <c r="G23" s="428"/>
      <c r="H23" s="428"/>
      <c r="I23" s="428"/>
      <c r="J23" s="425"/>
    </row>
    <row r="24" spans="1:10" ht="16.5" customHeight="1">
      <c r="A24" s="422">
        <f>A22+1</f>
        <v>12</v>
      </c>
      <c r="B24" s="27" t="s">
        <v>271</v>
      </c>
      <c r="C24" s="428">
        <f>SUM('Capital Budget 2017'!K26:K28,'Capital Budget 2017'!K31)</f>
        <v>194633.55000000002</v>
      </c>
      <c r="D24" s="428">
        <f>SUM('Capital Budget 2017'!L26:L28,'Capital Budget 2017'!L31)</f>
        <v>104604.53</v>
      </c>
      <c r="E24" s="428">
        <f>SUM('Capital Budget 2017'!M26:M28,'Capital Budget 2017'!M31)</f>
        <v>123629.18</v>
      </c>
      <c r="F24" s="428">
        <f>SUM('Capital Budget 2017'!N26:N28,'Capital Budget 2017'!N31)</f>
        <v>369707.5</v>
      </c>
      <c r="G24" s="428">
        <f>SUM('Capital Budget 2017'!O26:O28,'Capital Budget 2017'!O31)</f>
        <v>250260.92000000004</v>
      </c>
      <c r="H24" s="428">
        <f>SUM('Capital Budget 2017'!P26:P28,'Capital Budget 2017'!P31)</f>
        <v>413785.01999999996</v>
      </c>
      <c r="I24" s="428">
        <f>SUM(C24:H24)</f>
        <v>1456620.7</v>
      </c>
      <c r="J24" s="425"/>
    </row>
    <row r="25" spans="1:10">
      <c r="A25" s="422">
        <f>A24+1</f>
        <v>13</v>
      </c>
      <c r="B25" s="27" t="s">
        <v>83</v>
      </c>
      <c r="C25" s="428">
        <f>SUM('Capital Budget 2017'!K29:K30)</f>
        <v>26417.16</v>
      </c>
      <c r="D25" s="428">
        <f>SUM('Capital Budget 2017'!L29:L30)</f>
        <v>28945.41</v>
      </c>
      <c r="E25" s="428">
        <f>SUM('Capital Budget 2017'!M29:M30)</f>
        <v>24037.84</v>
      </c>
      <c r="F25" s="428">
        <f>SUM('Capital Budget 2017'!N29:N30)</f>
        <v>31446.28</v>
      </c>
      <c r="G25" s="428">
        <f>SUM('Capital Budget 2017'!O29:O30)</f>
        <v>38800.33</v>
      </c>
      <c r="H25" s="428">
        <f>SUM('Capital Budget 2017'!P29:P30)</f>
        <v>37449.410000000003</v>
      </c>
      <c r="I25" s="428">
        <f>SUM(C25:H25)</f>
        <v>187096.43000000002</v>
      </c>
      <c r="J25" s="425"/>
    </row>
    <row r="26" spans="1:10">
      <c r="A26" s="422">
        <f>A25+1</f>
        <v>14</v>
      </c>
      <c r="B26" s="27" t="s">
        <v>84</v>
      </c>
      <c r="C26" s="426">
        <v>0</v>
      </c>
      <c r="D26" s="426">
        <v>0</v>
      </c>
      <c r="E26" s="426">
        <v>0</v>
      </c>
      <c r="F26" s="426">
        <v>0</v>
      </c>
      <c r="G26" s="426">
        <v>0</v>
      </c>
      <c r="H26" s="426">
        <v>0</v>
      </c>
      <c r="I26" s="426">
        <f>SUM(C26:H26)</f>
        <v>0</v>
      </c>
      <c r="J26" s="427"/>
    </row>
    <row r="27" spans="1:10">
      <c r="A27" s="422">
        <f>A26+1</f>
        <v>15</v>
      </c>
      <c r="B27" s="27" t="s">
        <v>85</v>
      </c>
      <c r="C27" s="428">
        <f t="shared" ref="C27:I27" si="2">SUM(C24:C26)</f>
        <v>221050.71000000002</v>
      </c>
      <c r="D27" s="428">
        <f t="shared" si="2"/>
        <v>133549.94</v>
      </c>
      <c r="E27" s="428">
        <f t="shared" si="2"/>
        <v>147667.01999999999</v>
      </c>
      <c r="F27" s="428">
        <f t="shared" si="2"/>
        <v>401153.78</v>
      </c>
      <c r="G27" s="428">
        <f t="shared" si="2"/>
        <v>289061.25000000006</v>
      </c>
      <c r="H27" s="428">
        <f t="shared" si="2"/>
        <v>451234.42999999993</v>
      </c>
      <c r="I27" s="428">
        <f t="shared" si="2"/>
        <v>1643717.13</v>
      </c>
      <c r="J27" s="425"/>
    </row>
    <row r="28" spans="1:10">
      <c r="A28" s="422"/>
      <c r="C28" s="428"/>
      <c r="D28" s="428"/>
      <c r="E28" s="428"/>
      <c r="F28" s="428"/>
      <c r="G28" s="428"/>
      <c r="H28" s="428"/>
      <c r="I28" s="428"/>
      <c r="J28" s="425"/>
    </row>
    <row r="29" spans="1:10">
      <c r="A29" s="422">
        <f>A27+1</f>
        <v>16</v>
      </c>
      <c r="B29" s="27" t="s">
        <v>59</v>
      </c>
      <c r="C29" s="428">
        <f>'COS Budget 2017'!N33-'COS Budget 2017'!N32</f>
        <v>102067.34000000001</v>
      </c>
      <c r="D29" s="428">
        <f>'COS Budget 2017'!O33-'COS Budget 2017'!O32</f>
        <v>136533.25999999992</v>
      </c>
      <c r="E29" s="428">
        <f>'COS Budget 2017'!P33-'COS Budget 2017'!P32</f>
        <v>129354</v>
      </c>
      <c r="F29" s="428">
        <f>'COS Budget 2017'!Q33-'COS Budget 2017'!Q32</f>
        <v>148435.16999999998</v>
      </c>
      <c r="G29" s="428">
        <f>'COS Budget 2017'!R33-'COS Budget 2017'!R32</f>
        <v>116794.94999999998</v>
      </c>
      <c r="H29" s="428">
        <f>'COS Budget 2017'!S33-'COS Budget 2017'!S32</f>
        <v>115895.67000000001</v>
      </c>
      <c r="I29" s="428">
        <f>SUM(C29:H29)</f>
        <v>749080.3899999999</v>
      </c>
      <c r="J29" s="425"/>
    </row>
    <row r="30" spans="1:10">
      <c r="A30" s="422">
        <f>A29+1</f>
        <v>17</v>
      </c>
      <c r="B30" s="27" t="s">
        <v>487</v>
      </c>
      <c r="C30" s="428">
        <v>0</v>
      </c>
      <c r="D30" s="428">
        <v>0</v>
      </c>
      <c r="E30" s="428">
        <v>0</v>
      </c>
      <c r="F30" s="428">
        <v>0</v>
      </c>
      <c r="G30" s="428">
        <v>0</v>
      </c>
      <c r="H30" s="428">
        <v>0</v>
      </c>
      <c r="I30" s="428">
        <f>SUM(C30:H30)</f>
        <v>0</v>
      </c>
      <c r="J30" s="425"/>
    </row>
    <row r="31" spans="1:10">
      <c r="A31" s="422">
        <f>A30+1</f>
        <v>18</v>
      </c>
      <c r="B31" s="27" t="s">
        <v>488</v>
      </c>
      <c r="C31" s="428">
        <v>0</v>
      </c>
      <c r="D31" s="428">
        <v>0</v>
      </c>
      <c r="E31" s="428">
        <v>0</v>
      </c>
      <c r="F31" s="428">
        <v>0</v>
      </c>
      <c r="G31" s="428">
        <v>0</v>
      </c>
      <c r="H31" s="428">
        <v>0</v>
      </c>
      <c r="I31" s="428">
        <f>SUM(C31:H31)</f>
        <v>0</v>
      </c>
    </row>
    <row r="32" spans="1:10">
      <c r="F32" s="60"/>
      <c r="G32" s="428"/>
    </row>
    <row r="34" spans="2:8">
      <c r="G34" s="363"/>
      <c r="H34" s="363"/>
    </row>
    <row r="35" spans="2:8">
      <c r="B35" s="363"/>
      <c r="C35" s="363"/>
      <c r="D35" s="363"/>
      <c r="E35" s="363"/>
      <c r="F35" s="363"/>
      <c r="G35" s="363"/>
      <c r="H35" s="363"/>
    </row>
    <row r="36" spans="2:8">
      <c r="B36" s="363"/>
      <c r="C36" s="363"/>
      <c r="D36" s="363"/>
      <c r="E36" s="363"/>
      <c r="F36" s="363"/>
      <c r="G36" s="363"/>
      <c r="H36" s="363"/>
    </row>
    <row r="37" spans="2:8">
      <c r="B37" s="363"/>
      <c r="C37" s="363"/>
      <c r="D37" s="363"/>
      <c r="E37" s="363"/>
      <c r="F37" s="363"/>
      <c r="G37" s="363"/>
      <c r="H37" s="363"/>
    </row>
    <row r="38" spans="2:8">
      <c r="B38" s="363"/>
      <c r="C38" s="363"/>
      <c r="D38" s="363"/>
      <c r="E38" s="363"/>
      <c r="F38" s="363"/>
      <c r="G38" s="363"/>
      <c r="H38" s="363"/>
    </row>
    <row r="39" spans="2:8">
      <c r="B39" s="363"/>
      <c r="C39" s="363"/>
      <c r="D39" s="363"/>
      <c r="E39" s="363"/>
      <c r="F39" s="363"/>
      <c r="G39" s="363"/>
      <c r="H39" s="363"/>
    </row>
    <row r="40" spans="2:8">
      <c r="B40" s="363"/>
      <c r="C40" s="363"/>
      <c r="D40" s="363"/>
      <c r="E40" s="363"/>
      <c r="F40" s="363"/>
      <c r="G40" s="363"/>
      <c r="H40" s="363"/>
    </row>
    <row r="41" spans="2:8">
      <c r="B41" s="363"/>
      <c r="C41" s="363"/>
      <c r="D41" s="363"/>
      <c r="E41" s="363"/>
      <c r="F41" s="363"/>
      <c r="G41" s="363"/>
      <c r="H41" s="363"/>
    </row>
    <row r="42" spans="2:8">
      <c r="B42" s="363"/>
      <c r="C42" s="363"/>
      <c r="D42" s="363"/>
      <c r="E42" s="363"/>
      <c r="F42" s="363"/>
      <c r="G42" s="363"/>
      <c r="H42" s="363"/>
    </row>
    <row r="43" spans="2:8">
      <c r="B43" s="363"/>
      <c r="C43" s="363"/>
      <c r="D43" s="363"/>
      <c r="E43" s="363"/>
      <c r="F43" s="363"/>
      <c r="G43" s="363"/>
      <c r="H43" s="363"/>
    </row>
    <row r="44" spans="2:8">
      <c r="B44" s="363"/>
      <c r="C44" s="363"/>
      <c r="D44" s="363"/>
      <c r="E44" s="363"/>
      <c r="F44" s="363"/>
      <c r="G44" s="363"/>
      <c r="H44" s="363"/>
    </row>
    <row r="45" spans="2:8">
      <c r="B45" s="363"/>
      <c r="C45" s="363"/>
      <c r="D45" s="363"/>
      <c r="E45" s="363"/>
      <c r="F45" s="363"/>
      <c r="G45" s="363"/>
      <c r="H45" s="363"/>
    </row>
    <row r="46" spans="2:8">
      <c r="B46" s="363"/>
      <c r="C46" s="363"/>
      <c r="D46" s="363"/>
      <c r="E46" s="363"/>
      <c r="F46" s="363"/>
      <c r="G46" s="363"/>
      <c r="H46" s="363"/>
    </row>
    <row r="47" spans="2:8">
      <c r="B47" s="363"/>
      <c r="C47" s="363"/>
      <c r="D47" s="363"/>
      <c r="E47" s="363"/>
      <c r="F47" s="363"/>
      <c r="G47" s="363"/>
      <c r="H47" s="363"/>
    </row>
    <row r="48" spans="2:8">
      <c r="B48" s="363"/>
      <c r="C48" s="363"/>
      <c r="D48" s="363"/>
      <c r="E48" s="363"/>
      <c r="F48" s="363"/>
      <c r="G48" s="363"/>
      <c r="H48" s="363"/>
    </row>
  </sheetData>
  <mergeCells count="3">
    <mergeCell ref="B1:I1"/>
    <mergeCell ref="B3:I3"/>
    <mergeCell ref="A2:I2"/>
  </mergeCells>
  <pageMargins left="0.7" right="0.7" top="0.75" bottom="0.75" header="0.3" footer="0.3"/>
  <pageSetup scale="76" orientation="landscape" r:id="rId1"/>
  <headerFooter>
    <oddFooter>&amp;R&amp;"Times New Roman,Bold"&amp;12Exhibit CMG-5
Page 5 of 12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225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8"/>
      <c r="H13" s="1">
        <f>1.62%/12</f>
        <v>1.3500000000000003E-3</v>
      </c>
      <c r="J13" s="358">
        <f>F13*H13</f>
        <v>0</v>
      </c>
      <c r="L13" s="358">
        <f>'Cap&amp;OpEx 2017'!C10</f>
        <v>914714.83000000007</v>
      </c>
      <c r="N13" s="358">
        <f>H13*L13*0.5</f>
        <v>617.43251025000018</v>
      </c>
      <c r="P13" s="358">
        <f>J13+N13</f>
        <v>617.43251025000018</v>
      </c>
      <c r="R13" s="358">
        <f>L13+F13</f>
        <v>914714.83000000007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/>
      <c r="H14" s="1">
        <f>3.24%/12</f>
        <v>2.7000000000000006E-3</v>
      </c>
      <c r="J14" s="358">
        <f>F14*H14</f>
        <v>0</v>
      </c>
      <c r="L14" s="358">
        <f>'Cap&amp;OpEx 2017'!C12</f>
        <v>213529.98999999996</v>
      </c>
      <c r="N14" s="358">
        <f>H14*L14*0.5</f>
        <v>288.26548650000001</v>
      </c>
      <c r="P14" s="358">
        <f>J14+N14</f>
        <v>288.26548650000001</v>
      </c>
      <c r="R14" s="358">
        <f>L14+F14</f>
        <v>213529.98999999996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8"/>
      <c r="H15" s="1">
        <f t="shared" ref="H15:H16" si="1">3.24%/12</f>
        <v>2.7000000000000006E-3</v>
      </c>
      <c r="J15" s="358">
        <f>F15*H15</f>
        <v>0</v>
      </c>
      <c r="L15" s="358">
        <f>'Cap&amp;OpEx 2017'!C13</f>
        <v>1397473.08</v>
      </c>
      <c r="N15" s="358">
        <f>H15*L15*0.5</f>
        <v>1886.5886580000006</v>
      </c>
      <c r="P15" s="358">
        <f>J15+N15</f>
        <v>1886.5886580000006</v>
      </c>
      <c r="R15" s="358">
        <f>L15+F15</f>
        <v>1397473.08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8"/>
      <c r="H16" s="1">
        <f t="shared" si="1"/>
        <v>2.7000000000000006E-3</v>
      </c>
      <c r="J16" s="358">
        <f>F16*H16</f>
        <v>0</v>
      </c>
      <c r="L16" s="358">
        <f>'Cap&amp;OpEx 2017'!C14</f>
        <v>511712.06000000006</v>
      </c>
      <c r="N16" s="358">
        <f>H16*L16*0.5</f>
        <v>690.81128100000024</v>
      </c>
      <c r="P16" s="358">
        <f>J16+N16</f>
        <v>690.81128100000024</v>
      </c>
      <c r="R16" s="358">
        <f>L16+F16</f>
        <v>511712.06000000006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0</v>
      </c>
      <c r="J17" s="356">
        <f>SUM(J13:J16)</f>
        <v>0</v>
      </c>
      <c r="L17" s="356">
        <f>SUM(L13:L16)</f>
        <v>3037429.9600000004</v>
      </c>
      <c r="N17" s="356">
        <f>SUM(N13:N16)</f>
        <v>3483.0979357500009</v>
      </c>
      <c r="P17" s="356">
        <f>SUM(P13:P16)</f>
        <v>3483.0979357500009</v>
      </c>
      <c r="R17" s="356">
        <f>SUM(R13:R16)</f>
        <v>3037429.9600000004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8"/>
      <c r="H20" s="1">
        <f>1.62%/12</f>
        <v>1.3500000000000003E-3</v>
      </c>
      <c r="J20" s="358">
        <f>F20*H20</f>
        <v>0</v>
      </c>
      <c r="L20" s="358">
        <f>'Cap&amp;OpEx 2017'!C17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/>
      <c r="H21" s="1">
        <f>3.24%/12</f>
        <v>2.7000000000000006E-3</v>
      </c>
      <c r="J21" s="358">
        <f>F21*H21</f>
        <v>0</v>
      </c>
      <c r="L21" s="358">
        <f>'Cap&amp;OpEx 2017'!C18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8"/>
      <c r="H22" s="1">
        <f>3.24%/12</f>
        <v>2.7000000000000006E-3</v>
      </c>
      <c r="J22" s="358">
        <f>F22*H22</f>
        <v>0</v>
      </c>
      <c r="L22" s="358">
        <f>'Cap&amp;OpEx 2017'!C19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0</v>
      </c>
      <c r="J25" s="357">
        <f>J17+J23</f>
        <v>0</v>
      </c>
      <c r="L25" s="357">
        <f>L17+L23</f>
        <v>3037429.9600000004</v>
      </c>
      <c r="N25" s="357">
        <f>N17+N23</f>
        <v>3483.0979357500009</v>
      </c>
      <c r="P25" s="357">
        <f>P17+P23</f>
        <v>3483.0979357500009</v>
      </c>
      <c r="R25" s="357">
        <f>R17+R23</f>
        <v>3037429.9600000004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8"/>
      <c r="J28" s="358"/>
      <c r="L28" s="358">
        <f>'Cap&amp;OpEx 2017'!C24</f>
        <v>194633.55000000002</v>
      </c>
      <c r="N28" s="358"/>
      <c r="P28" s="358"/>
      <c r="R28" s="358">
        <f>L28+F28</f>
        <v>194633.55000000002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/>
      <c r="J29" s="358"/>
      <c r="L29" s="358">
        <f>'Cap&amp;OpEx 2017'!C25</f>
        <v>26417.16</v>
      </c>
      <c r="N29" s="358"/>
      <c r="P29" s="358"/>
      <c r="R29" s="358">
        <f>L29+F29</f>
        <v>26417.16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8"/>
      <c r="J30" s="358"/>
      <c r="L30" s="358">
        <f>'Cap&amp;OpEx 2017'!C26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0</v>
      </c>
      <c r="J31" s="356">
        <f>SUM(J28:J30)</f>
        <v>0</v>
      </c>
      <c r="L31" s="356">
        <f>SUM(L28:L30)</f>
        <v>221050.71000000002</v>
      </c>
      <c r="N31" s="356">
        <f>SUM(N28:N30)</f>
        <v>0</v>
      </c>
      <c r="P31" s="356">
        <f>SUM(P28:P30)</f>
        <v>0</v>
      </c>
      <c r="R31" s="356">
        <f>SUM(R28:R30)</f>
        <v>221050.71000000002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6 of 12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226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8">
        <f>'201707 Bk Depr'!R13</f>
        <v>914714.83000000007</v>
      </c>
      <c r="H13" s="1">
        <f>1.62%/12</f>
        <v>1.3500000000000003E-3</v>
      </c>
      <c r="J13" s="358">
        <f>F13*H13</f>
        <v>1234.8650205000004</v>
      </c>
      <c r="L13" s="358">
        <f>'Cap&amp;OpEx 2017'!D10</f>
        <v>593930.80999999994</v>
      </c>
      <c r="N13" s="358">
        <f>5194.65-J13-'201707 Bk Depr'!P13</f>
        <v>3342.3524692499991</v>
      </c>
      <c r="P13" s="358">
        <f t="shared" ref="P13:P15" si="0">J13+N13</f>
        <v>4577.217489749999</v>
      </c>
      <c r="R13" s="358">
        <f>L13+F13</f>
        <v>1508645.6400000001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'201707 Bk Depr'!R14</f>
        <v>213529.98999999996</v>
      </c>
      <c r="H14" s="1">
        <f>3.24%/12</f>
        <v>2.7000000000000006E-3</v>
      </c>
      <c r="J14" s="358">
        <f t="shared" ref="J14" si="1">F14*H14</f>
        <v>576.53097300000002</v>
      </c>
      <c r="L14" s="358">
        <f>'Cap&amp;OpEx 2017'!D12</f>
        <v>590202.24000000011</v>
      </c>
      <c r="N14" s="358">
        <f>36429.32-J14-P15-P16-SUM('201707 Bk Depr'!P14:P16)</f>
        <v>25022.428336999998</v>
      </c>
      <c r="P14" s="358">
        <f t="shared" si="0"/>
        <v>25598.959309999998</v>
      </c>
      <c r="R14" s="358">
        <f t="shared" ref="R14" si="2">L14+F14</f>
        <v>803732.2300000001</v>
      </c>
    </row>
    <row r="15" spans="1:18">
      <c r="A15" s="6">
        <f t="shared" ref="A15:A17" si="3">A14+1</f>
        <v>3</v>
      </c>
      <c r="B15" s="4"/>
      <c r="C15" s="9" t="s">
        <v>63</v>
      </c>
      <c r="D15" s="6">
        <v>380</v>
      </c>
      <c r="F15" s="358">
        <f>'201707 Bk Depr'!R15</f>
        <v>1397473.08</v>
      </c>
      <c r="H15" s="1">
        <f t="shared" ref="H15:H16" si="4">3.24%/12</f>
        <v>2.7000000000000006E-3</v>
      </c>
      <c r="J15" s="358">
        <f>F15*H15</f>
        <v>3773.1773160000012</v>
      </c>
      <c r="L15" s="358">
        <f>'Cap&amp;OpEx 2017'!D13</f>
        <v>1524779.69</v>
      </c>
      <c r="N15" s="358">
        <f>H15*L15*0.5</f>
        <v>2058.4525815000002</v>
      </c>
      <c r="P15" s="358">
        <f t="shared" si="0"/>
        <v>5831.6298975000009</v>
      </c>
      <c r="R15" s="358">
        <f>L15+F15</f>
        <v>2922252.77</v>
      </c>
    </row>
    <row r="16" spans="1:18">
      <c r="A16" s="6">
        <f t="shared" si="3"/>
        <v>4</v>
      </c>
      <c r="B16" s="4"/>
      <c r="C16" s="4" t="s">
        <v>168</v>
      </c>
      <c r="D16" s="6">
        <v>380</v>
      </c>
      <c r="F16" s="358">
        <f>'201707 Bk Depr'!R16</f>
        <v>511712.06000000006</v>
      </c>
      <c r="H16" s="1">
        <f t="shared" si="4"/>
        <v>2.7000000000000006E-3</v>
      </c>
      <c r="J16" s="358">
        <f>F16*H16</f>
        <v>1381.6225620000005</v>
      </c>
      <c r="L16" s="358">
        <f>'Cap&amp;OpEx 2017'!D14</f>
        <v>556624.30000000005</v>
      </c>
      <c r="N16" s="358">
        <f>H16*L16*0.5</f>
        <v>751.44280500000025</v>
      </c>
      <c r="P16" s="358">
        <f>J16+N16</f>
        <v>2133.0653670000006</v>
      </c>
      <c r="R16" s="358">
        <f>L16+F16</f>
        <v>1068336.3600000001</v>
      </c>
    </row>
    <row r="17" spans="1:18">
      <c r="A17" s="6">
        <f t="shared" si="3"/>
        <v>5</v>
      </c>
      <c r="B17" s="4"/>
      <c r="C17" s="4" t="s">
        <v>21</v>
      </c>
      <c r="F17" s="356">
        <f>SUM(F13:F16)</f>
        <v>3037429.9600000004</v>
      </c>
      <c r="J17" s="356">
        <f>SUM(J13:J16)</f>
        <v>6966.1958715000019</v>
      </c>
      <c r="L17" s="356">
        <f>SUM(L13:L16)</f>
        <v>3265537.04</v>
      </c>
      <c r="N17" s="356">
        <f>SUM(N13:N16)</f>
        <v>31174.676192749997</v>
      </c>
      <c r="P17" s="356">
        <f>SUM(P13:P16)</f>
        <v>38140.872064250005</v>
      </c>
      <c r="R17" s="356">
        <f>SUM(R13:R16)</f>
        <v>6302967.0000000009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8">
        <f>'201707 Bk Depr'!R20</f>
        <v>0</v>
      </c>
      <c r="H20" s="1">
        <f>1.62%/12</f>
        <v>1.3500000000000003E-3</v>
      </c>
      <c r="J20" s="358">
        <f>F20*H20</f>
        <v>0</v>
      </c>
      <c r="L20" s="358">
        <f>'Cap&amp;OpEx 2017'!D17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'201707 Bk Depr'!R21</f>
        <v>0</v>
      </c>
      <c r="H21" s="1">
        <f>3.24%/12</f>
        <v>2.7000000000000006E-3</v>
      </c>
      <c r="J21" s="358">
        <f>F21*H21</f>
        <v>0</v>
      </c>
      <c r="L21" s="358">
        <f>'Cap&amp;OpEx 2017'!D18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5">A21+1</f>
        <v>8</v>
      </c>
      <c r="B22" s="4"/>
      <c r="C22" s="9" t="s">
        <v>63</v>
      </c>
      <c r="D22" s="6">
        <v>380</v>
      </c>
      <c r="F22" s="358">
        <f>'201707 Bk Depr'!R22</f>
        <v>0</v>
      </c>
      <c r="H22" s="1">
        <f>3.24%/12</f>
        <v>2.7000000000000006E-3</v>
      </c>
      <c r="J22" s="358">
        <f>F22*H22</f>
        <v>0</v>
      </c>
      <c r="L22" s="358">
        <f>'Cap&amp;OpEx 2017'!D19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5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3037429.9600000004</v>
      </c>
      <c r="J25" s="357">
        <f>J17+J23</f>
        <v>6966.1958715000019</v>
      </c>
      <c r="L25" s="357">
        <f>L17+L23</f>
        <v>3265537.04</v>
      </c>
      <c r="N25" s="357">
        <f>N17+N23</f>
        <v>31174.676192749997</v>
      </c>
      <c r="P25" s="357">
        <f>P17+P23</f>
        <v>38140.872064250005</v>
      </c>
      <c r="R25" s="357">
        <f>R17+R23</f>
        <v>6302967.0000000009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8">
        <f>'201707 Bk Depr'!R28</f>
        <v>194633.55000000002</v>
      </c>
      <c r="J28" s="358"/>
      <c r="L28" s="358">
        <f>'Cap&amp;OpEx 2017'!D24</f>
        <v>104604.53</v>
      </c>
      <c r="N28" s="358"/>
      <c r="P28" s="358"/>
      <c r="R28" s="358">
        <f>L28+F28</f>
        <v>299238.08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'201707 Bk Depr'!R29</f>
        <v>26417.16</v>
      </c>
      <c r="J29" s="358"/>
      <c r="L29" s="358">
        <f>'Cap&amp;OpEx 2017'!D25</f>
        <v>28945.41</v>
      </c>
      <c r="N29" s="358"/>
      <c r="P29" s="358"/>
      <c r="R29" s="358">
        <f>L29+F29</f>
        <v>55362.57</v>
      </c>
    </row>
    <row r="30" spans="1:18">
      <c r="A30" s="6">
        <f t="shared" ref="A30:A31" si="6">A29+1</f>
        <v>13</v>
      </c>
      <c r="B30" s="4"/>
      <c r="C30" s="9" t="s">
        <v>63</v>
      </c>
      <c r="D30" s="6">
        <v>380</v>
      </c>
      <c r="F30" s="358">
        <f>'201707 Bk Depr'!R30</f>
        <v>0</v>
      </c>
      <c r="J30" s="358"/>
      <c r="L30" s="358">
        <f>'Cap&amp;OpEx 2017'!D26</f>
        <v>0</v>
      </c>
      <c r="N30" s="358"/>
      <c r="P30" s="358"/>
      <c r="R30" s="358">
        <f>L30+F30</f>
        <v>0</v>
      </c>
    </row>
    <row r="31" spans="1:18">
      <c r="A31" s="6">
        <f t="shared" si="6"/>
        <v>14</v>
      </c>
      <c r="B31" s="4"/>
      <c r="C31" s="4" t="s">
        <v>23</v>
      </c>
      <c r="F31" s="356">
        <f>SUM(F28:F30)</f>
        <v>221050.71000000002</v>
      </c>
      <c r="J31" s="356">
        <f>SUM(J28:J30)</f>
        <v>0</v>
      </c>
      <c r="L31" s="356">
        <f>SUM(L28:L30)</f>
        <v>133549.94</v>
      </c>
      <c r="N31" s="356">
        <f>SUM(N28:N30)</f>
        <v>0</v>
      </c>
      <c r="P31" s="356">
        <f>SUM(P28:P30)</f>
        <v>0</v>
      </c>
      <c r="R31" s="356">
        <f>SUM(R28:R30)</f>
        <v>354600.65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7 of 12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227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8">
        <f>'201708 Bk Depr'!R13</f>
        <v>1508645.6400000001</v>
      </c>
      <c r="H13" s="1">
        <f>1.62%/12</f>
        <v>1.3500000000000003E-3</v>
      </c>
      <c r="J13" s="358">
        <f>F13*H13</f>
        <v>2036.6716140000005</v>
      </c>
      <c r="L13" s="358">
        <f>'Cap&amp;OpEx 2017'!E10</f>
        <v>1244436.9200000002</v>
      </c>
      <c r="N13" s="358">
        <f>H13*L13*0.5</f>
        <v>839.99492100000032</v>
      </c>
      <c r="P13" s="358">
        <f>J13+N13</f>
        <v>2876.6665350000007</v>
      </c>
      <c r="R13" s="358">
        <f>L13+F13</f>
        <v>2753082.5600000005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'201708 Bk Depr'!R14</f>
        <v>803732.2300000001</v>
      </c>
      <c r="H14" s="1">
        <f>3.24%/12</f>
        <v>2.7000000000000006E-3</v>
      </c>
      <c r="J14" s="358">
        <f t="shared" ref="J14" si="0">F14*H14</f>
        <v>2170.0770210000005</v>
      </c>
      <c r="L14" s="358">
        <f>'Cap&amp;OpEx 2017'!E12</f>
        <v>177970.46999999994</v>
      </c>
      <c r="N14" s="358">
        <f t="shared" ref="N14" si="1">H14*L14*0.5</f>
        <v>240.26013449999996</v>
      </c>
      <c r="P14" s="358">
        <f t="shared" ref="P14" si="2">J14+N14</f>
        <v>2410.3371555000003</v>
      </c>
      <c r="R14" s="358">
        <f t="shared" ref="R14" si="3">L14+F14</f>
        <v>981702.70000000007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58">
        <f>'201708 Bk Depr'!R15</f>
        <v>2922252.77</v>
      </c>
      <c r="H15" s="1">
        <f t="shared" ref="H15:H16" si="5">3.24%/12</f>
        <v>2.7000000000000006E-3</v>
      </c>
      <c r="J15" s="358">
        <f>F15*H15</f>
        <v>7890.0824790000015</v>
      </c>
      <c r="L15" s="358">
        <f>'Cap&amp;OpEx 2017'!E13</f>
        <v>1152787.42</v>
      </c>
      <c r="N15" s="358">
        <f>H15*L15*0.5</f>
        <v>1556.2630170000002</v>
      </c>
      <c r="P15" s="358">
        <f>J15+N15</f>
        <v>9446.3454960000017</v>
      </c>
      <c r="R15" s="358">
        <f>L15+F15</f>
        <v>4075040.19</v>
      </c>
    </row>
    <row r="16" spans="1:18">
      <c r="A16" s="6">
        <f t="shared" si="4"/>
        <v>4</v>
      </c>
      <c r="B16" s="4"/>
      <c r="C16" s="4" t="s">
        <v>168</v>
      </c>
      <c r="D16" s="6">
        <v>380</v>
      </c>
      <c r="F16" s="358">
        <f>'201708 Bk Depr'!R16</f>
        <v>1068336.3600000001</v>
      </c>
      <c r="H16" s="1">
        <f t="shared" si="5"/>
        <v>2.7000000000000006E-3</v>
      </c>
      <c r="J16" s="358">
        <f>F16*H16</f>
        <v>2884.5081720000007</v>
      </c>
      <c r="L16" s="358">
        <f>'Cap&amp;OpEx 2017'!E14</f>
        <v>581759.54999999993</v>
      </c>
      <c r="N16" s="358">
        <f>H16*L16*0.5</f>
        <v>785.37539250000009</v>
      </c>
      <c r="P16" s="358">
        <f>J16+N16</f>
        <v>3669.8835645000008</v>
      </c>
      <c r="R16" s="358">
        <f>L16+F16</f>
        <v>1650095.9100000001</v>
      </c>
    </row>
    <row r="17" spans="1:18">
      <c r="A17" s="6">
        <f t="shared" si="4"/>
        <v>5</v>
      </c>
      <c r="B17" s="4"/>
      <c r="C17" s="4" t="s">
        <v>21</v>
      </c>
      <c r="F17" s="356">
        <f>SUM(F13:F16)</f>
        <v>6302967.0000000009</v>
      </c>
      <c r="J17" s="356">
        <f>SUM(J13:J16)</f>
        <v>14981.339286000002</v>
      </c>
      <c r="L17" s="356">
        <f>SUM(L13:L16)</f>
        <v>3156954.36</v>
      </c>
      <c r="N17" s="356">
        <f>SUM(N13:N16)</f>
        <v>3421.8934650000006</v>
      </c>
      <c r="P17" s="356">
        <f>SUM(P13:P16)</f>
        <v>18403.232751000003</v>
      </c>
      <c r="R17" s="356">
        <f>SUM(R13:R16)</f>
        <v>9459921.3600000013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8">
        <f>'201708 Bk Depr'!R20</f>
        <v>0</v>
      </c>
      <c r="H20" s="1">
        <f>1.62%/12</f>
        <v>1.3500000000000003E-3</v>
      </c>
      <c r="J20" s="358">
        <f>F20*H20</f>
        <v>0</v>
      </c>
      <c r="L20" s="358">
        <f>'Cap&amp;OpEx 2017'!E17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'201708 Bk Depr'!R21</f>
        <v>0</v>
      </c>
      <c r="H21" s="1">
        <f>3.24%/12</f>
        <v>2.7000000000000006E-3</v>
      </c>
      <c r="J21" s="358">
        <f t="shared" ref="J21" si="6">F21*H21</f>
        <v>0</v>
      </c>
      <c r="L21" s="358">
        <f>'Cap&amp;OpEx 2017'!E19</f>
        <v>0</v>
      </c>
      <c r="N21" s="358">
        <f t="shared" ref="N21" si="7">H21*L21*0.5</f>
        <v>0</v>
      </c>
      <c r="P21" s="358">
        <f t="shared" ref="P21" si="8">J21+N21</f>
        <v>0</v>
      </c>
      <c r="R21" s="358">
        <f t="shared" ref="R21" si="9">L21+F21</f>
        <v>0</v>
      </c>
    </row>
    <row r="22" spans="1:18">
      <c r="A22" s="6">
        <f t="shared" ref="A22:A23" si="10">A21+1</f>
        <v>8</v>
      </c>
      <c r="B22" s="4"/>
      <c r="C22" s="9" t="s">
        <v>63</v>
      </c>
      <c r="D22" s="6">
        <v>380</v>
      </c>
      <c r="F22" s="358">
        <f>'201708 Bk Depr'!R22</f>
        <v>0</v>
      </c>
      <c r="H22" s="1">
        <f>3.24%/12</f>
        <v>2.7000000000000006E-3</v>
      </c>
      <c r="J22" s="358">
        <f>F22*H22</f>
        <v>0</v>
      </c>
      <c r="L22" s="358">
        <f>'Cap&amp;OpEx 2017'!E19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10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6302967.0000000009</v>
      </c>
      <c r="J25" s="357">
        <f>J17+J23</f>
        <v>14981.339286000002</v>
      </c>
      <c r="L25" s="357">
        <f>L17+L23</f>
        <v>3156954.36</v>
      </c>
      <c r="N25" s="357">
        <f>N17+N23</f>
        <v>3421.8934650000006</v>
      </c>
      <c r="P25" s="357">
        <f>P17+P23</f>
        <v>18403.232751000003</v>
      </c>
      <c r="R25" s="357">
        <f>R17+R23</f>
        <v>9459921.3600000013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8">
        <f>'201708 Bk Depr'!R28</f>
        <v>299238.08</v>
      </c>
      <c r="J28" s="358"/>
      <c r="L28" s="358">
        <f>'Cap&amp;OpEx 2017'!E24</f>
        <v>123629.18</v>
      </c>
      <c r="N28" s="358"/>
      <c r="P28" s="358"/>
      <c r="R28" s="358">
        <f>L28+F28</f>
        <v>422867.26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'201708 Bk Depr'!R29</f>
        <v>55362.57</v>
      </c>
      <c r="J29" s="358"/>
      <c r="L29" s="358">
        <f>'Cap&amp;OpEx 2017'!E25</f>
        <v>24037.84</v>
      </c>
      <c r="N29" s="358"/>
      <c r="P29" s="358"/>
      <c r="R29" s="358">
        <f>L29+F29</f>
        <v>79400.41</v>
      </c>
    </row>
    <row r="30" spans="1:18">
      <c r="A30" s="6">
        <f t="shared" ref="A30:A31" si="11">A29+1</f>
        <v>13</v>
      </c>
      <c r="B30" s="4"/>
      <c r="C30" s="9" t="s">
        <v>63</v>
      </c>
      <c r="D30" s="6">
        <v>380</v>
      </c>
      <c r="F30" s="358">
        <f>'201708 Bk Depr'!R30</f>
        <v>0</v>
      </c>
      <c r="J30" s="358"/>
      <c r="L30" s="358">
        <f>'Cap&amp;OpEx 2017'!E26</f>
        <v>0</v>
      </c>
      <c r="N30" s="358"/>
      <c r="P30" s="358"/>
      <c r="R30" s="358">
        <f>L30+F30</f>
        <v>0</v>
      </c>
    </row>
    <row r="31" spans="1:18">
      <c r="A31" s="6">
        <f t="shared" si="11"/>
        <v>14</v>
      </c>
      <c r="B31" s="4"/>
      <c r="C31" s="4" t="s">
        <v>23</v>
      </c>
      <c r="F31" s="356">
        <f>SUM(F28:F30)</f>
        <v>354600.65</v>
      </c>
      <c r="J31" s="356">
        <f>SUM(J28:J30)</f>
        <v>0</v>
      </c>
      <c r="L31" s="356">
        <f>SUM(L28:L30)</f>
        <v>147667.01999999999</v>
      </c>
      <c r="N31" s="356">
        <f>SUM(N28:N30)</f>
        <v>0</v>
      </c>
      <c r="P31" s="356">
        <f>SUM(P28:P30)</f>
        <v>0</v>
      </c>
      <c r="R31" s="356">
        <f>SUM(R28:R30)</f>
        <v>502267.67000000004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8 of 12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228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8">
        <f>'201709 Bk Depr'!R13</f>
        <v>2753082.5600000005</v>
      </c>
      <c r="H13" s="1">
        <f>1.62%/12</f>
        <v>1.3500000000000003E-3</v>
      </c>
      <c r="J13" s="358">
        <f>F13*H13</f>
        <v>3716.6614560000016</v>
      </c>
      <c r="L13" s="358">
        <f>'Cap&amp;OpEx 2017'!F10</f>
        <v>1431438.0699999998</v>
      </c>
      <c r="N13" s="358">
        <f>H13*L13*0.5</f>
        <v>966.22069725000006</v>
      </c>
      <c r="P13" s="358">
        <f>J13+N13</f>
        <v>4682.8821532500015</v>
      </c>
      <c r="R13" s="358">
        <f>L13+F13</f>
        <v>4184520.6300000004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'201709 Bk Depr'!R14</f>
        <v>981702.70000000007</v>
      </c>
      <c r="H14" s="1">
        <f>3.24%/12</f>
        <v>2.7000000000000006E-3</v>
      </c>
      <c r="J14" s="358">
        <f t="shared" ref="J14" si="0">F14*H14</f>
        <v>2650.5972900000006</v>
      </c>
      <c r="L14" s="358">
        <f>'Cap&amp;OpEx 2017'!F12</f>
        <v>206751.37</v>
      </c>
      <c r="N14" s="358">
        <f t="shared" ref="N14" si="1">H14*L14*0.5</f>
        <v>279.11434950000006</v>
      </c>
      <c r="P14" s="358">
        <f t="shared" ref="P14" si="2">J14+N14</f>
        <v>2929.7116395000007</v>
      </c>
      <c r="R14" s="358">
        <f t="shared" ref="R14" si="3">L14+F14</f>
        <v>1188454.07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58">
        <f>'201709 Bk Depr'!R15</f>
        <v>4075040.19</v>
      </c>
      <c r="H15" s="1">
        <f t="shared" ref="H15:H16" si="5">3.24%/12</f>
        <v>2.7000000000000006E-3</v>
      </c>
      <c r="J15" s="358">
        <f>F15*H15</f>
        <v>11002.608513000003</v>
      </c>
      <c r="L15" s="358">
        <f>'Cap&amp;OpEx 2017'!F13</f>
        <v>1487575.2799999998</v>
      </c>
      <c r="N15" s="358">
        <f>H15*L15*0.5</f>
        <v>2008.2266280000001</v>
      </c>
      <c r="P15" s="358">
        <f>J15+N15</f>
        <v>13010.835141000003</v>
      </c>
      <c r="R15" s="358">
        <f>L15+F15</f>
        <v>5562615.4699999997</v>
      </c>
    </row>
    <row r="16" spans="1:18">
      <c r="A16" s="6">
        <f t="shared" si="4"/>
        <v>4</v>
      </c>
      <c r="B16" s="4"/>
      <c r="C16" s="4" t="s">
        <v>168</v>
      </c>
      <c r="D16" s="6">
        <v>380</v>
      </c>
      <c r="F16" s="358">
        <f>'201709 Bk Depr'!R16</f>
        <v>1650095.9100000001</v>
      </c>
      <c r="H16" s="1">
        <f t="shared" si="5"/>
        <v>2.7000000000000006E-3</v>
      </c>
      <c r="J16" s="358">
        <f>F16*H16</f>
        <v>4455.2589570000009</v>
      </c>
      <c r="L16" s="358">
        <f>'Cap&amp;OpEx 2017'!F14</f>
        <v>774089.49000000011</v>
      </c>
      <c r="N16" s="358">
        <f>H16*L16*0.5</f>
        <v>1045.0208115000003</v>
      </c>
      <c r="P16" s="358">
        <f>J16+N16</f>
        <v>5500.2797685000014</v>
      </c>
      <c r="R16" s="358">
        <f>L16+F16</f>
        <v>2424185.4000000004</v>
      </c>
    </row>
    <row r="17" spans="1:18">
      <c r="A17" s="6">
        <f t="shared" si="4"/>
        <v>5</v>
      </c>
      <c r="B17" s="4"/>
      <c r="C17" s="4" t="s">
        <v>21</v>
      </c>
      <c r="F17" s="356">
        <f>SUM(F13:F16)</f>
        <v>9459921.3600000013</v>
      </c>
      <c r="J17" s="356">
        <f>SUM(J13:J16)</f>
        <v>21825.126216000008</v>
      </c>
      <c r="L17" s="356">
        <f>SUM(L13:L16)</f>
        <v>3899854.21</v>
      </c>
      <c r="N17" s="356">
        <f>SUM(N13:N16)</f>
        <v>4298.5824862500003</v>
      </c>
      <c r="P17" s="356">
        <f>SUM(P13:P16)</f>
        <v>26123.708702250005</v>
      </c>
      <c r="R17" s="356">
        <f>SUM(R13:R16)</f>
        <v>13359775.57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8">
        <f>'201709 Bk Depr'!R20</f>
        <v>0</v>
      </c>
      <c r="H20" s="1">
        <f>1.62%/12</f>
        <v>1.3500000000000003E-3</v>
      </c>
      <c r="J20" s="358">
        <f>F20*H20</f>
        <v>0</v>
      </c>
      <c r="L20" s="358">
        <f>'Cap&amp;OpEx 2017'!F17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'201709 Bk Depr'!R21</f>
        <v>0</v>
      </c>
      <c r="H21" s="1">
        <f>3.24%/12</f>
        <v>2.7000000000000006E-3</v>
      </c>
      <c r="J21" s="358">
        <f>F21*H21</f>
        <v>0</v>
      </c>
      <c r="L21" s="358">
        <f>'Cap&amp;OpEx 2017'!F18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58">
        <f>'201709 Bk Depr'!R22</f>
        <v>0</v>
      </c>
      <c r="H22" s="1">
        <f>3.24%/12</f>
        <v>2.7000000000000006E-3</v>
      </c>
      <c r="J22" s="358">
        <f>F22*H22</f>
        <v>0</v>
      </c>
      <c r="L22" s="358">
        <f>'Cap&amp;OpEx 2017'!F19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6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9459921.3600000013</v>
      </c>
      <c r="J25" s="357">
        <f>J17+J23</f>
        <v>21825.126216000008</v>
      </c>
      <c r="L25" s="357">
        <f>L17+L23</f>
        <v>3899854.21</v>
      </c>
      <c r="N25" s="357">
        <f>N17+N23</f>
        <v>4298.5824862500003</v>
      </c>
      <c r="P25" s="357">
        <f>P17+P23</f>
        <v>26123.708702250005</v>
      </c>
      <c r="R25" s="357">
        <f>R17+R23</f>
        <v>13359775.57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8">
        <f>'201709 Bk Depr'!R28</f>
        <v>422867.26</v>
      </c>
      <c r="J28" s="358"/>
      <c r="L28" s="358">
        <f>'Cap&amp;OpEx 2017'!F24</f>
        <v>369707.5</v>
      </c>
      <c r="N28" s="358"/>
      <c r="P28" s="358"/>
      <c r="R28" s="358">
        <f>L28+F28</f>
        <v>792574.76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'201709 Bk Depr'!R29</f>
        <v>79400.41</v>
      </c>
      <c r="J29" s="358"/>
      <c r="L29" s="358">
        <f>'Cap&amp;OpEx 2017'!F25</f>
        <v>31446.28</v>
      </c>
      <c r="N29" s="358"/>
      <c r="P29" s="358"/>
      <c r="R29" s="358">
        <f>L29+F29</f>
        <v>110846.69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58">
        <f>'201709 Bk Depr'!R30</f>
        <v>0</v>
      </c>
      <c r="J30" s="358"/>
      <c r="L30" s="358">
        <f>'Cap&amp;OpEx 2017'!F26</f>
        <v>0</v>
      </c>
      <c r="N30" s="358"/>
      <c r="P30" s="358"/>
      <c r="R30" s="358">
        <f>L30+F30</f>
        <v>0</v>
      </c>
    </row>
    <row r="31" spans="1:18">
      <c r="A31" s="6">
        <f t="shared" si="7"/>
        <v>14</v>
      </c>
      <c r="B31" s="4"/>
      <c r="C31" s="4" t="s">
        <v>23</v>
      </c>
      <c r="F31" s="356">
        <f>SUM(F28:F30)</f>
        <v>502267.67000000004</v>
      </c>
      <c r="J31" s="356">
        <f>SUM(J28:J30)</f>
        <v>0</v>
      </c>
      <c r="L31" s="356">
        <f>SUM(L28:L30)</f>
        <v>401153.78</v>
      </c>
      <c r="N31" s="356">
        <f>SUM(N28:N30)</f>
        <v>0</v>
      </c>
      <c r="P31" s="356">
        <f>SUM(P28:P30)</f>
        <v>0</v>
      </c>
      <c r="R31" s="356">
        <f>SUM(R28:R30)</f>
        <v>903421.45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9 of 12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242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8">
        <f>'201710 Bk Depr'!R13</f>
        <v>4184520.6300000004</v>
      </c>
      <c r="H13" s="1">
        <f>1.62%/12</f>
        <v>1.3500000000000003E-3</v>
      </c>
      <c r="J13" s="358">
        <f>F13*H13</f>
        <v>5649.1028505000013</v>
      </c>
      <c r="L13" s="358">
        <f>'Cap&amp;OpEx 2017'!G10</f>
        <v>701917.45000000019</v>
      </c>
      <c r="N13" s="358">
        <f>H13*L13*0.5</f>
        <v>473.79427875000022</v>
      </c>
      <c r="P13" s="358">
        <f>J13+N13</f>
        <v>6122.8971292500019</v>
      </c>
      <c r="R13" s="358">
        <f>L13+F13</f>
        <v>4886438.08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'201710 Bk Depr'!R14</f>
        <v>1188454.07</v>
      </c>
      <c r="H14" s="1">
        <f>3.24%/12</f>
        <v>2.7000000000000006E-3</v>
      </c>
      <c r="J14" s="358">
        <f t="shared" ref="J14" si="0">F14*H14</f>
        <v>3208.8259890000008</v>
      </c>
      <c r="L14" s="358">
        <f>'Cap&amp;OpEx 2017'!G12</f>
        <v>135116.30000000005</v>
      </c>
      <c r="N14" s="358">
        <f t="shared" ref="N14" si="1">H14*L14*0.5</f>
        <v>182.40700500000011</v>
      </c>
      <c r="P14" s="358">
        <f t="shared" ref="P14" si="2">J14+N14</f>
        <v>3391.2329940000009</v>
      </c>
      <c r="R14" s="358">
        <f t="shared" ref="R14" si="3">L14+F14</f>
        <v>1323570.3700000001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58">
        <f>'201710 Bk Depr'!R15</f>
        <v>5562615.4699999997</v>
      </c>
      <c r="H15" s="1">
        <f t="shared" ref="H15:H16" si="5">3.24%/12</f>
        <v>2.7000000000000006E-3</v>
      </c>
      <c r="J15" s="358">
        <f>F15*H15</f>
        <v>15019.061769000002</v>
      </c>
      <c r="L15" s="358">
        <f>'Cap&amp;OpEx 2017'!G13</f>
        <v>1174067.3700000001</v>
      </c>
      <c r="N15" s="358">
        <f>H15*L15*0.5</f>
        <v>1584.9909495000004</v>
      </c>
      <c r="P15" s="358">
        <f>J15+N15</f>
        <v>16604.052718500003</v>
      </c>
      <c r="R15" s="358">
        <f>L15+F15</f>
        <v>6736682.8399999999</v>
      </c>
    </row>
    <row r="16" spans="1:18">
      <c r="A16" s="6">
        <f t="shared" si="4"/>
        <v>4</v>
      </c>
      <c r="B16" s="4"/>
      <c r="C16" s="4" t="s">
        <v>168</v>
      </c>
      <c r="D16" s="6">
        <v>380</v>
      </c>
      <c r="F16" s="358">
        <f>'201710 Bk Depr'!R16</f>
        <v>2424185.4000000004</v>
      </c>
      <c r="H16" s="1">
        <f t="shared" si="5"/>
        <v>2.7000000000000006E-3</v>
      </c>
      <c r="J16" s="358">
        <f>F16*H16</f>
        <v>6545.3005800000028</v>
      </c>
      <c r="L16" s="358">
        <f>'Cap&amp;OpEx 2017'!G14</f>
        <v>639392.29999999981</v>
      </c>
      <c r="N16" s="358">
        <f>H16*L16*0.5</f>
        <v>863.17960499999992</v>
      </c>
      <c r="P16" s="358">
        <f>J16+N16</f>
        <v>7408.4801850000031</v>
      </c>
      <c r="R16" s="358">
        <f>L16+F16</f>
        <v>3063577.7</v>
      </c>
    </row>
    <row r="17" spans="1:18">
      <c r="A17" s="6">
        <f t="shared" si="4"/>
        <v>5</v>
      </c>
      <c r="B17" s="4"/>
      <c r="C17" s="4" t="s">
        <v>21</v>
      </c>
      <c r="F17" s="356">
        <f>SUM(F13:F16)</f>
        <v>13359775.57</v>
      </c>
      <c r="J17" s="356">
        <f>SUM(J13:J16)</f>
        <v>30422.291188500007</v>
      </c>
      <c r="L17" s="356">
        <f>SUM(L13:L16)</f>
        <v>2650493.42</v>
      </c>
      <c r="N17" s="356">
        <f>SUM(N13:N16)</f>
        <v>3104.3718382500006</v>
      </c>
      <c r="P17" s="356">
        <f>SUM(P13:P16)</f>
        <v>33526.663026750008</v>
      </c>
      <c r="R17" s="356">
        <f>SUM(R13:R16)</f>
        <v>16010268.989999998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8">
        <f>'201710 Bk Depr'!R20</f>
        <v>0</v>
      </c>
      <c r="H20" s="1">
        <f>1.62%/12</f>
        <v>1.3500000000000003E-3</v>
      </c>
      <c r="J20" s="358">
        <f>F20*H20</f>
        <v>0</v>
      </c>
      <c r="L20" s="358">
        <f>'Cap&amp;OpEx 2017'!G17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'201710 Bk Depr'!R21</f>
        <v>0</v>
      </c>
      <c r="H21" s="1">
        <f>3.24%/12</f>
        <v>2.7000000000000006E-3</v>
      </c>
      <c r="J21" s="358">
        <f t="shared" ref="J21" si="6">F21*H21</f>
        <v>0</v>
      </c>
      <c r="L21" s="358">
        <f>'Cap&amp;OpEx 2017'!G19</f>
        <v>0</v>
      </c>
      <c r="N21" s="358">
        <f t="shared" ref="N21" si="7">H21*L21*0.5</f>
        <v>0</v>
      </c>
      <c r="P21" s="358">
        <f t="shared" ref="P21" si="8">J21+N21</f>
        <v>0</v>
      </c>
      <c r="R21" s="358">
        <f t="shared" ref="R21" si="9">L21+F21</f>
        <v>0</v>
      </c>
    </row>
    <row r="22" spans="1:18">
      <c r="A22" s="6">
        <f t="shared" ref="A22:A23" si="10">A21+1</f>
        <v>8</v>
      </c>
      <c r="B22" s="4"/>
      <c r="C22" s="9" t="s">
        <v>63</v>
      </c>
      <c r="D22" s="6">
        <v>380</v>
      </c>
      <c r="F22" s="358">
        <f>'201710 Bk Depr'!R22</f>
        <v>0</v>
      </c>
      <c r="H22" s="1">
        <f>3.24%/12</f>
        <v>2.7000000000000006E-3</v>
      </c>
      <c r="J22" s="358">
        <f>F22*H22</f>
        <v>0</v>
      </c>
      <c r="L22" s="358">
        <f>'Cap&amp;OpEx 2017'!G19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10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13359775.57</v>
      </c>
      <c r="J25" s="357">
        <f>J17+J23</f>
        <v>30422.291188500007</v>
      </c>
      <c r="L25" s="357">
        <f>L17+L23</f>
        <v>2650493.42</v>
      </c>
      <c r="N25" s="357">
        <f>N17+N23</f>
        <v>3104.3718382500006</v>
      </c>
      <c r="P25" s="357">
        <f>P17+P23</f>
        <v>33526.663026750008</v>
      </c>
      <c r="R25" s="357">
        <f>R17+R23</f>
        <v>16010268.989999998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8">
        <f>'201710 Bk Depr'!R28</f>
        <v>792574.76</v>
      </c>
      <c r="J28" s="358"/>
      <c r="L28" s="358">
        <f>'Cap&amp;OpEx 2017'!G24</f>
        <v>250260.92000000004</v>
      </c>
      <c r="N28" s="358"/>
      <c r="P28" s="358"/>
      <c r="R28" s="358">
        <f>L28+F28</f>
        <v>1042835.68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'201710 Bk Depr'!R29</f>
        <v>110846.69</v>
      </c>
      <c r="J29" s="358"/>
      <c r="L29" s="358">
        <f>'Cap&amp;OpEx 2017'!G25</f>
        <v>38800.33</v>
      </c>
      <c r="N29" s="358"/>
      <c r="P29" s="358"/>
      <c r="R29" s="358">
        <f>L29+F29</f>
        <v>149647.02000000002</v>
      </c>
    </row>
    <row r="30" spans="1:18">
      <c r="A30" s="6">
        <f t="shared" ref="A30:A31" si="11">A29+1</f>
        <v>13</v>
      </c>
      <c r="B30" s="4"/>
      <c r="C30" s="9" t="s">
        <v>63</v>
      </c>
      <c r="D30" s="6">
        <v>380</v>
      </c>
      <c r="F30" s="358">
        <f>'201710 Bk Depr'!R30</f>
        <v>0</v>
      </c>
      <c r="J30" s="358"/>
      <c r="L30" s="358">
        <f>'Cap&amp;OpEx 2017'!G26</f>
        <v>0</v>
      </c>
      <c r="N30" s="358"/>
      <c r="P30" s="358"/>
      <c r="R30" s="358">
        <f>L30+F30</f>
        <v>0</v>
      </c>
    </row>
    <row r="31" spans="1:18">
      <c r="A31" s="6">
        <f t="shared" si="11"/>
        <v>14</v>
      </c>
      <c r="B31" s="4"/>
      <c r="C31" s="4" t="s">
        <v>23</v>
      </c>
      <c r="F31" s="356">
        <f>SUM(F28:F30)</f>
        <v>903421.45</v>
      </c>
      <c r="J31" s="356">
        <f>SUM(J28:J30)</f>
        <v>0</v>
      </c>
      <c r="L31" s="356">
        <f>SUM(L28:L30)</f>
        <v>289061.25000000006</v>
      </c>
      <c r="N31" s="356">
        <f>SUM(N28:N30)</f>
        <v>0</v>
      </c>
      <c r="P31" s="356">
        <f>SUM(P28:P30)</f>
        <v>0</v>
      </c>
      <c r="R31" s="356">
        <f>SUM(R28:R30)</f>
        <v>1192482.7000000002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10 of 12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80" zoomScaleNormal="80" workbookViewId="0"/>
  </sheetViews>
  <sheetFormatPr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28515625" style="6" customWidth="1"/>
    <col min="6" max="6" width="15.7109375" style="4" customWidth="1"/>
    <col min="7" max="7" width="1.28515625" style="6" customWidth="1"/>
    <col min="8" max="8" width="9.85546875" style="4" customWidth="1"/>
    <col min="9" max="9" width="1.28515625" style="6" customWidth="1"/>
    <col min="10" max="10" width="12.5703125" style="4" bestFit="1" customWidth="1"/>
    <col min="11" max="11" width="1.28515625" style="6" customWidth="1"/>
    <col min="12" max="12" width="14.85546875" style="4" bestFit="1" customWidth="1"/>
    <col min="13" max="13" width="1.28515625" style="6" customWidth="1"/>
    <col min="14" max="14" width="16.7109375" style="4" customWidth="1"/>
    <col min="15" max="15" width="1.28515625" style="6" customWidth="1"/>
    <col min="16" max="16" width="16" style="4" bestFit="1" customWidth="1"/>
    <col min="17" max="17" width="1.28515625" style="6" customWidth="1"/>
    <col min="18" max="18" width="15.85546875" style="4" customWidth="1"/>
    <col min="19" max="16384" width="9.140625" style="4"/>
  </cols>
  <sheetData>
    <row r="1" spans="1:18" ht="18.75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8.75">
      <c r="A3" s="193" t="s">
        <v>229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>
      <c r="A5" s="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18">
      <c r="C7" s="12"/>
      <c r="D7" s="12"/>
      <c r="E7" s="12"/>
      <c r="F7" s="12" t="s">
        <v>8</v>
      </c>
      <c r="G7" s="12"/>
      <c r="H7" s="12" t="s">
        <v>169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482</v>
      </c>
      <c r="D13" s="6">
        <v>376</v>
      </c>
      <c r="F13" s="358">
        <f>'201711 Bk Depr'!R13</f>
        <v>4886438.08</v>
      </c>
      <c r="H13" s="1">
        <f>1.62%/12</f>
        <v>1.3500000000000003E-3</v>
      </c>
      <c r="J13" s="358">
        <f>F13*H13</f>
        <v>6596.6914080000015</v>
      </c>
      <c r="L13" s="358">
        <f>'Cap&amp;OpEx 2017'!H10</f>
        <v>267001.29999999993</v>
      </c>
      <c r="N13" s="358">
        <f>H13*L13*0.5</f>
        <v>180.2258775</v>
      </c>
      <c r="P13" s="358">
        <f>J13+N13</f>
        <v>6776.9172855000015</v>
      </c>
      <c r="R13" s="358">
        <f>L13+F13</f>
        <v>5153439.38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'201711 Bk Depr'!R14</f>
        <v>1323570.3700000001</v>
      </c>
      <c r="H14" s="1">
        <f>3.24%/12</f>
        <v>2.7000000000000006E-3</v>
      </c>
      <c r="J14" s="358">
        <f>F14*H14</f>
        <v>3573.6399990000009</v>
      </c>
      <c r="L14" s="358">
        <f>'Cap&amp;OpEx 2017'!H12</f>
        <v>293579.44999999995</v>
      </c>
      <c r="N14" s="358">
        <f>H14*L14*0.5</f>
        <v>396.33225750000003</v>
      </c>
      <c r="P14" s="358">
        <f>J14+N14</f>
        <v>3969.9722565000011</v>
      </c>
      <c r="R14" s="358">
        <f>L14+F14</f>
        <v>1617149.82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8">
        <f>'201711 Bk Depr'!R15</f>
        <v>6736682.8399999999</v>
      </c>
      <c r="H15" s="1">
        <f t="shared" ref="H15:H16" si="1">3.24%/12</f>
        <v>2.7000000000000006E-3</v>
      </c>
      <c r="J15" s="358">
        <f>F15*H15</f>
        <v>18189.043668000002</v>
      </c>
      <c r="L15" s="358">
        <f>'Cap&amp;OpEx 2017'!H13</f>
        <v>367164.8900000006</v>
      </c>
      <c r="N15" s="358">
        <f>H15*L15*0.5</f>
        <v>495.67260150000089</v>
      </c>
      <c r="P15" s="358">
        <f>J15+N15</f>
        <v>18684.716269500004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168</v>
      </c>
      <c r="D16" s="6">
        <v>380</v>
      </c>
      <c r="F16" s="358">
        <f>'201711 Bk Depr'!R16</f>
        <v>3063577.7</v>
      </c>
      <c r="H16" s="1">
        <f t="shared" si="1"/>
        <v>2.7000000000000006E-3</v>
      </c>
      <c r="J16" s="358">
        <f>F16*H16</f>
        <v>8271.6597900000015</v>
      </c>
      <c r="L16" s="358">
        <f>'Cap&amp;OpEx 2017'!H14</f>
        <v>743965.23999999987</v>
      </c>
      <c r="N16" s="358">
        <f>H16*L16*0.5</f>
        <v>1004.353074</v>
      </c>
      <c r="P16" s="358">
        <f>J16+N16</f>
        <v>9276.0128640000021</v>
      </c>
      <c r="R16" s="358">
        <f>L16+F16</f>
        <v>3807542.94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16010268.989999998</v>
      </c>
      <c r="J17" s="356">
        <f>SUM(J13:J16)</f>
        <v>36631.034865000009</v>
      </c>
      <c r="L17" s="356">
        <f>SUM(L13:L16)</f>
        <v>1671710.8800000004</v>
      </c>
      <c r="N17" s="356">
        <f>SUM(N13:N16)</f>
        <v>2076.5838105000007</v>
      </c>
      <c r="P17" s="356">
        <f>SUM(P13:P16)</f>
        <v>38707.618675500009</v>
      </c>
      <c r="R17" s="356">
        <f>SUM(R13:R16)</f>
        <v>17681979.870000001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482</v>
      </c>
      <c r="D20" s="6">
        <v>376</v>
      </c>
      <c r="F20" s="358">
        <f>'201711 Bk Depr'!R20</f>
        <v>0</v>
      </c>
      <c r="H20" s="1">
        <f>1.62%/12</f>
        <v>1.3500000000000003E-3</v>
      </c>
      <c r="J20" s="358">
        <f>F20*H20</f>
        <v>0</v>
      </c>
      <c r="L20" s="358">
        <f>'Cap&amp;OpEx 2017'!H17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'201711 Bk Depr'!R21</f>
        <v>0</v>
      </c>
      <c r="H21" s="1">
        <f>3.24%/12</f>
        <v>2.7000000000000006E-3</v>
      </c>
      <c r="J21" s="358">
        <f>F21*H21</f>
        <v>0</v>
      </c>
      <c r="L21" s="358">
        <f>'Cap&amp;OpEx 2017'!H18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8">
        <f>'201711 Bk Depr'!R22</f>
        <v>0</v>
      </c>
      <c r="H22" s="1">
        <f>3.24%/12</f>
        <v>2.7000000000000006E-3</v>
      </c>
      <c r="J22" s="358">
        <f>F22*H22</f>
        <v>0</v>
      </c>
      <c r="L22" s="358">
        <f>'Cap&amp;OpEx 2017'!H19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57">
        <f>F17+F23</f>
        <v>16010268.989999998</v>
      </c>
      <c r="J25" s="357">
        <f>J17+J23</f>
        <v>36631.034865000009</v>
      </c>
      <c r="L25" s="357">
        <f>L17+L23</f>
        <v>1671710.8800000004</v>
      </c>
      <c r="N25" s="357">
        <f>N17+N23</f>
        <v>2076.5838105000007</v>
      </c>
      <c r="P25" s="357">
        <f>P17+P23</f>
        <v>38707.618675500009</v>
      </c>
      <c r="R25" s="357">
        <f>R17+R23</f>
        <v>17681979.870000001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482</v>
      </c>
      <c r="D28" s="6">
        <v>376</v>
      </c>
      <c r="F28" s="358">
        <f>'201711 Bk Depr'!R28</f>
        <v>1042835.68</v>
      </c>
      <c r="J28" s="358"/>
      <c r="L28" s="358">
        <f>'Cap&amp;OpEx 2017'!H24</f>
        <v>413785.01999999996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'201711 Bk Depr'!R29</f>
        <v>149647.02000000002</v>
      </c>
      <c r="J29" s="358"/>
      <c r="L29" s="358">
        <f>'Cap&amp;OpEx 2017'!H25</f>
        <v>37449.410000000003</v>
      </c>
      <c r="N29" s="358"/>
      <c r="P29" s="358"/>
      <c r="R29" s="358">
        <f>L29+F29</f>
        <v>187096.43000000002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8">
        <f>'201711 Bk Depr'!R30</f>
        <v>0</v>
      </c>
      <c r="J30" s="358"/>
      <c r="L30" s="358">
        <f>'Cap&amp;OpEx 2017'!H26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1192482.7000000002</v>
      </c>
      <c r="J31" s="356">
        <f>SUM(J28:J30)</f>
        <v>0</v>
      </c>
      <c r="L31" s="356">
        <f>SUM(L28:L30)</f>
        <v>451234.42999999993</v>
      </c>
      <c r="N31" s="356">
        <f>SUM(N28:N30)</f>
        <v>0</v>
      </c>
      <c r="P31" s="356">
        <f>SUM(P28:P30)</f>
        <v>0</v>
      </c>
      <c r="R31" s="356">
        <f>SUM(R28:R30)</f>
        <v>1643717.13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11 of 12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"/>
  <sheetViews>
    <sheetView zoomScale="85" zoomScaleNormal="85" workbookViewId="0"/>
  </sheetViews>
  <sheetFormatPr defaultRowHeight="12.75"/>
  <cols>
    <col min="1" max="1" width="5.140625" style="49" customWidth="1"/>
    <col min="2" max="2" width="3.28515625" style="49" customWidth="1"/>
    <col min="3" max="3" width="11.7109375" style="49" customWidth="1"/>
    <col min="4" max="4" width="11.7109375" style="49" hidden="1" customWidth="1"/>
    <col min="5" max="5" width="1.28515625" style="49" customWidth="1"/>
    <col min="6" max="6" width="6.140625" style="49" bestFit="1" customWidth="1"/>
    <col min="7" max="9" width="13.7109375" style="49" bestFit="1" customWidth="1"/>
    <col min="10" max="10" width="13.7109375" style="49" customWidth="1"/>
    <col min="11" max="11" width="12.140625" style="49" customWidth="1"/>
    <col min="12" max="12" width="14.28515625" style="49" bestFit="1" customWidth="1"/>
    <col min="13" max="13" width="15" style="49" bestFit="1" customWidth="1"/>
    <col min="14" max="14" width="13.7109375" style="49" bestFit="1" customWidth="1"/>
    <col min="15" max="15" width="14.42578125" style="49" bestFit="1" customWidth="1"/>
    <col min="16" max="16" width="13.7109375" style="49" bestFit="1" customWidth="1"/>
    <col min="17" max="17" width="11.140625" style="49" customWidth="1"/>
    <col min="18" max="18" width="10.85546875" style="49" customWidth="1"/>
    <col min="19" max="19" width="11.42578125" style="49" customWidth="1"/>
    <col min="20" max="20" width="11.140625" style="49" customWidth="1"/>
    <col min="21" max="21" width="14.85546875" style="49" customWidth="1"/>
    <col min="22" max="22" width="12" style="49" customWidth="1"/>
    <col min="23" max="23" width="9.140625" style="49"/>
    <col min="24" max="24" width="13.7109375" style="49" customWidth="1"/>
    <col min="25" max="27" width="9.140625" style="49"/>
    <col min="28" max="28" width="11.85546875" style="49" customWidth="1"/>
    <col min="29" max="16384" width="9.140625" style="49"/>
  </cols>
  <sheetData>
    <row r="1" spans="1:29" ht="18.75">
      <c r="A1" s="188" t="s">
        <v>67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9" ht="18.75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1:29" ht="18.75">
      <c r="A3" s="188" t="s">
        <v>76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</row>
    <row r="4" spans="1:29">
      <c r="A4" s="50"/>
    </row>
    <row r="6" spans="1:29">
      <c r="A6" s="51"/>
      <c r="B6" s="51"/>
      <c r="C6" s="51"/>
      <c r="D6" s="51" t="s">
        <v>24</v>
      </c>
      <c r="E6" s="51"/>
      <c r="F6" s="51"/>
      <c r="G6" s="51"/>
      <c r="H6" s="51"/>
      <c r="I6" s="51"/>
      <c r="J6" s="51"/>
      <c r="K6" s="51"/>
      <c r="L6" s="51"/>
      <c r="M6" s="150"/>
      <c r="N6" s="51"/>
      <c r="O6" s="51"/>
      <c r="P6" s="51"/>
      <c r="Q6" s="51"/>
      <c r="R6" s="51"/>
      <c r="S6" s="51"/>
      <c r="T6" s="51"/>
      <c r="U6" s="51"/>
    </row>
    <row r="7" spans="1:29" ht="25.5">
      <c r="A7" s="51"/>
      <c r="B7" s="51"/>
      <c r="C7" s="52" t="s">
        <v>197</v>
      </c>
      <c r="D7" s="51" t="s">
        <v>25</v>
      </c>
      <c r="E7" s="51"/>
      <c r="F7" s="51"/>
      <c r="G7" s="51">
        <v>2012</v>
      </c>
      <c r="H7" s="51">
        <v>2013</v>
      </c>
      <c r="I7" s="51">
        <v>2014</v>
      </c>
      <c r="J7" s="51">
        <v>2015</v>
      </c>
      <c r="K7" s="51">
        <v>2016</v>
      </c>
      <c r="L7" s="51">
        <v>2017</v>
      </c>
      <c r="M7" s="51"/>
      <c r="N7" s="51" t="s">
        <v>35</v>
      </c>
      <c r="O7" s="51"/>
      <c r="P7" s="51"/>
      <c r="Q7" s="52" t="s">
        <v>187</v>
      </c>
      <c r="R7" s="52" t="s">
        <v>188</v>
      </c>
      <c r="S7" s="52" t="s">
        <v>193</v>
      </c>
      <c r="T7" s="52" t="s">
        <v>195</v>
      </c>
      <c r="U7" s="51" t="s">
        <v>41</v>
      </c>
      <c r="V7" s="52" t="s">
        <v>169</v>
      </c>
      <c r="W7" s="52"/>
      <c r="X7" s="52" t="s">
        <v>251</v>
      </c>
    </row>
    <row r="8" spans="1:29">
      <c r="A8" s="51" t="s">
        <v>4</v>
      </c>
      <c r="B8" s="51"/>
      <c r="C8" s="51" t="s">
        <v>26</v>
      </c>
      <c r="D8" s="51" t="s">
        <v>26</v>
      </c>
      <c r="E8" s="51"/>
      <c r="F8" s="51"/>
      <c r="G8" s="51" t="s">
        <v>28</v>
      </c>
      <c r="H8" s="51" t="s">
        <v>29</v>
      </c>
      <c r="I8" s="51" t="s">
        <v>30</v>
      </c>
      <c r="J8" s="51" t="s">
        <v>31</v>
      </c>
      <c r="K8" s="51" t="s">
        <v>32</v>
      </c>
      <c r="L8" s="51" t="s">
        <v>33</v>
      </c>
      <c r="M8" s="51" t="s">
        <v>34</v>
      </c>
      <c r="N8" s="51" t="s">
        <v>36</v>
      </c>
      <c r="O8" s="51" t="s">
        <v>38</v>
      </c>
      <c r="P8" s="51"/>
      <c r="Q8" s="51" t="s">
        <v>34</v>
      </c>
      <c r="R8" s="51" t="s">
        <v>34</v>
      </c>
      <c r="S8" s="51" t="s">
        <v>194</v>
      </c>
      <c r="T8" s="51" t="s">
        <v>196</v>
      </c>
      <c r="U8" s="51" t="s">
        <v>40</v>
      </c>
      <c r="V8" s="51" t="s">
        <v>252</v>
      </c>
      <c r="W8" s="51" t="s">
        <v>169</v>
      </c>
      <c r="X8" s="51" t="s">
        <v>40</v>
      </c>
    </row>
    <row r="9" spans="1:29">
      <c r="A9" s="82" t="s">
        <v>5</v>
      </c>
      <c r="B9" s="82"/>
      <c r="C9" s="82" t="s">
        <v>2</v>
      </c>
      <c r="D9" s="82" t="s">
        <v>2</v>
      </c>
      <c r="E9" s="82"/>
      <c r="F9" s="82" t="s">
        <v>108</v>
      </c>
      <c r="G9" s="82" t="s">
        <v>20</v>
      </c>
      <c r="H9" s="82" t="s">
        <v>20</v>
      </c>
      <c r="I9" s="82" t="s">
        <v>20</v>
      </c>
      <c r="J9" s="82" t="s">
        <v>20</v>
      </c>
      <c r="K9" s="82" t="s">
        <v>20</v>
      </c>
      <c r="L9" s="82" t="s">
        <v>20</v>
      </c>
      <c r="M9" s="82" t="s">
        <v>0</v>
      </c>
      <c r="N9" s="82" t="s">
        <v>37</v>
      </c>
      <c r="O9" s="82" t="s">
        <v>0</v>
      </c>
      <c r="P9" s="82" t="s">
        <v>39</v>
      </c>
      <c r="Q9" s="53" t="s">
        <v>189</v>
      </c>
      <c r="R9" s="53" t="s">
        <v>192</v>
      </c>
      <c r="S9" s="53" t="s">
        <v>189</v>
      </c>
      <c r="T9" s="53" t="s">
        <v>12</v>
      </c>
      <c r="U9" s="82" t="s">
        <v>42</v>
      </c>
      <c r="V9" s="53" t="s">
        <v>253</v>
      </c>
      <c r="W9" s="53" t="s">
        <v>254</v>
      </c>
      <c r="X9" s="86" t="s">
        <v>42</v>
      </c>
    </row>
    <row r="10" spans="1:29">
      <c r="C10" s="54"/>
      <c r="D10" s="54" t="s">
        <v>71</v>
      </c>
      <c r="E10" s="55"/>
      <c r="F10" s="55"/>
      <c r="G10" s="55"/>
      <c r="H10" s="55"/>
      <c r="I10" s="55"/>
      <c r="J10" s="55"/>
      <c r="K10" s="55"/>
      <c r="L10" s="55"/>
    </row>
    <row r="11" spans="1:29">
      <c r="A11" s="49">
        <v>1</v>
      </c>
      <c r="C11" s="54" t="s">
        <v>70</v>
      </c>
      <c r="D11" s="56"/>
      <c r="G11" s="28"/>
      <c r="H11" s="28"/>
      <c r="I11" s="28"/>
      <c r="J11" s="28"/>
      <c r="K11" s="28"/>
      <c r="L11" s="28">
        <f>SUM('Capital Budget 2017'!K20:P20)-L12-L13</f>
        <v>8436780.1900000013</v>
      </c>
    </row>
    <row r="12" spans="1:29">
      <c r="A12" s="49">
        <v>2</v>
      </c>
      <c r="C12" s="54" t="s">
        <v>74</v>
      </c>
      <c r="D12" s="56"/>
      <c r="G12" s="28"/>
      <c r="H12" s="28"/>
      <c r="I12" s="28"/>
      <c r="J12" s="28"/>
      <c r="K12" s="28"/>
      <c r="L12" s="28">
        <f>SUM('Capital Budget 2017'!K5:P10,'Capital Budget 2017'!K14:P14,'Capital Budget 2017'!K16:P19)</f>
        <v>4437818.49</v>
      </c>
    </row>
    <row r="13" spans="1:29">
      <c r="A13" s="49">
        <v>3</v>
      </c>
      <c r="C13" s="54" t="s">
        <v>191</v>
      </c>
      <c r="D13" s="56"/>
      <c r="G13" s="28"/>
      <c r="H13" s="28"/>
      <c r="I13" s="28"/>
      <c r="J13" s="28"/>
      <c r="K13" s="28"/>
      <c r="L13" s="28">
        <f>SUM('Capital Budget 2017'!K11:P13,'Capital Budget 2017'!K15:P15)*0.5</f>
        <v>4807381.1899999995</v>
      </c>
    </row>
    <row r="14" spans="1:29">
      <c r="C14" s="56"/>
      <c r="G14" s="28"/>
      <c r="I14" s="28"/>
      <c r="Z14" s="47"/>
      <c r="AA14" s="47"/>
      <c r="AB14" s="47"/>
      <c r="AC14" s="47"/>
    </row>
    <row r="15" spans="1:29">
      <c r="G15" s="192" t="s">
        <v>43</v>
      </c>
      <c r="H15" s="192"/>
      <c r="I15" s="192"/>
      <c r="J15" s="192"/>
      <c r="K15" s="192"/>
      <c r="L15" s="192"/>
      <c r="M15" s="192"/>
      <c r="N15" s="192"/>
      <c r="Z15" s="47"/>
      <c r="AA15" s="47"/>
      <c r="AB15" s="47"/>
      <c r="AC15" s="47"/>
    </row>
    <row r="16" spans="1:29">
      <c r="T16" s="28"/>
      <c r="U16" s="28"/>
      <c r="X16" s="28">
        <f>U16</f>
        <v>0</v>
      </c>
      <c r="Z16" s="47"/>
      <c r="AA16" s="47"/>
      <c r="AB16" s="47"/>
      <c r="AC16" s="47"/>
    </row>
    <row r="17" spans="1:29">
      <c r="A17" s="49">
        <f>A13+1</f>
        <v>4</v>
      </c>
      <c r="C17" s="58">
        <v>3.7499999999999999E-2</v>
      </c>
      <c r="D17" s="58">
        <v>0.05</v>
      </c>
      <c r="F17" s="49">
        <v>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>
        <f>U17-U16</f>
        <v>0</v>
      </c>
      <c r="W17" s="88"/>
      <c r="X17" s="28">
        <f>X16+V17*335/365</f>
        <v>0</v>
      </c>
      <c r="Z17" s="47"/>
      <c r="AA17" s="47"/>
      <c r="AB17" s="48"/>
      <c r="AC17" s="47"/>
    </row>
    <row r="18" spans="1:29">
      <c r="A18" s="49">
        <f>A17+1</f>
        <v>5</v>
      </c>
      <c r="C18" s="58">
        <v>7.2190000000000004E-2</v>
      </c>
      <c r="D18" s="58">
        <v>9.5000000000000001E-2</v>
      </c>
      <c r="F18" s="49">
        <v>2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>
        <f t="shared" ref="V18:V28" si="0">U18-U17</f>
        <v>0</v>
      </c>
      <c r="W18" s="88"/>
      <c r="X18" s="28">
        <f>X17+V18*307/365</f>
        <v>0</v>
      </c>
      <c r="Z18" s="47"/>
      <c r="AA18" s="47"/>
      <c r="AB18" s="48"/>
      <c r="AC18" s="47"/>
    </row>
    <row r="19" spans="1:29">
      <c r="A19" s="49">
        <f t="shared" ref="A19:A44" si="1">A18+1</f>
        <v>6</v>
      </c>
      <c r="C19" s="58">
        <v>6.6769999999999996E-2</v>
      </c>
      <c r="D19" s="58">
        <v>8.5500000000000007E-2</v>
      </c>
      <c r="F19" s="49">
        <v>3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>
        <f t="shared" si="0"/>
        <v>0</v>
      </c>
      <c r="W19" s="88"/>
      <c r="X19" s="28">
        <f>X18+V19*276/365</f>
        <v>0</v>
      </c>
      <c r="Z19" s="47"/>
      <c r="AA19" s="47"/>
      <c r="AB19" s="48"/>
      <c r="AC19" s="47"/>
    </row>
    <row r="20" spans="1:29">
      <c r="A20" s="49">
        <f t="shared" si="1"/>
        <v>7</v>
      </c>
      <c r="C20" s="58">
        <v>6.1769999999999999E-2</v>
      </c>
      <c r="D20" s="58">
        <v>7.6999999999999999E-2</v>
      </c>
      <c r="F20" s="49">
        <v>4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>
        <f t="shared" si="0"/>
        <v>0</v>
      </c>
      <c r="W20" s="88"/>
      <c r="X20" s="28">
        <f>X19+V20*246/365</f>
        <v>0</v>
      </c>
      <c r="Z20" s="47"/>
      <c r="AA20" s="148"/>
      <c r="AB20" s="48"/>
      <c r="AC20" s="47"/>
    </row>
    <row r="21" spans="1:29">
      <c r="A21" s="49">
        <f t="shared" si="1"/>
        <v>8</v>
      </c>
      <c r="C21" s="58">
        <v>5.713E-2</v>
      </c>
      <c r="D21" s="58">
        <v>6.93E-2</v>
      </c>
      <c r="F21" s="49">
        <v>5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>
        <f t="shared" si="0"/>
        <v>0</v>
      </c>
      <c r="W21" s="88"/>
      <c r="X21" s="28">
        <f>X20+V21*215/365</f>
        <v>0</v>
      </c>
      <c r="Z21" s="47"/>
      <c r="AA21" s="47"/>
      <c r="AB21" s="48"/>
      <c r="AC21" s="47"/>
    </row>
    <row r="22" spans="1:29">
      <c r="A22" s="49">
        <f t="shared" si="1"/>
        <v>9</v>
      </c>
      <c r="C22" s="58">
        <v>5.2850000000000001E-2</v>
      </c>
      <c r="D22" s="58">
        <v>6.2300000000000001E-2</v>
      </c>
      <c r="F22" s="49">
        <v>6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>
        <f t="shared" si="0"/>
        <v>0</v>
      </c>
      <c r="W22" s="88"/>
      <c r="X22" s="28">
        <f>X21+V22*185/365</f>
        <v>0</v>
      </c>
      <c r="Z22" s="47"/>
      <c r="AA22" s="47"/>
      <c r="AB22" s="47"/>
      <c r="AC22" s="47"/>
    </row>
    <row r="23" spans="1:29">
      <c r="A23" s="49">
        <f t="shared" si="1"/>
        <v>10</v>
      </c>
      <c r="C23" s="58">
        <v>4.888E-2</v>
      </c>
      <c r="D23" s="58">
        <v>5.8999999999999997E-2</v>
      </c>
      <c r="F23" s="49">
        <v>7</v>
      </c>
      <c r="G23" s="28"/>
      <c r="H23" s="28"/>
      <c r="I23" s="28"/>
      <c r="J23" s="28"/>
      <c r="K23" s="28"/>
      <c r="L23" s="403">
        <f>(('201707 Bk Depr'!$L$17-SUM('Capital Budget 2017'!K$5:K$10,'Capital Budget 2017'!K$16:K$19)-(1/6*L13))*$C$17)+SUM('Capital Budget 2017'!K$5:K$10,'Capital Budget 2017'!K$16:K$19)+(1/6*L13)</f>
        <v>1613880.4175208332</v>
      </c>
      <c r="M23" s="28">
        <f t="shared" ref="M23:M28" si="2">SUM(G23:L23)</f>
        <v>1613880.4175208332</v>
      </c>
      <c r="N23" s="28">
        <f>'201707 Bk Depr'!L$31</f>
        <v>221050.71000000002</v>
      </c>
      <c r="O23" s="28">
        <f>'201707 Bk Depr'!P$17</f>
        <v>3483.0979357500009</v>
      </c>
      <c r="P23" s="28">
        <f t="shared" ref="P23:P28" si="3">M23+N23-O23</f>
        <v>1831448.0295850832</v>
      </c>
      <c r="Q23" s="28">
        <f t="shared" ref="Q23:Q28" si="4">P23*0.35</f>
        <v>641006.81035477913</v>
      </c>
      <c r="R23" s="28">
        <f t="shared" ref="R23:R28" si="5">Q71</f>
        <v>63615.83782135501</v>
      </c>
      <c r="S23" s="28">
        <f t="shared" ref="S23:S28" si="6">-R23*0.35</f>
        <v>-22265.543237474252</v>
      </c>
      <c r="T23" s="28"/>
      <c r="U23" s="28">
        <f t="shared" ref="U23:U28" si="7">U22+Q23+R23+S23+T23</f>
        <v>682357.10493865982</v>
      </c>
      <c r="V23" s="28">
        <f t="shared" si="0"/>
        <v>682357.10493865982</v>
      </c>
      <c r="W23" s="88" t="s">
        <v>267</v>
      </c>
      <c r="X23" s="28">
        <f>X22+V23*154/184</f>
        <v>571103.22913344356</v>
      </c>
      <c r="Z23" s="47"/>
      <c r="AA23" s="47"/>
      <c r="AB23" s="47"/>
      <c r="AC23" s="47"/>
    </row>
    <row r="24" spans="1:29">
      <c r="A24" s="49">
        <f t="shared" si="1"/>
        <v>11</v>
      </c>
      <c r="C24" s="58">
        <v>4.5220000000000003E-2</v>
      </c>
      <c r="D24" s="58">
        <v>5.8999999999999997E-2</v>
      </c>
      <c r="F24" s="49">
        <v>8</v>
      </c>
      <c r="G24" s="28"/>
      <c r="H24" s="28"/>
      <c r="I24" s="28"/>
      <c r="J24" s="28"/>
      <c r="K24" s="28"/>
      <c r="L24" s="403">
        <f>(('201708 Bk Depr'!$L$17-SUM('Capital Budget 2017'!L$5:L$10,'Capital Budget 2017'!L$16:L$19)-(1/6*L13))*$C$17)+SUM('Capital Budget 2017'!L$5:L$10,'Capital Budget 2017'!L$16:L$19)+(1/6*L13)</f>
        <v>1723348.1978958333</v>
      </c>
      <c r="M24" s="28">
        <f t="shared" si="2"/>
        <v>1723348.1978958333</v>
      </c>
      <c r="N24" s="28">
        <f>'201708 Bk Depr'!L$31</f>
        <v>133549.94</v>
      </c>
      <c r="O24" s="28">
        <f>'201708 Bk Depr'!P$17</f>
        <v>38140.872064250005</v>
      </c>
      <c r="P24" s="28">
        <f t="shared" si="3"/>
        <v>1818757.2658315832</v>
      </c>
      <c r="Q24" s="28">
        <f t="shared" si="4"/>
        <v>636565.04304105404</v>
      </c>
      <c r="R24" s="28">
        <f t="shared" si="5"/>
        <v>62854.391996145001</v>
      </c>
      <c r="S24" s="28">
        <f t="shared" si="6"/>
        <v>-21999.037198650749</v>
      </c>
      <c r="T24" s="28"/>
      <c r="U24" s="28">
        <f t="shared" si="7"/>
        <v>1359777.5027772083</v>
      </c>
      <c r="V24" s="28">
        <f t="shared" si="0"/>
        <v>677420.39783854852</v>
      </c>
      <c r="W24" s="88" t="s">
        <v>266</v>
      </c>
      <c r="X24" s="28">
        <f>X23+V24*123/184</f>
        <v>1023944.0385581255</v>
      </c>
      <c r="Z24" s="149"/>
      <c r="AA24" s="47"/>
      <c r="AB24" s="47"/>
      <c r="AC24" s="47"/>
    </row>
    <row r="25" spans="1:29">
      <c r="A25" s="49">
        <f t="shared" si="1"/>
        <v>12</v>
      </c>
      <c r="C25" s="58">
        <v>4.462E-2</v>
      </c>
      <c r="D25" s="58">
        <v>5.91E-2</v>
      </c>
      <c r="F25" s="49">
        <v>9</v>
      </c>
      <c r="G25" s="28"/>
      <c r="H25" s="28"/>
      <c r="I25" s="28"/>
      <c r="J25" s="28"/>
      <c r="K25" s="28"/>
      <c r="L25" s="151">
        <f>(('201709 Bk Depr'!$L$17-SUM('Capital Budget 2017'!M$5:M$10,'Capital Budget 2017'!M$16:M$19)-(1/6*L13))*$C$17)+SUM('Capital Budget 2017'!M$5:M$10,'Capital Budget 2017'!M$16:M$19)+(1/6*L13)</f>
        <v>1878248.2566458334</v>
      </c>
      <c r="M25" s="28">
        <f t="shared" si="2"/>
        <v>1878248.2566458334</v>
      </c>
      <c r="N25" s="28">
        <f>'201709 Bk Depr'!L$31</f>
        <v>147667.01999999999</v>
      </c>
      <c r="O25" s="28">
        <f>'201709 Bk Depr'!P$17</f>
        <v>18403.232751000003</v>
      </c>
      <c r="P25" s="28">
        <f t="shared" si="3"/>
        <v>2007512.0438948334</v>
      </c>
      <c r="Q25" s="28">
        <f t="shared" si="4"/>
        <v>702629.21536319167</v>
      </c>
      <c r="R25" s="28">
        <f t="shared" si="5"/>
        <v>74179.67867994</v>
      </c>
      <c r="S25" s="28">
        <f t="shared" si="6"/>
        <v>-25962.887537978997</v>
      </c>
      <c r="T25" s="28"/>
      <c r="U25" s="28">
        <f t="shared" si="7"/>
        <v>2110623.5092823608</v>
      </c>
      <c r="V25" s="28">
        <f t="shared" si="0"/>
        <v>750846.00650515244</v>
      </c>
      <c r="W25" s="88" t="s">
        <v>265</v>
      </c>
      <c r="X25" s="28">
        <f>X24+V25*93/184</f>
        <v>1403447.7266286644</v>
      </c>
    </row>
    <row r="26" spans="1:29">
      <c r="A26" s="49">
        <f t="shared" si="1"/>
        <v>13</v>
      </c>
      <c r="C26" s="58">
        <v>4.4609999999999997E-2</v>
      </c>
      <c r="D26" s="58">
        <v>5.8999999999999997E-2</v>
      </c>
      <c r="F26" s="49">
        <v>10</v>
      </c>
      <c r="G26" s="28"/>
      <c r="H26" s="28"/>
      <c r="I26" s="28"/>
      <c r="J26" s="28"/>
      <c r="K26" s="28"/>
      <c r="L26" s="151">
        <f>(('201710 Bk Depr'!$L$17-SUM('Capital Budget 2017'!N$5:N$10,'Capital Budget 2017'!N$16:N$19)-(1/6*L13))*$C$17)+SUM('Capital Budget 2017'!N$5:N$10,'Capital Budget 2017'!N$16:N$19)+(1/6*L13)</f>
        <v>1426952.0940208333</v>
      </c>
      <c r="M26" s="28">
        <f t="shared" si="2"/>
        <v>1426952.0940208333</v>
      </c>
      <c r="N26" s="28">
        <f>'201710 Bk Depr'!L$31</f>
        <v>401153.78</v>
      </c>
      <c r="O26" s="28">
        <f>'201710 Bk Depr'!P$17</f>
        <v>26123.708702250005</v>
      </c>
      <c r="P26" s="28">
        <f t="shared" si="3"/>
        <v>1801982.1653185834</v>
      </c>
      <c r="Q26" s="28">
        <f t="shared" si="4"/>
        <v>630693.7578615041</v>
      </c>
      <c r="R26" s="28">
        <f t="shared" si="5"/>
        <v>61847.885965364992</v>
      </c>
      <c r="S26" s="28">
        <f t="shared" si="6"/>
        <v>-21646.760087877745</v>
      </c>
      <c r="T26" s="28"/>
      <c r="U26" s="28">
        <f t="shared" si="7"/>
        <v>2781518.3930213526</v>
      </c>
      <c r="V26" s="28">
        <f t="shared" si="0"/>
        <v>670894.8837389918</v>
      </c>
      <c r="W26" s="88" t="s">
        <v>264</v>
      </c>
      <c r="X26" s="28">
        <f>X25+V26*62/184</f>
        <v>1629510.1331059334</v>
      </c>
    </row>
    <row r="27" spans="1:29">
      <c r="A27" s="49">
        <f t="shared" si="1"/>
        <v>14</v>
      </c>
      <c r="C27" s="58">
        <v>4.462E-2</v>
      </c>
      <c r="D27" s="58">
        <v>5.91E-2</v>
      </c>
      <c r="F27" s="49">
        <v>11</v>
      </c>
      <c r="G27" s="28"/>
      <c r="H27" s="28"/>
      <c r="I27" s="28"/>
      <c r="J27" s="28"/>
      <c r="K27" s="28"/>
      <c r="L27" s="151">
        <f>(('201711 Bk Depr'!$L$17-SUM('Capital Budget 2017'!O$5:O$10,'Capital Budget 2017'!O$16:O$19)-(1/6*L13))*$C$17)+SUM('Capital Budget 2017'!O$5:O$10,'Capital Budget 2017'!O$16:O$19)+(1/6*L13)</f>
        <v>1253329.2557708332</v>
      </c>
      <c r="M27" s="28">
        <f t="shared" si="2"/>
        <v>1253329.2557708332</v>
      </c>
      <c r="N27" s="28">
        <f>'201711 Bk Depr'!L$31</f>
        <v>289061.25000000006</v>
      </c>
      <c r="O27" s="28">
        <f>'201711 Bk Depr'!P$17</f>
        <v>33526.663026750008</v>
      </c>
      <c r="P27" s="28">
        <f t="shared" si="3"/>
        <v>1508863.8427440831</v>
      </c>
      <c r="Q27" s="28">
        <f t="shared" si="4"/>
        <v>528102.34496042912</v>
      </c>
      <c r="R27" s="28">
        <f t="shared" si="5"/>
        <v>44260.786610894997</v>
      </c>
      <c r="S27" s="28">
        <f t="shared" si="6"/>
        <v>-15491.275313813248</v>
      </c>
      <c r="T27" s="28"/>
      <c r="U27" s="28">
        <f t="shared" si="7"/>
        <v>3338390.2492788634</v>
      </c>
      <c r="V27" s="28">
        <f t="shared" si="0"/>
        <v>556871.85625751084</v>
      </c>
      <c r="W27" s="88" t="s">
        <v>263</v>
      </c>
      <c r="X27" s="28">
        <f>X26+V27*32/184</f>
        <v>1726357.4124550656</v>
      </c>
    </row>
    <row r="28" spans="1:29">
      <c r="A28" s="49">
        <f t="shared" si="1"/>
        <v>15</v>
      </c>
      <c r="C28" s="58">
        <v>4.4609999999999997E-2</v>
      </c>
      <c r="D28" s="58">
        <v>5.8999999999999997E-2</v>
      </c>
      <c r="F28" s="49">
        <v>12</v>
      </c>
      <c r="G28" s="28"/>
      <c r="H28" s="28"/>
      <c r="I28" s="28"/>
      <c r="J28" s="28"/>
      <c r="K28" s="28"/>
      <c r="L28" s="151">
        <f>(('201712 Bk Depr'!$L$17-SUM('Capital Budget 2017'!P$5:P$10,'Capital Budget 2017'!P$16:P$19)-(1/6*L13))*$C$17)+SUM('Capital Budget 2017'!P$5:P$10,'Capital Budget 2017'!P$16:P$19)+(1/6*L13)</f>
        <v>1447053.5705208331</v>
      </c>
      <c r="M28" s="28">
        <f t="shared" si="2"/>
        <v>1447053.5705208331</v>
      </c>
      <c r="N28" s="28">
        <f>'201712 Bk Depr'!L$31</f>
        <v>451234.42999999993</v>
      </c>
      <c r="O28" s="28">
        <f>'201712 Bk Depr'!P$17</f>
        <v>38707.618675500009</v>
      </c>
      <c r="P28" s="28">
        <f t="shared" si="3"/>
        <v>1859580.3818453331</v>
      </c>
      <c r="Q28" s="28">
        <f t="shared" si="4"/>
        <v>650853.13364586653</v>
      </c>
      <c r="R28" s="28">
        <f t="shared" si="5"/>
        <v>65303.778956970003</v>
      </c>
      <c r="S28" s="28">
        <f t="shared" si="6"/>
        <v>-22856.322634939501</v>
      </c>
      <c r="T28" s="28"/>
      <c r="U28" s="28">
        <f t="shared" si="7"/>
        <v>4031690.8392467606</v>
      </c>
      <c r="V28" s="28">
        <f t="shared" si="0"/>
        <v>693300.58996789716</v>
      </c>
      <c r="W28" s="88" t="s">
        <v>262</v>
      </c>
      <c r="X28" s="28">
        <f>X27+V28*1/184</f>
        <v>1730125.3504440216</v>
      </c>
    </row>
    <row r="29" spans="1:29">
      <c r="A29" s="49">
        <f t="shared" si="1"/>
        <v>16</v>
      </c>
      <c r="C29" s="58">
        <v>4.462E-2</v>
      </c>
      <c r="D29" s="58">
        <v>5.91E-2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 t="str">
        <f t="shared" ref="T29:T43" si="8">IF(S29="","",S29*0.389)</f>
        <v/>
      </c>
      <c r="U29" s="59"/>
      <c r="X29" s="28"/>
    </row>
    <row r="30" spans="1:29">
      <c r="A30" s="49">
        <f t="shared" si="1"/>
        <v>17</v>
      </c>
      <c r="C30" s="58">
        <v>4.4609999999999997E-2</v>
      </c>
      <c r="D30" s="58">
        <v>5.8999999999999997E-2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 t="str">
        <f t="shared" si="8"/>
        <v/>
      </c>
      <c r="U30" s="28" t="str">
        <f t="shared" ref="U30:U43" si="9">IF(Q30="","",U29+Q30)</f>
        <v/>
      </c>
    </row>
    <row r="31" spans="1:29">
      <c r="A31" s="49">
        <f t="shared" si="1"/>
        <v>18</v>
      </c>
      <c r="C31" s="58">
        <v>4.462E-2</v>
      </c>
      <c r="D31" s="58">
        <v>5.91E-2</v>
      </c>
      <c r="G31" s="28"/>
      <c r="H31" s="5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 t="str">
        <f t="shared" si="8"/>
        <v/>
      </c>
      <c r="U31" s="28" t="str">
        <f t="shared" si="9"/>
        <v/>
      </c>
    </row>
    <row r="32" spans="1:29">
      <c r="A32" s="49">
        <f t="shared" si="1"/>
        <v>19</v>
      </c>
      <c r="C32" s="58">
        <v>4.4609999999999997E-2</v>
      </c>
      <c r="D32" s="58">
        <v>2.9499999999999998E-2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 t="str">
        <f t="shared" si="8"/>
        <v/>
      </c>
      <c r="U32" s="28" t="str">
        <f t="shared" si="9"/>
        <v/>
      </c>
    </row>
    <row r="33" spans="1:21">
      <c r="A33" s="49">
        <f t="shared" si="1"/>
        <v>20</v>
      </c>
      <c r="C33" s="58">
        <v>4.462E-2</v>
      </c>
      <c r="D33" s="58"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 t="str">
        <f t="shared" si="8"/>
        <v/>
      </c>
      <c r="U33" s="28" t="str">
        <f t="shared" si="9"/>
        <v/>
      </c>
    </row>
    <row r="34" spans="1:21">
      <c r="A34" s="49">
        <f t="shared" si="1"/>
        <v>21</v>
      </c>
      <c r="C34" s="58">
        <v>4.4609999999999997E-2</v>
      </c>
      <c r="D34" s="58"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 t="str">
        <f t="shared" si="8"/>
        <v/>
      </c>
      <c r="U34" s="28" t="str">
        <f t="shared" si="9"/>
        <v/>
      </c>
    </row>
    <row r="35" spans="1:21">
      <c r="A35" s="49">
        <f t="shared" si="1"/>
        <v>22</v>
      </c>
      <c r="C35" s="58">
        <v>4.462E-2</v>
      </c>
      <c r="D35" s="58"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 t="str">
        <f t="shared" si="8"/>
        <v/>
      </c>
      <c r="U35" s="28" t="str">
        <f t="shared" si="9"/>
        <v/>
      </c>
    </row>
    <row r="36" spans="1:21">
      <c r="A36" s="49">
        <f t="shared" si="1"/>
        <v>23</v>
      </c>
      <c r="C36" s="58">
        <v>4.4609999999999997E-2</v>
      </c>
      <c r="D36" s="58"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 t="str">
        <f t="shared" si="8"/>
        <v/>
      </c>
      <c r="U36" s="28" t="str">
        <f t="shared" si="9"/>
        <v/>
      </c>
    </row>
    <row r="37" spans="1:21">
      <c r="A37" s="49">
        <f t="shared" si="1"/>
        <v>24</v>
      </c>
      <c r="C37" s="58">
        <v>2.231E-2</v>
      </c>
      <c r="D37" s="58"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 t="str">
        <f t="shared" si="8"/>
        <v/>
      </c>
      <c r="U37" s="28" t="str">
        <f t="shared" si="9"/>
        <v/>
      </c>
    </row>
    <row r="38" spans="1:21">
      <c r="A38" s="49">
        <f t="shared" si="1"/>
        <v>25</v>
      </c>
      <c r="C38" s="58">
        <v>0</v>
      </c>
      <c r="D38" s="58"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 t="str">
        <f t="shared" si="8"/>
        <v/>
      </c>
      <c r="U38" s="28" t="str">
        <f t="shared" si="9"/>
        <v/>
      </c>
    </row>
    <row r="39" spans="1:21">
      <c r="A39" s="49">
        <f t="shared" si="1"/>
        <v>26</v>
      </c>
      <c r="C39" s="58">
        <v>0</v>
      </c>
      <c r="I39" s="28"/>
      <c r="J39" s="28"/>
      <c r="K39" s="28"/>
      <c r="L39" s="28"/>
      <c r="M39" s="28"/>
      <c r="P39" s="28"/>
      <c r="Q39" s="28"/>
      <c r="R39" s="28"/>
      <c r="S39" s="28"/>
      <c r="T39" s="28" t="str">
        <f t="shared" si="8"/>
        <v/>
      </c>
      <c r="U39" s="28" t="str">
        <f t="shared" si="9"/>
        <v/>
      </c>
    </row>
    <row r="40" spans="1:21">
      <c r="A40" s="49">
        <f t="shared" si="1"/>
        <v>27</v>
      </c>
      <c r="C40" s="58">
        <v>0</v>
      </c>
      <c r="J40" s="28"/>
      <c r="K40" s="28"/>
      <c r="L40" s="28"/>
      <c r="M40" s="28"/>
      <c r="P40" s="28"/>
      <c r="Q40" s="28"/>
      <c r="R40" s="28"/>
      <c r="S40" s="28"/>
      <c r="T40" s="28" t="str">
        <f t="shared" si="8"/>
        <v/>
      </c>
      <c r="U40" s="28" t="str">
        <f t="shared" si="9"/>
        <v/>
      </c>
    </row>
    <row r="41" spans="1:21">
      <c r="A41" s="49">
        <f t="shared" si="1"/>
        <v>28</v>
      </c>
      <c r="C41" s="58">
        <v>0</v>
      </c>
      <c r="K41" s="28"/>
      <c r="L41" s="28"/>
      <c r="M41" s="28"/>
      <c r="P41" s="28"/>
      <c r="Q41" s="28"/>
      <c r="R41" s="28"/>
      <c r="S41" s="28"/>
      <c r="T41" s="28" t="str">
        <f t="shared" si="8"/>
        <v/>
      </c>
      <c r="U41" s="28" t="str">
        <f t="shared" si="9"/>
        <v/>
      </c>
    </row>
    <row r="42" spans="1:21">
      <c r="A42" s="49">
        <f t="shared" si="1"/>
        <v>29</v>
      </c>
      <c r="C42" s="58">
        <v>0</v>
      </c>
      <c r="L42" s="28"/>
      <c r="M42" s="28"/>
      <c r="P42" s="28"/>
      <c r="Q42" s="28"/>
      <c r="R42" s="28"/>
      <c r="S42" s="28"/>
      <c r="T42" s="28" t="str">
        <f t="shared" si="8"/>
        <v/>
      </c>
      <c r="U42" s="28" t="str">
        <f t="shared" si="9"/>
        <v/>
      </c>
    </row>
    <row r="43" spans="1:21">
      <c r="A43" s="49">
        <f t="shared" si="1"/>
        <v>30</v>
      </c>
      <c r="C43" s="58">
        <v>0</v>
      </c>
      <c r="M43" s="28"/>
      <c r="P43" s="28"/>
      <c r="Q43" s="28"/>
      <c r="R43" s="28"/>
      <c r="S43" s="28"/>
      <c r="T43" s="28" t="str">
        <f t="shared" si="8"/>
        <v/>
      </c>
      <c r="U43" s="28" t="str">
        <f t="shared" si="9"/>
        <v/>
      </c>
    </row>
    <row r="44" spans="1:21">
      <c r="A44" s="49">
        <f t="shared" si="1"/>
        <v>31</v>
      </c>
      <c r="G44" s="28">
        <f t="shared" ref="G44:T44" si="10">SUM(G17:G43)</f>
        <v>0</v>
      </c>
      <c r="H44" s="28">
        <f t="shared" si="10"/>
        <v>0</v>
      </c>
      <c r="I44" s="28">
        <f t="shared" si="10"/>
        <v>0</v>
      </c>
      <c r="J44" s="28">
        <f t="shared" si="10"/>
        <v>0</v>
      </c>
      <c r="K44" s="28">
        <f t="shared" si="10"/>
        <v>0</v>
      </c>
      <c r="L44" s="28">
        <f t="shared" si="10"/>
        <v>9342811.7923749983</v>
      </c>
      <c r="M44" s="28">
        <f t="shared" si="10"/>
        <v>9342811.7923749983</v>
      </c>
      <c r="N44" s="28">
        <f t="shared" si="10"/>
        <v>1643717.1300000001</v>
      </c>
      <c r="O44" s="28">
        <f t="shared" si="10"/>
        <v>158385.19315550002</v>
      </c>
      <c r="P44" s="28">
        <f t="shared" si="10"/>
        <v>10828143.729219498</v>
      </c>
      <c r="Q44" s="28">
        <f t="shared" si="10"/>
        <v>3789850.3052268247</v>
      </c>
      <c r="R44" s="28">
        <f t="shared" si="10"/>
        <v>372062.36003067007</v>
      </c>
      <c r="S44" s="28">
        <f t="shared" si="10"/>
        <v>-130221.8260107345</v>
      </c>
      <c r="T44" s="28">
        <f t="shared" si="10"/>
        <v>0</v>
      </c>
      <c r="U44" s="28">
        <f>AVERAGE(U16:U28)</f>
        <v>2384059.5997575345</v>
      </c>
    </row>
    <row r="45" spans="1:21">
      <c r="H45" s="28"/>
      <c r="I45" s="28"/>
      <c r="J45" s="28"/>
      <c r="K45" s="28"/>
      <c r="L45" s="28"/>
      <c r="M45" s="28"/>
      <c r="N45" s="28"/>
      <c r="O45" s="28"/>
      <c r="U45" s="28"/>
    </row>
    <row r="46" spans="1:21">
      <c r="I46" s="59"/>
      <c r="J46" s="28"/>
      <c r="R46" s="28"/>
      <c r="S46" s="28"/>
      <c r="T46" s="28"/>
    </row>
    <row r="47" spans="1:21">
      <c r="B47" s="57" t="s">
        <v>171</v>
      </c>
      <c r="C47" s="49" t="s">
        <v>244</v>
      </c>
    </row>
    <row r="48" spans="1:21">
      <c r="B48" s="57" t="s">
        <v>172</v>
      </c>
      <c r="C48" s="49" t="s">
        <v>245</v>
      </c>
    </row>
    <row r="49" spans="1:21">
      <c r="B49" s="57" t="s">
        <v>173</v>
      </c>
      <c r="C49" s="49" t="s">
        <v>246</v>
      </c>
    </row>
    <row r="50" spans="1:21">
      <c r="B50" s="57" t="s">
        <v>183</v>
      </c>
      <c r="C50" s="49" t="s">
        <v>247</v>
      </c>
      <c r="R50" s="51"/>
      <c r="S50" s="51"/>
      <c r="T50" s="51"/>
    </row>
    <row r="51" spans="1:21">
      <c r="B51" s="57" t="s">
        <v>224</v>
      </c>
      <c r="C51" s="49" t="s">
        <v>248</v>
      </c>
      <c r="R51" s="51"/>
      <c r="S51" s="51"/>
      <c r="T51" s="51"/>
    </row>
    <row r="52" spans="1:21">
      <c r="B52" s="57" t="s">
        <v>243</v>
      </c>
      <c r="C52" s="49" t="s">
        <v>249</v>
      </c>
      <c r="R52" s="51"/>
      <c r="S52" s="51"/>
      <c r="T52" s="51"/>
    </row>
    <row r="53" spans="1:21">
      <c r="R53" s="45"/>
      <c r="S53" s="45"/>
      <c r="T53" s="45"/>
    </row>
    <row r="54" spans="1:21">
      <c r="A54" s="51"/>
      <c r="B54" s="51"/>
      <c r="C54" s="51"/>
      <c r="D54" s="51" t="s">
        <v>24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6"/>
      <c r="S54" s="46"/>
      <c r="T54" s="46"/>
      <c r="U54" s="51"/>
    </row>
    <row r="55" spans="1:21" ht="25.5">
      <c r="A55" s="51"/>
      <c r="B55" s="51"/>
      <c r="C55" s="52" t="s">
        <v>197</v>
      </c>
      <c r="D55" s="51" t="s">
        <v>25</v>
      </c>
      <c r="E55" s="51"/>
      <c r="F55" s="51"/>
      <c r="G55" s="51">
        <v>2012</v>
      </c>
      <c r="H55" s="51">
        <v>2013</v>
      </c>
      <c r="I55" s="51">
        <v>2014</v>
      </c>
      <c r="J55" s="51">
        <v>2015</v>
      </c>
      <c r="K55" s="51">
        <v>2016</v>
      </c>
      <c r="L55" s="51">
        <v>2017</v>
      </c>
      <c r="M55" s="51"/>
      <c r="N55" s="51" t="s">
        <v>35</v>
      </c>
      <c r="O55" s="51"/>
      <c r="P55" s="51"/>
      <c r="Q55" s="52" t="s">
        <v>188</v>
      </c>
      <c r="U55" s="46"/>
    </row>
    <row r="56" spans="1:21">
      <c r="A56" s="51" t="s">
        <v>4</v>
      </c>
      <c r="B56" s="51"/>
      <c r="C56" s="51" t="s">
        <v>26</v>
      </c>
      <c r="D56" s="51" t="s">
        <v>26</v>
      </c>
      <c r="E56" s="51"/>
      <c r="F56" s="51"/>
      <c r="G56" s="51" t="s">
        <v>28</v>
      </c>
      <c r="H56" s="51" t="s">
        <v>29</v>
      </c>
      <c r="I56" s="51" t="s">
        <v>30</v>
      </c>
      <c r="J56" s="51" t="s">
        <v>31</v>
      </c>
      <c r="K56" s="51" t="s">
        <v>32</v>
      </c>
      <c r="L56" s="51" t="s">
        <v>33</v>
      </c>
      <c r="M56" s="51" t="s">
        <v>34</v>
      </c>
      <c r="N56" s="51" t="s">
        <v>36</v>
      </c>
      <c r="O56" s="51" t="s">
        <v>38</v>
      </c>
      <c r="P56" s="51"/>
      <c r="Q56" s="51" t="s">
        <v>34</v>
      </c>
      <c r="U56" s="46"/>
    </row>
    <row r="57" spans="1:21">
      <c r="A57" s="82" t="s">
        <v>5</v>
      </c>
      <c r="B57" s="82"/>
      <c r="C57" s="82" t="s">
        <v>2</v>
      </c>
      <c r="D57" s="82" t="s">
        <v>2</v>
      </c>
      <c r="E57" s="82"/>
      <c r="F57" s="82" t="s">
        <v>108</v>
      </c>
      <c r="G57" s="82" t="s">
        <v>20</v>
      </c>
      <c r="H57" s="82" t="s">
        <v>20</v>
      </c>
      <c r="I57" s="82" t="s">
        <v>20</v>
      </c>
      <c r="J57" s="82" t="s">
        <v>20</v>
      </c>
      <c r="K57" s="82" t="s">
        <v>20</v>
      </c>
      <c r="L57" s="82" t="s">
        <v>20</v>
      </c>
      <c r="M57" s="82" t="s">
        <v>0</v>
      </c>
      <c r="N57" s="82" t="s">
        <v>37</v>
      </c>
      <c r="O57" s="82" t="s">
        <v>0</v>
      </c>
      <c r="P57" s="82" t="s">
        <v>39</v>
      </c>
      <c r="Q57" s="53" t="s">
        <v>190</v>
      </c>
      <c r="U57" s="46"/>
    </row>
    <row r="58" spans="1:21">
      <c r="C58" s="54"/>
      <c r="D58" s="54" t="s">
        <v>71</v>
      </c>
      <c r="E58" s="55"/>
      <c r="F58" s="55"/>
      <c r="G58" s="55"/>
      <c r="H58" s="55"/>
      <c r="I58" s="55"/>
      <c r="J58" s="55"/>
      <c r="K58" s="55"/>
      <c r="L58" s="55"/>
      <c r="U58" s="47"/>
    </row>
    <row r="59" spans="1:21">
      <c r="A59" s="49">
        <v>1</v>
      </c>
      <c r="C59" s="54" t="s">
        <v>70</v>
      </c>
      <c r="D59" s="56"/>
      <c r="G59" s="28"/>
      <c r="H59" s="28"/>
      <c r="I59" s="28"/>
      <c r="J59" s="28"/>
      <c r="K59" s="28"/>
      <c r="L59" s="28">
        <f>L11+L13</f>
        <v>13244161.380000001</v>
      </c>
      <c r="M59" s="59"/>
      <c r="U59" s="47"/>
    </row>
    <row r="60" spans="1:21">
      <c r="A60" s="49">
        <v>2</v>
      </c>
      <c r="C60" s="54" t="s">
        <v>74</v>
      </c>
      <c r="D60" s="56"/>
      <c r="G60" s="28"/>
      <c r="H60" s="28"/>
      <c r="I60" s="28"/>
      <c r="J60" s="28"/>
      <c r="K60" s="28"/>
      <c r="L60" s="28">
        <f>L12</f>
        <v>4437818.49</v>
      </c>
      <c r="U60" s="47"/>
    </row>
    <row r="61" spans="1:21">
      <c r="A61" s="49">
        <v>3</v>
      </c>
      <c r="C61" s="54" t="s">
        <v>191</v>
      </c>
      <c r="D61" s="56"/>
      <c r="G61" s="28"/>
      <c r="H61" s="28"/>
      <c r="I61" s="28"/>
      <c r="J61" s="28"/>
      <c r="K61" s="28"/>
      <c r="L61" s="28"/>
      <c r="U61" s="47"/>
    </row>
    <row r="62" spans="1:21">
      <c r="C62" s="56"/>
      <c r="G62" s="28"/>
      <c r="I62" s="28"/>
      <c r="U62" s="47"/>
    </row>
    <row r="63" spans="1:21">
      <c r="G63" s="450" t="s">
        <v>43</v>
      </c>
      <c r="H63" s="450"/>
      <c r="I63" s="450"/>
      <c r="J63" s="450"/>
      <c r="K63" s="450"/>
      <c r="L63" s="450"/>
      <c r="M63" s="450"/>
      <c r="N63" s="450"/>
      <c r="U63" s="47"/>
    </row>
    <row r="64" spans="1:21">
      <c r="U64" s="48"/>
    </row>
    <row r="65" spans="1:21">
      <c r="A65" s="49">
        <f>A61+1</f>
        <v>4</v>
      </c>
      <c r="C65" s="58">
        <v>3.7499999999999999E-2</v>
      </c>
      <c r="D65" s="58">
        <v>0.05</v>
      </c>
      <c r="F65" s="49">
        <v>1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U65" s="48"/>
    </row>
    <row r="66" spans="1:21">
      <c r="A66" s="49">
        <f>A65+1</f>
        <v>5</v>
      </c>
      <c r="C66" s="58">
        <v>7.2190000000000004E-2</v>
      </c>
      <c r="D66" s="58">
        <v>9.5000000000000001E-2</v>
      </c>
      <c r="F66" s="49">
        <v>2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U66" s="48"/>
    </row>
    <row r="67" spans="1:21">
      <c r="A67" s="49">
        <f t="shared" ref="A67:A92" si="11">A66+1</f>
        <v>6</v>
      </c>
      <c r="C67" s="58">
        <v>6.6769999999999996E-2</v>
      </c>
      <c r="D67" s="58">
        <v>8.5500000000000007E-2</v>
      </c>
      <c r="F67" s="49">
        <v>3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U67" s="48"/>
    </row>
    <row r="68" spans="1:21">
      <c r="A68" s="49">
        <f t="shared" si="11"/>
        <v>7</v>
      </c>
      <c r="C68" s="58">
        <v>6.1769999999999999E-2</v>
      </c>
      <c r="D68" s="58">
        <v>7.6999999999999999E-2</v>
      </c>
      <c r="F68" s="49">
        <v>4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U68" s="48"/>
    </row>
    <row r="69" spans="1:21">
      <c r="A69" s="49">
        <f t="shared" si="11"/>
        <v>8</v>
      </c>
      <c r="C69" s="58">
        <v>5.713E-2</v>
      </c>
      <c r="D69" s="58">
        <v>6.93E-2</v>
      </c>
      <c r="F69" s="49">
        <v>5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U69" s="48"/>
    </row>
    <row r="70" spans="1:21">
      <c r="A70" s="49">
        <f t="shared" si="11"/>
        <v>9</v>
      </c>
      <c r="C70" s="58">
        <v>5.2850000000000001E-2</v>
      </c>
      <c r="D70" s="58">
        <v>6.2300000000000001E-2</v>
      </c>
      <c r="F70" s="49">
        <v>6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U70" s="48"/>
    </row>
    <row r="71" spans="1:21">
      <c r="A71" s="49">
        <f t="shared" si="11"/>
        <v>10</v>
      </c>
      <c r="C71" s="58">
        <v>4.888E-2</v>
      </c>
      <c r="D71" s="58">
        <v>5.8999999999999997E-2</v>
      </c>
      <c r="F71" s="49">
        <v>7</v>
      </c>
      <c r="G71" s="28"/>
      <c r="H71" s="28"/>
      <c r="I71" s="28"/>
      <c r="J71" s="28"/>
      <c r="K71" s="28"/>
      <c r="L71" s="28">
        <f>(('201707 Bk Depr'!$L$17-SUM('Capital Budget 2017'!K$5:K$10,'Capital Budget 2017'!K$16:K$19))*'Tax Depr 2017'!$C$65)+SUM('Capital Budget 2017'!K$5:K$10,'Capital Budget 2017'!K$16:K$19)</f>
        <v>842696.35162500001</v>
      </c>
      <c r="M71" s="28">
        <f t="shared" ref="M71:M76" si="12">SUM(G71:L71)</f>
        <v>842696.35162500001</v>
      </c>
      <c r="N71" s="28">
        <f>N23</f>
        <v>221050.71000000002</v>
      </c>
      <c r="O71" s="28">
        <f>O23</f>
        <v>3483.0979357500009</v>
      </c>
      <c r="P71" s="28">
        <f t="shared" ref="P71:P76" si="13">M71+N71-O71</f>
        <v>1060263.9636892502</v>
      </c>
      <c r="Q71" s="28">
        <f t="shared" ref="Q71:Q76" si="14">P71*0.06</f>
        <v>63615.83782135501</v>
      </c>
      <c r="U71" s="48"/>
    </row>
    <row r="72" spans="1:21">
      <c r="A72" s="49">
        <f t="shared" si="11"/>
        <v>11</v>
      </c>
      <c r="C72" s="58">
        <v>4.5220000000000003E-2</v>
      </c>
      <c r="D72" s="58">
        <v>5.8999999999999997E-2</v>
      </c>
      <c r="F72" s="49">
        <v>8</v>
      </c>
      <c r="G72" s="28"/>
      <c r="H72" s="28"/>
      <c r="I72" s="28"/>
      <c r="J72" s="28"/>
      <c r="K72" s="28"/>
      <c r="L72" s="28">
        <f>(('201708 Bk Depr'!$L$17-SUM('Capital Budget 2017'!L$5:L$10,'Capital Budget 2017'!L$16:L$19))*'Tax Depr 2017'!$C$65)+SUM('Capital Budget 2017'!L$5:L$10,'Capital Budget 2017'!L$16:L$19)</f>
        <v>952164.13200000022</v>
      </c>
      <c r="M72" s="28">
        <f t="shared" si="12"/>
        <v>952164.13200000022</v>
      </c>
      <c r="N72" s="28">
        <f t="shared" ref="N72:N76" si="15">N24</f>
        <v>133549.94</v>
      </c>
      <c r="O72" s="28">
        <f t="shared" ref="O72:O76" si="16">O24</f>
        <v>38140.872064250005</v>
      </c>
      <c r="P72" s="28">
        <f t="shared" si="13"/>
        <v>1047573.1999357501</v>
      </c>
      <c r="Q72" s="28">
        <f t="shared" si="14"/>
        <v>62854.391996145001</v>
      </c>
      <c r="U72" s="48"/>
    </row>
    <row r="73" spans="1:21">
      <c r="A73" s="49">
        <f t="shared" si="11"/>
        <v>12</v>
      </c>
      <c r="C73" s="58">
        <v>4.462E-2</v>
      </c>
      <c r="D73" s="58">
        <v>5.91E-2</v>
      </c>
      <c r="F73" s="49">
        <v>9</v>
      </c>
      <c r="G73" s="28"/>
      <c r="H73" s="28"/>
      <c r="I73" s="28"/>
      <c r="J73" s="28"/>
      <c r="K73" s="28"/>
      <c r="L73" s="28">
        <f>(('201709 Bk Depr'!$L$17-SUM('Capital Budget 2017'!M$5:M$10,'Capital Budget 2017'!M$16:M$19))*'Tax Depr 2017'!$C$65)+SUM('Capital Budget 2017'!M$5:M$10,'Capital Budget 2017'!M$16:M$19)</f>
        <v>1107064.1907500001</v>
      </c>
      <c r="M73" s="28">
        <f t="shared" si="12"/>
        <v>1107064.1907500001</v>
      </c>
      <c r="N73" s="28">
        <f t="shared" si="15"/>
        <v>147667.01999999999</v>
      </c>
      <c r="O73" s="28">
        <f t="shared" si="16"/>
        <v>18403.232751000003</v>
      </c>
      <c r="P73" s="28">
        <f t="shared" si="13"/>
        <v>1236327.9779990001</v>
      </c>
      <c r="Q73" s="28">
        <f t="shared" si="14"/>
        <v>74179.67867994</v>
      </c>
      <c r="U73" s="48"/>
    </row>
    <row r="74" spans="1:21">
      <c r="A74" s="49">
        <f t="shared" si="11"/>
        <v>13</v>
      </c>
      <c r="C74" s="58">
        <v>4.4609999999999997E-2</v>
      </c>
      <c r="D74" s="58">
        <v>5.8999999999999997E-2</v>
      </c>
      <c r="F74" s="49">
        <v>10</v>
      </c>
      <c r="G74" s="28"/>
      <c r="H74" s="28"/>
      <c r="I74" s="28"/>
      <c r="J74" s="28"/>
      <c r="K74" s="28"/>
      <c r="L74" s="28">
        <f>(('201710 Bk Depr'!$L$17-SUM('Capital Budget 2017'!N$5:N$10,'Capital Budget 2017'!N$16:N$19))*'Tax Depr 2017'!$C$65)+SUM('Capital Budget 2017'!N$5:N$10,'Capital Budget 2017'!N$16:N$19)</f>
        <v>655768.02812500007</v>
      </c>
      <c r="M74" s="28">
        <f t="shared" si="12"/>
        <v>655768.02812500007</v>
      </c>
      <c r="N74" s="28">
        <f t="shared" si="15"/>
        <v>401153.78</v>
      </c>
      <c r="O74" s="28">
        <f t="shared" si="16"/>
        <v>26123.708702250005</v>
      </c>
      <c r="P74" s="28">
        <f t="shared" si="13"/>
        <v>1030798.0994227499</v>
      </c>
      <c r="Q74" s="28">
        <f t="shared" si="14"/>
        <v>61847.885965364992</v>
      </c>
      <c r="U74" s="48"/>
    </row>
    <row r="75" spans="1:21">
      <c r="A75" s="49">
        <f t="shared" si="11"/>
        <v>14</v>
      </c>
      <c r="C75" s="58">
        <v>4.462E-2</v>
      </c>
      <c r="D75" s="58">
        <v>5.91E-2</v>
      </c>
      <c r="F75" s="49">
        <v>11</v>
      </c>
      <c r="G75" s="28"/>
      <c r="H75" s="28"/>
      <c r="I75" s="28"/>
      <c r="J75" s="28"/>
      <c r="K75" s="28"/>
      <c r="L75" s="28">
        <f>(('201711 Bk Depr'!$L$17-SUM('Capital Budget 2017'!O$5:O$10,'Capital Budget 2017'!O$16:O$19))*'Tax Depr 2017'!$C$65)+SUM('Capital Budget 2017'!O$5:O$10,'Capital Budget 2017'!O$16:O$19)</f>
        <v>482145.18987499992</v>
      </c>
      <c r="M75" s="28">
        <f t="shared" si="12"/>
        <v>482145.18987499992</v>
      </c>
      <c r="N75" s="28">
        <f t="shared" si="15"/>
        <v>289061.25000000006</v>
      </c>
      <c r="O75" s="28">
        <f t="shared" si="16"/>
        <v>33526.663026750008</v>
      </c>
      <c r="P75" s="28">
        <f t="shared" si="13"/>
        <v>737679.77684824995</v>
      </c>
      <c r="Q75" s="28">
        <f t="shared" si="14"/>
        <v>44260.786610894997</v>
      </c>
      <c r="U75" s="48"/>
    </row>
    <row r="76" spans="1:21">
      <c r="A76" s="49">
        <f t="shared" si="11"/>
        <v>15</v>
      </c>
      <c r="C76" s="58">
        <v>4.4609999999999997E-2</v>
      </c>
      <c r="D76" s="58">
        <v>5.8999999999999997E-2</v>
      </c>
      <c r="F76" s="49">
        <v>12</v>
      </c>
      <c r="G76" s="28"/>
      <c r="H76" s="28"/>
      <c r="I76" s="28"/>
      <c r="J76" s="28"/>
      <c r="K76" s="28"/>
      <c r="L76" s="28">
        <f>(('201712 Bk Depr'!$L$17-SUM('Capital Budget 2017'!P$5:P$10,'Capital Budget 2017'!P$16:P$19))*'Tax Depr 2017'!$C$65)+SUM('Capital Budget 2017'!P$5:P$10,'Capital Budget 2017'!P$16:P$19)</f>
        <v>675869.50462500006</v>
      </c>
      <c r="M76" s="28">
        <f t="shared" si="12"/>
        <v>675869.50462500006</v>
      </c>
      <c r="N76" s="28">
        <f t="shared" si="15"/>
        <v>451234.42999999993</v>
      </c>
      <c r="O76" s="28">
        <f t="shared" si="16"/>
        <v>38707.618675500009</v>
      </c>
      <c r="P76" s="28">
        <f t="shared" si="13"/>
        <v>1088396.3159495001</v>
      </c>
      <c r="Q76" s="28">
        <f t="shared" si="14"/>
        <v>65303.778956970003</v>
      </c>
      <c r="U76" s="48"/>
    </row>
    <row r="77" spans="1:21">
      <c r="A77" s="49">
        <f t="shared" si="11"/>
        <v>16</v>
      </c>
      <c r="C77" s="58">
        <v>4.462E-2</v>
      </c>
      <c r="D77" s="58">
        <v>5.91E-2</v>
      </c>
      <c r="G77" s="28"/>
      <c r="H77" s="28"/>
      <c r="I77" s="28"/>
      <c r="J77" s="28"/>
      <c r="K77" s="28"/>
      <c r="L77" s="28"/>
      <c r="M77" s="28"/>
      <c r="N77" s="28"/>
      <c r="O77" s="28"/>
      <c r="P77" s="28" t="str">
        <f t="shared" ref="P77:P91" si="17">IF(O77=0,"",M77+N77-O77)</f>
        <v/>
      </c>
      <c r="Q77" s="28" t="str">
        <f t="shared" ref="Q77:Q91" si="18">IF(P77="","",P77*0.389)</f>
        <v/>
      </c>
      <c r="R77" s="48"/>
      <c r="S77" s="48"/>
      <c r="T77" s="48"/>
      <c r="U77" s="28" t="str">
        <f t="shared" ref="U77:U91" si="19">IF(Q77="","",U76+Q77)</f>
        <v/>
      </c>
    </row>
    <row r="78" spans="1:21">
      <c r="A78" s="49">
        <f t="shared" si="11"/>
        <v>17</v>
      </c>
      <c r="C78" s="58">
        <v>4.4609999999999997E-2</v>
      </c>
      <c r="D78" s="58">
        <v>5.8999999999999997E-2</v>
      </c>
      <c r="G78" s="28"/>
      <c r="H78" s="28"/>
      <c r="I78" s="28"/>
      <c r="J78" s="28"/>
      <c r="K78" s="28"/>
      <c r="L78" s="28"/>
      <c r="M78" s="28"/>
      <c r="N78" s="28"/>
      <c r="O78" s="28"/>
      <c r="P78" s="28" t="str">
        <f t="shared" si="17"/>
        <v/>
      </c>
      <c r="Q78" s="28" t="str">
        <f t="shared" si="18"/>
        <v/>
      </c>
      <c r="R78" s="48"/>
      <c r="S78" s="48"/>
      <c r="T78" s="48"/>
      <c r="U78" s="28" t="str">
        <f t="shared" si="19"/>
        <v/>
      </c>
    </row>
    <row r="79" spans="1:21">
      <c r="A79" s="49">
        <f t="shared" si="11"/>
        <v>18</v>
      </c>
      <c r="C79" s="58">
        <v>4.462E-2</v>
      </c>
      <c r="D79" s="58">
        <v>5.91E-2</v>
      </c>
      <c r="G79" s="28"/>
      <c r="H79" s="59"/>
      <c r="I79" s="28"/>
      <c r="J79" s="28"/>
      <c r="K79" s="28"/>
      <c r="L79" s="28"/>
      <c r="M79" s="28"/>
      <c r="N79" s="28"/>
      <c r="O79" s="28"/>
      <c r="P79" s="28" t="str">
        <f t="shared" si="17"/>
        <v/>
      </c>
      <c r="Q79" s="28" t="str">
        <f t="shared" si="18"/>
        <v/>
      </c>
      <c r="R79" s="48"/>
      <c r="S79" s="48"/>
      <c r="T79" s="48"/>
      <c r="U79" s="28" t="str">
        <f t="shared" si="19"/>
        <v/>
      </c>
    </row>
    <row r="80" spans="1:21">
      <c r="A80" s="49">
        <f t="shared" si="11"/>
        <v>19</v>
      </c>
      <c r="C80" s="58">
        <v>4.4609999999999997E-2</v>
      </c>
      <c r="D80" s="58">
        <v>2.9499999999999998E-2</v>
      </c>
      <c r="G80" s="28"/>
      <c r="H80" s="28"/>
      <c r="I80" s="28"/>
      <c r="J80" s="28"/>
      <c r="K80" s="28"/>
      <c r="L80" s="28"/>
      <c r="M80" s="28"/>
      <c r="N80" s="28"/>
      <c r="O80" s="28"/>
      <c r="P80" s="28" t="str">
        <f t="shared" si="17"/>
        <v/>
      </c>
      <c r="Q80" s="28" t="str">
        <f t="shared" si="18"/>
        <v/>
      </c>
      <c r="R80" s="48"/>
      <c r="S80" s="48"/>
      <c r="T80" s="48"/>
      <c r="U80" s="28" t="str">
        <f t="shared" si="19"/>
        <v/>
      </c>
    </row>
    <row r="81" spans="1:21">
      <c r="A81" s="49">
        <f t="shared" si="11"/>
        <v>20</v>
      </c>
      <c r="C81" s="58">
        <v>4.462E-2</v>
      </c>
      <c r="D81" s="58">
        <v>0</v>
      </c>
      <c r="G81" s="28"/>
      <c r="H81" s="28"/>
      <c r="I81" s="28"/>
      <c r="J81" s="28"/>
      <c r="K81" s="28"/>
      <c r="L81" s="28"/>
      <c r="M81" s="28"/>
      <c r="N81" s="28"/>
      <c r="O81" s="28"/>
      <c r="P81" s="28" t="str">
        <f t="shared" si="17"/>
        <v/>
      </c>
      <c r="Q81" s="28" t="str">
        <f t="shared" si="18"/>
        <v/>
      </c>
      <c r="R81" s="48"/>
      <c r="S81" s="48"/>
      <c r="T81" s="48"/>
      <c r="U81" s="28" t="str">
        <f t="shared" si="19"/>
        <v/>
      </c>
    </row>
    <row r="82" spans="1:21">
      <c r="A82" s="49">
        <f t="shared" si="11"/>
        <v>21</v>
      </c>
      <c r="C82" s="58">
        <v>4.4609999999999997E-2</v>
      </c>
      <c r="D82" s="58">
        <v>0</v>
      </c>
      <c r="G82" s="28"/>
      <c r="H82" s="28"/>
      <c r="I82" s="28"/>
      <c r="J82" s="28"/>
      <c r="K82" s="28"/>
      <c r="L82" s="28"/>
      <c r="M82" s="28"/>
      <c r="N82" s="28"/>
      <c r="O82" s="28"/>
      <c r="P82" s="28" t="str">
        <f t="shared" si="17"/>
        <v/>
      </c>
      <c r="Q82" s="28" t="str">
        <f t="shared" si="18"/>
        <v/>
      </c>
      <c r="R82" s="48"/>
      <c r="S82" s="48"/>
      <c r="T82" s="48"/>
      <c r="U82" s="28" t="str">
        <f t="shared" si="19"/>
        <v/>
      </c>
    </row>
    <row r="83" spans="1:21">
      <c r="A83" s="49">
        <f t="shared" si="11"/>
        <v>22</v>
      </c>
      <c r="C83" s="58">
        <v>4.462E-2</v>
      </c>
      <c r="D83" s="58">
        <v>0</v>
      </c>
      <c r="G83" s="28"/>
      <c r="H83" s="28"/>
      <c r="I83" s="28"/>
      <c r="J83" s="28"/>
      <c r="K83" s="28"/>
      <c r="L83" s="28"/>
      <c r="M83" s="28"/>
      <c r="N83" s="28"/>
      <c r="O83" s="28"/>
      <c r="P83" s="28" t="str">
        <f t="shared" si="17"/>
        <v/>
      </c>
      <c r="Q83" s="28" t="str">
        <f t="shared" si="18"/>
        <v/>
      </c>
      <c r="R83" s="48"/>
      <c r="S83" s="48"/>
      <c r="T83" s="48"/>
      <c r="U83" s="28" t="str">
        <f t="shared" si="19"/>
        <v/>
      </c>
    </row>
    <row r="84" spans="1:21">
      <c r="A84" s="49">
        <f t="shared" si="11"/>
        <v>23</v>
      </c>
      <c r="C84" s="58">
        <v>4.4609999999999997E-2</v>
      </c>
      <c r="D84" s="58">
        <v>0</v>
      </c>
      <c r="G84" s="28"/>
      <c r="H84" s="28"/>
      <c r="I84" s="28"/>
      <c r="J84" s="28"/>
      <c r="K84" s="28"/>
      <c r="L84" s="28"/>
      <c r="M84" s="28"/>
      <c r="N84" s="28"/>
      <c r="O84" s="28"/>
      <c r="P84" s="28" t="str">
        <f t="shared" si="17"/>
        <v/>
      </c>
      <c r="Q84" s="28" t="str">
        <f t="shared" si="18"/>
        <v/>
      </c>
      <c r="R84" s="48"/>
      <c r="S84" s="48"/>
      <c r="T84" s="48"/>
      <c r="U84" s="28" t="str">
        <f t="shared" si="19"/>
        <v/>
      </c>
    </row>
    <row r="85" spans="1:21">
      <c r="A85" s="49">
        <f t="shared" si="11"/>
        <v>24</v>
      </c>
      <c r="C85" s="58">
        <v>2.231E-2</v>
      </c>
      <c r="D85" s="58">
        <v>0</v>
      </c>
      <c r="G85" s="28"/>
      <c r="H85" s="28"/>
      <c r="I85" s="28"/>
      <c r="J85" s="28"/>
      <c r="K85" s="28"/>
      <c r="L85" s="28"/>
      <c r="M85" s="28"/>
      <c r="N85" s="28"/>
      <c r="O85" s="28"/>
      <c r="P85" s="28" t="str">
        <f t="shared" si="17"/>
        <v/>
      </c>
      <c r="Q85" s="28" t="str">
        <f t="shared" si="18"/>
        <v/>
      </c>
      <c r="R85" s="48"/>
      <c r="S85" s="48"/>
      <c r="T85" s="48"/>
      <c r="U85" s="28" t="str">
        <f t="shared" si="19"/>
        <v/>
      </c>
    </row>
    <row r="86" spans="1:21">
      <c r="A86" s="49">
        <f t="shared" si="11"/>
        <v>25</v>
      </c>
      <c r="C86" s="58">
        <v>0</v>
      </c>
      <c r="D86" s="58">
        <v>0</v>
      </c>
      <c r="H86" s="28"/>
      <c r="I86" s="28"/>
      <c r="J86" s="28"/>
      <c r="K86" s="28"/>
      <c r="L86" s="28"/>
      <c r="M86" s="28"/>
      <c r="N86" s="28"/>
      <c r="O86" s="28"/>
      <c r="P86" s="28" t="str">
        <f t="shared" si="17"/>
        <v/>
      </c>
      <c r="Q86" s="28" t="str">
        <f t="shared" si="18"/>
        <v/>
      </c>
      <c r="R86" s="48"/>
      <c r="S86" s="48"/>
      <c r="T86" s="48"/>
      <c r="U86" s="28" t="str">
        <f t="shared" si="19"/>
        <v/>
      </c>
    </row>
    <row r="87" spans="1:21">
      <c r="A87" s="49">
        <f t="shared" si="11"/>
        <v>26</v>
      </c>
      <c r="C87" s="58">
        <v>0</v>
      </c>
      <c r="I87" s="28"/>
      <c r="J87" s="28"/>
      <c r="K87" s="28"/>
      <c r="L87" s="28"/>
      <c r="M87" s="28"/>
      <c r="P87" s="28" t="str">
        <f t="shared" si="17"/>
        <v/>
      </c>
      <c r="Q87" s="28" t="str">
        <f t="shared" si="18"/>
        <v/>
      </c>
      <c r="R87" s="48"/>
      <c r="S87" s="48"/>
      <c r="T87" s="48"/>
      <c r="U87" s="28" t="str">
        <f t="shared" si="19"/>
        <v/>
      </c>
    </row>
    <row r="88" spans="1:21">
      <c r="A88" s="49">
        <f t="shared" si="11"/>
        <v>27</v>
      </c>
      <c r="C88" s="58">
        <v>0</v>
      </c>
      <c r="J88" s="28"/>
      <c r="K88" s="28"/>
      <c r="L88" s="28"/>
      <c r="M88" s="28"/>
      <c r="P88" s="28" t="str">
        <f t="shared" si="17"/>
        <v/>
      </c>
      <c r="Q88" s="28" t="str">
        <f t="shared" si="18"/>
        <v/>
      </c>
      <c r="R88" s="48"/>
      <c r="S88" s="48"/>
      <c r="T88" s="48"/>
      <c r="U88" s="28" t="str">
        <f t="shared" si="19"/>
        <v/>
      </c>
    </row>
    <row r="89" spans="1:21">
      <c r="A89" s="49">
        <f t="shared" si="11"/>
        <v>28</v>
      </c>
      <c r="C89" s="58">
        <v>0</v>
      </c>
      <c r="K89" s="28"/>
      <c r="L89" s="28"/>
      <c r="M89" s="28"/>
      <c r="P89" s="28" t="str">
        <f t="shared" si="17"/>
        <v/>
      </c>
      <c r="Q89" s="28" t="str">
        <f t="shared" si="18"/>
        <v/>
      </c>
      <c r="R89" s="48"/>
      <c r="S89" s="48"/>
      <c r="T89" s="48"/>
      <c r="U89" s="28" t="str">
        <f t="shared" si="19"/>
        <v/>
      </c>
    </row>
    <row r="90" spans="1:21">
      <c r="A90" s="49">
        <f t="shared" si="11"/>
        <v>29</v>
      </c>
      <c r="C90" s="58">
        <v>0</v>
      </c>
      <c r="L90" s="28"/>
      <c r="M90" s="28"/>
      <c r="P90" s="28" t="str">
        <f t="shared" si="17"/>
        <v/>
      </c>
      <c r="Q90" s="28" t="str">
        <f t="shared" si="18"/>
        <v/>
      </c>
      <c r="R90" s="48"/>
      <c r="S90" s="48"/>
      <c r="T90" s="48"/>
      <c r="U90" s="28" t="str">
        <f t="shared" si="19"/>
        <v/>
      </c>
    </row>
    <row r="91" spans="1:21">
      <c r="A91" s="49">
        <f t="shared" si="11"/>
        <v>30</v>
      </c>
      <c r="C91" s="58">
        <v>0</v>
      </c>
      <c r="M91" s="28"/>
      <c r="P91" s="28" t="str">
        <f t="shared" si="17"/>
        <v/>
      </c>
      <c r="Q91" s="28" t="str">
        <f t="shared" si="18"/>
        <v/>
      </c>
      <c r="U91" s="28" t="str">
        <f t="shared" si="19"/>
        <v/>
      </c>
    </row>
    <row r="92" spans="1:21">
      <c r="A92" s="49">
        <f t="shared" si="11"/>
        <v>31</v>
      </c>
      <c r="G92" s="28">
        <f t="shared" ref="G92:Q92" si="20">SUM(G65:G91)</f>
        <v>0</v>
      </c>
      <c r="H92" s="28">
        <f t="shared" si="20"/>
        <v>0</v>
      </c>
      <c r="I92" s="28">
        <f t="shared" si="20"/>
        <v>0</v>
      </c>
      <c r="J92" s="28">
        <f t="shared" si="20"/>
        <v>0</v>
      </c>
      <c r="K92" s="28">
        <f t="shared" si="20"/>
        <v>0</v>
      </c>
      <c r="L92" s="28">
        <f t="shared" si="20"/>
        <v>4715707.3970000008</v>
      </c>
      <c r="M92" s="28">
        <f t="shared" si="20"/>
        <v>4715707.3970000008</v>
      </c>
      <c r="N92" s="28">
        <f t="shared" si="20"/>
        <v>1643717.1300000001</v>
      </c>
      <c r="O92" s="28">
        <f t="shared" si="20"/>
        <v>158385.19315550002</v>
      </c>
      <c r="P92" s="28">
        <f t="shared" si="20"/>
        <v>6201039.3338444997</v>
      </c>
      <c r="Q92" s="28">
        <f t="shared" si="20"/>
        <v>372062.36003067007</v>
      </c>
      <c r="R92" s="28"/>
      <c r="S92" s="28"/>
      <c r="T92" s="28"/>
      <c r="U92" s="28"/>
    </row>
    <row r="93" spans="1:21">
      <c r="H93" s="28"/>
      <c r="I93" s="28"/>
      <c r="J93" s="28"/>
      <c r="K93" s="28"/>
      <c r="L93" s="28"/>
      <c r="M93" s="28"/>
      <c r="N93" s="28"/>
      <c r="O93" s="28"/>
      <c r="U93" s="28"/>
    </row>
    <row r="94" spans="1:21">
      <c r="I94" s="59"/>
      <c r="J94" s="28"/>
    </row>
    <row r="95" spans="1:21">
      <c r="B95" s="57" t="s">
        <v>171</v>
      </c>
      <c r="C95" s="49" t="s">
        <v>244</v>
      </c>
    </row>
    <row r="96" spans="1:21">
      <c r="B96" s="57" t="s">
        <v>172</v>
      </c>
      <c r="C96" s="49" t="s">
        <v>245</v>
      </c>
    </row>
    <row r="97" spans="2:3">
      <c r="B97" s="57" t="s">
        <v>173</v>
      </c>
      <c r="C97" s="49" t="s">
        <v>246</v>
      </c>
    </row>
    <row r="98" spans="2:3">
      <c r="B98" s="57" t="s">
        <v>183</v>
      </c>
      <c r="C98" s="49" t="s">
        <v>247</v>
      </c>
    </row>
    <row r="99" spans="2:3">
      <c r="B99" s="57" t="s">
        <v>224</v>
      </c>
      <c r="C99" s="49" t="s">
        <v>248</v>
      </c>
    </row>
    <row r="100" spans="2:3">
      <c r="B100" s="57" t="s">
        <v>243</v>
      </c>
      <c r="C100" s="49" t="s">
        <v>250</v>
      </c>
    </row>
  </sheetData>
  <mergeCells count="1">
    <mergeCell ref="G63:N63"/>
  </mergeCells>
  <pageMargins left="0.7" right="0.7" top="0.75" bottom="0.75" header="0.3" footer="0.3"/>
  <pageSetup scale="10" orientation="landscape" r:id="rId1"/>
  <headerFooter>
    <oddFooter>&amp;R&amp;"Times New Roman,Bold"&amp;12Exhibit CMG-5
Page 12 of 12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zoomScale="90" zoomScaleNormal="90" workbookViewId="0"/>
  </sheetViews>
  <sheetFormatPr defaultRowHeight="12.75"/>
  <cols>
    <col min="1" max="1" width="10.85546875" style="31" bestFit="1" customWidth="1"/>
    <col min="2" max="2" width="11.85546875" style="31" bestFit="1" customWidth="1"/>
    <col min="3" max="3" width="32.7109375" style="31" bestFit="1" customWidth="1"/>
    <col min="4" max="4" width="5.5703125" style="31" bestFit="1" customWidth="1"/>
    <col min="5" max="16" width="11.7109375" style="31" bestFit="1" customWidth="1"/>
    <col min="17" max="17" width="12.7109375" style="31" bestFit="1" customWidth="1"/>
    <col min="18" max="18" width="9.140625" style="31"/>
    <col min="19" max="19" width="14.5703125" style="31" bestFit="1" customWidth="1"/>
    <col min="20" max="20" width="14" style="31" customWidth="1"/>
    <col min="21" max="21" width="12.85546875" style="31" customWidth="1"/>
    <col min="22" max="22" width="13.28515625" style="31" customWidth="1"/>
    <col min="23" max="16384" width="9.140625" style="31"/>
  </cols>
  <sheetData>
    <row r="1" spans="1:21" s="172" customFormat="1">
      <c r="A1" s="170" t="s">
        <v>7</v>
      </c>
      <c r="B1" s="170" t="s">
        <v>109</v>
      </c>
      <c r="C1" s="170" t="s">
        <v>110</v>
      </c>
      <c r="D1" s="170" t="s">
        <v>27</v>
      </c>
      <c r="E1" s="171" t="s">
        <v>86</v>
      </c>
      <c r="F1" s="171" t="s">
        <v>87</v>
      </c>
      <c r="G1" s="171" t="s">
        <v>99</v>
      </c>
      <c r="H1" s="171" t="s">
        <v>100</v>
      </c>
      <c r="I1" s="171" t="s">
        <v>88</v>
      </c>
      <c r="J1" s="171" t="s">
        <v>101</v>
      </c>
      <c r="K1" s="171" t="s">
        <v>102</v>
      </c>
      <c r="L1" s="171" t="s">
        <v>90</v>
      </c>
      <c r="M1" s="171" t="s">
        <v>111</v>
      </c>
      <c r="N1" s="171" t="s">
        <v>92</v>
      </c>
      <c r="O1" s="171" t="s">
        <v>93</v>
      </c>
      <c r="P1" s="171" t="s">
        <v>94</v>
      </c>
      <c r="Q1" s="171" t="s">
        <v>3</v>
      </c>
    </row>
    <row r="2" spans="1:21">
      <c r="A2" s="173" t="s">
        <v>112</v>
      </c>
    </row>
    <row r="3" spans="1:21">
      <c r="B3" s="230" t="s">
        <v>123</v>
      </c>
      <c r="C3" s="230" t="s">
        <v>124</v>
      </c>
      <c r="D3" s="31">
        <v>2017</v>
      </c>
      <c r="E3" s="174">
        <v>520978.89999999851</v>
      </c>
      <c r="F3" s="174">
        <v>235337.40000000224</v>
      </c>
      <c r="G3" s="174">
        <v>1086822.0999999978</v>
      </c>
      <c r="H3" s="174">
        <v>498570.6400000006</v>
      </c>
      <c r="I3" s="174">
        <v>661669.41999999806</v>
      </c>
      <c r="J3" s="174">
        <v>339707.83000000194</v>
      </c>
      <c r="K3" s="174">
        <v>472477.71</v>
      </c>
      <c r="L3" s="174">
        <v>240387.73999999993</v>
      </c>
      <c r="M3" s="174">
        <v>560835.84000000008</v>
      </c>
      <c r="N3" s="174">
        <v>1350211.8599999999</v>
      </c>
      <c r="O3" s="174">
        <v>209637.68000000017</v>
      </c>
      <c r="P3" s="174">
        <v>74276.189999999944</v>
      </c>
      <c r="Q3" s="174">
        <f t="shared" ref="Q3:Q18" si="0">SUM(E3:P3)</f>
        <v>6250913.3099999987</v>
      </c>
      <c r="S3" s="175"/>
    </row>
    <row r="4" spans="1:21">
      <c r="B4" s="230" t="s">
        <v>126</v>
      </c>
      <c r="C4" s="230" t="s">
        <v>127</v>
      </c>
      <c r="D4" s="31">
        <v>2017</v>
      </c>
      <c r="E4" s="174">
        <v>528769.89999999851</v>
      </c>
      <c r="F4" s="174">
        <v>1071641.6600000001</v>
      </c>
      <c r="G4" s="174">
        <v>405396.62999999896</v>
      </c>
      <c r="H4" s="174">
        <v>456509.66000000015</v>
      </c>
      <c r="I4" s="174">
        <v>119386.58999999985</v>
      </c>
      <c r="J4" s="174">
        <v>123413.67000000179</v>
      </c>
      <c r="K4" s="174">
        <v>107348.31</v>
      </c>
      <c r="L4" s="174">
        <v>94422.010000000009</v>
      </c>
      <c r="M4" s="174">
        <v>75156.219999999972</v>
      </c>
      <c r="N4" s="174">
        <v>36052.75</v>
      </c>
      <c r="O4" s="174">
        <v>377006.46</v>
      </c>
      <c r="P4" s="174">
        <v>31586.229999999981</v>
      </c>
      <c r="Q4" s="174">
        <f t="shared" si="0"/>
        <v>3426690.0899999994</v>
      </c>
    </row>
    <row r="5" spans="1:21">
      <c r="B5" s="230" t="s">
        <v>128</v>
      </c>
      <c r="C5" s="230" t="s">
        <v>129</v>
      </c>
      <c r="D5" s="31">
        <v>2017</v>
      </c>
      <c r="E5" s="174">
        <v>233181.33000000007</v>
      </c>
      <c r="F5" s="174">
        <v>171957.97999999858</v>
      </c>
      <c r="G5" s="174">
        <v>125507.69000000134</v>
      </c>
      <c r="H5" s="174">
        <v>315149.74000000022</v>
      </c>
      <c r="I5" s="174">
        <v>233780.32999999821</v>
      </c>
      <c r="J5" s="174">
        <v>234858.84000000171</v>
      </c>
      <c r="K5" s="174">
        <v>159759.81</v>
      </c>
      <c r="L5" s="174">
        <v>138326.57</v>
      </c>
      <c r="M5" s="174">
        <v>530409.01</v>
      </c>
      <c r="N5" s="174">
        <v>-13997.579999999958</v>
      </c>
      <c r="O5" s="174">
        <v>45160.04999999993</v>
      </c>
      <c r="P5" s="174">
        <v>34352.119999999995</v>
      </c>
      <c r="Q5" s="247">
        <f t="shared" si="0"/>
        <v>2208445.89</v>
      </c>
      <c r="R5" s="31" t="s">
        <v>484</v>
      </c>
      <c r="S5"/>
      <c r="T5"/>
      <c r="U5"/>
    </row>
    <row r="6" spans="1:21">
      <c r="B6" s="402" t="s">
        <v>130</v>
      </c>
      <c r="C6" s="402" t="s">
        <v>131</v>
      </c>
      <c r="D6" s="31">
        <v>2017</v>
      </c>
      <c r="E6" s="174">
        <v>14120.400000000001</v>
      </c>
      <c r="F6" s="174">
        <v>15614</v>
      </c>
      <c r="G6" s="174">
        <v>17931.079999999994</v>
      </c>
      <c r="H6" s="174">
        <v>15428.660000000003</v>
      </c>
      <c r="I6" s="174">
        <v>24044.42</v>
      </c>
      <c r="J6" s="174">
        <v>14034.37999999999</v>
      </c>
      <c r="K6" s="174">
        <v>18596.599999999999</v>
      </c>
      <c r="L6" s="174">
        <v>33532.1</v>
      </c>
      <c r="M6" s="174">
        <v>33311.570000000007</v>
      </c>
      <c r="N6" s="174">
        <v>49193.469999999987</v>
      </c>
      <c r="O6" s="174">
        <v>21667.700000000012</v>
      </c>
      <c r="P6" s="174">
        <v>55597.600000000006</v>
      </c>
      <c r="Q6" s="247">
        <f t="shared" si="0"/>
        <v>313071.98</v>
      </c>
      <c r="R6" s="31" t="s">
        <v>484</v>
      </c>
      <c r="S6"/>
      <c r="T6"/>
      <c r="U6"/>
    </row>
    <row r="7" spans="1:21">
      <c r="B7" s="230" t="s">
        <v>198</v>
      </c>
      <c r="C7" s="230" t="s">
        <v>199</v>
      </c>
      <c r="D7" s="31">
        <v>2017</v>
      </c>
      <c r="E7" s="174">
        <v>139089.51</v>
      </c>
      <c r="F7" s="174">
        <v>100273</v>
      </c>
      <c r="G7" s="174">
        <v>183131.20999999996</v>
      </c>
      <c r="H7" s="174">
        <v>141251.33000000007</v>
      </c>
      <c r="I7" s="174">
        <v>174004.80000000005</v>
      </c>
      <c r="J7" s="174">
        <v>154064.29000000004</v>
      </c>
      <c r="K7" s="174">
        <v>156532.4</v>
      </c>
      <c r="L7" s="174">
        <v>87262.390000000014</v>
      </c>
      <c r="M7" s="174">
        <v>44724.28</v>
      </c>
      <c r="N7" s="174">
        <v>9977.570000000007</v>
      </c>
      <c r="O7" s="174">
        <v>48445.56</v>
      </c>
      <c r="P7" s="174">
        <v>71189.159999999974</v>
      </c>
      <c r="Q7" s="247">
        <f t="shared" si="0"/>
        <v>1309945.5000000002</v>
      </c>
      <c r="R7" s="31" t="s">
        <v>484</v>
      </c>
      <c r="S7"/>
      <c r="T7"/>
      <c r="U7"/>
    </row>
    <row r="8" spans="1:21">
      <c r="B8" s="234" t="s">
        <v>114</v>
      </c>
      <c r="C8" s="234" t="s">
        <v>115</v>
      </c>
      <c r="D8" s="31">
        <v>2017</v>
      </c>
      <c r="E8" s="174">
        <v>228764</v>
      </c>
      <c r="F8" s="174">
        <v>113240.16000000015</v>
      </c>
      <c r="G8" s="174">
        <v>242232.45999999996</v>
      </c>
      <c r="H8" s="174">
        <v>270778.31000000052</v>
      </c>
      <c r="I8" s="174">
        <v>186266.41999999899</v>
      </c>
      <c r="J8" s="174">
        <v>164938.8200000003</v>
      </c>
      <c r="K8" s="174">
        <v>178208.03</v>
      </c>
      <c r="L8" s="174">
        <v>216686.65</v>
      </c>
      <c r="M8" s="174">
        <v>242194.71000000002</v>
      </c>
      <c r="N8" s="174">
        <v>274861.59999999998</v>
      </c>
      <c r="O8" s="174">
        <v>146568.65999999992</v>
      </c>
      <c r="P8" s="174">
        <v>171112.55000000005</v>
      </c>
      <c r="Q8" s="247">
        <f>SUM(E8:P8)</f>
        <v>2435852.3699999992</v>
      </c>
      <c r="R8" s="31" t="s">
        <v>484</v>
      </c>
      <c r="S8"/>
      <c r="T8"/>
      <c r="U8"/>
    </row>
    <row r="9" spans="1:21">
      <c r="B9" s="234" t="s">
        <v>116</v>
      </c>
      <c r="C9" s="234" t="s">
        <v>117</v>
      </c>
      <c r="D9" s="31">
        <v>2017</v>
      </c>
      <c r="E9" s="174">
        <v>5789.1300000000047</v>
      </c>
      <c r="F9" s="174">
        <v>6097</v>
      </c>
      <c r="G9" s="174">
        <v>1717.2200000000012</v>
      </c>
      <c r="H9" s="174">
        <v>5594.9100000000035</v>
      </c>
      <c r="I9" s="174">
        <v>1216.3999999999942</v>
      </c>
      <c r="J9" s="174">
        <v>3702.070000000007</v>
      </c>
      <c r="K9" s="174">
        <v>-11129.050000000001</v>
      </c>
      <c r="L9" s="174">
        <v>18151.579999999998</v>
      </c>
      <c r="M9" s="174">
        <v>0</v>
      </c>
      <c r="N9" s="174">
        <v>2053.87</v>
      </c>
      <c r="O9" s="174">
        <v>2107.2100000000009</v>
      </c>
      <c r="P9" s="174">
        <v>2277.1800000000003</v>
      </c>
      <c r="Q9" s="247">
        <f t="shared" si="0"/>
        <v>37577.520000000011</v>
      </c>
      <c r="R9" s="31" t="s">
        <v>484</v>
      </c>
      <c r="S9"/>
      <c r="T9"/>
      <c r="U9"/>
    </row>
    <row r="10" spans="1:21">
      <c r="B10" s="234" t="s">
        <v>118</v>
      </c>
      <c r="C10" s="234" t="s">
        <v>119</v>
      </c>
      <c r="D10" s="31">
        <v>2017</v>
      </c>
      <c r="E10" s="174">
        <v>581.79000000000815</v>
      </c>
      <c r="F10" s="174">
        <v>7402.1999999999825</v>
      </c>
      <c r="G10" s="174">
        <v>8468.9800000000105</v>
      </c>
      <c r="H10" s="174">
        <v>1043.9499999999825</v>
      </c>
      <c r="I10" s="174">
        <v>9023.570000000007</v>
      </c>
      <c r="J10" s="174">
        <v>0</v>
      </c>
      <c r="K10" s="174">
        <v>41689.47</v>
      </c>
      <c r="L10" s="174">
        <v>5161.7299999999959</v>
      </c>
      <c r="M10" s="174">
        <v>-1411.6999999999971</v>
      </c>
      <c r="N10" s="174">
        <v>534.76000000000204</v>
      </c>
      <c r="O10" s="174">
        <v>-1401.3899999999994</v>
      </c>
      <c r="P10" s="174">
        <v>8962.43</v>
      </c>
      <c r="Q10" s="247">
        <f t="shared" si="0"/>
        <v>80055.790000000008</v>
      </c>
      <c r="R10" s="31" t="s">
        <v>484</v>
      </c>
      <c r="S10"/>
      <c r="T10"/>
      <c r="U10"/>
    </row>
    <row r="11" spans="1:21">
      <c r="B11" s="234" t="s">
        <v>120</v>
      </c>
      <c r="C11" s="234" t="s">
        <v>121</v>
      </c>
      <c r="D11" s="31">
        <v>2017</v>
      </c>
      <c r="E11" s="174">
        <v>396106.8900000006</v>
      </c>
      <c r="F11" s="174">
        <v>462578.48000000045</v>
      </c>
      <c r="G11" s="174">
        <v>382900.55999999866</v>
      </c>
      <c r="H11" s="174">
        <v>352185.10000000149</v>
      </c>
      <c r="I11" s="174">
        <v>304538.59999999963</v>
      </c>
      <c r="J11" s="174">
        <v>307815.5700000003</v>
      </c>
      <c r="K11" s="174">
        <v>306901.28000000003</v>
      </c>
      <c r="L11" s="174">
        <v>308028.39</v>
      </c>
      <c r="M11" s="174">
        <v>337339.0199999999</v>
      </c>
      <c r="N11" s="174">
        <v>494973.42000000016</v>
      </c>
      <c r="O11" s="174">
        <v>479984.35999999987</v>
      </c>
      <c r="P11" s="174">
        <v>531075.55999999982</v>
      </c>
      <c r="Q11" s="246">
        <f t="shared" si="0"/>
        <v>4664427.2300000014</v>
      </c>
      <c r="R11" s="31" t="s">
        <v>483</v>
      </c>
      <c r="S11"/>
      <c r="T11"/>
      <c r="U11"/>
    </row>
    <row r="12" spans="1:21">
      <c r="B12" s="234" t="s">
        <v>122</v>
      </c>
      <c r="C12" s="234" t="s">
        <v>230</v>
      </c>
      <c r="D12" s="31">
        <v>2017</v>
      </c>
      <c r="E12" s="174">
        <v>1732.6600000000035</v>
      </c>
      <c r="F12" s="174">
        <v>590.23999999999069</v>
      </c>
      <c r="G12" s="174">
        <v>4634.1000000000058</v>
      </c>
      <c r="H12" s="174">
        <v>3289.3500000000058</v>
      </c>
      <c r="I12" s="174">
        <v>254.82000000000698</v>
      </c>
      <c r="J12" s="174">
        <v>1484.9400000000023</v>
      </c>
      <c r="K12" s="174">
        <v>-2920.12</v>
      </c>
      <c r="L12" s="174">
        <v>7558.4</v>
      </c>
      <c r="M12" s="174">
        <v>3637.5199999999995</v>
      </c>
      <c r="N12" s="174">
        <v>1665.8400000000001</v>
      </c>
      <c r="O12" s="174">
        <v>12133.46</v>
      </c>
      <c r="P12" s="174">
        <v>30537.520000000004</v>
      </c>
      <c r="Q12" s="246">
        <f t="shared" si="0"/>
        <v>64598.730000000018</v>
      </c>
      <c r="R12" s="31" t="s">
        <v>483</v>
      </c>
      <c r="S12"/>
      <c r="T12"/>
      <c r="U12"/>
    </row>
    <row r="13" spans="1:21">
      <c r="B13" s="234" t="s">
        <v>319</v>
      </c>
      <c r="C13" s="235" t="s">
        <v>377</v>
      </c>
      <c r="D13" s="31">
        <v>2017</v>
      </c>
      <c r="E13" s="174">
        <v>1481.4799999999959</v>
      </c>
      <c r="F13" s="174">
        <v>332.63000000000466</v>
      </c>
      <c r="G13" s="174">
        <v>517.33000000000175</v>
      </c>
      <c r="H13" s="174">
        <v>0</v>
      </c>
      <c r="I13" s="174">
        <v>0</v>
      </c>
      <c r="J13" s="174">
        <v>520.22000000000116</v>
      </c>
      <c r="K13" s="174">
        <v>-1037.55</v>
      </c>
      <c r="L13" s="174">
        <v>1037.55</v>
      </c>
      <c r="M13" s="174">
        <v>0</v>
      </c>
      <c r="N13" s="174">
        <v>0</v>
      </c>
      <c r="O13" s="174">
        <v>0</v>
      </c>
      <c r="P13" s="174">
        <v>0</v>
      </c>
      <c r="Q13" s="246">
        <f t="shared" si="0"/>
        <v>2851.6600000000035</v>
      </c>
      <c r="R13" s="31" t="s">
        <v>483</v>
      </c>
      <c r="S13"/>
      <c r="T13"/>
      <c r="U13"/>
    </row>
    <row r="14" spans="1:21">
      <c r="B14" s="231" t="s">
        <v>123</v>
      </c>
      <c r="C14" s="231" t="s">
        <v>124</v>
      </c>
      <c r="D14" s="31">
        <v>2017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227290.54</v>
      </c>
      <c r="M14" s="174">
        <v>0</v>
      </c>
      <c r="N14" s="174">
        <v>0</v>
      </c>
      <c r="O14" s="174">
        <v>0</v>
      </c>
      <c r="P14" s="174">
        <v>0</v>
      </c>
      <c r="Q14" s="174">
        <f t="shared" si="0"/>
        <v>227290.54</v>
      </c>
      <c r="S14"/>
      <c r="T14"/>
      <c r="U14"/>
    </row>
    <row r="15" spans="1:21">
      <c r="B15" s="237" t="s">
        <v>125</v>
      </c>
      <c r="C15" s="237" t="s">
        <v>174</v>
      </c>
      <c r="D15" s="31">
        <v>2017</v>
      </c>
      <c r="E15" s="174">
        <v>1369037.4699999988</v>
      </c>
      <c r="F15" s="174">
        <v>1390174.0300000012</v>
      </c>
      <c r="G15" s="174">
        <v>1356976.2199999988</v>
      </c>
      <c r="H15" s="174">
        <v>1383896.5199999958</v>
      </c>
      <c r="I15" s="174">
        <v>1709499.3800000101</v>
      </c>
      <c r="J15" s="174">
        <v>1494016.1799999923</v>
      </c>
      <c r="K15" s="174">
        <v>1397473.08</v>
      </c>
      <c r="L15" s="174">
        <v>1524779.69</v>
      </c>
      <c r="M15" s="174">
        <v>1152787.42</v>
      </c>
      <c r="N15" s="174">
        <v>1487575.2799999998</v>
      </c>
      <c r="O15" s="174">
        <v>1174067.3700000001</v>
      </c>
      <c r="P15" s="174">
        <v>367164.8900000006</v>
      </c>
      <c r="Q15" s="246">
        <f t="shared" si="0"/>
        <v>15807447.529999997</v>
      </c>
      <c r="R15" s="31" t="s">
        <v>483</v>
      </c>
      <c r="S15"/>
      <c r="T15"/>
      <c r="U15"/>
    </row>
    <row r="16" spans="1:21">
      <c r="B16" s="231" t="s">
        <v>198</v>
      </c>
      <c r="C16" s="231" t="s">
        <v>199</v>
      </c>
      <c r="D16" s="31">
        <v>2017</v>
      </c>
      <c r="E16" s="174">
        <v>139089.64999999991</v>
      </c>
      <c r="F16" s="174">
        <v>100273.10000000009</v>
      </c>
      <c r="G16" s="174">
        <v>183131.36999999988</v>
      </c>
      <c r="H16" s="174">
        <v>141251.4700000002</v>
      </c>
      <c r="I16" s="174">
        <v>174004.94999999995</v>
      </c>
      <c r="J16" s="174">
        <v>154064.42999999993</v>
      </c>
      <c r="K16" s="174">
        <v>156532.54999999999</v>
      </c>
      <c r="L16" s="174">
        <v>77488.800000000017</v>
      </c>
      <c r="M16" s="174">
        <v>44724.249999999971</v>
      </c>
      <c r="N16" s="174">
        <v>9977.5599999999977</v>
      </c>
      <c r="O16" s="174">
        <v>48445.540000000037</v>
      </c>
      <c r="P16" s="174">
        <v>71189.13</v>
      </c>
      <c r="Q16" s="247">
        <f t="shared" si="0"/>
        <v>1300172.8000000003</v>
      </c>
      <c r="R16" s="31" t="s">
        <v>484</v>
      </c>
      <c r="S16"/>
      <c r="T16"/>
      <c r="U16"/>
    </row>
    <row r="17" spans="1:24">
      <c r="B17" s="231" t="s">
        <v>130</v>
      </c>
      <c r="C17" s="231" t="s">
        <v>131</v>
      </c>
      <c r="D17" s="31">
        <v>2017</v>
      </c>
      <c r="E17" s="174">
        <v>56481.599999999627</v>
      </c>
      <c r="F17" s="174">
        <v>62456</v>
      </c>
      <c r="G17" s="174">
        <v>71724.320000000298</v>
      </c>
      <c r="H17" s="174">
        <v>61714.639999999665</v>
      </c>
      <c r="I17" s="174">
        <v>96177.680000000633</v>
      </c>
      <c r="J17" s="174">
        <v>56137.519999999553</v>
      </c>
      <c r="K17" s="174">
        <v>74386.399999999994</v>
      </c>
      <c r="L17" s="174">
        <v>268033.94000000006</v>
      </c>
      <c r="M17" s="174">
        <v>133246.21999999997</v>
      </c>
      <c r="N17" s="174">
        <v>196773.81</v>
      </c>
      <c r="O17" s="174">
        <v>86670.760000000009</v>
      </c>
      <c r="P17" s="174">
        <v>222390.31999999995</v>
      </c>
      <c r="Q17" s="247">
        <f t="shared" si="0"/>
        <v>1386193.21</v>
      </c>
      <c r="R17" s="31" t="s">
        <v>484</v>
      </c>
      <c r="S17"/>
      <c r="T17"/>
      <c r="U17"/>
    </row>
    <row r="18" spans="1:24">
      <c r="B18" s="232" t="s">
        <v>132</v>
      </c>
      <c r="C18" s="231" t="s">
        <v>133</v>
      </c>
      <c r="D18" s="31">
        <v>2017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-17369.669999999998</v>
      </c>
      <c r="L18" s="174">
        <v>17369.669999999998</v>
      </c>
      <c r="M18" s="174">
        <v>0</v>
      </c>
      <c r="N18" s="174">
        <v>0</v>
      </c>
      <c r="O18" s="174">
        <v>0</v>
      </c>
      <c r="P18" s="174">
        <v>0</v>
      </c>
      <c r="Q18" s="247">
        <f t="shared" si="0"/>
        <v>0</v>
      </c>
      <c r="R18" s="31" t="s">
        <v>484</v>
      </c>
      <c r="S18"/>
      <c r="T18"/>
      <c r="U18"/>
    </row>
    <row r="19" spans="1:24">
      <c r="B19" s="231" t="s">
        <v>375</v>
      </c>
      <c r="C19" s="233" t="s">
        <v>376</v>
      </c>
      <c r="D19" s="31">
        <v>2017</v>
      </c>
      <c r="E19" s="238">
        <v>0</v>
      </c>
      <c r="F19" s="238">
        <v>0</v>
      </c>
      <c r="G19" s="176">
        <v>615.03000000000247</v>
      </c>
      <c r="H19" s="176">
        <v>0</v>
      </c>
      <c r="I19" s="176">
        <v>67.099999999998545</v>
      </c>
      <c r="J19" s="176">
        <v>-0.33000000000174623</v>
      </c>
      <c r="K19" s="176">
        <v>-19.29</v>
      </c>
      <c r="L19" s="176">
        <v>19.29</v>
      </c>
      <c r="M19" s="176">
        <v>0</v>
      </c>
      <c r="N19" s="176">
        <v>0</v>
      </c>
      <c r="O19" s="176">
        <v>0</v>
      </c>
      <c r="P19" s="176">
        <v>0</v>
      </c>
      <c r="Q19" s="248">
        <f>SUM(E19:P19)</f>
        <v>681.79999999999927</v>
      </c>
      <c r="R19" s="31" t="s">
        <v>484</v>
      </c>
    </row>
    <row r="20" spans="1:24">
      <c r="C20" s="32" t="s">
        <v>134</v>
      </c>
      <c r="E20" s="177">
        <f t="shared" ref="E20:P20" si="1">SUM(E3:E19)</f>
        <v>3635204.7099999958</v>
      </c>
      <c r="F20" s="177">
        <f t="shared" si="1"/>
        <v>3737967.8800000031</v>
      </c>
      <c r="G20" s="177">
        <f t="shared" si="1"/>
        <v>4071706.2999999956</v>
      </c>
      <c r="H20" s="177">
        <f t="shared" si="1"/>
        <v>3646664.2799999989</v>
      </c>
      <c r="I20" s="177">
        <f t="shared" si="1"/>
        <v>3693934.4800000056</v>
      </c>
      <c r="J20" s="177">
        <f t="shared" si="1"/>
        <v>3048758.4299999978</v>
      </c>
      <c r="K20" s="177">
        <f t="shared" si="1"/>
        <v>3037429.9599999995</v>
      </c>
      <c r="L20" s="177">
        <f t="shared" si="1"/>
        <v>3265537.0399999996</v>
      </c>
      <c r="M20" s="177">
        <f t="shared" si="1"/>
        <v>3156954.3600000003</v>
      </c>
      <c r="N20" s="177">
        <f t="shared" si="1"/>
        <v>3899854.21</v>
      </c>
      <c r="O20" s="177">
        <f t="shared" si="1"/>
        <v>2650493.42</v>
      </c>
      <c r="P20" s="177">
        <f t="shared" si="1"/>
        <v>1671710.8800000004</v>
      </c>
      <c r="Q20" s="177">
        <f>SUM(Q3:Q19)</f>
        <v>39516215.949999996</v>
      </c>
    </row>
    <row r="21" spans="1:24">
      <c r="C21" s="32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</row>
    <row r="22" spans="1:24">
      <c r="C22" s="32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</row>
    <row r="23" spans="1:24">
      <c r="A23" s="178" t="s">
        <v>113</v>
      </c>
      <c r="B23" s="178" t="s">
        <v>347</v>
      </c>
      <c r="C23" s="178"/>
      <c r="D23" s="178">
        <v>2017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239723.06</v>
      </c>
      <c r="L23" s="61">
        <v>70380.760000000009</v>
      </c>
      <c r="M23" s="61">
        <v>306489.25000000006</v>
      </c>
      <c r="N23" s="61">
        <v>429940.78</v>
      </c>
      <c r="O23" s="61">
        <v>393412.5399999998</v>
      </c>
      <c r="P23" s="61">
        <v>1622694.82</v>
      </c>
      <c r="Q23" s="174">
        <f>SUM(E23:P23)</f>
        <v>3062641.21</v>
      </c>
      <c r="R23" s="31" t="s">
        <v>233</v>
      </c>
    </row>
    <row r="24" spans="1:24"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24">
      <c r="A25" s="173" t="s">
        <v>37</v>
      </c>
      <c r="S25"/>
      <c r="T25"/>
      <c r="U25"/>
      <c r="V25"/>
      <c r="W25"/>
      <c r="X25"/>
    </row>
    <row r="26" spans="1:24">
      <c r="A26" s="31" t="s">
        <v>135</v>
      </c>
      <c r="B26" s="236" t="s">
        <v>123</v>
      </c>
      <c r="C26" s="236" t="s">
        <v>124</v>
      </c>
      <c r="D26" s="31">
        <v>2017</v>
      </c>
      <c r="E26" s="174">
        <v>3419.82</v>
      </c>
      <c r="F26" s="174">
        <v>6138.96</v>
      </c>
      <c r="G26" s="174">
        <v>7265.57</v>
      </c>
      <c r="H26" s="174">
        <v>11339.26</v>
      </c>
      <c r="I26" s="174">
        <v>48283.839999999997</v>
      </c>
      <c r="J26" s="174">
        <v>44705.18</v>
      </c>
      <c r="K26" s="174">
        <v>38874.949999999997</v>
      </c>
      <c r="L26" s="174">
        <v>13652.62</v>
      </c>
      <c r="M26" s="174">
        <v>36086.69</v>
      </c>
      <c r="N26" s="174">
        <v>147498.39000000001</v>
      </c>
      <c r="O26" s="174">
        <v>198015.39</v>
      </c>
      <c r="P26" s="174">
        <v>315268.21999999997</v>
      </c>
      <c r="Q26" s="174">
        <f t="shared" ref="Q26:Q31" si="2">SUM(E26:P26)</f>
        <v>870548.89</v>
      </c>
      <c r="S26"/>
      <c r="T26"/>
      <c r="U26"/>
      <c r="V26"/>
      <c r="W26"/>
      <c r="X26"/>
    </row>
    <row r="27" spans="1:24">
      <c r="A27" s="31" t="s">
        <v>135</v>
      </c>
      <c r="B27" s="236" t="s">
        <v>126</v>
      </c>
      <c r="C27" s="236" t="s">
        <v>127</v>
      </c>
      <c r="D27" s="31">
        <v>2017</v>
      </c>
      <c r="E27" s="174">
        <v>10591.47</v>
      </c>
      <c r="F27" s="174">
        <v>69695.240000000005</v>
      </c>
      <c r="G27" s="174">
        <v>408.53</v>
      </c>
      <c r="H27" s="174">
        <v>3060.12</v>
      </c>
      <c r="I27" s="174">
        <v>12155.12</v>
      </c>
      <c r="J27" s="174">
        <v>45491.64</v>
      </c>
      <c r="K27" s="174">
        <v>118656.44</v>
      </c>
      <c r="L27" s="174">
        <v>47773.16</v>
      </c>
      <c r="M27" s="174">
        <v>7823.23</v>
      </c>
      <c r="N27" s="174">
        <v>12470.76</v>
      </c>
      <c r="O27" s="174">
        <v>7387.7</v>
      </c>
      <c r="P27" s="174">
        <v>60669.52</v>
      </c>
      <c r="Q27" s="174">
        <f t="shared" si="2"/>
        <v>396182.93</v>
      </c>
      <c r="S27"/>
      <c r="T27"/>
      <c r="U27"/>
      <c r="V27"/>
      <c r="W27"/>
      <c r="X27"/>
    </row>
    <row r="28" spans="1:24">
      <c r="A28" s="31" t="s">
        <v>135</v>
      </c>
      <c r="B28" s="236" t="s">
        <v>128</v>
      </c>
      <c r="C28" s="236" t="s">
        <v>129</v>
      </c>
      <c r="D28" s="31">
        <v>2017</v>
      </c>
      <c r="E28" s="174">
        <v>18724.18</v>
      </c>
      <c r="F28" s="174">
        <v>113905.69</v>
      </c>
      <c r="G28" s="174">
        <v>64789.79</v>
      </c>
      <c r="H28" s="174">
        <v>1723.75</v>
      </c>
      <c r="I28" s="174">
        <v>33286.61</v>
      </c>
      <c r="J28" s="174">
        <v>34648.080000000002</v>
      </c>
      <c r="K28" s="174">
        <v>19593.14</v>
      </c>
      <c r="L28" s="174">
        <v>34511.69</v>
      </c>
      <c r="M28" s="174">
        <v>41454.58</v>
      </c>
      <c r="N28" s="174">
        <v>73381.240000000005</v>
      </c>
      <c r="O28" s="174">
        <v>10571.38</v>
      </c>
      <c r="P28" s="174">
        <v>2295.92</v>
      </c>
      <c r="Q28" s="174">
        <f t="shared" si="2"/>
        <v>448886.05000000005</v>
      </c>
      <c r="S28"/>
      <c r="T28"/>
      <c r="U28"/>
      <c r="V28"/>
      <c r="W28"/>
      <c r="X28"/>
    </row>
    <row r="29" spans="1:24">
      <c r="A29" s="31" t="s">
        <v>135</v>
      </c>
      <c r="B29" s="239" t="s">
        <v>130</v>
      </c>
      <c r="C29" s="239" t="s">
        <v>131</v>
      </c>
      <c r="D29" s="31">
        <v>2017</v>
      </c>
      <c r="E29" s="174">
        <v>7714.94</v>
      </c>
      <c r="F29" s="174">
        <v>13634.23</v>
      </c>
      <c r="G29" s="174">
        <v>18500.919999999998</v>
      </c>
      <c r="H29" s="174">
        <v>10452.540000000001</v>
      </c>
      <c r="I29" s="174">
        <v>21963.52</v>
      </c>
      <c r="J29" s="174">
        <v>43551.3</v>
      </c>
      <c r="K29" s="174">
        <v>16158.76</v>
      </c>
      <c r="L29" s="174">
        <v>16083.48</v>
      </c>
      <c r="M29" s="174">
        <v>18536.05</v>
      </c>
      <c r="N29" s="174">
        <v>17341.64</v>
      </c>
      <c r="O29" s="174">
        <v>28010.400000000001</v>
      </c>
      <c r="P29" s="174">
        <v>24027.32</v>
      </c>
      <c r="Q29" s="174">
        <f t="shared" si="2"/>
        <v>235975.1</v>
      </c>
      <c r="S29"/>
      <c r="T29"/>
      <c r="U29"/>
      <c r="V29"/>
      <c r="W29"/>
      <c r="X29"/>
    </row>
    <row r="30" spans="1:24">
      <c r="A30" s="31" t="s">
        <v>135</v>
      </c>
      <c r="B30" s="239" t="s">
        <v>132</v>
      </c>
      <c r="C30" s="239" t="s">
        <v>133</v>
      </c>
      <c r="D30" s="31">
        <v>2017</v>
      </c>
      <c r="E30" s="174">
        <v>26251.599999999999</v>
      </c>
      <c r="F30" s="174">
        <v>29321.27</v>
      </c>
      <c r="G30" s="174">
        <v>30169.439999999999</v>
      </c>
      <c r="H30" s="174">
        <v>24981.24</v>
      </c>
      <c r="I30" s="174">
        <v>18663.61</v>
      </c>
      <c r="J30" s="174">
        <v>19225.32</v>
      </c>
      <c r="K30" s="174">
        <v>10258.4</v>
      </c>
      <c r="L30" s="174">
        <v>12861.93</v>
      </c>
      <c r="M30" s="174">
        <v>5501.79</v>
      </c>
      <c r="N30" s="174">
        <v>14104.64</v>
      </c>
      <c r="O30" s="174">
        <v>10789.93</v>
      </c>
      <c r="P30" s="174">
        <v>13422.09</v>
      </c>
      <c r="Q30" s="174">
        <f t="shared" si="2"/>
        <v>215551.25999999998</v>
      </c>
      <c r="S30"/>
      <c r="T30"/>
      <c r="U30"/>
      <c r="V30"/>
      <c r="W30"/>
      <c r="X30"/>
    </row>
    <row r="31" spans="1:24">
      <c r="A31" s="31" t="s">
        <v>135</v>
      </c>
      <c r="B31" s="236" t="s">
        <v>198</v>
      </c>
      <c r="C31" s="236" t="s">
        <v>199</v>
      </c>
      <c r="D31" s="31">
        <v>2017</v>
      </c>
      <c r="E31" s="176"/>
      <c r="F31" s="176"/>
      <c r="G31" s="176"/>
      <c r="H31" s="176"/>
      <c r="I31" s="176">
        <v>49974.13</v>
      </c>
      <c r="J31" s="176">
        <v>6755.03</v>
      </c>
      <c r="K31" s="176">
        <v>17509.02</v>
      </c>
      <c r="L31" s="176">
        <v>8667.06</v>
      </c>
      <c r="M31" s="176">
        <v>38264.68</v>
      </c>
      <c r="N31" s="176">
        <v>136357.10999999999</v>
      </c>
      <c r="O31" s="176">
        <v>34286.449999999997</v>
      </c>
      <c r="P31" s="176">
        <v>35551.360000000001</v>
      </c>
      <c r="Q31" s="176">
        <f t="shared" si="2"/>
        <v>327364.83999999997</v>
      </c>
      <c r="S31"/>
      <c r="T31"/>
      <c r="U31"/>
      <c r="V31"/>
      <c r="W31"/>
      <c r="X31"/>
    </row>
    <row r="32" spans="1:24">
      <c r="C32" s="32" t="s">
        <v>136</v>
      </c>
      <c r="E32" s="177">
        <f t="shared" ref="E32:Q32" si="3">SUM(E26:E31)</f>
        <v>66702.010000000009</v>
      </c>
      <c r="F32" s="177">
        <f t="shared" si="3"/>
        <v>232695.39</v>
      </c>
      <c r="G32" s="177">
        <f t="shared" si="3"/>
        <v>121134.25</v>
      </c>
      <c r="H32" s="177">
        <f>SUM(H26:H31)</f>
        <v>51556.91</v>
      </c>
      <c r="I32" s="177">
        <f t="shared" si="3"/>
        <v>184326.83000000002</v>
      </c>
      <c r="J32" s="177">
        <f>SUM(J26:J31)</f>
        <v>194376.55000000002</v>
      </c>
      <c r="K32" s="177">
        <f t="shared" si="3"/>
        <v>221050.71000000002</v>
      </c>
      <c r="L32" s="177">
        <f t="shared" si="3"/>
        <v>133549.94</v>
      </c>
      <c r="M32" s="177">
        <f t="shared" si="3"/>
        <v>147667.01999999999</v>
      </c>
      <c r="N32" s="177">
        <f t="shared" si="3"/>
        <v>401153.78</v>
      </c>
      <c r="O32" s="177">
        <f t="shared" si="3"/>
        <v>289061.25</v>
      </c>
      <c r="P32" s="177">
        <f t="shared" si="3"/>
        <v>451234.43</v>
      </c>
      <c r="Q32" s="177">
        <f t="shared" si="3"/>
        <v>2494509.0699999998</v>
      </c>
      <c r="S32"/>
      <c r="T32"/>
      <c r="U32"/>
      <c r="V32"/>
      <c r="W32"/>
      <c r="X32"/>
    </row>
    <row r="33" spans="1:24">
      <c r="S33"/>
      <c r="T33"/>
      <c r="U33"/>
      <c r="V33"/>
      <c r="W33"/>
      <c r="X33"/>
    </row>
    <row r="34" spans="1:24">
      <c r="C34" s="32" t="s">
        <v>200</v>
      </c>
      <c r="E34" s="177">
        <f t="shared" ref="E34:O34" si="4">E20+E32+E23</f>
        <v>3701906.719999996</v>
      </c>
      <c r="F34" s="177">
        <f t="shared" si="4"/>
        <v>3970663.2700000033</v>
      </c>
      <c r="G34" s="177">
        <f t="shared" si="4"/>
        <v>4192840.5499999956</v>
      </c>
      <c r="H34" s="177">
        <f t="shared" si="4"/>
        <v>3698221.189999999</v>
      </c>
      <c r="I34" s="177">
        <f t="shared" si="4"/>
        <v>3878261.3100000056</v>
      </c>
      <c r="J34" s="177">
        <f t="shared" si="4"/>
        <v>3243134.9799999977</v>
      </c>
      <c r="K34" s="177">
        <f t="shared" si="4"/>
        <v>3498203.7299999995</v>
      </c>
      <c r="L34" s="177">
        <f t="shared" si="4"/>
        <v>3469467.7399999993</v>
      </c>
      <c r="M34" s="177">
        <f t="shared" si="4"/>
        <v>3611110.6300000004</v>
      </c>
      <c r="N34" s="177">
        <f t="shared" si="4"/>
        <v>4730948.7700000005</v>
      </c>
      <c r="O34" s="177">
        <f t="shared" si="4"/>
        <v>3332967.21</v>
      </c>
      <c r="P34" s="177">
        <f>P20+P32+P23</f>
        <v>3745640.1300000008</v>
      </c>
      <c r="Q34" s="177">
        <f>Q20+Q32+Q23</f>
        <v>45073366.229999997</v>
      </c>
      <c r="T34" s="178"/>
      <c r="U34" s="178"/>
      <c r="V34" s="178"/>
    </row>
    <row r="35" spans="1:24">
      <c r="C35" s="32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</row>
    <row r="36" spans="1:24" hidden="1">
      <c r="A36" s="173" t="s">
        <v>112</v>
      </c>
    </row>
    <row r="37" spans="1:24" hidden="1">
      <c r="A37" s="31" t="s">
        <v>113</v>
      </c>
      <c r="B37" s="31" t="s">
        <v>114</v>
      </c>
      <c r="C37" s="31" t="s">
        <v>115</v>
      </c>
      <c r="D37" s="31">
        <v>2018</v>
      </c>
      <c r="E37" s="174">
        <v>186185.53</v>
      </c>
      <c r="F37" s="174">
        <v>160489.14000000001</v>
      </c>
      <c r="G37" s="174">
        <v>169260.06</v>
      </c>
      <c r="H37" s="174">
        <v>162592.25</v>
      </c>
      <c r="I37" s="174">
        <v>176374.84</v>
      </c>
      <c r="J37" s="174">
        <v>158518.10999999999</v>
      </c>
      <c r="K37" s="174">
        <v>159817.35999999999</v>
      </c>
      <c r="L37" s="174">
        <v>186878.72</v>
      </c>
      <c r="M37" s="174">
        <v>162215.48000000001</v>
      </c>
      <c r="N37" s="174">
        <v>180247.71</v>
      </c>
      <c r="O37" s="174">
        <v>167622.68</v>
      </c>
      <c r="P37" s="174">
        <v>157909.67000000001</v>
      </c>
      <c r="Q37" s="174">
        <f t="shared" ref="Q37:Q48" si="5">SUM(E37:P37)</f>
        <v>2028111.5499999998</v>
      </c>
    </row>
    <row r="38" spans="1:24" hidden="1">
      <c r="A38" s="31" t="s">
        <v>113</v>
      </c>
      <c r="B38" s="31" t="s">
        <v>116</v>
      </c>
      <c r="C38" s="31" t="s">
        <v>117</v>
      </c>
      <c r="D38" s="31">
        <v>2018</v>
      </c>
      <c r="E38" s="174">
        <v>12063.07</v>
      </c>
      <c r="F38" s="174">
        <v>8642.9699999999993</v>
      </c>
      <c r="G38" s="174">
        <v>9978.69</v>
      </c>
      <c r="H38" s="174">
        <v>14011.59</v>
      </c>
      <c r="I38" s="174">
        <v>22487.79</v>
      </c>
      <c r="J38" s="174">
        <v>7893.27</v>
      </c>
      <c r="K38" s="174">
        <v>11927.31</v>
      </c>
      <c r="L38" s="174">
        <v>10922.97</v>
      </c>
      <c r="M38" s="174">
        <v>8727.43</v>
      </c>
      <c r="N38" s="174">
        <v>16982.37</v>
      </c>
      <c r="O38" s="174">
        <v>12062.97</v>
      </c>
      <c r="P38" s="174">
        <v>4337.6099999999997</v>
      </c>
      <c r="Q38" s="174">
        <f t="shared" si="5"/>
        <v>140038.04</v>
      </c>
    </row>
    <row r="39" spans="1:24" hidden="1">
      <c r="A39" s="31" t="s">
        <v>113</v>
      </c>
      <c r="B39" s="31" t="s">
        <v>118</v>
      </c>
      <c r="C39" s="31" t="s">
        <v>119</v>
      </c>
      <c r="D39" s="31">
        <v>2018</v>
      </c>
      <c r="E39" s="174">
        <v>4186.8</v>
      </c>
      <c r="F39" s="174">
        <v>0</v>
      </c>
      <c r="G39" s="174">
        <v>8746.7999999999993</v>
      </c>
      <c r="H39" s="174">
        <v>0</v>
      </c>
      <c r="I39" s="174">
        <v>13306.8</v>
      </c>
      <c r="J39" s="174">
        <v>34200</v>
      </c>
      <c r="K39" s="174">
        <v>11400</v>
      </c>
      <c r="L39" s="174">
        <v>11026.8</v>
      </c>
      <c r="M39" s="174">
        <v>0</v>
      </c>
      <c r="N39" s="174">
        <v>4186.8</v>
      </c>
      <c r="O39" s="174">
        <v>4560</v>
      </c>
      <c r="P39" s="174">
        <v>7793.4</v>
      </c>
      <c r="Q39" s="174">
        <f t="shared" si="5"/>
        <v>99407.4</v>
      </c>
    </row>
    <row r="40" spans="1:24" hidden="1">
      <c r="A40" s="31" t="s">
        <v>113</v>
      </c>
      <c r="B40" s="31" t="s">
        <v>120</v>
      </c>
      <c r="C40" s="31" t="s">
        <v>121</v>
      </c>
      <c r="D40" s="31">
        <v>2018</v>
      </c>
      <c r="E40" s="174">
        <v>387527.36</v>
      </c>
      <c r="F40" s="174">
        <v>325903.34000000003</v>
      </c>
      <c r="G40" s="174">
        <v>356177.76</v>
      </c>
      <c r="H40" s="174">
        <v>340813.14</v>
      </c>
      <c r="I40" s="174">
        <v>373653.38</v>
      </c>
      <c r="J40" s="174">
        <v>336399.05</v>
      </c>
      <c r="K40" s="174">
        <v>341054.36</v>
      </c>
      <c r="L40" s="174">
        <v>397880.68</v>
      </c>
      <c r="M40" s="174">
        <v>338179.39</v>
      </c>
      <c r="N40" s="174">
        <v>381704.17</v>
      </c>
      <c r="O40" s="174">
        <v>348481.75</v>
      </c>
      <c r="P40" s="174">
        <v>312069.15999999997</v>
      </c>
      <c r="Q40" s="174">
        <f t="shared" si="5"/>
        <v>4239843.54</v>
      </c>
    </row>
    <row r="41" spans="1:24" hidden="1">
      <c r="A41" s="31" t="s">
        <v>113</v>
      </c>
      <c r="B41" s="31" t="s">
        <v>122</v>
      </c>
      <c r="C41" s="31" t="s">
        <v>230</v>
      </c>
      <c r="D41" s="31">
        <v>2018</v>
      </c>
      <c r="E41" s="174">
        <v>1140</v>
      </c>
      <c r="F41" s="174">
        <v>4373.3999999999996</v>
      </c>
      <c r="G41" s="174">
        <v>3224.28</v>
      </c>
      <c r="H41" s="174">
        <v>4560</v>
      </c>
      <c r="I41" s="174">
        <v>3224.28</v>
      </c>
      <c r="J41" s="174">
        <v>10636.5</v>
      </c>
      <c r="K41" s="174">
        <v>3224.28</v>
      </c>
      <c r="L41" s="174">
        <v>3224.28</v>
      </c>
      <c r="M41" s="174">
        <v>3224.28</v>
      </c>
      <c r="N41" s="174">
        <v>4364.28</v>
      </c>
      <c r="O41" s="174">
        <v>3224.28</v>
      </c>
      <c r="P41" s="174">
        <v>1140</v>
      </c>
      <c r="Q41" s="174">
        <f t="shared" si="5"/>
        <v>45559.859999999993</v>
      </c>
    </row>
    <row r="42" spans="1:24" hidden="1">
      <c r="A42" s="31" t="s">
        <v>113</v>
      </c>
      <c r="B42" s="31" t="s">
        <v>123</v>
      </c>
      <c r="C42" s="31" t="s">
        <v>124</v>
      </c>
      <c r="D42" s="31">
        <v>2018</v>
      </c>
      <c r="E42" s="174">
        <v>324961.05</v>
      </c>
      <c r="F42" s="174">
        <v>329947.18</v>
      </c>
      <c r="G42" s="174">
        <v>332498.55</v>
      </c>
      <c r="H42" s="174">
        <v>328543.65999999997</v>
      </c>
      <c r="I42" s="174">
        <v>333103.65999999997</v>
      </c>
      <c r="J42" s="174">
        <v>328901.58</v>
      </c>
      <c r="K42" s="174">
        <v>326977.52</v>
      </c>
      <c r="L42" s="174">
        <v>335120.13</v>
      </c>
      <c r="M42" s="174">
        <v>333103.65999999997</v>
      </c>
      <c r="N42" s="174">
        <v>330560.13</v>
      </c>
      <c r="O42" s="174">
        <v>333103.65999999997</v>
      </c>
      <c r="P42" s="174">
        <v>362743.66</v>
      </c>
      <c r="Q42" s="174">
        <f t="shared" si="5"/>
        <v>3999564.4400000004</v>
      </c>
    </row>
    <row r="43" spans="1:24" hidden="1">
      <c r="A43" s="31" t="s">
        <v>113</v>
      </c>
      <c r="B43" s="31" t="s">
        <v>126</v>
      </c>
      <c r="C43" s="31" t="s">
        <v>127</v>
      </c>
      <c r="D43" s="31">
        <v>2018</v>
      </c>
      <c r="E43" s="174">
        <v>386063.56</v>
      </c>
      <c r="F43" s="174">
        <v>377913.09</v>
      </c>
      <c r="G43" s="174">
        <v>393516.51</v>
      </c>
      <c r="H43" s="174">
        <v>382115.16</v>
      </c>
      <c r="I43" s="174">
        <v>387995.48</v>
      </c>
      <c r="J43" s="174">
        <v>383265</v>
      </c>
      <c r="K43" s="174">
        <v>377828.52</v>
      </c>
      <c r="L43" s="174">
        <v>389561.59999999998</v>
      </c>
      <c r="M43" s="174">
        <v>381502.2</v>
      </c>
      <c r="N43" s="174">
        <v>390181.07</v>
      </c>
      <c r="O43" s="174">
        <v>385528.65</v>
      </c>
      <c r="P43" s="174">
        <v>365805.73</v>
      </c>
      <c r="Q43" s="174">
        <f t="shared" si="5"/>
        <v>4601276.57</v>
      </c>
    </row>
    <row r="44" spans="1:24" hidden="1">
      <c r="A44" s="31" t="s">
        <v>113</v>
      </c>
      <c r="B44" s="31" t="s">
        <v>128</v>
      </c>
      <c r="C44" s="31" t="s">
        <v>129</v>
      </c>
      <c r="D44" s="31">
        <v>2018</v>
      </c>
      <c r="E44" s="174">
        <v>55664.67</v>
      </c>
      <c r="F44" s="174">
        <v>54524.67</v>
      </c>
      <c r="G44" s="174">
        <v>49606.74</v>
      </c>
      <c r="H44" s="174">
        <v>48466.74</v>
      </c>
      <c r="I44" s="174">
        <v>50746.74</v>
      </c>
      <c r="J44" s="174">
        <v>49606.74</v>
      </c>
      <c r="K44" s="174">
        <v>46365.71</v>
      </c>
      <c r="L44" s="174">
        <v>49606.74</v>
      </c>
      <c r="M44" s="174">
        <v>49606.74</v>
      </c>
      <c r="N44" s="174">
        <v>48466.74</v>
      </c>
      <c r="O44" s="174">
        <v>49606.74</v>
      </c>
      <c r="P44" s="174">
        <v>47505.71</v>
      </c>
      <c r="Q44" s="174">
        <f t="shared" si="5"/>
        <v>599774.67999999993</v>
      </c>
    </row>
    <row r="45" spans="1:24" hidden="1">
      <c r="A45" s="31" t="s">
        <v>113</v>
      </c>
      <c r="B45" s="31" t="s">
        <v>130</v>
      </c>
      <c r="C45" s="31" t="s">
        <v>131</v>
      </c>
      <c r="D45" s="31">
        <v>2018</v>
      </c>
      <c r="E45" s="174">
        <v>182995.97</v>
      </c>
      <c r="F45" s="174">
        <v>154533.23000000001</v>
      </c>
      <c r="G45" s="174">
        <v>169606.99</v>
      </c>
      <c r="H45" s="174">
        <v>161299.14000000001</v>
      </c>
      <c r="I45" s="174">
        <v>178027.04</v>
      </c>
      <c r="J45" s="174">
        <v>159554.56</v>
      </c>
      <c r="K45" s="174">
        <v>162594.53</v>
      </c>
      <c r="L45" s="174">
        <v>191476.63</v>
      </c>
      <c r="M45" s="174">
        <v>162282.1</v>
      </c>
      <c r="N45" s="174">
        <v>182293.42</v>
      </c>
      <c r="O45" s="174">
        <v>165401.94</v>
      </c>
      <c r="P45" s="174">
        <v>147852.20000000001</v>
      </c>
      <c r="Q45" s="174">
        <f t="shared" si="5"/>
        <v>2017917.7500000002</v>
      </c>
    </row>
    <row r="46" spans="1:24" hidden="1">
      <c r="A46" s="31" t="s">
        <v>113</v>
      </c>
      <c r="B46" s="31" t="s">
        <v>132</v>
      </c>
      <c r="C46" s="31" t="s">
        <v>133</v>
      </c>
      <c r="D46" s="31">
        <v>2018</v>
      </c>
      <c r="E46" s="174">
        <v>7704.19</v>
      </c>
      <c r="F46" s="174">
        <v>7704.33</v>
      </c>
      <c r="G46" s="174">
        <v>11601.57</v>
      </c>
      <c r="H46" s="174">
        <v>13550.19</v>
      </c>
      <c r="I46" s="174">
        <v>12741.57</v>
      </c>
      <c r="J46" s="174">
        <v>7704.33</v>
      </c>
      <c r="K46" s="174">
        <v>7704.33</v>
      </c>
      <c r="L46" s="174">
        <v>11601.57</v>
      </c>
      <c r="M46" s="174">
        <v>8844.33</v>
      </c>
      <c r="N46" s="174">
        <v>11601.57</v>
      </c>
      <c r="O46" s="174">
        <v>13550.19</v>
      </c>
      <c r="P46" s="174">
        <v>7704.33</v>
      </c>
      <c r="Q46" s="174">
        <f t="shared" si="5"/>
        <v>122012.49999999999</v>
      </c>
    </row>
    <row r="47" spans="1:24" hidden="1">
      <c r="A47" s="31" t="s">
        <v>113</v>
      </c>
      <c r="B47" s="31" t="s">
        <v>234</v>
      </c>
      <c r="C47" s="31" t="s">
        <v>235</v>
      </c>
      <c r="D47" s="31">
        <v>2018</v>
      </c>
      <c r="E47" s="174">
        <v>134055.41</v>
      </c>
      <c r="F47" s="174">
        <v>286749.19</v>
      </c>
      <c r="G47" s="174">
        <v>912267.63</v>
      </c>
      <c r="H47" s="174">
        <v>913749.19</v>
      </c>
      <c r="I47" s="174">
        <v>913749.19</v>
      </c>
      <c r="J47" s="174">
        <v>1022049.19</v>
      </c>
      <c r="K47" s="174">
        <v>942249.19</v>
      </c>
      <c r="L47" s="174">
        <v>942249.19</v>
      </c>
      <c r="M47" s="174">
        <v>942249.19</v>
      </c>
      <c r="N47" s="174">
        <v>942249.19</v>
      </c>
      <c r="O47" s="174">
        <v>776949.19</v>
      </c>
      <c r="P47" s="174">
        <v>686889.19</v>
      </c>
      <c r="Q47" s="174">
        <f t="shared" si="5"/>
        <v>9415454.9399999976</v>
      </c>
      <c r="R47" s="31" t="s">
        <v>233</v>
      </c>
    </row>
    <row r="48" spans="1:24" hidden="1">
      <c r="A48" s="31" t="s">
        <v>113</v>
      </c>
      <c r="B48" s="31" t="s">
        <v>231</v>
      </c>
      <c r="C48" s="31" t="s">
        <v>232</v>
      </c>
      <c r="D48" s="31">
        <v>2018</v>
      </c>
      <c r="E48" s="176">
        <v>1358103.19</v>
      </c>
      <c r="F48" s="176">
        <v>1373178.07</v>
      </c>
      <c r="G48" s="176">
        <v>1628357.32</v>
      </c>
      <c r="H48" s="176">
        <v>1643178.53</v>
      </c>
      <c r="I48" s="176">
        <v>1699518.61</v>
      </c>
      <c r="J48" s="176">
        <v>1729786</v>
      </c>
      <c r="K48" s="176">
        <v>1740449.26</v>
      </c>
      <c r="L48" s="176">
        <v>1889198.12</v>
      </c>
      <c r="M48" s="176">
        <v>1669762.17</v>
      </c>
      <c r="N48" s="176">
        <v>1666346.84</v>
      </c>
      <c r="O48" s="176">
        <v>1633930.6</v>
      </c>
      <c r="P48" s="176">
        <v>1567469.06</v>
      </c>
      <c r="Q48" s="176">
        <f t="shared" si="5"/>
        <v>19599277.77</v>
      </c>
      <c r="R48" s="31" t="s">
        <v>233</v>
      </c>
    </row>
    <row r="49" spans="1:18" hidden="1">
      <c r="C49" s="32" t="s">
        <v>134</v>
      </c>
      <c r="E49" s="177">
        <f t="shared" ref="E49:Q49" si="6">SUM(E37:E48)</f>
        <v>3040650.8</v>
      </c>
      <c r="F49" s="177">
        <f t="shared" si="6"/>
        <v>3083958.6100000003</v>
      </c>
      <c r="G49" s="177">
        <f t="shared" si="6"/>
        <v>4044842.9000000004</v>
      </c>
      <c r="H49" s="177">
        <f t="shared" si="6"/>
        <v>4012879.59</v>
      </c>
      <c r="I49" s="177">
        <f t="shared" si="6"/>
        <v>4164929.38</v>
      </c>
      <c r="J49" s="177">
        <f t="shared" si="6"/>
        <v>4228514.33</v>
      </c>
      <c r="K49" s="177">
        <f t="shared" si="6"/>
        <v>4131592.37</v>
      </c>
      <c r="L49" s="177">
        <f t="shared" si="6"/>
        <v>4418747.43</v>
      </c>
      <c r="M49" s="177">
        <f t="shared" si="6"/>
        <v>4059696.9699999997</v>
      </c>
      <c r="N49" s="177">
        <f t="shared" si="6"/>
        <v>4159184.29</v>
      </c>
      <c r="O49" s="177">
        <f t="shared" si="6"/>
        <v>3894022.65</v>
      </c>
      <c r="P49" s="177">
        <f t="shared" si="6"/>
        <v>3669219.72</v>
      </c>
      <c r="Q49" s="177">
        <f t="shared" si="6"/>
        <v>46908239.039999999</v>
      </c>
    </row>
    <row r="50" spans="1:18" hidden="1">
      <c r="A50" s="173" t="s">
        <v>37</v>
      </c>
    </row>
    <row r="51" spans="1:18" hidden="1">
      <c r="A51" s="31" t="s">
        <v>135</v>
      </c>
      <c r="B51" s="31" t="s">
        <v>130</v>
      </c>
      <c r="C51" s="31" t="s">
        <v>131</v>
      </c>
      <c r="D51" s="31">
        <v>2018</v>
      </c>
      <c r="E51" s="174">
        <v>33548.199999999997</v>
      </c>
      <c r="F51" s="174">
        <v>28399.08</v>
      </c>
      <c r="G51" s="174">
        <v>31287.51</v>
      </c>
      <c r="H51" s="174">
        <v>29694.04</v>
      </c>
      <c r="I51" s="174">
        <v>32777.99</v>
      </c>
      <c r="J51" s="174">
        <v>29274.59</v>
      </c>
      <c r="K51" s="174">
        <v>29837.88</v>
      </c>
      <c r="L51" s="174">
        <v>35167.31</v>
      </c>
      <c r="M51" s="174">
        <v>29381.99</v>
      </c>
      <c r="N51" s="174">
        <v>33618.82</v>
      </c>
      <c r="O51" s="174">
        <v>30303.37</v>
      </c>
      <c r="P51" s="174">
        <v>26844.63</v>
      </c>
      <c r="Q51" s="174">
        <f>SUM(E51:P51)</f>
        <v>370135.41</v>
      </c>
    </row>
    <row r="52" spans="1:18" hidden="1">
      <c r="A52" s="31" t="s">
        <v>135</v>
      </c>
      <c r="B52" s="31" t="s">
        <v>132</v>
      </c>
      <c r="C52" s="31" t="s">
        <v>133</v>
      </c>
      <c r="D52" s="31">
        <v>2018</v>
      </c>
      <c r="E52" s="174">
        <v>0</v>
      </c>
      <c r="F52" s="174">
        <v>4186.8</v>
      </c>
      <c r="G52" s="174">
        <v>0</v>
      </c>
      <c r="H52" s="174">
        <v>11980.2</v>
      </c>
      <c r="I52" s="174">
        <v>11400</v>
      </c>
      <c r="J52" s="174">
        <v>11980.2</v>
      </c>
      <c r="K52" s="174">
        <v>0</v>
      </c>
      <c r="L52" s="174">
        <v>1140</v>
      </c>
      <c r="M52" s="174">
        <v>0</v>
      </c>
      <c r="N52" s="174">
        <v>4186.8</v>
      </c>
      <c r="O52" s="174">
        <v>0</v>
      </c>
      <c r="P52" s="174">
        <v>2093.4</v>
      </c>
      <c r="Q52" s="174">
        <f>SUM(E52:P52)</f>
        <v>46967.4</v>
      </c>
    </row>
    <row r="53" spans="1:18" hidden="1">
      <c r="A53" s="31" t="s">
        <v>135</v>
      </c>
      <c r="B53" s="31" t="s">
        <v>231</v>
      </c>
      <c r="C53" s="31" t="s">
        <v>232</v>
      </c>
      <c r="D53" s="31">
        <v>2018</v>
      </c>
      <c r="E53" s="176">
        <v>27360</v>
      </c>
      <c r="F53" s="176">
        <v>30780</v>
      </c>
      <c r="G53" s="176">
        <v>30780</v>
      </c>
      <c r="H53" s="176">
        <v>27360</v>
      </c>
      <c r="I53" s="176">
        <v>38760</v>
      </c>
      <c r="J53" s="176">
        <v>38760</v>
      </c>
      <c r="K53" s="176">
        <v>34200</v>
      </c>
      <c r="L53" s="176">
        <v>38760</v>
      </c>
      <c r="M53" s="176">
        <v>38760</v>
      </c>
      <c r="N53" s="176">
        <v>30780</v>
      </c>
      <c r="O53" s="176">
        <v>31920</v>
      </c>
      <c r="P53" s="176">
        <v>31920</v>
      </c>
      <c r="Q53" s="176">
        <f>SUM(E53:P53)</f>
        <v>400140</v>
      </c>
      <c r="R53" s="31" t="s">
        <v>233</v>
      </c>
    </row>
    <row r="54" spans="1:18" hidden="1">
      <c r="C54" s="32" t="s">
        <v>136</v>
      </c>
      <c r="E54" s="177">
        <f t="shared" ref="E54:Q54" si="7">SUM(E51:E53)</f>
        <v>60908.2</v>
      </c>
      <c r="F54" s="177">
        <f t="shared" si="7"/>
        <v>63365.880000000005</v>
      </c>
      <c r="G54" s="177">
        <f t="shared" si="7"/>
        <v>62067.509999999995</v>
      </c>
      <c r="H54" s="177">
        <f t="shared" si="7"/>
        <v>69034.240000000005</v>
      </c>
      <c r="I54" s="177">
        <f t="shared" si="7"/>
        <v>82937.989999999991</v>
      </c>
      <c r="J54" s="177">
        <f t="shared" si="7"/>
        <v>80014.790000000008</v>
      </c>
      <c r="K54" s="177">
        <f t="shared" si="7"/>
        <v>64037.880000000005</v>
      </c>
      <c r="L54" s="177">
        <f t="shared" si="7"/>
        <v>75067.31</v>
      </c>
      <c r="M54" s="177">
        <f t="shared" si="7"/>
        <v>68141.990000000005</v>
      </c>
      <c r="N54" s="177">
        <f t="shared" si="7"/>
        <v>68585.62</v>
      </c>
      <c r="O54" s="177">
        <f t="shared" si="7"/>
        <v>62223.369999999995</v>
      </c>
      <c r="P54" s="177">
        <f t="shared" si="7"/>
        <v>60858.03</v>
      </c>
      <c r="Q54" s="177">
        <f t="shared" si="7"/>
        <v>817242.81</v>
      </c>
    </row>
    <row r="55" spans="1:18" hidden="1"/>
    <row r="56" spans="1:18" hidden="1">
      <c r="C56" s="32" t="s">
        <v>236</v>
      </c>
      <c r="E56" s="177">
        <f t="shared" ref="E56:Q56" si="8">E49+E54</f>
        <v>3101559</v>
      </c>
      <c r="F56" s="177">
        <f t="shared" si="8"/>
        <v>3147324.49</v>
      </c>
      <c r="G56" s="177">
        <f t="shared" si="8"/>
        <v>4106910.41</v>
      </c>
      <c r="H56" s="177">
        <f t="shared" si="8"/>
        <v>4081913.83</v>
      </c>
      <c r="I56" s="177">
        <f t="shared" si="8"/>
        <v>4247867.37</v>
      </c>
      <c r="J56" s="177">
        <f t="shared" si="8"/>
        <v>4308529.12</v>
      </c>
      <c r="K56" s="177">
        <f t="shared" si="8"/>
        <v>4195630.25</v>
      </c>
      <c r="L56" s="177">
        <f t="shared" si="8"/>
        <v>4493814.7399999993</v>
      </c>
      <c r="M56" s="177">
        <f t="shared" si="8"/>
        <v>4127838.96</v>
      </c>
      <c r="N56" s="177">
        <f t="shared" si="8"/>
        <v>4227769.91</v>
      </c>
      <c r="O56" s="177">
        <f t="shared" si="8"/>
        <v>3956246.02</v>
      </c>
      <c r="P56" s="177">
        <f t="shared" si="8"/>
        <v>3730077.75</v>
      </c>
      <c r="Q56" s="177">
        <f t="shared" si="8"/>
        <v>47725481.850000001</v>
      </c>
    </row>
    <row r="57" spans="1:18" hidden="1">
      <c r="C57" s="32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</row>
    <row r="58" spans="1:18" hidden="1">
      <c r="A58" s="173" t="s">
        <v>112</v>
      </c>
    </row>
    <row r="59" spans="1:18" hidden="1">
      <c r="A59" s="31" t="s">
        <v>113</v>
      </c>
      <c r="B59" s="31" t="s">
        <v>114</v>
      </c>
      <c r="C59" s="31" t="s">
        <v>115</v>
      </c>
      <c r="D59" s="31">
        <v>2019</v>
      </c>
      <c r="E59" s="174">
        <v>195835.63</v>
      </c>
      <c r="F59" s="174">
        <v>168740.26</v>
      </c>
      <c r="G59" s="174">
        <v>175998.34</v>
      </c>
      <c r="H59" s="174">
        <v>172442.62</v>
      </c>
      <c r="I59" s="174">
        <v>179189.87</v>
      </c>
      <c r="J59" s="174">
        <v>152409.91</v>
      </c>
      <c r="K59" s="174">
        <v>169535.82</v>
      </c>
      <c r="L59" s="174">
        <v>181298.9</v>
      </c>
      <c r="M59" s="174">
        <v>170278.1</v>
      </c>
      <c r="N59" s="174">
        <v>187083.61</v>
      </c>
      <c r="O59" s="174">
        <v>167346.92000000001</v>
      </c>
      <c r="P59" s="174">
        <v>166726.26999999999</v>
      </c>
      <c r="Q59" s="174">
        <f t="shared" ref="Q59:Q69" si="9">SUM(E59:P59)</f>
        <v>2086886.25</v>
      </c>
    </row>
    <row r="60" spans="1:18" hidden="1">
      <c r="A60" s="31" t="s">
        <v>113</v>
      </c>
      <c r="B60" s="31" t="s">
        <v>116</v>
      </c>
      <c r="C60" s="31" t="s">
        <v>117</v>
      </c>
      <c r="D60" s="31">
        <v>2019</v>
      </c>
      <c r="E60" s="174">
        <v>14095.13</v>
      </c>
      <c r="F60" s="174">
        <v>10675.03</v>
      </c>
      <c r="G60" s="174">
        <v>9961.69</v>
      </c>
      <c r="H60" s="174">
        <v>13957.09</v>
      </c>
      <c r="I60" s="174">
        <v>22361.71</v>
      </c>
      <c r="J60" s="174">
        <v>7895.02</v>
      </c>
      <c r="K60" s="174">
        <v>11890.42</v>
      </c>
      <c r="L60" s="174">
        <v>10888.36</v>
      </c>
      <c r="M60" s="174">
        <v>8721.23</v>
      </c>
      <c r="N60" s="174">
        <v>16875.04</v>
      </c>
      <c r="O60" s="174">
        <v>12028.36</v>
      </c>
      <c r="P60" s="174">
        <v>4337.08</v>
      </c>
      <c r="Q60" s="174">
        <f t="shared" si="9"/>
        <v>143686.16</v>
      </c>
    </row>
    <row r="61" spans="1:18" hidden="1">
      <c r="A61" s="31" t="s">
        <v>113</v>
      </c>
      <c r="B61" s="31" t="s">
        <v>118</v>
      </c>
      <c r="C61" s="31" t="s">
        <v>119</v>
      </c>
      <c r="D61" s="31">
        <v>2019</v>
      </c>
      <c r="E61" s="174">
        <v>4149.3</v>
      </c>
      <c r="F61" s="174">
        <v>0</v>
      </c>
      <c r="G61" s="174">
        <v>8709.2999999999993</v>
      </c>
      <c r="H61" s="174">
        <v>0</v>
      </c>
      <c r="I61" s="174">
        <v>13269.3</v>
      </c>
      <c r="J61" s="174">
        <v>34200</v>
      </c>
      <c r="K61" s="174">
        <v>11400</v>
      </c>
      <c r="L61" s="174">
        <v>10989.3</v>
      </c>
      <c r="M61" s="174">
        <v>0</v>
      </c>
      <c r="N61" s="174">
        <v>4149.3</v>
      </c>
      <c r="O61" s="174">
        <v>4560</v>
      </c>
      <c r="P61" s="174">
        <v>7774.65</v>
      </c>
      <c r="Q61" s="174">
        <f t="shared" si="9"/>
        <v>99201.15</v>
      </c>
    </row>
    <row r="62" spans="1:18" hidden="1">
      <c r="A62" s="31" t="s">
        <v>113</v>
      </c>
      <c r="B62" s="31" t="s">
        <v>120</v>
      </c>
      <c r="C62" s="31" t="s">
        <v>121</v>
      </c>
      <c r="D62" s="31">
        <v>2019</v>
      </c>
      <c r="E62" s="174">
        <v>403654.79</v>
      </c>
      <c r="F62" s="174">
        <v>342109.42</v>
      </c>
      <c r="G62" s="174">
        <v>358927.85</v>
      </c>
      <c r="H62" s="174">
        <v>364109.91</v>
      </c>
      <c r="I62" s="174">
        <v>380002.07</v>
      </c>
      <c r="J62" s="174">
        <v>322838.09999999998</v>
      </c>
      <c r="K62" s="174">
        <v>360761.99</v>
      </c>
      <c r="L62" s="174">
        <v>387203.54</v>
      </c>
      <c r="M62" s="174">
        <v>363651.3</v>
      </c>
      <c r="N62" s="174">
        <v>388404.63</v>
      </c>
      <c r="O62" s="174">
        <v>339180.79999999999</v>
      </c>
      <c r="P62" s="174">
        <v>335190.43</v>
      </c>
      <c r="Q62" s="174">
        <f t="shared" si="9"/>
        <v>4346034.8299999991</v>
      </c>
    </row>
    <row r="63" spans="1:18" hidden="1">
      <c r="A63" s="31" t="s">
        <v>113</v>
      </c>
      <c r="B63" s="31" t="s">
        <v>122</v>
      </c>
      <c r="C63" s="31" t="s">
        <v>230</v>
      </c>
      <c r="D63" s="31">
        <v>2019</v>
      </c>
      <c r="E63" s="174">
        <v>0</v>
      </c>
      <c r="F63" s="174">
        <v>3214.65</v>
      </c>
      <c r="G63" s="174">
        <v>2066.67</v>
      </c>
      <c r="H63" s="174">
        <v>3420</v>
      </c>
      <c r="I63" s="174">
        <v>2066.67</v>
      </c>
      <c r="J63" s="174">
        <v>21962.639999999999</v>
      </c>
      <c r="K63" s="174">
        <v>2066.67</v>
      </c>
      <c r="L63" s="174">
        <v>2066.67</v>
      </c>
      <c r="M63" s="174">
        <v>3206.67</v>
      </c>
      <c r="N63" s="174">
        <v>3206.67</v>
      </c>
      <c r="O63" s="174">
        <v>2066.67</v>
      </c>
      <c r="P63" s="174">
        <v>0</v>
      </c>
      <c r="Q63" s="174">
        <f t="shared" si="9"/>
        <v>45343.979999999989</v>
      </c>
    </row>
    <row r="64" spans="1:18" hidden="1">
      <c r="A64" s="31" t="s">
        <v>113</v>
      </c>
      <c r="B64" s="31" t="s">
        <v>123</v>
      </c>
      <c r="C64" s="31" t="s">
        <v>124</v>
      </c>
      <c r="D64" s="31">
        <v>2019</v>
      </c>
      <c r="E64" s="174">
        <v>250652.76</v>
      </c>
      <c r="F64" s="174">
        <v>252737.85</v>
      </c>
      <c r="G64" s="174">
        <v>252729.01</v>
      </c>
      <c r="H64" s="174">
        <v>252733.44</v>
      </c>
      <c r="I64" s="174">
        <v>252733.44</v>
      </c>
      <c r="J64" s="174">
        <v>248572.07</v>
      </c>
      <c r="K64" s="174">
        <v>252128.79</v>
      </c>
      <c r="L64" s="174">
        <v>252128.79</v>
      </c>
      <c r="M64" s="174">
        <v>252133.22</v>
      </c>
      <c r="N64" s="174">
        <v>252128.79</v>
      </c>
      <c r="O64" s="174">
        <v>252133.22</v>
      </c>
      <c r="P64" s="174">
        <v>228992.76</v>
      </c>
      <c r="Q64" s="174">
        <f t="shared" si="9"/>
        <v>2999804.1400000006</v>
      </c>
    </row>
    <row r="65" spans="1:18" hidden="1">
      <c r="A65" s="31" t="s">
        <v>113</v>
      </c>
      <c r="B65" s="31" t="s">
        <v>126</v>
      </c>
      <c r="C65" s="31" t="s">
        <v>127</v>
      </c>
      <c r="D65" s="31">
        <v>2019</v>
      </c>
      <c r="E65" s="174">
        <v>315010.81</v>
      </c>
      <c r="F65" s="174">
        <v>306938.03000000003</v>
      </c>
      <c r="G65" s="174">
        <v>319005.53999999998</v>
      </c>
      <c r="H65" s="174">
        <v>276899.40999999997</v>
      </c>
      <c r="I65" s="174">
        <v>282724.84000000003</v>
      </c>
      <c r="J65" s="174">
        <v>274652.08</v>
      </c>
      <c r="K65" s="174">
        <v>272054.49</v>
      </c>
      <c r="L65" s="174">
        <v>280210.59000000003</v>
      </c>
      <c r="M65" s="174">
        <v>270223.77</v>
      </c>
      <c r="N65" s="174">
        <v>282207.96999999997</v>
      </c>
      <c r="O65" s="174">
        <v>276215.87</v>
      </c>
      <c r="P65" s="174">
        <v>243945.93</v>
      </c>
      <c r="Q65" s="174">
        <f t="shared" si="9"/>
        <v>3400089.3300000005</v>
      </c>
    </row>
    <row r="66" spans="1:18" hidden="1">
      <c r="A66" s="31" t="s">
        <v>113</v>
      </c>
      <c r="B66" s="31" t="s">
        <v>130</v>
      </c>
      <c r="C66" s="31" t="s">
        <v>131</v>
      </c>
      <c r="D66" s="31">
        <v>2019</v>
      </c>
      <c r="E66" s="174">
        <v>191630.64</v>
      </c>
      <c r="F66" s="174">
        <v>160579.31</v>
      </c>
      <c r="G66" s="174">
        <v>168922.2</v>
      </c>
      <c r="H66" s="174">
        <v>174094.93</v>
      </c>
      <c r="I66" s="174">
        <v>182205.79</v>
      </c>
      <c r="J66" s="174">
        <v>154775.65</v>
      </c>
      <c r="K66" s="174">
        <v>175064.6</v>
      </c>
      <c r="L66" s="174">
        <v>188121.34</v>
      </c>
      <c r="M66" s="174">
        <v>175394.81</v>
      </c>
      <c r="N66" s="174">
        <v>183674.51</v>
      </c>
      <c r="O66" s="174">
        <v>158768.13</v>
      </c>
      <c r="P66" s="174">
        <v>156607.60999999999</v>
      </c>
      <c r="Q66" s="174">
        <f t="shared" si="9"/>
        <v>2069839.52</v>
      </c>
    </row>
    <row r="67" spans="1:18" hidden="1">
      <c r="A67" s="31" t="s">
        <v>113</v>
      </c>
      <c r="B67" s="31" t="s">
        <v>132</v>
      </c>
      <c r="C67" s="31" t="s">
        <v>133</v>
      </c>
      <c r="D67" s="31">
        <v>2019</v>
      </c>
      <c r="E67" s="174">
        <v>7742.02</v>
      </c>
      <c r="F67" s="174">
        <v>7742.06</v>
      </c>
      <c r="G67" s="174">
        <v>11599.52</v>
      </c>
      <c r="H67" s="174">
        <v>13528.25</v>
      </c>
      <c r="I67" s="174">
        <v>13528.25</v>
      </c>
      <c r="J67" s="174">
        <v>7742.06</v>
      </c>
      <c r="K67" s="174">
        <v>7742.06</v>
      </c>
      <c r="L67" s="174">
        <v>11599.52</v>
      </c>
      <c r="M67" s="174">
        <v>7742.06</v>
      </c>
      <c r="N67" s="174">
        <v>15456.98</v>
      </c>
      <c r="O67" s="174">
        <v>13528.25</v>
      </c>
      <c r="P67" s="174">
        <v>7742.06</v>
      </c>
      <c r="Q67" s="174">
        <f t="shared" si="9"/>
        <v>125693.09</v>
      </c>
    </row>
    <row r="68" spans="1:18" hidden="1">
      <c r="A68" s="31" t="s">
        <v>113</v>
      </c>
      <c r="B68" s="31" t="s">
        <v>234</v>
      </c>
      <c r="C68" s="31" t="s">
        <v>235</v>
      </c>
      <c r="D68" s="31">
        <v>2019</v>
      </c>
      <c r="E68" s="174">
        <v>591437.17000000004</v>
      </c>
      <c r="F68" s="174">
        <v>703356.47</v>
      </c>
      <c r="G68" s="174">
        <v>819437.17</v>
      </c>
      <c r="H68" s="174">
        <v>878517.85</v>
      </c>
      <c r="I68" s="174">
        <v>874356.47</v>
      </c>
      <c r="J68" s="174">
        <v>929275.79</v>
      </c>
      <c r="K68" s="174">
        <v>873156.03</v>
      </c>
      <c r="L68" s="174">
        <v>881478.79</v>
      </c>
      <c r="M68" s="174">
        <v>824478.79</v>
      </c>
      <c r="N68" s="174">
        <v>824478.79</v>
      </c>
      <c r="O68" s="174">
        <v>807378.79</v>
      </c>
      <c r="P68" s="174">
        <v>698397.85</v>
      </c>
      <c r="Q68" s="174">
        <f t="shared" si="9"/>
        <v>9705749.959999999</v>
      </c>
      <c r="R68" s="31" t="s">
        <v>233</v>
      </c>
    </row>
    <row r="69" spans="1:18" hidden="1">
      <c r="A69" s="31" t="s">
        <v>113</v>
      </c>
      <c r="B69" s="31" t="s">
        <v>231</v>
      </c>
      <c r="C69" s="31" t="s">
        <v>232</v>
      </c>
      <c r="D69" s="31">
        <v>2019</v>
      </c>
      <c r="E69" s="176">
        <v>2053387.02</v>
      </c>
      <c r="F69" s="176">
        <v>2916467.32</v>
      </c>
      <c r="G69" s="176">
        <v>3040800.54</v>
      </c>
      <c r="H69" s="176">
        <v>3323303.23</v>
      </c>
      <c r="I69" s="176">
        <v>3360715.49</v>
      </c>
      <c r="J69" s="176">
        <v>3315886.95</v>
      </c>
      <c r="K69" s="176">
        <v>3350032</v>
      </c>
      <c r="L69" s="176">
        <v>3190709.12</v>
      </c>
      <c r="M69" s="176">
        <v>3070230.17</v>
      </c>
      <c r="N69" s="176">
        <v>3210915.79</v>
      </c>
      <c r="O69" s="176">
        <v>3161759.22</v>
      </c>
      <c r="P69" s="176">
        <v>2787445.73</v>
      </c>
      <c r="Q69" s="176">
        <f t="shared" si="9"/>
        <v>36781652.579999998</v>
      </c>
      <c r="R69" s="31" t="s">
        <v>233</v>
      </c>
    </row>
    <row r="70" spans="1:18" hidden="1">
      <c r="C70" s="32" t="s">
        <v>134</v>
      </c>
      <c r="E70" s="177">
        <f t="shared" ref="E70:Q70" si="10">SUM(E59:E69)</f>
        <v>4027595.27</v>
      </c>
      <c r="F70" s="177">
        <f t="shared" si="10"/>
        <v>4872560.4000000004</v>
      </c>
      <c r="G70" s="177">
        <f t="shared" si="10"/>
        <v>5168157.83</v>
      </c>
      <c r="H70" s="177">
        <f t="shared" si="10"/>
        <v>5473006.7300000004</v>
      </c>
      <c r="I70" s="177">
        <f t="shared" si="10"/>
        <v>5563153.9000000004</v>
      </c>
      <c r="J70" s="177">
        <f t="shared" si="10"/>
        <v>5470210.2700000005</v>
      </c>
      <c r="K70" s="177">
        <f t="shared" si="10"/>
        <v>5485832.8700000001</v>
      </c>
      <c r="L70" s="177">
        <f t="shared" si="10"/>
        <v>5396694.9199999999</v>
      </c>
      <c r="M70" s="177">
        <f t="shared" si="10"/>
        <v>5146060.12</v>
      </c>
      <c r="N70" s="177">
        <f t="shared" si="10"/>
        <v>5368582.08</v>
      </c>
      <c r="O70" s="177">
        <f t="shared" si="10"/>
        <v>5194966.2300000004</v>
      </c>
      <c r="P70" s="177">
        <f t="shared" si="10"/>
        <v>4637160.37</v>
      </c>
      <c r="Q70" s="177">
        <f t="shared" si="10"/>
        <v>61803980.989999995</v>
      </c>
    </row>
    <row r="71" spans="1:18" hidden="1">
      <c r="A71" s="173" t="s">
        <v>37</v>
      </c>
    </row>
    <row r="72" spans="1:18" hidden="1">
      <c r="A72" s="31" t="s">
        <v>135</v>
      </c>
      <c r="B72" s="31" t="s">
        <v>130</v>
      </c>
      <c r="C72" s="31" t="s">
        <v>131</v>
      </c>
      <c r="D72" s="31">
        <v>2019</v>
      </c>
      <c r="E72" s="174">
        <v>35020.78</v>
      </c>
      <c r="F72" s="174">
        <v>29397.99</v>
      </c>
      <c r="G72" s="174">
        <v>31018.58</v>
      </c>
      <c r="H72" s="174">
        <v>32027.3</v>
      </c>
      <c r="I72" s="174">
        <v>33486.65</v>
      </c>
      <c r="J72" s="174">
        <v>28287.43</v>
      </c>
      <c r="K72" s="174">
        <v>32116.35</v>
      </c>
      <c r="L72" s="174">
        <v>34399.15</v>
      </c>
      <c r="M72" s="174">
        <v>31799.040000000001</v>
      </c>
      <c r="N72" s="174">
        <v>33823.980000000003</v>
      </c>
      <c r="O72" s="174">
        <v>28997.81</v>
      </c>
      <c r="P72" s="174">
        <v>28513.67</v>
      </c>
      <c r="Q72" s="174">
        <f>SUM(E72:P72)</f>
        <v>378888.73</v>
      </c>
    </row>
    <row r="73" spans="1:18" hidden="1">
      <c r="A73" s="31" t="s">
        <v>135</v>
      </c>
      <c r="B73" s="31" t="s">
        <v>132</v>
      </c>
      <c r="C73" s="31" t="s">
        <v>133</v>
      </c>
      <c r="D73" s="31">
        <v>2019</v>
      </c>
      <c r="E73" s="174">
        <v>0</v>
      </c>
      <c r="F73" s="174">
        <v>4149.3</v>
      </c>
      <c r="G73" s="174">
        <v>0</v>
      </c>
      <c r="H73" s="174">
        <v>11923.95</v>
      </c>
      <c r="I73" s="174">
        <v>11400</v>
      </c>
      <c r="J73" s="174">
        <v>11923.95</v>
      </c>
      <c r="K73" s="174">
        <v>0</v>
      </c>
      <c r="L73" s="174">
        <v>1140</v>
      </c>
      <c r="M73" s="174">
        <v>0</v>
      </c>
      <c r="N73" s="174">
        <v>3857.46</v>
      </c>
      <c r="O73" s="174">
        <v>1140</v>
      </c>
      <c r="P73" s="174">
        <v>1928.73</v>
      </c>
      <c r="Q73" s="174">
        <f>SUM(E73:P73)</f>
        <v>47463.39</v>
      </c>
    </row>
    <row r="74" spans="1:18" hidden="1">
      <c r="A74" s="31" t="s">
        <v>135</v>
      </c>
      <c r="B74" s="31" t="s">
        <v>231</v>
      </c>
      <c r="C74" s="31" t="s">
        <v>232</v>
      </c>
      <c r="D74" s="31">
        <v>2019</v>
      </c>
      <c r="E74" s="176">
        <v>57000</v>
      </c>
      <c r="F74" s="176">
        <v>60420</v>
      </c>
      <c r="G74" s="176">
        <v>60420</v>
      </c>
      <c r="H74" s="176">
        <v>57000</v>
      </c>
      <c r="I74" s="176">
        <v>61560</v>
      </c>
      <c r="J74" s="176">
        <v>61560</v>
      </c>
      <c r="K74" s="176">
        <v>57000</v>
      </c>
      <c r="L74" s="176">
        <v>61560</v>
      </c>
      <c r="M74" s="176">
        <v>61560</v>
      </c>
      <c r="N74" s="176">
        <v>57000</v>
      </c>
      <c r="O74" s="176">
        <v>61560</v>
      </c>
      <c r="P74" s="176">
        <v>61560</v>
      </c>
      <c r="Q74" s="176">
        <f>SUM(E74:P74)</f>
        <v>718200</v>
      </c>
      <c r="R74" s="31" t="s">
        <v>233</v>
      </c>
    </row>
    <row r="75" spans="1:18" hidden="1">
      <c r="C75" s="32" t="s">
        <v>136</v>
      </c>
      <c r="E75" s="177">
        <f t="shared" ref="E75:Q75" si="11">SUM(E72:E74)</f>
        <v>92020.78</v>
      </c>
      <c r="F75" s="177">
        <f t="shared" si="11"/>
        <v>93967.290000000008</v>
      </c>
      <c r="G75" s="177">
        <f t="shared" si="11"/>
        <v>91438.58</v>
      </c>
      <c r="H75" s="177">
        <f t="shared" si="11"/>
        <v>100951.25</v>
      </c>
      <c r="I75" s="177">
        <f t="shared" si="11"/>
        <v>106446.65</v>
      </c>
      <c r="J75" s="177">
        <f t="shared" si="11"/>
        <v>101771.38</v>
      </c>
      <c r="K75" s="177">
        <f t="shared" si="11"/>
        <v>89116.35</v>
      </c>
      <c r="L75" s="177">
        <f t="shared" si="11"/>
        <v>97099.15</v>
      </c>
      <c r="M75" s="177">
        <f t="shared" si="11"/>
        <v>93359.040000000008</v>
      </c>
      <c r="N75" s="177">
        <f t="shared" si="11"/>
        <v>94681.44</v>
      </c>
      <c r="O75" s="177">
        <f t="shared" si="11"/>
        <v>91697.81</v>
      </c>
      <c r="P75" s="177">
        <f t="shared" si="11"/>
        <v>92002.4</v>
      </c>
      <c r="Q75" s="177">
        <f t="shared" si="11"/>
        <v>1144552.1200000001</v>
      </c>
    </row>
    <row r="76" spans="1:18" hidden="1"/>
    <row r="77" spans="1:18" hidden="1">
      <c r="C77" s="32" t="s">
        <v>237</v>
      </c>
      <c r="E77" s="177">
        <f t="shared" ref="E77:Q77" si="12">E70+E75</f>
        <v>4119616.05</v>
      </c>
      <c r="F77" s="177">
        <f t="shared" si="12"/>
        <v>4966527.6900000004</v>
      </c>
      <c r="G77" s="177">
        <f t="shared" si="12"/>
        <v>5259596.41</v>
      </c>
      <c r="H77" s="177">
        <f t="shared" si="12"/>
        <v>5573957.9800000004</v>
      </c>
      <c r="I77" s="177">
        <f t="shared" si="12"/>
        <v>5669600.5500000007</v>
      </c>
      <c r="J77" s="177">
        <f t="shared" si="12"/>
        <v>5571981.6500000004</v>
      </c>
      <c r="K77" s="177">
        <f t="shared" si="12"/>
        <v>5574949.2199999997</v>
      </c>
      <c r="L77" s="177">
        <f t="shared" si="12"/>
        <v>5493794.0700000003</v>
      </c>
      <c r="M77" s="177">
        <f t="shared" si="12"/>
        <v>5239419.16</v>
      </c>
      <c r="N77" s="177">
        <f t="shared" si="12"/>
        <v>5463263.5200000005</v>
      </c>
      <c r="O77" s="177">
        <f t="shared" si="12"/>
        <v>5286664.04</v>
      </c>
      <c r="P77" s="177">
        <f t="shared" si="12"/>
        <v>4729162.7700000005</v>
      </c>
      <c r="Q77" s="177">
        <f t="shared" si="12"/>
        <v>62948533.109999992</v>
      </c>
    </row>
    <row r="79" spans="1:18" ht="26.25">
      <c r="B79" s="240" t="s">
        <v>378</v>
      </c>
    </row>
  </sheetData>
  <pageMargins left="0.7" right="0.7" top="0.75" bottom="0.75" header="0.3" footer="0.3"/>
  <pageSetup scale="52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zoomScale="80" zoomScaleNormal="80" zoomScalePageLayoutView="70" workbookViewId="0"/>
  </sheetViews>
  <sheetFormatPr defaultColWidth="9.140625" defaultRowHeight="15" customHeight="1"/>
  <cols>
    <col min="1" max="1" width="20.7109375" style="267" customWidth="1"/>
    <col min="2" max="4" width="17.7109375" style="302" customWidth="1"/>
    <col min="5" max="5" width="18.7109375" style="302" customWidth="1"/>
    <col min="6" max="6" width="10.7109375" style="302" customWidth="1"/>
    <col min="7" max="9" width="15.7109375" style="302" customWidth="1"/>
    <col min="10" max="10" width="15.7109375" style="267" customWidth="1"/>
    <col min="11" max="11" width="15.5703125" style="267" customWidth="1"/>
    <col min="12" max="16384" width="9.140625" style="267"/>
  </cols>
  <sheetData>
    <row r="1" spans="1:11" ht="15" customHeight="1">
      <c r="A1" s="429" t="s">
        <v>67</v>
      </c>
      <c r="B1" s="430"/>
      <c r="C1" s="430"/>
      <c r="D1" s="430"/>
      <c r="E1" s="430"/>
      <c r="F1" s="430"/>
      <c r="G1" s="430"/>
      <c r="H1" s="430"/>
      <c r="I1" s="430"/>
      <c r="J1" s="431"/>
      <c r="K1" s="431"/>
    </row>
    <row r="2" spans="1:11" ht="15.75" customHeight="1">
      <c r="A2" s="298" t="s">
        <v>423</v>
      </c>
      <c r="B2" s="299"/>
      <c r="C2" s="298"/>
      <c r="D2" s="298"/>
      <c r="E2" s="298"/>
      <c r="F2" s="298"/>
      <c r="G2" s="298"/>
      <c r="H2" s="298"/>
      <c r="I2" s="298"/>
      <c r="J2" s="298"/>
      <c r="K2" s="298"/>
    </row>
    <row r="3" spans="1:11" ht="15.75" customHeight="1">
      <c r="A3" s="301" t="str">
        <f>'OU Collection'!A3</f>
        <v>As of December 2017</v>
      </c>
      <c r="B3" s="299"/>
      <c r="C3" s="301"/>
      <c r="D3" s="301"/>
      <c r="E3" s="301"/>
      <c r="F3" s="301"/>
      <c r="G3" s="301"/>
      <c r="H3" s="301"/>
      <c r="I3" s="301"/>
      <c r="J3" s="301"/>
      <c r="K3" s="301"/>
    </row>
    <row r="4" spans="1:11" ht="15.75" customHeight="1">
      <c r="C4" s="412"/>
    </row>
    <row r="5" spans="1:11" s="320" customFormat="1" ht="15.75" customHeight="1">
      <c r="B5" s="321"/>
      <c r="C5" s="412"/>
      <c r="D5" s="321"/>
      <c r="E5" s="321"/>
      <c r="F5" s="321"/>
      <c r="G5" s="321"/>
      <c r="H5" s="321"/>
      <c r="I5" s="321"/>
      <c r="J5" s="322"/>
      <c r="K5" s="322"/>
    </row>
    <row r="6" spans="1:11" s="307" customFormat="1" ht="15.75" customHeight="1">
      <c r="A6" s="323" t="s">
        <v>399</v>
      </c>
      <c r="B6" s="324" t="s">
        <v>400</v>
      </c>
      <c r="C6" s="324" t="s">
        <v>401</v>
      </c>
      <c r="D6" s="324" t="s">
        <v>402</v>
      </c>
      <c r="E6" s="324" t="s">
        <v>403</v>
      </c>
      <c r="F6" s="324" t="s">
        <v>404</v>
      </c>
      <c r="G6" s="324" t="s">
        <v>405</v>
      </c>
      <c r="H6" s="324" t="s">
        <v>415</v>
      </c>
      <c r="I6" s="324" t="s">
        <v>416</v>
      </c>
      <c r="J6" s="324" t="s">
        <v>417</v>
      </c>
      <c r="K6" s="324" t="s">
        <v>418</v>
      </c>
    </row>
    <row r="7" spans="1:11" s="325" customFormat="1" ht="15.75" customHeight="1">
      <c r="A7" s="436" t="s">
        <v>406</v>
      </c>
      <c r="B7" s="433" t="s">
        <v>424</v>
      </c>
      <c r="C7" s="433" t="s">
        <v>425</v>
      </c>
      <c r="D7" s="433" t="s">
        <v>426</v>
      </c>
      <c r="E7" s="433" t="s">
        <v>427</v>
      </c>
      <c r="F7" s="433" t="s">
        <v>56</v>
      </c>
      <c r="G7" s="433" t="s">
        <v>428</v>
      </c>
      <c r="H7" s="433" t="s">
        <v>429</v>
      </c>
      <c r="I7" s="433" t="s">
        <v>165</v>
      </c>
      <c r="J7" s="433" t="s">
        <v>430</v>
      </c>
      <c r="K7" s="433" t="s">
        <v>408</v>
      </c>
    </row>
    <row r="8" spans="1:11" s="325" customFormat="1" ht="15.75" customHeight="1">
      <c r="A8" s="437"/>
      <c r="B8" s="433"/>
      <c r="C8" s="433"/>
      <c r="D8" s="433"/>
      <c r="E8" s="433"/>
      <c r="F8" s="433"/>
      <c r="G8" s="433"/>
      <c r="H8" s="433"/>
      <c r="I8" s="433"/>
      <c r="J8" s="433"/>
      <c r="K8" s="433"/>
    </row>
    <row r="9" spans="1:11" s="325" customFormat="1" ht="15.75" customHeight="1">
      <c r="A9" s="438"/>
      <c r="B9" s="434"/>
      <c r="C9" s="434"/>
      <c r="D9" s="434"/>
      <c r="E9" s="434"/>
      <c r="F9" s="434"/>
      <c r="G9" s="434"/>
      <c r="H9" s="434"/>
      <c r="I9" s="434"/>
      <c r="J9" s="434"/>
      <c r="K9" s="434"/>
    </row>
    <row r="10" spans="1:11" s="325" customFormat="1" ht="15.75" customHeight="1">
      <c r="A10" s="305"/>
      <c r="B10" s="326"/>
      <c r="C10" s="306"/>
      <c r="D10" s="306"/>
      <c r="E10" s="326" t="s">
        <v>431</v>
      </c>
      <c r="F10" s="306"/>
      <c r="G10" s="306" t="s">
        <v>432</v>
      </c>
      <c r="H10" s="306"/>
      <c r="I10" s="327" t="s">
        <v>433</v>
      </c>
      <c r="J10" s="327"/>
      <c r="K10" s="327" t="s">
        <v>434</v>
      </c>
    </row>
    <row r="11" spans="1:11" ht="15.75" customHeight="1">
      <c r="A11" s="328" t="s">
        <v>435</v>
      </c>
      <c r="J11" s="302"/>
      <c r="K11" s="302"/>
    </row>
    <row r="12" spans="1:11" s="325" customFormat="1" ht="15.75" customHeight="1">
      <c r="A12" s="330">
        <v>42705</v>
      </c>
      <c r="B12" s="308">
        <v>175200265.21338111</v>
      </c>
      <c r="C12" s="329" t="s">
        <v>436</v>
      </c>
      <c r="D12" s="329" t="s">
        <v>436</v>
      </c>
      <c r="E12" s="329" t="s">
        <v>436</v>
      </c>
      <c r="F12" s="329" t="s">
        <v>436</v>
      </c>
      <c r="G12" s="329" t="s">
        <v>436</v>
      </c>
      <c r="H12" s="329" t="s">
        <v>436</v>
      </c>
      <c r="I12" s="329" t="s">
        <v>436</v>
      </c>
      <c r="J12" s="329" t="s">
        <v>436</v>
      </c>
      <c r="K12" s="329" t="s">
        <v>436</v>
      </c>
    </row>
    <row r="13" spans="1:11" s="325" customFormat="1" ht="15.75" customHeight="1">
      <c r="A13" s="330"/>
      <c r="B13" s="314"/>
      <c r="C13" s="314"/>
      <c r="D13" s="308"/>
      <c r="E13" s="314"/>
      <c r="F13" s="331"/>
      <c r="G13" s="314"/>
      <c r="H13" s="314"/>
      <c r="I13" s="308"/>
      <c r="J13" s="314"/>
      <c r="K13" s="314"/>
    </row>
    <row r="14" spans="1:11" s="325" customFormat="1" ht="15.75" customHeight="1">
      <c r="A14" s="330">
        <f>DATE(YEAR(A12+45),MONTH(A12+45),1)</f>
        <v>42736</v>
      </c>
      <c r="B14" s="308">
        <v>178147850.33338109</v>
      </c>
      <c r="C14" s="308">
        <v>176674057.77000001</v>
      </c>
      <c r="D14" s="308">
        <v>183845254.38999999</v>
      </c>
      <c r="E14" s="308">
        <f t="shared" ref="E14:E25" si="0">D14/12</f>
        <v>15320437.865833333</v>
      </c>
      <c r="F14" s="331">
        <v>0.10440000000000001</v>
      </c>
      <c r="G14" s="308">
        <f t="shared" ref="G14:G25" si="1">E14*F14</f>
        <v>1599453.7131930001</v>
      </c>
      <c r="H14" s="308">
        <v>891911.28</v>
      </c>
      <c r="I14" s="308">
        <f t="shared" ref="I14:I25" si="2">G14+H14</f>
        <v>2491364.9931930001</v>
      </c>
      <c r="J14" s="308">
        <v>112972.73</v>
      </c>
      <c r="K14" s="308">
        <f>I14+J14</f>
        <v>2604337.7231930001</v>
      </c>
    </row>
    <row r="15" spans="1:11" s="325" customFormat="1" ht="15.75" customHeight="1">
      <c r="A15" s="330">
        <f>DATE(YEAR(A14+45),MONTH(A14+45),1)</f>
        <v>42767</v>
      </c>
      <c r="B15" s="308">
        <v>181196820.96000001</v>
      </c>
      <c r="C15" s="308">
        <v>178181645.5</v>
      </c>
      <c r="D15" s="308">
        <v>183845254.38999999</v>
      </c>
      <c r="E15" s="308">
        <f t="shared" si="0"/>
        <v>15320437.865833333</v>
      </c>
      <c r="F15" s="331">
        <v>0.10440000000000001</v>
      </c>
      <c r="G15" s="308">
        <f t="shared" si="1"/>
        <v>1599453.7131930001</v>
      </c>
      <c r="H15" s="308">
        <v>836918.79999999993</v>
      </c>
      <c r="I15" s="308">
        <f t="shared" si="2"/>
        <v>2436372.5131930001</v>
      </c>
      <c r="J15" s="308">
        <v>112972.73</v>
      </c>
      <c r="K15" s="308">
        <f t="shared" ref="K15:K25" si="3">I15+J15</f>
        <v>2549345.2431930001</v>
      </c>
    </row>
    <row r="16" spans="1:11" s="325" customFormat="1" ht="15.75" customHeight="1">
      <c r="A16" s="330">
        <f t="shared" ref="A16:A25" si="4">DATE(YEAR(A15+45),MONTH(A15+45),1)</f>
        <v>42795</v>
      </c>
      <c r="B16" s="308">
        <v>184387618.74000001</v>
      </c>
      <c r="C16" s="308">
        <v>179733138.81</v>
      </c>
      <c r="D16" s="308">
        <v>183845254.38999999</v>
      </c>
      <c r="E16" s="308">
        <f t="shared" si="0"/>
        <v>15320437.865833333</v>
      </c>
      <c r="F16" s="331">
        <v>0.10440000000000001</v>
      </c>
      <c r="G16" s="308">
        <f t="shared" si="1"/>
        <v>1599453.7131930001</v>
      </c>
      <c r="H16" s="308">
        <v>851656.4800000001</v>
      </c>
      <c r="I16" s="308">
        <f t="shared" si="2"/>
        <v>2451110.1931930003</v>
      </c>
      <c r="J16" s="308">
        <v>112972.73</v>
      </c>
      <c r="K16" s="308">
        <f t="shared" si="3"/>
        <v>2564082.9231930003</v>
      </c>
    </row>
    <row r="17" spans="1:11" s="325" customFormat="1" ht="15.75" customHeight="1">
      <c r="A17" s="330">
        <f t="shared" si="4"/>
        <v>42826</v>
      </c>
      <c r="B17" s="308">
        <v>186981714.37</v>
      </c>
      <c r="C17" s="308">
        <v>181182853.91999999</v>
      </c>
      <c r="D17" s="308">
        <v>183845254.38999999</v>
      </c>
      <c r="E17" s="308">
        <f t="shared" si="0"/>
        <v>15320437.865833333</v>
      </c>
      <c r="F17" s="331">
        <v>0.10440000000000001</v>
      </c>
      <c r="G17" s="308">
        <f t="shared" si="1"/>
        <v>1599453.7131930001</v>
      </c>
      <c r="H17" s="308">
        <v>745745.95000000007</v>
      </c>
      <c r="I17" s="308">
        <f t="shared" si="2"/>
        <v>2345199.663193</v>
      </c>
      <c r="J17" s="308">
        <v>112972.73</v>
      </c>
      <c r="K17" s="308">
        <f t="shared" si="3"/>
        <v>2458172.393193</v>
      </c>
    </row>
    <row r="18" spans="1:11" s="325" customFormat="1" ht="15.75" customHeight="1">
      <c r="A18" s="330">
        <f t="shared" si="4"/>
        <v>42856</v>
      </c>
      <c r="B18" s="308">
        <v>189570065.72999999</v>
      </c>
      <c r="C18" s="308">
        <v>182580722.56</v>
      </c>
      <c r="D18" s="308">
        <v>183845254.38999999</v>
      </c>
      <c r="E18" s="308">
        <f t="shared" si="0"/>
        <v>15320437.865833333</v>
      </c>
      <c r="F18" s="331">
        <v>0.10440000000000001</v>
      </c>
      <c r="G18" s="308">
        <f t="shared" si="1"/>
        <v>1599453.7131930001</v>
      </c>
      <c r="H18" s="308">
        <v>881932.44000000006</v>
      </c>
      <c r="I18" s="308">
        <f t="shared" si="2"/>
        <v>2481386.1531930002</v>
      </c>
      <c r="J18" s="308">
        <v>87067.72</v>
      </c>
      <c r="K18" s="308">
        <f t="shared" si="3"/>
        <v>2568453.8731930004</v>
      </c>
    </row>
    <row r="19" spans="1:11" s="325" customFormat="1" ht="15.75" customHeight="1">
      <c r="A19" s="330">
        <f t="shared" si="4"/>
        <v>42887</v>
      </c>
      <c r="B19" s="308">
        <v>191432445.38999999</v>
      </c>
      <c r="C19" s="308">
        <v>183845254.38999999</v>
      </c>
      <c r="D19" s="308">
        <v>183845254.38999999</v>
      </c>
      <c r="E19" s="308">
        <f t="shared" si="0"/>
        <v>15320437.865833333</v>
      </c>
      <c r="F19" s="331">
        <v>0.10440000000000001</v>
      </c>
      <c r="G19" s="308">
        <f t="shared" si="1"/>
        <v>1599453.7131930001</v>
      </c>
      <c r="H19" s="308">
        <v>911855.65000000014</v>
      </c>
      <c r="I19" s="308">
        <f t="shared" si="2"/>
        <v>2511309.3631930002</v>
      </c>
      <c r="J19" s="308">
        <v>61162.67</v>
      </c>
      <c r="K19" s="308">
        <f t="shared" si="3"/>
        <v>2572472.0331930001</v>
      </c>
    </row>
    <row r="20" spans="1:11" s="325" customFormat="1" ht="15.75" customHeight="1">
      <c r="A20" s="330">
        <f t="shared" si="4"/>
        <v>42917</v>
      </c>
      <c r="B20" s="308">
        <v>3057295.288989333</v>
      </c>
      <c r="C20" s="308">
        <v>1528647.64</v>
      </c>
      <c r="D20" s="308">
        <v>8468905.3499999996</v>
      </c>
      <c r="E20" s="308">
        <f t="shared" si="0"/>
        <v>705742.11249999993</v>
      </c>
      <c r="F20" s="331">
        <v>0.10249999999999999</v>
      </c>
      <c r="G20" s="308">
        <f t="shared" si="1"/>
        <v>72338.566531249991</v>
      </c>
      <c r="H20" s="308">
        <v>65547</v>
      </c>
      <c r="I20" s="308">
        <f t="shared" si="2"/>
        <v>137885.56653124999</v>
      </c>
      <c r="J20" s="308">
        <v>61162.67</v>
      </c>
      <c r="K20" s="308">
        <f t="shared" si="3"/>
        <v>199048.23653125</v>
      </c>
    </row>
    <row r="21" spans="1:11" s="325" customFormat="1" ht="15.75" customHeight="1">
      <c r="A21" s="330">
        <f t="shared" si="4"/>
        <v>42948</v>
      </c>
      <c r="B21" s="308">
        <v>6062603.7000000011</v>
      </c>
      <c r="C21" s="308">
        <v>3039966.33</v>
      </c>
      <c r="D21" s="308">
        <v>8468905.3499999996</v>
      </c>
      <c r="E21" s="308">
        <f t="shared" si="0"/>
        <v>705742.11249999993</v>
      </c>
      <c r="F21" s="331">
        <v>0.10249999999999999</v>
      </c>
      <c r="G21" s="308">
        <f t="shared" si="1"/>
        <v>72338.566531249991</v>
      </c>
      <c r="H21" s="308">
        <v>123415.01999999999</v>
      </c>
      <c r="I21" s="308">
        <f t="shared" si="2"/>
        <v>195753.58653124998</v>
      </c>
      <c r="J21" s="308">
        <v>61162.67</v>
      </c>
      <c r="K21" s="308">
        <f t="shared" si="3"/>
        <v>256916.25653124996</v>
      </c>
    </row>
    <row r="22" spans="1:11" s="325" customFormat="1" ht="15.75" customHeight="1">
      <c r="A22" s="330">
        <f t="shared" si="4"/>
        <v>42979</v>
      </c>
      <c r="B22" s="308">
        <v>8741615.2899999991</v>
      </c>
      <c r="C22" s="308">
        <v>4465378.57</v>
      </c>
      <c r="D22" s="308">
        <v>8468905.3499999996</v>
      </c>
      <c r="E22" s="308">
        <f t="shared" si="0"/>
        <v>705742.11249999993</v>
      </c>
      <c r="F22" s="331">
        <v>0.10249999999999999</v>
      </c>
      <c r="G22" s="308">
        <f t="shared" si="1"/>
        <v>72338.566531249991</v>
      </c>
      <c r="H22" s="308">
        <v>83139.31</v>
      </c>
      <c r="I22" s="308">
        <f t="shared" si="2"/>
        <v>155477.87653124999</v>
      </c>
      <c r="J22" s="308">
        <v>61162.67</v>
      </c>
      <c r="K22" s="308">
        <f t="shared" si="3"/>
        <v>216640.54653125</v>
      </c>
    </row>
    <row r="23" spans="1:11" s="325" customFormat="1" ht="15.75" customHeight="1">
      <c r="A23" s="330">
        <f t="shared" si="4"/>
        <v>43009</v>
      </c>
      <c r="B23" s="308">
        <v>12148234.609999999</v>
      </c>
      <c r="C23" s="308">
        <v>6001949.7800000003</v>
      </c>
      <c r="D23" s="308">
        <v>8468905.3499999996</v>
      </c>
      <c r="E23" s="308">
        <f t="shared" si="0"/>
        <v>705742.11249999993</v>
      </c>
      <c r="F23" s="331">
        <v>0.10249999999999999</v>
      </c>
      <c r="G23" s="308">
        <f t="shared" si="1"/>
        <v>72338.566531249991</v>
      </c>
      <c r="H23" s="308">
        <v>133721.60000000001</v>
      </c>
      <c r="I23" s="308">
        <f t="shared" si="2"/>
        <v>206060.16653125</v>
      </c>
      <c r="J23" s="308">
        <v>61162.67</v>
      </c>
      <c r="K23" s="308">
        <f t="shared" si="3"/>
        <v>267222.83653124998</v>
      </c>
    </row>
    <row r="24" spans="1:11" s="325" customFormat="1" ht="15.75" customHeight="1">
      <c r="A24" s="330">
        <f t="shared" si="4"/>
        <v>43040</v>
      </c>
      <c r="B24" s="308">
        <v>14136967.560000001</v>
      </c>
      <c r="C24" s="308">
        <v>7357786.0700000003</v>
      </c>
      <c r="D24" s="308">
        <v>8468905.3499999996</v>
      </c>
      <c r="E24" s="308">
        <f t="shared" si="0"/>
        <v>705742.11249999993</v>
      </c>
      <c r="F24" s="331">
        <v>0.10249999999999999</v>
      </c>
      <c r="G24" s="308">
        <f t="shared" si="1"/>
        <v>72338.566531249991</v>
      </c>
      <c r="H24" s="308">
        <v>112220.68000000002</v>
      </c>
      <c r="I24" s="308">
        <f t="shared" si="2"/>
        <v>184559.24653125001</v>
      </c>
      <c r="J24" s="308">
        <v>61162.67</v>
      </c>
      <c r="K24" s="308">
        <f t="shared" si="3"/>
        <v>245721.91653125</v>
      </c>
    </row>
    <row r="25" spans="1:11" s="325" customFormat="1" ht="15.75" customHeight="1">
      <c r="A25" s="312">
        <f t="shared" si="4"/>
        <v>43070</v>
      </c>
      <c r="B25" s="313">
        <v>15135620.98</v>
      </c>
      <c r="C25" s="313">
        <v>8468905.3499999996</v>
      </c>
      <c r="D25" s="313">
        <v>8468905.3499999996</v>
      </c>
      <c r="E25" s="313">
        <f t="shared" si="0"/>
        <v>705742.11249999993</v>
      </c>
      <c r="F25" s="413">
        <v>0.10249999999999999</v>
      </c>
      <c r="G25" s="308">
        <f t="shared" si="1"/>
        <v>72338.566531249991</v>
      </c>
      <c r="H25" s="308">
        <v>127546.91</v>
      </c>
      <c r="I25" s="308">
        <f t="shared" si="2"/>
        <v>199885.47653124999</v>
      </c>
      <c r="J25" s="308">
        <v>61162.67</v>
      </c>
      <c r="K25" s="308">
        <f t="shared" si="3"/>
        <v>261048.14653124998</v>
      </c>
    </row>
    <row r="26" spans="1:11" s="325" customFormat="1" ht="15.75" customHeight="1" thickBot="1">
      <c r="A26" s="328" t="str">
        <f>+"TOTAL for Year, "&amp;TEXT(A14,"mm/yy")&amp;" - "&amp;TEXT(A25,"mm/yy")</f>
        <v>TOTAL for Year, 01/17 - 12/17</v>
      </c>
      <c r="B26" s="314"/>
      <c r="C26" s="314"/>
      <c r="D26" s="308"/>
      <c r="E26" s="314"/>
      <c r="F26" s="314"/>
      <c r="G26" s="316">
        <f>SUM(G14:G25)</f>
        <v>10030753.678345501</v>
      </c>
      <c r="H26" s="316">
        <f>SUM(H14:H25)</f>
        <v>5765611.1199999992</v>
      </c>
      <c r="I26" s="316">
        <f>SUM(I14:I25)</f>
        <v>15796364.798345502</v>
      </c>
      <c r="J26" s="332">
        <f>SUM(J14:J25)</f>
        <v>967097.33000000031</v>
      </c>
      <c r="K26" s="316">
        <f>SUM(K14:K25)</f>
        <v>16763462.128345501</v>
      </c>
    </row>
    <row r="27" spans="1:11" ht="15.75" customHeight="1" thickTop="1">
      <c r="A27" s="333"/>
      <c r="D27" s="334"/>
      <c r="F27" s="335"/>
      <c r="I27" s="336"/>
      <c r="J27" s="302"/>
      <c r="K27" s="302"/>
    </row>
    <row r="28" spans="1:11" s="415" customFormat="1" ht="15.75" customHeight="1">
      <c r="A28" s="414"/>
      <c r="B28" s="414"/>
      <c r="C28" s="414"/>
      <c r="D28" s="414"/>
      <c r="E28" s="414"/>
      <c r="F28" s="414"/>
      <c r="G28" s="414"/>
      <c r="H28" s="414"/>
      <c r="I28" s="414"/>
      <c r="J28" s="414"/>
      <c r="K28" s="414"/>
    </row>
    <row r="29" spans="1:11" s="415" customFormat="1" ht="15.75" customHeight="1">
      <c r="A29" s="416"/>
      <c r="B29" s="414"/>
      <c r="C29" s="414"/>
      <c r="D29" s="414"/>
      <c r="E29" s="414"/>
      <c r="F29" s="414"/>
      <c r="G29" s="414"/>
      <c r="H29" s="414"/>
      <c r="I29" s="414"/>
      <c r="J29" s="414"/>
      <c r="K29" s="414"/>
    </row>
    <row r="30" spans="1:11" s="415" customFormat="1" ht="15.75" customHeight="1">
      <c r="A30" s="323" t="s">
        <v>414</v>
      </c>
      <c r="B30" s="324" t="s">
        <v>419</v>
      </c>
      <c r="C30" s="324" t="s">
        <v>420</v>
      </c>
      <c r="D30" s="324" t="s">
        <v>437</v>
      </c>
      <c r="E30" s="324" t="s">
        <v>438</v>
      </c>
      <c r="F30" s="324" t="s">
        <v>439</v>
      </c>
      <c r="G30" s="324" t="s">
        <v>440</v>
      </c>
      <c r="H30" s="324" t="s">
        <v>441</v>
      </c>
      <c r="I30" s="324" t="s">
        <v>442</v>
      </c>
      <c r="J30" s="324" t="s">
        <v>443</v>
      </c>
      <c r="K30" s="324" t="s">
        <v>444</v>
      </c>
    </row>
    <row r="31" spans="1:11" s="415" customFormat="1" ht="15.75" customHeight="1">
      <c r="A31" s="436" t="s">
        <v>406</v>
      </c>
      <c r="B31" s="433" t="s">
        <v>424</v>
      </c>
      <c r="C31" s="433" t="s">
        <v>425</v>
      </c>
      <c r="D31" s="433" t="s">
        <v>426</v>
      </c>
      <c r="E31" s="433" t="s">
        <v>427</v>
      </c>
      <c r="F31" s="433" t="s">
        <v>56</v>
      </c>
      <c r="G31" s="433" t="s">
        <v>428</v>
      </c>
      <c r="H31" s="433" t="s">
        <v>429</v>
      </c>
      <c r="I31" s="433" t="s">
        <v>165</v>
      </c>
      <c r="J31" s="433" t="s">
        <v>430</v>
      </c>
      <c r="K31" s="433" t="s">
        <v>408</v>
      </c>
    </row>
    <row r="32" spans="1:11" s="415" customFormat="1" ht="15.75" customHeight="1">
      <c r="A32" s="437"/>
      <c r="B32" s="433"/>
      <c r="C32" s="433"/>
      <c r="D32" s="433"/>
      <c r="E32" s="433"/>
      <c r="F32" s="433"/>
      <c r="G32" s="433"/>
      <c r="H32" s="433"/>
      <c r="I32" s="433"/>
      <c r="J32" s="433"/>
      <c r="K32" s="433"/>
    </row>
    <row r="33" spans="1:11" s="415" customFormat="1" ht="15.75" customHeight="1">
      <c r="A33" s="438"/>
      <c r="B33" s="434"/>
      <c r="C33" s="434"/>
      <c r="D33" s="434"/>
      <c r="E33" s="434"/>
      <c r="F33" s="434"/>
      <c r="G33" s="434"/>
      <c r="H33" s="434"/>
      <c r="I33" s="434"/>
      <c r="J33" s="434"/>
      <c r="K33" s="434"/>
    </row>
    <row r="34" spans="1:11" s="415" customFormat="1" ht="15.75" customHeight="1">
      <c r="A34" s="305"/>
      <c r="B34" s="326"/>
      <c r="C34" s="306"/>
      <c r="D34" s="306"/>
      <c r="E34" s="326" t="s">
        <v>445</v>
      </c>
      <c r="F34" s="306"/>
      <c r="G34" s="306" t="s">
        <v>446</v>
      </c>
      <c r="H34" s="306"/>
      <c r="I34" s="327" t="s">
        <v>447</v>
      </c>
      <c r="J34" s="327"/>
      <c r="K34" s="327" t="s">
        <v>448</v>
      </c>
    </row>
    <row r="35" spans="1:11" s="415" customFormat="1" ht="15.75" customHeight="1">
      <c r="A35" s="328" t="s">
        <v>435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</row>
    <row r="36" spans="1:11" s="415" customFormat="1" ht="15.75" customHeight="1">
      <c r="A36" s="330">
        <f>A12</f>
        <v>42705</v>
      </c>
      <c r="B36" s="308"/>
      <c r="C36" s="329" t="s">
        <v>436</v>
      </c>
      <c r="D36" s="329" t="s">
        <v>436</v>
      </c>
      <c r="E36" s="329" t="s">
        <v>436</v>
      </c>
      <c r="F36" s="329" t="s">
        <v>436</v>
      </c>
      <c r="G36" s="329" t="s">
        <v>436</v>
      </c>
      <c r="H36" s="329" t="s">
        <v>436</v>
      </c>
      <c r="I36" s="329" t="s">
        <v>436</v>
      </c>
      <c r="J36" s="329" t="s">
        <v>436</v>
      </c>
      <c r="K36" s="329" t="s">
        <v>436</v>
      </c>
    </row>
    <row r="37" spans="1:11" ht="15.75" customHeight="1">
      <c r="A37" s="330"/>
      <c r="B37" s="314"/>
      <c r="C37" s="314"/>
      <c r="D37" s="308"/>
      <c r="E37" s="314"/>
      <c r="F37" s="331"/>
      <c r="G37" s="314"/>
      <c r="H37" s="314"/>
      <c r="I37" s="308"/>
      <c r="J37" s="314"/>
      <c r="K37" s="314"/>
    </row>
    <row r="38" spans="1:11" ht="15.75" customHeight="1">
      <c r="A38" s="310">
        <f>A14</f>
        <v>42736</v>
      </c>
      <c r="B38" s="308"/>
      <c r="C38" s="308"/>
      <c r="D38" s="308"/>
      <c r="E38" s="308">
        <f t="shared" ref="E38:E49" si="5">D38/12</f>
        <v>0</v>
      </c>
      <c r="F38" s="331"/>
      <c r="G38" s="308">
        <f t="shared" ref="G38:G49" si="6">E38*F38</f>
        <v>0</v>
      </c>
      <c r="H38" s="308"/>
      <c r="I38" s="308">
        <f t="shared" ref="I38:I49" si="7">G38+H38</f>
        <v>0</v>
      </c>
      <c r="J38" s="308"/>
      <c r="K38" s="308">
        <f>I38+J38</f>
        <v>0</v>
      </c>
    </row>
    <row r="39" spans="1:11" ht="15.75" customHeight="1">
      <c r="A39" s="310">
        <f t="shared" ref="A39:A49" si="8">A15</f>
        <v>42767</v>
      </c>
      <c r="B39" s="308"/>
      <c r="C39" s="308"/>
      <c r="D39" s="308"/>
      <c r="E39" s="308">
        <f t="shared" si="5"/>
        <v>0</v>
      </c>
      <c r="F39" s="331"/>
      <c r="G39" s="308">
        <f t="shared" si="6"/>
        <v>0</v>
      </c>
      <c r="H39" s="308"/>
      <c r="I39" s="308">
        <f t="shared" si="7"/>
        <v>0</v>
      </c>
      <c r="J39" s="308"/>
      <c r="K39" s="308">
        <f t="shared" ref="K39:K49" si="9">I39+J39</f>
        <v>0</v>
      </c>
    </row>
    <row r="40" spans="1:11" ht="15.75" customHeight="1">
      <c r="A40" s="310">
        <f t="shared" si="8"/>
        <v>42795</v>
      </c>
      <c r="B40" s="308"/>
      <c r="C40" s="308"/>
      <c r="D40" s="308"/>
      <c r="E40" s="308">
        <f t="shared" si="5"/>
        <v>0</v>
      </c>
      <c r="F40" s="331"/>
      <c r="G40" s="308">
        <f t="shared" si="6"/>
        <v>0</v>
      </c>
      <c r="H40" s="308"/>
      <c r="I40" s="308">
        <f t="shared" si="7"/>
        <v>0</v>
      </c>
      <c r="J40" s="308"/>
      <c r="K40" s="308">
        <f t="shared" si="9"/>
        <v>0</v>
      </c>
    </row>
    <row r="41" spans="1:11" ht="15.75" customHeight="1">
      <c r="A41" s="310">
        <f t="shared" si="8"/>
        <v>42826</v>
      </c>
      <c r="B41" s="308"/>
      <c r="C41" s="308"/>
      <c r="D41" s="308"/>
      <c r="E41" s="308">
        <f t="shared" si="5"/>
        <v>0</v>
      </c>
      <c r="F41" s="331"/>
      <c r="G41" s="308">
        <f t="shared" si="6"/>
        <v>0</v>
      </c>
      <c r="H41" s="308"/>
      <c r="I41" s="308">
        <f t="shared" si="7"/>
        <v>0</v>
      </c>
      <c r="J41" s="308"/>
      <c r="K41" s="308">
        <f t="shared" si="9"/>
        <v>0</v>
      </c>
    </row>
    <row r="42" spans="1:11" ht="15.75" customHeight="1">
      <c r="A42" s="310">
        <f t="shared" si="8"/>
        <v>42856</v>
      </c>
      <c r="B42" s="308"/>
      <c r="C42" s="308"/>
      <c r="D42" s="308"/>
      <c r="E42" s="308">
        <f t="shared" si="5"/>
        <v>0</v>
      </c>
      <c r="F42" s="331"/>
      <c r="G42" s="308">
        <f t="shared" si="6"/>
        <v>0</v>
      </c>
      <c r="H42" s="308"/>
      <c r="I42" s="308">
        <f t="shared" si="7"/>
        <v>0</v>
      </c>
      <c r="J42" s="308"/>
      <c r="K42" s="308">
        <f t="shared" si="9"/>
        <v>0</v>
      </c>
    </row>
    <row r="43" spans="1:11" ht="15.75" customHeight="1">
      <c r="A43" s="310">
        <f t="shared" si="8"/>
        <v>42887</v>
      </c>
      <c r="B43" s="308"/>
      <c r="C43" s="308"/>
      <c r="D43" s="308"/>
      <c r="E43" s="308">
        <f t="shared" si="5"/>
        <v>0</v>
      </c>
      <c r="F43" s="331"/>
      <c r="G43" s="308">
        <f t="shared" si="6"/>
        <v>0</v>
      </c>
      <c r="H43" s="308"/>
      <c r="I43" s="308">
        <f t="shared" si="7"/>
        <v>0</v>
      </c>
      <c r="J43" s="308"/>
      <c r="K43" s="308">
        <f t="shared" si="9"/>
        <v>0</v>
      </c>
    </row>
    <row r="44" spans="1:11" ht="15.75" customHeight="1">
      <c r="A44" s="310">
        <f t="shared" si="8"/>
        <v>42917</v>
      </c>
      <c r="B44" s="308">
        <v>239723.06</v>
      </c>
      <c r="C44" s="308">
        <v>119861.53</v>
      </c>
      <c r="D44" s="308">
        <v>959363.06</v>
      </c>
      <c r="E44" s="308">
        <f t="shared" si="5"/>
        <v>79946.921666666676</v>
      </c>
      <c r="F44" s="331">
        <v>0.10249999999999999</v>
      </c>
      <c r="G44" s="308">
        <f t="shared" si="6"/>
        <v>8194.5594708333338</v>
      </c>
      <c r="H44" s="308">
        <v>0</v>
      </c>
      <c r="I44" s="308">
        <f t="shared" si="7"/>
        <v>8194.5594708333338</v>
      </c>
      <c r="J44" s="308">
        <v>0</v>
      </c>
      <c r="K44" s="308">
        <f t="shared" si="9"/>
        <v>8194.5594708333338</v>
      </c>
    </row>
    <row r="45" spans="1:11" ht="15.75" customHeight="1">
      <c r="A45" s="310">
        <f t="shared" si="8"/>
        <v>42948</v>
      </c>
      <c r="B45" s="308">
        <v>310103.82</v>
      </c>
      <c r="C45" s="308">
        <v>183275.63</v>
      </c>
      <c r="D45" s="308">
        <v>959363.06</v>
      </c>
      <c r="E45" s="308">
        <f t="shared" si="5"/>
        <v>79946.921666666676</v>
      </c>
      <c r="F45" s="331">
        <v>0.10249999999999999</v>
      </c>
      <c r="G45" s="308">
        <f t="shared" si="6"/>
        <v>8194.5594708333338</v>
      </c>
      <c r="H45" s="308">
        <v>0</v>
      </c>
      <c r="I45" s="308">
        <f t="shared" si="7"/>
        <v>8194.5594708333338</v>
      </c>
      <c r="J45" s="308">
        <v>0</v>
      </c>
      <c r="K45" s="308">
        <f t="shared" si="9"/>
        <v>8194.5594708333338</v>
      </c>
    </row>
    <row r="46" spans="1:11" ht="15.75" customHeight="1">
      <c r="A46" s="310">
        <f t="shared" si="8"/>
        <v>42979</v>
      </c>
      <c r="B46" s="308">
        <v>616593.06999999995</v>
      </c>
      <c r="C46" s="308">
        <v>291604.99</v>
      </c>
      <c r="D46" s="308">
        <v>959363.06</v>
      </c>
      <c r="E46" s="308">
        <f t="shared" si="5"/>
        <v>79946.921666666676</v>
      </c>
      <c r="F46" s="331">
        <v>0.10249999999999999</v>
      </c>
      <c r="G46" s="308">
        <f t="shared" si="6"/>
        <v>8194.5594708333338</v>
      </c>
      <c r="H46" s="308">
        <v>0</v>
      </c>
      <c r="I46" s="308">
        <f t="shared" si="7"/>
        <v>8194.5594708333338</v>
      </c>
      <c r="J46" s="308">
        <v>0</v>
      </c>
      <c r="K46" s="308">
        <f t="shared" si="9"/>
        <v>8194.5594708333338</v>
      </c>
    </row>
    <row r="47" spans="1:11" ht="15.75" customHeight="1">
      <c r="A47" s="310">
        <f t="shared" si="8"/>
        <v>43009</v>
      </c>
      <c r="B47" s="308">
        <v>1046533.85</v>
      </c>
      <c r="C47" s="308">
        <v>442590.76</v>
      </c>
      <c r="D47" s="308">
        <v>959363.06</v>
      </c>
      <c r="E47" s="308">
        <f t="shared" si="5"/>
        <v>79946.921666666676</v>
      </c>
      <c r="F47" s="331">
        <v>0.10249999999999999</v>
      </c>
      <c r="G47" s="308">
        <f t="shared" si="6"/>
        <v>8194.5594708333338</v>
      </c>
      <c r="H47" s="308">
        <v>0</v>
      </c>
      <c r="I47" s="308">
        <f t="shared" si="7"/>
        <v>8194.5594708333338</v>
      </c>
      <c r="J47" s="308">
        <v>0</v>
      </c>
      <c r="K47" s="308">
        <f t="shared" si="9"/>
        <v>8194.5594708333338</v>
      </c>
    </row>
    <row r="48" spans="1:11" ht="15.75" customHeight="1">
      <c r="A48" s="310">
        <f t="shared" si="8"/>
        <v>43040</v>
      </c>
      <c r="B48" s="308">
        <v>1439946.39</v>
      </c>
      <c r="C48" s="308">
        <v>608816.69999999995</v>
      </c>
      <c r="D48" s="308">
        <v>959363.06</v>
      </c>
      <c r="E48" s="308">
        <f t="shared" si="5"/>
        <v>79946.921666666676</v>
      </c>
      <c r="F48" s="331">
        <v>0.10249999999999999</v>
      </c>
      <c r="G48" s="308">
        <f t="shared" si="6"/>
        <v>8194.5594708333338</v>
      </c>
      <c r="H48" s="308">
        <v>0</v>
      </c>
      <c r="I48" s="308">
        <f t="shared" si="7"/>
        <v>8194.5594708333338</v>
      </c>
      <c r="J48" s="308">
        <v>0</v>
      </c>
      <c r="K48" s="308">
        <f t="shared" si="9"/>
        <v>8194.5594708333338</v>
      </c>
    </row>
    <row r="49" spans="1:11" ht="15.75" customHeight="1">
      <c r="A49" s="312">
        <f t="shared" si="8"/>
        <v>43070</v>
      </c>
      <c r="B49" s="313">
        <v>3062641.2100000004</v>
      </c>
      <c r="C49" s="313">
        <v>959363.06</v>
      </c>
      <c r="D49" s="313">
        <v>959363.06</v>
      </c>
      <c r="E49" s="313">
        <f t="shared" si="5"/>
        <v>79946.921666666676</v>
      </c>
      <c r="F49" s="413">
        <v>0.10249999999999999</v>
      </c>
      <c r="G49" s="308">
        <f t="shared" si="6"/>
        <v>8194.5594708333338</v>
      </c>
      <c r="H49" s="308">
        <v>0</v>
      </c>
      <c r="I49" s="308">
        <f t="shared" si="7"/>
        <v>8194.5594708333338</v>
      </c>
      <c r="J49" s="308">
        <v>0</v>
      </c>
      <c r="K49" s="308">
        <f t="shared" si="9"/>
        <v>8194.5594708333338</v>
      </c>
    </row>
    <row r="50" spans="1:11" ht="15.75" customHeight="1" thickBot="1">
      <c r="A50" s="328" t="s">
        <v>449</v>
      </c>
      <c r="B50" s="314"/>
      <c r="C50" s="314"/>
      <c r="D50" s="308"/>
      <c r="E50" s="314"/>
      <c r="F50" s="314"/>
      <c r="G50" s="316">
        <f>SUM(G38:G49)</f>
        <v>49167.35682500001</v>
      </c>
      <c r="H50" s="316">
        <f>SUM(H38:H49)</f>
        <v>0</v>
      </c>
      <c r="I50" s="316">
        <f>SUM(I38:I49)</f>
        <v>49167.35682500001</v>
      </c>
      <c r="J50" s="332">
        <f>SUM(J38:J49)</f>
        <v>0</v>
      </c>
      <c r="K50" s="316">
        <f>SUM(K38:K49)</f>
        <v>49167.35682500001</v>
      </c>
    </row>
    <row r="51" spans="1:11" ht="15" customHeight="1" thickTop="1"/>
  </sheetData>
  <mergeCells count="22">
    <mergeCell ref="F7:F9"/>
    <mergeCell ref="A7:A9"/>
    <mergeCell ref="B7:B9"/>
    <mergeCell ref="C7:C9"/>
    <mergeCell ref="D7:D9"/>
    <mergeCell ref="E7:E9"/>
    <mergeCell ref="A31:A33"/>
    <mergeCell ref="B31:B33"/>
    <mergeCell ref="C31:C33"/>
    <mergeCell ref="D31:D33"/>
    <mergeCell ref="E31:E33"/>
    <mergeCell ref="K31:K33"/>
    <mergeCell ref="G7:G9"/>
    <mergeCell ref="H7:H9"/>
    <mergeCell ref="I7:I9"/>
    <mergeCell ref="J7:J9"/>
    <mergeCell ref="K7:K9"/>
    <mergeCell ref="F31:F33"/>
    <mergeCell ref="G31:G33"/>
    <mergeCell ref="H31:H33"/>
    <mergeCell ref="I31:I33"/>
    <mergeCell ref="J31:J33"/>
  </mergeCells>
  <pageMargins left="0.49" right="0.48" top="1.1000000000000001" bottom="1" header="0.5" footer="0.1"/>
  <pageSetup scale="60" orientation="landscape" r:id="rId1"/>
  <headerFooter scaleWithDoc="0" alignWithMargins="0">
    <oddFooter>&amp;R&amp;"Times New Roman,Bold"Exhibit 3
Page 2 of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zoomScaleNormal="100" workbookViewId="0"/>
  </sheetViews>
  <sheetFormatPr defaultRowHeight="12.75"/>
  <cols>
    <col min="1" max="1" width="12.42578125" bestFit="1" customWidth="1"/>
    <col min="2" max="2" width="16.140625" bestFit="1" customWidth="1"/>
    <col min="3" max="3" width="8.140625" bestFit="1" customWidth="1"/>
    <col min="4" max="4" width="17" bestFit="1" customWidth="1"/>
    <col min="5" max="5" width="12" bestFit="1" customWidth="1"/>
    <col min="6" max="6" width="16.42578125" bestFit="1" customWidth="1"/>
    <col min="7" max="7" width="5" bestFit="1" customWidth="1"/>
    <col min="8" max="19" width="11.7109375" bestFit="1" customWidth="1"/>
    <col min="20" max="20" width="12.7109375" bestFit="1" customWidth="1"/>
    <col min="21" max="21" width="14.5703125" customWidth="1"/>
  </cols>
  <sheetData>
    <row r="1" spans="1:21">
      <c r="A1" s="30" t="s">
        <v>137</v>
      </c>
      <c r="B1" s="30" t="s">
        <v>138</v>
      </c>
      <c r="C1" s="30" t="s">
        <v>139</v>
      </c>
      <c r="D1" s="30" t="s">
        <v>140</v>
      </c>
      <c r="E1" s="30" t="s">
        <v>141</v>
      </c>
      <c r="F1" s="30" t="s">
        <v>142</v>
      </c>
      <c r="G1" s="30" t="s">
        <v>143</v>
      </c>
      <c r="H1" s="83" t="s">
        <v>86</v>
      </c>
      <c r="I1" s="83" t="s">
        <v>87</v>
      </c>
      <c r="J1" s="83" t="s">
        <v>99</v>
      </c>
      <c r="K1" s="83" t="s">
        <v>100</v>
      </c>
      <c r="L1" s="83" t="s">
        <v>88</v>
      </c>
      <c r="M1" s="83" t="s">
        <v>101</v>
      </c>
      <c r="N1" s="83" t="s">
        <v>102</v>
      </c>
      <c r="O1" s="83" t="s">
        <v>103</v>
      </c>
      <c r="P1" s="83" t="s">
        <v>111</v>
      </c>
      <c r="Q1" s="83" t="s">
        <v>92</v>
      </c>
      <c r="R1" s="83" t="s">
        <v>144</v>
      </c>
      <c r="S1" s="83" t="s">
        <v>94</v>
      </c>
      <c r="T1" s="83" t="s">
        <v>145</v>
      </c>
      <c r="U1" s="30"/>
    </row>
    <row r="2" spans="1:21">
      <c r="A2" t="s">
        <v>146</v>
      </c>
      <c r="B2" t="s">
        <v>146</v>
      </c>
      <c r="C2" t="s">
        <v>147</v>
      </c>
      <c r="D2" t="s">
        <v>201</v>
      </c>
      <c r="E2" s="3" t="s">
        <v>149</v>
      </c>
      <c r="F2" s="3" t="s">
        <v>150</v>
      </c>
      <c r="G2" s="3" t="s">
        <v>163</v>
      </c>
      <c r="H2" s="3">
        <v>6000</v>
      </c>
      <c r="I2" s="3">
        <v>6000</v>
      </c>
      <c r="J2" s="3">
        <v>8000</v>
      </c>
      <c r="K2" s="3">
        <v>11000</v>
      </c>
      <c r="L2" s="3">
        <v>12000</v>
      </c>
      <c r="M2" s="3">
        <v>11000</v>
      </c>
      <c r="N2" s="3">
        <v>11000</v>
      </c>
      <c r="O2" s="3">
        <v>14000</v>
      </c>
      <c r="P2" s="3">
        <v>11000</v>
      </c>
      <c r="Q2" s="3">
        <v>11000</v>
      </c>
      <c r="R2" s="3">
        <v>11000</v>
      </c>
      <c r="S2" s="3">
        <v>9000</v>
      </c>
      <c r="T2" s="3">
        <f>SUM(H2:S2)</f>
        <v>121000</v>
      </c>
    </row>
    <row r="3" spans="1:21">
      <c r="A3" t="s">
        <v>151</v>
      </c>
      <c r="B3" t="s">
        <v>151</v>
      </c>
      <c r="C3" t="s">
        <v>147</v>
      </c>
      <c r="D3" t="s">
        <v>202</v>
      </c>
      <c r="E3" s="3" t="s">
        <v>176</v>
      </c>
      <c r="F3" s="3" t="s">
        <v>203</v>
      </c>
      <c r="G3" s="3" t="s">
        <v>163</v>
      </c>
      <c r="H3" s="3">
        <v>-2801.84</v>
      </c>
      <c r="I3" s="3">
        <v>-1718.2</v>
      </c>
      <c r="J3" s="3">
        <v>-488.71</v>
      </c>
      <c r="K3" s="3">
        <v>-2129.1999999999998</v>
      </c>
      <c r="L3" s="3">
        <v>-1650.47</v>
      </c>
      <c r="M3" s="3">
        <v>-152.6</v>
      </c>
      <c r="N3" s="3">
        <v>-424.03</v>
      </c>
      <c r="O3" s="3">
        <v>-1173.05</v>
      </c>
      <c r="P3" s="3">
        <v>-1172.8</v>
      </c>
      <c r="Q3" s="3">
        <v>-1172.8399999999999</v>
      </c>
      <c r="R3" s="3">
        <v>-1172.9000000000001</v>
      </c>
      <c r="S3" s="3">
        <v>-1173.3599999999999</v>
      </c>
      <c r="T3" s="3">
        <f t="shared" ref="T3:T32" si="0">SUM(H3:S3)</f>
        <v>-15230</v>
      </c>
    </row>
    <row r="4" spans="1:21">
      <c r="A4" t="s">
        <v>151</v>
      </c>
      <c r="B4" t="s">
        <v>151</v>
      </c>
      <c r="C4" t="s">
        <v>175</v>
      </c>
      <c r="D4" t="s">
        <v>202</v>
      </c>
      <c r="E4" s="3" t="s">
        <v>176</v>
      </c>
      <c r="F4" s="3" t="s">
        <v>177</v>
      </c>
      <c r="G4" s="3" t="s">
        <v>163</v>
      </c>
      <c r="H4" s="3">
        <v>6118</v>
      </c>
      <c r="I4" s="3">
        <v>-16035</v>
      </c>
      <c r="J4" s="3">
        <v>-10678</v>
      </c>
      <c r="K4" s="3">
        <v>-60903</v>
      </c>
      <c r="L4" s="3">
        <v>-1368</v>
      </c>
      <c r="M4" s="3">
        <v>-9915</v>
      </c>
      <c r="N4" s="3">
        <v>-9213</v>
      </c>
      <c r="O4" s="3">
        <v>-5942</v>
      </c>
      <c r="P4" s="3">
        <v>3169</v>
      </c>
      <c r="Q4" s="3">
        <v>19808</v>
      </c>
      <c r="R4" s="3">
        <v>-5942</v>
      </c>
      <c r="S4" s="3">
        <v>5943</v>
      </c>
      <c r="T4" s="3">
        <f t="shared" si="0"/>
        <v>-84958</v>
      </c>
    </row>
    <row r="5" spans="1:21">
      <c r="A5" t="s">
        <v>151</v>
      </c>
      <c r="B5" t="s">
        <v>151</v>
      </c>
      <c r="C5" t="s">
        <v>152</v>
      </c>
      <c r="D5" t="s">
        <v>180</v>
      </c>
      <c r="E5" s="3" t="s">
        <v>153</v>
      </c>
      <c r="F5" s="3" t="s">
        <v>154</v>
      </c>
      <c r="G5" s="3" t="s">
        <v>163</v>
      </c>
      <c r="H5" s="3">
        <v>13846.11</v>
      </c>
      <c r="I5" s="3">
        <v>12350.53</v>
      </c>
      <c r="J5" s="3">
        <v>14521.53</v>
      </c>
      <c r="K5" s="3">
        <v>12350.53</v>
      </c>
      <c r="L5" s="3">
        <v>13894.35</v>
      </c>
      <c r="M5" s="3">
        <v>13218.93</v>
      </c>
      <c r="N5" s="3">
        <v>12109.31</v>
      </c>
      <c r="O5" s="3">
        <v>15003.97</v>
      </c>
      <c r="P5" s="3">
        <v>12929.47</v>
      </c>
      <c r="Q5" s="3">
        <v>13846.11</v>
      </c>
      <c r="R5" s="3">
        <v>12784.73</v>
      </c>
      <c r="S5" s="3">
        <v>11144.43</v>
      </c>
      <c r="T5" s="3">
        <f t="shared" si="0"/>
        <v>158000.00000000003</v>
      </c>
    </row>
    <row r="6" spans="1:21">
      <c r="A6" t="s">
        <v>151</v>
      </c>
      <c r="B6" t="s">
        <v>151</v>
      </c>
      <c r="C6" t="s">
        <v>152</v>
      </c>
      <c r="D6" t="s">
        <v>180</v>
      </c>
      <c r="E6" s="3" t="s">
        <v>159</v>
      </c>
      <c r="F6" s="3" t="s">
        <v>154</v>
      </c>
      <c r="G6" s="3" t="s">
        <v>163</v>
      </c>
      <c r="H6" s="3">
        <v>2891.91</v>
      </c>
      <c r="I6" s="3">
        <v>2579.54</v>
      </c>
      <c r="J6" s="3">
        <v>3032.98</v>
      </c>
      <c r="K6" s="3">
        <v>2579.54</v>
      </c>
      <c r="L6" s="3">
        <v>2901.98</v>
      </c>
      <c r="M6" s="3">
        <v>2760.92</v>
      </c>
      <c r="N6" s="3">
        <v>2529.16</v>
      </c>
      <c r="O6" s="3">
        <v>3133.74</v>
      </c>
      <c r="P6" s="3">
        <v>2700.46</v>
      </c>
      <c r="Q6" s="3">
        <v>2891.91</v>
      </c>
      <c r="R6" s="3">
        <v>2670.23</v>
      </c>
      <c r="S6" s="3">
        <v>2327.63</v>
      </c>
      <c r="T6" s="3">
        <f t="shared" si="0"/>
        <v>33000</v>
      </c>
    </row>
    <row r="7" spans="1:21">
      <c r="A7" t="s">
        <v>151</v>
      </c>
      <c r="B7" t="s">
        <v>151</v>
      </c>
      <c r="C7" t="s">
        <v>152</v>
      </c>
      <c r="D7" t="s">
        <v>179</v>
      </c>
      <c r="E7" s="3" t="s">
        <v>153</v>
      </c>
      <c r="F7" s="3" t="s">
        <v>154</v>
      </c>
      <c r="G7" s="3" t="s">
        <v>163</v>
      </c>
      <c r="H7" s="3">
        <v>6660.15</v>
      </c>
      <c r="I7" s="3">
        <v>5940.76</v>
      </c>
      <c r="J7" s="3">
        <v>6985.04</v>
      </c>
      <c r="K7" s="3">
        <v>5940.76</v>
      </c>
      <c r="L7" s="3">
        <v>6683.36</v>
      </c>
      <c r="M7" s="3">
        <v>6358.47</v>
      </c>
      <c r="N7" s="3">
        <v>5824.73</v>
      </c>
      <c r="O7" s="3">
        <v>7217.1</v>
      </c>
      <c r="P7" s="3">
        <v>6219.24</v>
      </c>
      <c r="Q7" s="3">
        <v>6660.15</v>
      </c>
      <c r="R7" s="3">
        <v>6149.62</v>
      </c>
      <c r="S7" s="3">
        <v>5360.61</v>
      </c>
      <c r="T7" s="3">
        <f t="shared" si="0"/>
        <v>75999.990000000005</v>
      </c>
    </row>
    <row r="8" spans="1:21">
      <c r="A8" t="s">
        <v>151</v>
      </c>
      <c r="B8" t="s">
        <v>151</v>
      </c>
      <c r="C8" t="s">
        <v>152</v>
      </c>
      <c r="D8" t="s">
        <v>179</v>
      </c>
      <c r="E8" s="3" t="s">
        <v>159</v>
      </c>
      <c r="F8" s="3" t="s">
        <v>154</v>
      </c>
      <c r="G8" s="3" t="s">
        <v>163</v>
      </c>
      <c r="H8" s="3">
        <v>525.79999999999995</v>
      </c>
      <c r="I8" s="3">
        <v>469.01</v>
      </c>
      <c r="J8" s="3">
        <v>551.45000000000005</v>
      </c>
      <c r="K8" s="3">
        <v>469.01</v>
      </c>
      <c r="L8" s="3">
        <v>527.63</v>
      </c>
      <c r="M8" s="3">
        <v>501.98</v>
      </c>
      <c r="N8" s="3">
        <v>459.85</v>
      </c>
      <c r="O8" s="3">
        <v>569.77</v>
      </c>
      <c r="P8" s="3">
        <v>490.99</v>
      </c>
      <c r="Q8" s="3">
        <v>525.79999999999995</v>
      </c>
      <c r="R8" s="3">
        <v>485.5</v>
      </c>
      <c r="S8" s="3">
        <v>423.21</v>
      </c>
      <c r="T8" s="3">
        <f t="shared" si="0"/>
        <v>6000</v>
      </c>
    </row>
    <row r="9" spans="1:21">
      <c r="A9" t="s">
        <v>151</v>
      </c>
      <c r="B9" t="s">
        <v>151</v>
      </c>
      <c r="C9" t="s">
        <v>152</v>
      </c>
      <c r="D9" t="s">
        <v>161</v>
      </c>
      <c r="E9" s="3" t="s">
        <v>153</v>
      </c>
      <c r="F9" s="3" t="s">
        <v>154</v>
      </c>
      <c r="G9" s="3" t="s">
        <v>163</v>
      </c>
      <c r="H9" s="3">
        <v>4700.5200000000004</v>
      </c>
      <c r="I9" s="3">
        <v>4060.04</v>
      </c>
      <c r="J9" s="3">
        <v>4625.3999999999996</v>
      </c>
      <c r="K9" s="3">
        <v>3951.51</v>
      </c>
      <c r="L9" s="3">
        <v>4396.3999999999996</v>
      </c>
      <c r="M9" s="3">
        <v>4262.8100000000004</v>
      </c>
      <c r="N9" s="3">
        <v>3986.09</v>
      </c>
      <c r="O9" s="3">
        <v>4890.18</v>
      </c>
      <c r="P9" s="3">
        <v>4492.9799999999996</v>
      </c>
      <c r="Q9" s="3">
        <v>4416.68</v>
      </c>
      <c r="R9" s="3">
        <v>4269.95</v>
      </c>
      <c r="S9" s="3">
        <v>3890.65</v>
      </c>
      <c r="T9" s="3">
        <f t="shared" si="0"/>
        <v>51943.210000000006</v>
      </c>
    </row>
    <row r="10" spans="1:21">
      <c r="A10" t="s">
        <v>151</v>
      </c>
      <c r="B10" t="s">
        <v>151</v>
      </c>
      <c r="C10" t="s">
        <v>152</v>
      </c>
      <c r="D10" t="s">
        <v>161</v>
      </c>
      <c r="E10" s="3" t="s">
        <v>159</v>
      </c>
      <c r="F10" s="3" t="s">
        <v>154</v>
      </c>
      <c r="G10" s="3" t="s">
        <v>163</v>
      </c>
      <c r="H10" s="3">
        <v>1239.81</v>
      </c>
      <c r="I10" s="3">
        <v>1041.52</v>
      </c>
      <c r="J10" s="3">
        <v>1152.69</v>
      </c>
      <c r="K10" s="3">
        <v>988.9</v>
      </c>
      <c r="L10" s="3">
        <v>1088.74</v>
      </c>
      <c r="M10" s="3">
        <v>1074.6600000000001</v>
      </c>
      <c r="N10" s="3">
        <v>1023.77</v>
      </c>
      <c r="O10" s="3">
        <v>1244.8599999999999</v>
      </c>
      <c r="P10" s="3">
        <v>1207.98</v>
      </c>
      <c r="Q10" s="3">
        <v>1102.19</v>
      </c>
      <c r="R10" s="3">
        <v>1110.71</v>
      </c>
      <c r="S10" s="3">
        <v>1049.92</v>
      </c>
      <c r="T10" s="3">
        <f t="shared" si="0"/>
        <v>13325.750000000002</v>
      </c>
    </row>
    <row r="11" spans="1:21">
      <c r="A11" t="s">
        <v>151</v>
      </c>
      <c r="B11" t="s">
        <v>151</v>
      </c>
      <c r="C11" t="s">
        <v>152</v>
      </c>
      <c r="D11" t="s">
        <v>181</v>
      </c>
      <c r="E11" s="3" t="s">
        <v>153</v>
      </c>
      <c r="F11" s="3" t="s">
        <v>154</v>
      </c>
      <c r="G11" s="3" t="s">
        <v>163</v>
      </c>
      <c r="H11" s="3">
        <v>3688.05</v>
      </c>
      <c r="I11" s="3">
        <v>3289.69</v>
      </c>
      <c r="J11" s="3">
        <v>3867.96</v>
      </c>
      <c r="K11" s="3">
        <v>3289.69</v>
      </c>
      <c r="L11" s="3">
        <v>3700.89</v>
      </c>
      <c r="M11" s="3">
        <v>3520.99</v>
      </c>
      <c r="N11" s="3">
        <v>3225.43</v>
      </c>
      <c r="O11" s="3">
        <v>3996.45</v>
      </c>
      <c r="P11" s="3">
        <v>3443.89</v>
      </c>
      <c r="Q11" s="3">
        <v>3688.05</v>
      </c>
      <c r="R11" s="3">
        <v>3405.35</v>
      </c>
      <c r="S11" s="3">
        <v>2968.43</v>
      </c>
      <c r="T11" s="3">
        <f t="shared" si="0"/>
        <v>42084.87</v>
      </c>
    </row>
    <row r="12" spans="1:21">
      <c r="A12" t="s">
        <v>151</v>
      </c>
      <c r="B12" t="s">
        <v>151</v>
      </c>
      <c r="C12" t="s">
        <v>152</v>
      </c>
      <c r="D12" t="s">
        <v>181</v>
      </c>
      <c r="E12" s="3" t="s">
        <v>159</v>
      </c>
      <c r="F12" s="3" t="s">
        <v>154</v>
      </c>
      <c r="G12" s="3" t="s">
        <v>163</v>
      </c>
      <c r="H12" s="3">
        <v>770.29</v>
      </c>
      <c r="I12" s="3">
        <v>687.09</v>
      </c>
      <c r="J12" s="3">
        <v>807.87</v>
      </c>
      <c r="K12" s="3">
        <v>687.09</v>
      </c>
      <c r="L12" s="3">
        <v>772.97</v>
      </c>
      <c r="M12" s="3">
        <v>735.4</v>
      </c>
      <c r="N12" s="3">
        <v>673.67</v>
      </c>
      <c r="O12" s="3">
        <v>834.7</v>
      </c>
      <c r="P12" s="3">
        <v>719.29</v>
      </c>
      <c r="Q12" s="3">
        <v>770.29</v>
      </c>
      <c r="R12" s="3">
        <v>711.24</v>
      </c>
      <c r="S12" s="3">
        <v>619.99</v>
      </c>
      <c r="T12" s="3">
        <f t="shared" si="0"/>
        <v>8789.89</v>
      </c>
    </row>
    <row r="13" spans="1:21">
      <c r="A13" t="s">
        <v>151</v>
      </c>
      <c r="B13" t="s">
        <v>151</v>
      </c>
      <c r="C13" t="s">
        <v>152</v>
      </c>
      <c r="D13" t="s">
        <v>201</v>
      </c>
      <c r="E13" s="3" t="s">
        <v>153</v>
      </c>
      <c r="F13" s="3" t="s">
        <v>154</v>
      </c>
      <c r="G13" s="3" t="s">
        <v>163</v>
      </c>
      <c r="H13" s="3">
        <v>60379.54</v>
      </c>
      <c r="I13" s="3">
        <v>53857.71</v>
      </c>
      <c r="J13" s="3">
        <v>63324.89</v>
      </c>
      <c r="K13" s="3">
        <v>53857.71</v>
      </c>
      <c r="L13" s="3">
        <v>60589.919999999998</v>
      </c>
      <c r="M13" s="3">
        <v>57644.58</v>
      </c>
      <c r="N13" s="3">
        <v>52805.8</v>
      </c>
      <c r="O13" s="3">
        <v>65428.7</v>
      </c>
      <c r="P13" s="3">
        <v>56382.29</v>
      </c>
      <c r="Q13" s="3">
        <v>60379.54</v>
      </c>
      <c r="R13" s="3">
        <v>55751.15</v>
      </c>
      <c r="S13" s="3">
        <v>48598.17</v>
      </c>
      <c r="T13" s="3">
        <f t="shared" si="0"/>
        <v>689000.00000000012</v>
      </c>
    </row>
    <row r="14" spans="1:21">
      <c r="A14" t="s">
        <v>151</v>
      </c>
      <c r="B14" t="s">
        <v>151</v>
      </c>
      <c r="C14" t="s">
        <v>152</v>
      </c>
      <c r="D14" t="s">
        <v>201</v>
      </c>
      <c r="E14" s="3" t="s">
        <v>159</v>
      </c>
      <c r="F14" s="3" t="s">
        <v>154</v>
      </c>
      <c r="G14" s="3" t="s">
        <v>163</v>
      </c>
      <c r="H14" s="3">
        <v>10340.76</v>
      </c>
      <c r="I14" s="3">
        <v>9223.82</v>
      </c>
      <c r="J14" s="3">
        <v>10845.19</v>
      </c>
      <c r="K14" s="3">
        <v>9223.82</v>
      </c>
      <c r="L14" s="3">
        <v>10376.790000000001</v>
      </c>
      <c r="M14" s="3">
        <v>9872.3700000000008</v>
      </c>
      <c r="N14" s="3">
        <v>9043.66</v>
      </c>
      <c r="O14" s="3">
        <v>11205.5</v>
      </c>
      <c r="P14" s="3">
        <v>9656.18</v>
      </c>
      <c r="Q14" s="3">
        <v>10340.76</v>
      </c>
      <c r="R14" s="3">
        <v>9548.09</v>
      </c>
      <c r="S14" s="3">
        <v>8323.0499999999993</v>
      </c>
      <c r="T14" s="3">
        <f t="shared" si="0"/>
        <v>117999.98999999999</v>
      </c>
    </row>
    <row r="15" spans="1:21">
      <c r="A15" t="s">
        <v>151</v>
      </c>
      <c r="B15" t="s">
        <v>151</v>
      </c>
      <c r="C15" t="s">
        <v>152</v>
      </c>
      <c r="D15" t="s">
        <v>202</v>
      </c>
      <c r="E15" s="3" t="s">
        <v>176</v>
      </c>
      <c r="F15" s="3" t="s">
        <v>204</v>
      </c>
      <c r="G15" s="3" t="s">
        <v>163</v>
      </c>
      <c r="H15" s="3">
        <v>-9854.7199999999993</v>
      </c>
      <c r="I15" s="3">
        <v>-27357.59</v>
      </c>
      <c r="J15" s="3">
        <v>-19901.68</v>
      </c>
      <c r="K15" s="3">
        <v>-14002.59</v>
      </c>
      <c r="L15" s="3">
        <v>-6670.79</v>
      </c>
      <c r="M15" s="3">
        <v>-10417.82</v>
      </c>
      <c r="N15" s="3">
        <v>-8062.24</v>
      </c>
      <c r="O15" s="3">
        <v>-11885.37</v>
      </c>
      <c r="P15" s="3">
        <v>-11885.41</v>
      </c>
      <c r="Q15" s="3">
        <v>-11884.72</v>
      </c>
      <c r="R15" s="3">
        <v>-11885.21</v>
      </c>
      <c r="S15" s="3">
        <v>-11884.87</v>
      </c>
      <c r="T15" s="3">
        <f t="shared" si="0"/>
        <v>-155693.00999999998</v>
      </c>
    </row>
    <row r="16" spans="1:21">
      <c r="A16" t="s">
        <v>151</v>
      </c>
      <c r="B16" t="s">
        <v>151</v>
      </c>
      <c r="C16" t="s">
        <v>152</v>
      </c>
      <c r="D16" t="s">
        <v>160</v>
      </c>
      <c r="E16" s="3" t="s">
        <v>153</v>
      </c>
      <c r="F16" s="3" t="s">
        <v>154</v>
      </c>
      <c r="G16" s="3" t="s">
        <v>163</v>
      </c>
      <c r="H16" s="3">
        <v>3438.14</v>
      </c>
      <c r="I16" s="3">
        <v>2578.6</v>
      </c>
      <c r="J16" s="3">
        <v>2486.5100000000002</v>
      </c>
      <c r="K16" s="3">
        <v>2179.5300000000002</v>
      </c>
      <c r="L16" s="3">
        <v>2271.63</v>
      </c>
      <c r="M16" s="3">
        <v>2455.81</v>
      </c>
      <c r="N16" s="3">
        <v>2547.91</v>
      </c>
      <c r="O16" s="3">
        <v>2977.67</v>
      </c>
      <c r="P16" s="3">
        <v>3591.63</v>
      </c>
      <c r="Q16" s="3">
        <v>2394.42</v>
      </c>
      <c r="R16" s="3">
        <v>2916.28</v>
      </c>
      <c r="S16" s="3">
        <v>3161.86</v>
      </c>
      <c r="T16" s="3">
        <f t="shared" si="0"/>
        <v>32999.99</v>
      </c>
    </row>
    <row r="17" spans="1:28">
      <c r="A17" t="s">
        <v>151</v>
      </c>
      <c r="B17" t="s">
        <v>151</v>
      </c>
      <c r="C17" t="s">
        <v>152</v>
      </c>
      <c r="D17" t="s">
        <v>160</v>
      </c>
      <c r="E17" s="3" t="s">
        <v>159</v>
      </c>
      <c r="F17" s="3" t="s">
        <v>154</v>
      </c>
      <c r="G17" s="3" t="s">
        <v>163</v>
      </c>
      <c r="H17" s="3">
        <v>1666.98</v>
      </c>
      <c r="I17" s="3">
        <v>1250.23</v>
      </c>
      <c r="J17" s="3">
        <v>1205.58</v>
      </c>
      <c r="K17" s="3">
        <v>1056.74</v>
      </c>
      <c r="L17" s="3">
        <v>1101.4000000000001</v>
      </c>
      <c r="M17" s="3">
        <v>1190.7</v>
      </c>
      <c r="N17" s="3">
        <v>1235.3499999999999</v>
      </c>
      <c r="O17" s="3">
        <v>1443.72</v>
      </c>
      <c r="P17" s="3">
        <v>1741.4</v>
      </c>
      <c r="Q17" s="3">
        <v>1160.93</v>
      </c>
      <c r="R17" s="3">
        <v>1413.95</v>
      </c>
      <c r="S17" s="3">
        <v>1533.02</v>
      </c>
      <c r="T17" s="3">
        <f t="shared" si="0"/>
        <v>16000</v>
      </c>
    </row>
    <row r="18" spans="1:28">
      <c r="A18" t="s">
        <v>151</v>
      </c>
      <c r="B18" t="s">
        <v>151</v>
      </c>
      <c r="C18" t="s">
        <v>152</v>
      </c>
      <c r="D18" t="s">
        <v>162</v>
      </c>
      <c r="E18" s="3" t="s">
        <v>153</v>
      </c>
      <c r="F18" s="3" t="s">
        <v>154</v>
      </c>
      <c r="G18" s="3" t="s">
        <v>163</v>
      </c>
      <c r="H18" s="3">
        <v>306.41000000000003</v>
      </c>
      <c r="I18" s="3">
        <v>229.8</v>
      </c>
      <c r="J18" s="3">
        <v>221.6</v>
      </c>
      <c r="K18" s="3">
        <v>194.24</v>
      </c>
      <c r="L18" s="3">
        <v>202.45</v>
      </c>
      <c r="M18" s="3">
        <v>218.86</v>
      </c>
      <c r="N18" s="3">
        <v>227.07</v>
      </c>
      <c r="O18" s="3">
        <v>265.37</v>
      </c>
      <c r="P18" s="3">
        <v>320.08999999999997</v>
      </c>
      <c r="Q18" s="3">
        <v>213.39</v>
      </c>
      <c r="R18" s="3">
        <v>259.89999999999998</v>
      </c>
      <c r="S18" s="3">
        <v>281.77999999999997</v>
      </c>
      <c r="T18" s="3">
        <f t="shared" si="0"/>
        <v>2940.96</v>
      </c>
    </row>
    <row r="19" spans="1:28">
      <c r="A19" t="s">
        <v>151</v>
      </c>
      <c r="B19" t="s">
        <v>151</v>
      </c>
      <c r="C19" t="s">
        <v>152</v>
      </c>
      <c r="D19" t="s">
        <v>162</v>
      </c>
      <c r="E19" s="3" t="s">
        <v>159</v>
      </c>
      <c r="F19" s="3" t="s">
        <v>154</v>
      </c>
      <c r="G19" s="3" t="s">
        <v>163</v>
      </c>
      <c r="H19" s="3">
        <v>148.56</v>
      </c>
      <c r="I19" s="3">
        <v>111.42</v>
      </c>
      <c r="J19" s="3">
        <v>107.44</v>
      </c>
      <c r="K19" s="3">
        <v>94.18</v>
      </c>
      <c r="L19" s="3">
        <v>98.16</v>
      </c>
      <c r="M19" s="3">
        <v>106.12</v>
      </c>
      <c r="N19" s="3">
        <v>110.09</v>
      </c>
      <c r="O19" s="3">
        <v>128.66</v>
      </c>
      <c r="P19" s="3">
        <v>155.19</v>
      </c>
      <c r="Q19" s="3">
        <v>103.46</v>
      </c>
      <c r="R19" s="3">
        <v>126.01</v>
      </c>
      <c r="S19" s="3">
        <v>136.62</v>
      </c>
      <c r="T19" s="3">
        <f t="shared" si="0"/>
        <v>1425.9099999999999</v>
      </c>
    </row>
    <row r="20" spans="1:28">
      <c r="A20" t="s">
        <v>151</v>
      </c>
      <c r="B20" t="s">
        <v>151</v>
      </c>
      <c r="C20" t="s">
        <v>182</v>
      </c>
      <c r="D20" t="s">
        <v>202</v>
      </c>
      <c r="E20" s="3" t="s">
        <v>176</v>
      </c>
      <c r="F20" s="3" t="s">
        <v>205</v>
      </c>
      <c r="G20" s="3" t="s">
        <v>163</v>
      </c>
      <c r="H20" s="3">
        <v>25.5</v>
      </c>
      <c r="I20" s="3">
        <v>-1618.48</v>
      </c>
      <c r="J20" s="3">
        <v>-0.37</v>
      </c>
      <c r="K20" s="3">
        <v>-4314.4799999999996</v>
      </c>
      <c r="L20" s="3">
        <v>-272.92</v>
      </c>
      <c r="M20" s="3">
        <v>-14.04</v>
      </c>
      <c r="N20" s="3">
        <v>-242.38</v>
      </c>
      <c r="O20" s="3">
        <v>0.43</v>
      </c>
      <c r="P20" s="3">
        <v>0.48</v>
      </c>
      <c r="Q20" s="3">
        <v>-0.5</v>
      </c>
      <c r="R20" s="3">
        <v>-0.26</v>
      </c>
      <c r="S20" s="3">
        <v>0.02</v>
      </c>
      <c r="T20" s="3">
        <f t="shared" si="0"/>
        <v>-6437</v>
      </c>
    </row>
    <row r="21" spans="1:28">
      <c r="A21" t="s">
        <v>151</v>
      </c>
      <c r="B21" t="s">
        <v>151</v>
      </c>
      <c r="C21" t="s">
        <v>206</v>
      </c>
      <c r="D21" t="s">
        <v>202</v>
      </c>
      <c r="E21" s="3" t="s">
        <v>176</v>
      </c>
      <c r="F21" s="3" t="s">
        <v>207</v>
      </c>
      <c r="G21" s="3" t="s">
        <v>163</v>
      </c>
      <c r="H21" s="3">
        <v>25994</v>
      </c>
      <c r="I21" s="3">
        <v>15919</v>
      </c>
      <c r="J21" s="3">
        <v>24757</v>
      </c>
      <c r="K21" s="3">
        <v>19995</v>
      </c>
      <c r="L21" s="3">
        <v>30652</v>
      </c>
      <c r="M21" s="3">
        <v>24733</v>
      </c>
      <c r="N21" s="3">
        <v>11558</v>
      </c>
      <c r="O21" s="3">
        <v>23374</v>
      </c>
      <c r="P21" s="3">
        <v>23374</v>
      </c>
      <c r="Q21" s="3">
        <v>23374</v>
      </c>
      <c r="R21" s="3">
        <v>23374</v>
      </c>
      <c r="S21" s="3">
        <v>23374</v>
      </c>
      <c r="T21" s="3">
        <f t="shared" si="0"/>
        <v>270478</v>
      </c>
    </row>
    <row r="22" spans="1:28">
      <c r="A22" t="s">
        <v>151</v>
      </c>
      <c r="B22" t="s">
        <v>151</v>
      </c>
      <c r="C22" t="s">
        <v>208</v>
      </c>
      <c r="D22" t="s">
        <v>202</v>
      </c>
      <c r="E22" s="3" t="s">
        <v>176</v>
      </c>
      <c r="F22" s="3" t="s">
        <v>209</v>
      </c>
      <c r="G22" s="3" t="s">
        <v>163</v>
      </c>
      <c r="H22" s="3">
        <v>-3334.02</v>
      </c>
      <c r="I22" s="3">
        <v>-5299.08</v>
      </c>
      <c r="J22" s="3">
        <v>-9894.5</v>
      </c>
      <c r="K22" s="3">
        <v>-7071.08</v>
      </c>
      <c r="L22" s="3">
        <v>-6777.34</v>
      </c>
      <c r="M22" s="3">
        <v>-5960.85</v>
      </c>
      <c r="N22" s="3">
        <v>-3111.47</v>
      </c>
      <c r="O22" s="3">
        <v>-5941.71</v>
      </c>
      <c r="P22" s="3">
        <v>-5942.92</v>
      </c>
      <c r="Q22" s="3">
        <v>-5943.02</v>
      </c>
      <c r="R22" s="3">
        <v>-5941.96</v>
      </c>
      <c r="S22" s="3">
        <v>-5943.06</v>
      </c>
      <c r="T22" s="3">
        <f t="shared" si="0"/>
        <v>-71161.010000000009</v>
      </c>
    </row>
    <row r="23" spans="1:28">
      <c r="A23" t="s">
        <v>155</v>
      </c>
      <c r="B23" t="s">
        <v>178</v>
      </c>
      <c r="C23" t="s">
        <v>152</v>
      </c>
      <c r="D23" t="s">
        <v>180</v>
      </c>
      <c r="E23" s="3" t="s">
        <v>156</v>
      </c>
      <c r="F23" s="3" t="s">
        <v>154</v>
      </c>
      <c r="G23" s="3" t="s">
        <v>163</v>
      </c>
      <c r="H23" s="3">
        <v>1000</v>
      </c>
      <c r="I23" s="3">
        <v>1000</v>
      </c>
      <c r="J23" s="3">
        <v>1000</v>
      </c>
      <c r="K23" s="3">
        <v>1000</v>
      </c>
      <c r="L23" s="3">
        <v>1000</v>
      </c>
      <c r="M23" s="3">
        <v>1000</v>
      </c>
      <c r="N23" s="3">
        <v>1000</v>
      </c>
      <c r="O23" s="3">
        <v>1000</v>
      </c>
      <c r="P23" s="3">
        <v>1000</v>
      </c>
      <c r="Q23" s="3">
        <v>1000</v>
      </c>
      <c r="R23" s="3">
        <v>1000</v>
      </c>
      <c r="S23" s="3">
        <v>1000</v>
      </c>
      <c r="T23" s="3">
        <f t="shared" si="0"/>
        <v>12000</v>
      </c>
    </row>
    <row r="24" spans="1:28">
      <c r="A24" t="s">
        <v>155</v>
      </c>
      <c r="B24" t="s">
        <v>178</v>
      </c>
      <c r="C24" t="s">
        <v>152</v>
      </c>
      <c r="D24" t="s">
        <v>148</v>
      </c>
      <c r="E24" s="3" t="s">
        <v>156</v>
      </c>
      <c r="F24" s="3" t="s">
        <v>154</v>
      </c>
      <c r="G24" s="3" t="s">
        <v>163</v>
      </c>
      <c r="H24" s="3">
        <v>3000</v>
      </c>
      <c r="I24" s="3">
        <v>3000</v>
      </c>
      <c r="J24" s="3">
        <v>1000</v>
      </c>
      <c r="K24" s="3">
        <v>3000</v>
      </c>
      <c r="L24" s="3">
        <v>3000</v>
      </c>
      <c r="M24" s="3">
        <v>3000</v>
      </c>
      <c r="N24" s="3">
        <v>1000</v>
      </c>
      <c r="O24" s="3">
        <v>3000</v>
      </c>
      <c r="P24" s="3">
        <v>3000</v>
      </c>
      <c r="Q24" s="3">
        <v>1000</v>
      </c>
      <c r="R24" s="3">
        <v>3000</v>
      </c>
      <c r="S24" s="3">
        <v>3000</v>
      </c>
      <c r="T24" s="3">
        <f t="shared" si="0"/>
        <v>30000</v>
      </c>
    </row>
    <row r="25" spans="1:28">
      <c r="A25" t="s">
        <v>155</v>
      </c>
      <c r="B25" t="s">
        <v>178</v>
      </c>
      <c r="C25" t="s">
        <v>152</v>
      </c>
      <c r="D25" t="s">
        <v>179</v>
      </c>
      <c r="E25" s="3" t="s">
        <v>156</v>
      </c>
      <c r="F25" s="3" t="s">
        <v>154</v>
      </c>
      <c r="G25" s="3" t="s">
        <v>163</v>
      </c>
      <c r="H25" s="3">
        <v>1000</v>
      </c>
      <c r="I25" s="3">
        <v>0</v>
      </c>
      <c r="J25" s="3">
        <v>1000</v>
      </c>
      <c r="K25" s="3">
        <v>0</v>
      </c>
      <c r="L25" s="3">
        <v>0</v>
      </c>
      <c r="M25" s="3">
        <v>1000</v>
      </c>
      <c r="N25" s="3">
        <v>1000</v>
      </c>
      <c r="O25" s="3">
        <v>0</v>
      </c>
      <c r="P25" s="3">
        <v>0</v>
      </c>
      <c r="Q25" s="3">
        <v>1000</v>
      </c>
      <c r="R25" s="3">
        <v>0</v>
      </c>
      <c r="S25" s="3">
        <v>0</v>
      </c>
      <c r="T25" s="3">
        <f t="shared" si="0"/>
        <v>5000</v>
      </c>
    </row>
    <row r="26" spans="1:28">
      <c r="A26" t="s">
        <v>155</v>
      </c>
      <c r="B26" t="s">
        <v>178</v>
      </c>
      <c r="C26" t="s">
        <v>152</v>
      </c>
      <c r="D26" t="s">
        <v>161</v>
      </c>
      <c r="E26" s="3" t="s">
        <v>156</v>
      </c>
      <c r="F26" s="3" t="s">
        <v>154</v>
      </c>
      <c r="G26" s="3" t="s">
        <v>163</v>
      </c>
      <c r="H26" s="3">
        <v>111</v>
      </c>
      <c r="I26" s="3">
        <v>111</v>
      </c>
      <c r="J26" s="3">
        <v>111</v>
      </c>
      <c r="K26" s="3">
        <v>111</v>
      </c>
      <c r="L26" s="3">
        <v>111</v>
      </c>
      <c r="M26" s="3">
        <v>111</v>
      </c>
      <c r="N26" s="3">
        <v>111</v>
      </c>
      <c r="O26" s="3">
        <v>111</v>
      </c>
      <c r="P26" s="3">
        <v>111</v>
      </c>
      <c r="Q26" s="3">
        <v>111</v>
      </c>
      <c r="R26" s="3">
        <v>111</v>
      </c>
      <c r="S26" s="3">
        <v>111</v>
      </c>
      <c r="T26" s="3">
        <f t="shared" si="0"/>
        <v>1332</v>
      </c>
    </row>
    <row r="27" spans="1:28">
      <c r="A27" t="s">
        <v>155</v>
      </c>
      <c r="B27" t="s">
        <v>178</v>
      </c>
      <c r="C27" t="s">
        <v>152</v>
      </c>
      <c r="D27" t="s">
        <v>181</v>
      </c>
      <c r="E27" s="3" t="s">
        <v>156</v>
      </c>
      <c r="F27" s="3" t="s">
        <v>154</v>
      </c>
      <c r="G27" s="3" t="s">
        <v>163</v>
      </c>
      <c r="H27" s="3">
        <v>266.36</v>
      </c>
      <c r="I27" s="3">
        <v>266.36</v>
      </c>
      <c r="J27" s="3">
        <v>266.36</v>
      </c>
      <c r="K27" s="3">
        <v>266.36</v>
      </c>
      <c r="L27" s="3">
        <v>266.36</v>
      </c>
      <c r="M27" s="3">
        <v>266.36</v>
      </c>
      <c r="N27" s="3">
        <v>266.36</v>
      </c>
      <c r="O27" s="3">
        <v>266.36</v>
      </c>
      <c r="P27" s="3">
        <v>266.36</v>
      </c>
      <c r="Q27" s="3">
        <v>266.36</v>
      </c>
      <c r="R27" s="3">
        <v>266.36</v>
      </c>
      <c r="S27" s="3">
        <v>266.36</v>
      </c>
      <c r="T27" s="3">
        <f t="shared" si="0"/>
        <v>3196.3200000000011</v>
      </c>
    </row>
    <row r="28" spans="1:28">
      <c r="A28" t="s">
        <v>157</v>
      </c>
      <c r="B28" t="s">
        <v>210</v>
      </c>
      <c r="C28" t="s">
        <v>152</v>
      </c>
      <c r="D28" t="s">
        <v>180</v>
      </c>
      <c r="E28" s="3" t="s">
        <v>158</v>
      </c>
      <c r="F28" s="3" t="s">
        <v>154</v>
      </c>
      <c r="G28" s="3" t="s">
        <v>163</v>
      </c>
      <c r="H28" s="3">
        <v>1000</v>
      </c>
      <c r="I28" s="3">
        <v>1000</v>
      </c>
      <c r="J28" s="3">
        <v>1000</v>
      </c>
      <c r="K28" s="3">
        <v>1000</v>
      </c>
      <c r="L28" s="3">
        <v>1000</v>
      </c>
      <c r="M28" s="3">
        <v>1000</v>
      </c>
      <c r="N28" s="3">
        <v>1000</v>
      </c>
      <c r="O28" s="3">
        <v>1000</v>
      </c>
      <c r="P28" s="3">
        <v>1000</v>
      </c>
      <c r="Q28" s="3">
        <v>1000</v>
      </c>
      <c r="R28" s="3">
        <v>1000</v>
      </c>
      <c r="S28" s="3">
        <v>1000</v>
      </c>
      <c r="T28" s="3">
        <f t="shared" si="0"/>
        <v>12000</v>
      </c>
    </row>
    <row r="29" spans="1:28">
      <c r="A29" t="s">
        <v>157</v>
      </c>
      <c r="B29" t="s">
        <v>210</v>
      </c>
      <c r="C29" t="s">
        <v>152</v>
      </c>
      <c r="D29" t="s">
        <v>179</v>
      </c>
      <c r="E29" s="3" t="s">
        <v>158</v>
      </c>
      <c r="F29" s="3" t="s">
        <v>154</v>
      </c>
      <c r="G29" s="3" t="s">
        <v>163</v>
      </c>
      <c r="H29" s="3">
        <v>0</v>
      </c>
      <c r="I29" s="3">
        <v>0</v>
      </c>
      <c r="J29" s="3">
        <v>1000</v>
      </c>
      <c r="K29" s="3">
        <v>0</v>
      </c>
      <c r="L29" s="3">
        <v>0</v>
      </c>
      <c r="M29" s="3">
        <v>1000</v>
      </c>
      <c r="N29" s="3">
        <v>0</v>
      </c>
      <c r="O29" s="3">
        <v>0</v>
      </c>
      <c r="P29" s="3">
        <v>1000</v>
      </c>
      <c r="Q29" s="3">
        <v>0</v>
      </c>
      <c r="R29" s="3">
        <v>0</v>
      </c>
      <c r="S29" s="3">
        <v>1000</v>
      </c>
      <c r="T29" s="3">
        <f t="shared" si="0"/>
        <v>4000</v>
      </c>
    </row>
    <row r="30" spans="1:28">
      <c r="A30" t="s">
        <v>157</v>
      </c>
      <c r="B30" t="s">
        <v>210</v>
      </c>
      <c r="C30" t="s">
        <v>152</v>
      </c>
      <c r="D30" t="s">
        <v>161</v>
      </c>
      <c r="E30" s="3" t="s">
        <v>158</v>
      </c>
      <c r="F30" s="3" t="s">
        <v>154</v>
      </c>
      <c r="G30" s="3" t="s">
        <v>163</v>
      </c>
      <c r="H30" s="3">
        <v>116.85</v>
      </c>
      <c r="I30" s="3">
        <v>116.85</v>
      </c>
      <c r="J30" s="3">
        <v>116.85</v>
      </c>
      <c r="K30" s="3">
        <v>116.85</v>
      </c>
      <c r="L30" s="3">
        <v>116.85</v>
      </c>
      <c r="M30" s="3">
        <v>116.85</v>
      </c>
      <c r="N30" s="3">
        <v>116.85</v>
      </c>
      <c r="O30" s="3">
        <v>116.85</v>
      </c>
      <c r="P30" s="3">
        <v>116.85</v>
      </c>
      <c r="Q30" s="3">
        <v>116.85</v>
      </c>
      <c r="R30" s="3">
        <v>116.85</v>
      </c>
      <c r="S30" s="3">
        <v>116.85</v>
      </c>
      <c r="T30" s="3">
        <f t="shared" si="0"/>
        <v>1402.1999999999998</v>
      </c>
    </row>
    <row r="31" spans="1:28">
      <c r="A31" t="s">
        <v>157</v>
      </c>
      <c r="B31" t="s">
        <v>210</v>
      </c>
      <c r="C31" t="s">
        <v>152</v>
      </c>
      <c r="D31" t="s">
        <v>181</v>
      </c>
      <c r="E31" s="3" t="s">
        <v>158</v>
      </c>
      <c r="F31" s="3" t="s">
        <v>154</v>
      </c>
      <c r="G31" s="3" t="s">
        <v>163</v>
      </c>
      <c r="H31" s="3">
        <v>266.36</v>
      </c>
      <c r="I31" s="3">
        <v>266.36</v>
      </c>
      <c r="J31" s="3">
        <v>266.36</v>
      </c>
      <c r="K31" s="3">
        <v>266.36</v>
      </c>
      <c r="L31" s="3">
        <v>266.36</v>
      </c>
      <c r="M31" s="3">
        <v>266.36</v>
      </c>
      <c r="N31" s="3">
        <v>266.36</v>
      </c>
      <c r="O31" s="3">
        <v>266.36</v>
      </c>
      <c r="P31" s="3">
        <v>266.36</v>
      </c>
      <c r="Q31" s="3">
        <v>266.36</v>
      </c>
      <c r="R31" s="3">
        <v>266.36</v>
      </c>
      <c r="S31" s="3">
        <v>266.36</v>
      </c>
      <c r="T31" s="3">
        <f t="shared" si="0"/>
        <v>3196.3200000000011</v>
      </c>
      <c r="U31" s="3"/>
    </row>
    <row r="32" spans="1:28">
      <c r="A32" t="s">
        <v>211</v>
      </c>
      <c r="B32" t="s">
        <v>211</v>
      </c>
      <c r="C32" t="s">
        <v>212</v>
      </c>
      <c r="D32" t="s">
        <v>202</v>
      </c>
      <c r="E32" s="174" t="s">
        <v>213</v>
      </c>
      <c r="F32" s="364" t="s">
        <v>214</v>
      </c>
      <c r="G32" s="364" t="s">
        <v>163</v>
      </c>
      <c r="H32" s="362">
        <v>215880</v>
      </c>
      <c r="I32" s="362">
        <v>215880</v>
      </c>
      <c r="J32" s="362">
        <v>215880</v>
      </c>
      <c r="K32" s="362">
        <v>215880</v>
      </c>
      <c r="L32" s="362">
        <v>215880</v>
      </c>
      <c r="M32" s="362">
        <v>215880</v>
      </c>
      <c r="N32" s="362">
        <v>0</v>
      </c>
      <c r="O32" s="362">
        <v>0</v>
      </c>
      <c r="P32" s="362">
        <v>0</v>
      </c>
      <c r="Q32" s="362">
        <v>0</v>
      </c>
      <c r="R32" s="362">
        <v>0</v>
      </c>
      <c r="S32" s="362">
        <v>0</v>
      </c>
      <c r="T32" s="176">
        <f t="shared" si="0"/>
        <v>1295280</v>
      </c>
      <c r="U32" s="363" t="s">
        <v>485</v>
      </c>
      <c r="V32" s="31"/>
      <c r="W32" s="31"/>
      <c r="X32" s="31"/>
      <c r="Y32" s="31"/>
      <c r="Z32" s="31"/>
      <c r="AA32" s="31"/>
      <c r="AB32" s="31"/>
    </row>
    <row r="33" spans="1:20">
      <c r="C33" s="2"/>
      <c r="D33" s="2" t="s">
        <v>164</v>
      </c>
      <c r="E33" s="26"/>
      <c r="F33" s="26"/>
      <c r="G33" s="26"/>
      <c r="H33" s="26">
        <f t="shared" ref="H33:T33" si="1">SUM(H2:H32)</f>
        <v>355390.52</v>
      </c>
      <c r="I33" s="26">
        <f t="shared" si="1"/>
        <v>289200.98000000004</v>
      </c>
      <c r="J33" s="26">
        <f t="shared" si="1"/>
        <v>327170.44000000006</v>
      </c>
      <c r="K33" s="26">
        <f t="shared" si="1"/>
        <v>261078.47</v>
      </c>
      <c r="L33" s="26">
        <f t="shared" si="1"/>
        <v>356159.72</v>
      </c>
      <c r="M33" s="26">
        <f t="shared" si="1"/>
        <v>336835.86</v>
      </c>
      <c r="N33" s="26">
        <f t="shared" si="1"/>
        <v>102067.34000000001</v>
      </c>
      <c r="O33" s="26">
        <f t="shared" si="1"/>
        <v>136533.25999999992</v>
      </c>
      <c r="P33" s="26">
        <f t="shared" si="1"/>
        <v>129354</v>
      </c>
      <c r="Q33" s="26">
        <f t="shared" si="1"/>
        <v>148435.16999999998</v>
      </c>
      <c r="R33" s="26">
        <f t="shared" si="1"/>
        <v>116794.94999999998</v>
      </c>
      <c r="S33" s="26">
        <f t="shared" si="1"/>
        <v>115895.67000000001</v>
      </c>
      <c r="T33" s="26">
        <f t="shared" si="1"/>
        <v>2674916.38</v>
      </c>
    </row>
    <row r="35" spans="1:20">
      <c r="A35" t="s">
        <v>146</v>
      </c>
      <c r="B35" t="s">
        <v>146</v>
      </c>
      <c r="C35" t="s">
        <v>147</v>
      </c>
      <c r="D35" t="s">
        <v>201</v>
      </c>
      <c r="E35" s="3" t="s">
        <v>149</v>
      </c>
      <c r="F35" s="3" t="s">
        <v>150</v>
      </c>
      <c r="G35" s="3" t="s">
        <v>238</v>
      </c>
      <c r="H35" s="3">
        <v>6000</v>
      </c>
      <c r="I35" s="3">
        <v>6000</v>
      </c>
      <c r="J35" s="3">
        <v>8000</v>
      </c>
      <c r="K35" s="3">
        <v>11000</v>
      </c>
      <c r="L35" s="3">
        <v>12000</v>
      </c>
      <c r="M35" s="3">
        <v>13000</v>
      </c>
      <c r="N35" s="3">
        <v>12000</v>
      </c>
      <c r="O35" s="3">
        <v>14000</v>
      </c>
      <c r="P35" s="3">
        <v>11000</v>
      </c>
      <c r="Q35" s="3">
        <v>11000</v>
      </c>
      <c r="R35" s="3">
        <v>11000</v>
      </c>
      <c r="S35" s="3">
        <v>9000</v>
      </c>
      <c r="T35" s="3">
        <f>SUM(H35:S35)</f>
        <v>124000</v>
      </c>
    </row>
    <row r="36" spans="1:20">
      <c r="A36" t="s">
        <v>151</v>
      </c>
      <c r="B36" t="s">
        <v>151</v>
      </c>
      <c r="C36" t="s">
        <v>147</v>
      </c>
      <c r="D36" t="s">
        <v>202</v>
      </c>
      <c r="E36" s="3" t="s">
        <v>176</v>
      </c>
      <c r="F36" s="3" t="s">
        <v>203</v>
      </c>
      <c r="G36" s="3" t="s">
        <v>238</v>
      </c>
      <c r="H36" s="3">
        <v>-2980.23</v>
      </c>
      <c r="I36" s="3">
        <v>-1827.63</v>
      </c>
      <c r="J36" s="3">
        <v>-519.54</v>
      </c>
      <c r="K36" s="3">
        <v>-2264.37</v>
      </c>
      <c r="L36" s="3">
        <v>-1754.8</v>
      </c>
      <c r="M36" s="3">
        <v>-163.28</v>
      </c>
      <c r="N36" s="3">
        <v>-450.85</v>
      </c>
      <c r="O36" s="3">
        <v>-1247.54</v>
      </c>
      <c r="P36" s="3">
        <v>-1247.17</v>
      </c>
      <c r="Q36" s="3">
        <v>-1246.8800000000001</v>
      </c>
      <c r="R36" s="3">
        <v>-1247.8499999999999</v>
      </c>
      <c r="S36" s="3">
        <v>-1246.8599999999999</v>
      </c>
      <c r="T36" s="3">
        <f t="shared" ref="T36:T65" si="2">SUM(H36:S36)</f>
        <v>-16197.000000000002</v>
      </c>
    </row>
    <row r="37" spans="1:20">
      <c r="A37" t="s">
        <v>151</v>
      </c>
      <c r="B37" t="s">
        <v>151</v>
      </c>
      <c r="C37" t="s">
        <v>175</v>
      </c>
      <c r="D37" t="s">
        <v>202</v>
      </c>
      <c r="E37" s="3" t="s">
        <v>176</v>
      </c>
      <c r="F37" s="3" t="s">
        <v>177</v>
      </c>
      <c r="G37" s="3" t="s">
        <v>238</v>
      </c>
      <c r="H37" s="3">
        <v>6507</v>
      </c>
      <c r="I37" s="3">
        <v>-17053</v>
      </c>
      <c r="J37" s="3">
        <v>-11356</v>
      </c>
      <c r="K37" s="3">
        <v>-64770</v>
      </c>
      <c r="L37" s="3">
        <v>-1455</v>
      </c>
      <c r="M37" s="3">
        <v>-10546</v>
      </c>
      <c r="N37" s="3">
        <v>-9797</v>
      </c>
      <c r="O37" s="3">
        <v>-6321</v>
      </c>
      <c r="P37" s="3">
        <v>3371</v>
      </c>
      <c r="Q37" s="3">
        <v>21067</v>
      </c>
      <c r="R37" s="3">
        <v>-6321</v>
      </c>
      <c r="S37" s="3">
        <v>6320</v>
      </c>
      <c r="T37" s="3">
        <f t="shared" si="2"/>
        <v>-90354</v>
      </c>
    </row>
    <row r="38" spans="1:20">
      <c r="A38" t="s">
        <v>151</v>
      </c>
      <c r="B38" t="s">
        <v>151</v>
      </c>
      <c r="C38" t="s">
        <v>152</v>
      </c>
      <c r="D38" t="s">
        <v>180</v>
      </c>
      <c r="E38" s="3" t="s">
        <v>153</v>
      </c>
      <c r="F38" s="3" t="s">
        <v>154</v>
      </c>
      <c r="G38" s="3" t="s">
        <v>238</v>
      </c>
      <c r="H38" s="3">
        <v>14324.02</v>
      </c>
      <c r="I38" s="3">
        <v>12291.55</v>
      </c>
      <c r="J38" s="3">
        <v>13694.92</v>
      </c>
      <c r="K38" s="3">
        <v>13114.22</v>
      </c>
      <c r="L38" s="3">
        <v>14565.98</v>
      </c>
      <c r="M38" s="3">
        <v>12823.87</v>
      </c>
      <c r="N38" s="3">
        <v>13065.83</v>
      </c>
      <c r="O38" s="3">
        <v>15388.64</v>
      </c>
      <c r="P38" s="3">
        <v>12436.73</v>
      </c>
      <c r="Q38" s="3">
        <v>14856.33</v>
      </c>
      <c r="R38" s="3">
        <v>13065.83</v>
      </c>
      <c r="S38" s="3">
        <v>11372.11</v>
      </c>
      <c r="T38" s="3">
        <f t="shared" si="2"/>
        <v>161000.02999999997</v>
      </c>
    </row>
    <row r="39" spans="1:20">
      <c r="A39" t="s">
        <v>151</v>
      </c>
      <c r="B39" t="s">
        <v>151</v>
      </c>
      <c r="C39" t="s">
        <v>152</v>
      </c>
      <c r="D39" t="s">
        <v>180</v>
      </c>
      <c r="E39" s="3" t="s">
        <v>159</v>
      </c>
      <c r="F39" s="3" t="s">
        <v>154</v>
      </c>
      <c r="G39" s="3" t="s">
        <v>238</v>
      </c>
      <c r="H39" s="3">
        <v>3113.92</v>
      </c>
      <c r="I39" s="3">
        <v>2672.08</v>
      </c>
      <c r="J39" s="3">
        <v>2977.16</v>
      </c>
      <c r="K39" s="3">
        <v>2850.92</v>
      </c>
      <c r="L39" s="3">
        <v>3166.52</v>
      </c>
      <c r="M39" s="3">
        <v>2787.8</v>
      </c>
      <c r="N39" s="3">
        <v>2840.4</v>
      </c>
      <c r="O39" s="3">
        <v>3345.36</v>
      </c>
      <c r="P39" s="3">
        <v>2703.64</v>
      </c>
      <c r="Q39" s="3">
        <v>3229.64</v>
      </c>
      <c r="R39" s="3">
        <v>2840.4</v>
      </c>
      <c r="S39" s="3">
        <v>2472.1999999999998</v>
      </c>
      <c r="T39" s="3">
        <f t="shared" si="2"/>
        <v>35000.04</v>
      </c>
    </row>
    <row r="40" spans="1:20">
      <c r="A40" t="s">
        <v>151</v>
      </c>
      <c r="B40" t="s">
        <v>151</v>
      </c>
      <c r="C40" t="s">
        <v>152</v>
      </c>
      <c r="D40" t="s">
        <v>179</v>
      </c>
      <c r="E40" s="3" t="s">
        <v>153</v>
      </c>
      <c r="F40" s="3" t="s">
        <v>154</v>
      </c>
      <c r="G40" s="3" t="s">
        <v>238</v>
      </c>
      <c r="H40" s="3">
        <v>6850.62</v>
      </c>
      <c r="I40" s="3">
        <v>5878.57</v>
      </c>
      <c r="J40" s="3">
        <v>6549.74</v>
      </c>
      <c r="K40" s="3">
        <v>6272.02</v>
      </c>
      <c r="L40" s="3">
        <v>6966.34</v>
      </c>
      <c r="M40" s="3">
        <v>6133.15</v>
      </c>
      <c r="N40" s="3">
        <v>6248.87</v>
      </c>
      <c r="O40" s="3">
        <v>7359.78</v>
      </c>
      <c r="P40" s="3">
        <v>5948</v>
      </c>
      <c r="Q40" s="3">
        <v>7105.2</v>
      </c>
      <c r="R40" s="3">
        <v>6248.87</v>
      </c>
      <c r="S40" s="3">
        <v>5438.83</v>
      </c>
      <c r="T40" s="3">
        <f t="shared" si="2"/>
        <v>76999.990000000005</v>
      </c>
    </row>
    <row r="41" spans="1:20">
      <c r="A41" t="s">
        <v>151</v>
      </c>
      <c r="B41" t="s">
        <v>151</v>
      </c>
      <c r="C41" t="s">
        <v>152</v>
      </c>
      <c r="D41" t="s">
        <v>179</v>
      </c>
      <c r="E41" s="3" t="s">
        <v>159</v>
      </c>
      <c r="F41" s="3" t="s">
        <v>154</v>
      </c>
      <c r="G41" s="3" t="s">
        <v>238</v>
      </c>
      <c r="H41" s="3">
        <v>533.80999999999995</v>
      </c>
      <c r="I41" s="3">
        <v>458.07</v>
      </c>
      <c r="J41" s="3">
        <v>510.37</v>
      </c>
      <c r="K41" s="3">
        <v>488.73</v>
      </c>
      <c r="L41" s="3">
        <v>542.83000000000004</v>
      </c>
      <c r="M41" s="3">
        <v>477.91</v>
      </c>
      <c r="N41" s="3">
        <v>486.93</v>
      </c>
      <c r="O41" s="3">
        <v>573.49</v>
      </c>
      <c r="P41" s="3">
        <v>463.48</v>
      </c>
      <c r="Q41" s="3">
        <v>553.65</v>
      </c>
      <c r="R41" s="3">
        <v>486.93</v>
      </c>
      <c r="S41" s="3">
        <v>423.81</v>
      </c>
      <c r="T41" s="3">
        <f t="shared" si="2"/>
        <v>6000.0099999999993</v>
      </c>
    </row>
    <row r="42" spans="1:20">
      <c r="A42" t="s">
        <v>151</v>
      </c>
      <c r="B42" t="s">
        <v>151</v>
      </c>
      <c r="C42" t="s">
        <v>152</v>
      </c>
      <c r="D42" t="s">
        <v>161</v>
      </c>
      <c r="E42" s="3" t="s">
        <v>153</v>
      </c>
      <c r="F42" s="3" t="s">
        <v>154</v>
      </c>
      <c r="G42" s="3" t="s">
        <v>238</v>
      </c>
      <c r="H42" s="3">
        <v>4867.08</v>
      </c>
      <c r="I42" s="3">
        <v>4071.75</v>
      </c>
      <c r="J42" s="3">
        <v>4420.2700000000004</v>
      </c>
      <c r="K42" s="3">
        <v>4178.72</v>
      </c>
      <c r="L42" s="3">
        <v>4598.88</v>
      </c>
      <c r="M42" s="3">
        <v>4183.21</v>
      </c>
      <c r="N42" s="3">
        <v>4265.7700000000004</v>
      </c>
      <c r="O42" s="3">
        <v>5023.2</v>
      </c>
      <c r="P42" s="3">
        <v>4395.2</v>
      </c>
      <c r="Q42" s="3">
        <v>4711.3</v>
      </c>
      <c r="R42" s="3">
        <v>4374.33</v>
      </c>
      <c r="S42" s="3">
        <v>3980.19</v>
      </c>
      <c r="T42" s="3">
        <f t="shared" si="2"/>
        <v>53069.9</v>
      </c>
    </row>
    <row r="43" spans="1:20">
      <c r="A43" t="s">
        <v>151</v>
      </c>
      <c r="B43" t="s">
        <v>151</v>
      </c>
      <c r="C43" t="s">
        <v>152</v>
      </c>
      <c r="D43" t="s">
        <v>161</v>
      </c>
      <c r="E43" s="3" t="s">
        <v>159</v>
      </c>
      <c r="F43" s="3" t="s">
        <v>154</v>
      </c>
      <c r="G43" s="3" t="s">
        <v>238</v>
      </c>
      <c r="H43" s="3">
        <v>1303.3399999999999</v>
      </c>
      <c r="I43" s="3">
        <v>1069.1300000000001</v>
      </c>
      <c r="J43" s="3">
        <v>1136.43</v>
      </c>
      <c r="K43" s="3">
        <v>1062.78</v>
      </c>
      <c r="L43" s="3">
        <v>1160.46</v>
      </c>
      <c r="M43" s="3">
        <v>1084.9000000000001</v>
      </c>
      <c r="N43" s="3">
        <v>1107.07</v>
      </c>
      <c r="O43" s="3">
        <v>1303.45</v>
      </c>
      <c r="P43" s="3">
        <v>1211.3399999999999</v>
      </c>
      <c r="Q43" s="3">
        <v>1193.3599999999999</v>
      </c>
      <c r="R43" s="3">
        <v>1158.1600000000001</v>
      </c>
      <c r="S43" s="3">
        <v>1089.4000000000001</v>
      </c>
      <c r="T43" s="3">
        <f t="shared" si="2"/>
        <v>13879.820000000002</v>
      </c>
    </row>
    <row r="44" spans="1:20">
      <c r="A44" t="s">
        <v>151</v>
      </c>
      <c r="B44" t="s">
        <v>151</v>
      </c>
      <c r="C44" t="s">
        <v>152</v>
      </c>
      <c r="D44" t="s">
        <v>181</v>
      </c>
      <c r="E44" s="3" t="s">
        <v>153</v>
      </c>
      <c r="F44" s="3" t="s">
        <v>154</v>
      </c>
      <c r="G44" s="3" t="s">
        <v>238</v>
      </c>
      <c r="H44" s="3">
        <v>3815.35</v>
      </c>
      <c r="I44" s="3">
        <v>3273.97</v>
      </c>
      <c r="J44" s="3">
        <v>3647.78</v>
      </c>
      <c r="K44" s="3">
        <v>3493.1</v>
      </c>
      <c r="L44" s="3">
        <v>3879.79</v>
      </c>
      <c r="M44" s="3">
        <v>3415.76</v>
      </c>
      <c r="N44" s="3">
        <v>3480.22</v>
      </c>
      <c r="O44" s="3">
        <v>4098.92</v>
      </c>
      <c r="P44" s="3">
        <v>3312.65</v>
      </c>
      <c r="Q44" s="3">
        <v>3957.14</v>
      </c>
      <c r="R44" s="3">
        <v>3480.22</v>
      </c>
      <c r="S44" s="3">
        <v>3029.07</v>
      </c>
      <c r="T44" s="3">
        <f t="shared" si="2"/>
        <v>42883.97</v>
      </c>
    </row>
    <row r="45" spans="1:20">
      <c r="A45" t="s">
        <v>151</v>
      </c>
      <c r="B45" t="s">
        <v>151</v>
      </c>
      <c r="C45" t="s">
        <v>152</v>
      </c>
      <c r="D45" t="s">
        <v>181</v>
      </c>
      <c r="E45" s="3" t="s">
        <v>159</v>
      </c>
      <c r="F45" s="3" t="s">
        <v>154</v>
      </c>
      <c r="G45" s="3" t="s">
        <v>238</v>
      </c>
      <c r="H45" s="3">
        <v>829.42</v>
      </c>
      <c r="I45" s="3">
        <v>711.74</v>
      </c>
      <c r="J45" s="3">
        <v>792.99</v>
      </c>
      <c r="K45" s="3">
        <v>759.37</v>
      </c>
      <c r="L45" s="3">
        <v>843.43</v>
      </c>
      <c r="M45" s="3">
        <v>742.56</v>
      </c>
      <c r="N45" s="3">
        <v>756.57</v>
      </c>
      <c r="O45" s="3">
        <v>891.07</v>
      </c>
      <c r="P45" s="3">
        <v>720.14</v>
      </c>
      <c r="Q45" s="3">
        <v>860.25</v>
      </c>
      <c r="R45" s="3">
        <v>756.57</v>
      </c>
      <c r="S45" s="3">
        <v>658.49</v>
      </c>
      <c r="T45" s="3">
        <f t="shared" si="2"/>
        <v>9322.5999999999985</v>
      </c>
    </row>
    <row r="46" spans="1:20">
      <c r="A46" t="s">
        <v>151</v>
      </c>
      <c r="B46" t="s">
        <v>151</v>
      </c>
      <c r="C46" t="s">
        <v>152</v>
      </c>
      <c r="D46" t="s">
        <v>201</v>
      </c>
      <c r="E46" s="3" t="s">
        <v>153</v>
      </c>
      <c r="F46" s="3" t="s">
        <v>154</v>
      </c>
      <c r="G46" s="3" t="s">
        <v>238</v>
      </c>
      <c r="H46" s="3">
        <v>57474</v>
      </c>
      <c r="I46" s="3">
        <v>49318.91</v>
      </c>
      <c r="J46" s="3">
        <v>54949.8</v>
      </c>
      <c r="K46" s="3">
        <v>52619.78</v>
      </c>
      <c r="L46" s="3">
        <v>58444.85</v>
      </c>
      <c r="M46" s="3">
        <v>51454.76</v>
      </c>
      <c r="N46" s="3">
        <v>52425.61</v>
      </c>
      <c r="O46" s="3">
        <v>61745.72</v>
      </c>
      <c r="P46" s="3">
        <v>49901.41</v>
      </c>
      <c r="Q46" s="3">
        <v>59609.86</v>
      </c>
      <c r="R46" s="3">
        <v>52425.61</v>
      </c>
      <c r="S46" s="3">
        <v>45629.7</v>
      </c>
      <c r="T46" s="3">
        <f t="shared" si="2"/>
        <v>646000.01</v>
      </c>
    </row>
    <row r="47" spans="1:20">
      <c r="A47" t="s">
        <v>151</v>
      </c>
      <c r="B47" t="s">
        <v>151</v>
      </c>
      <c r="C47" t="s">
        <v>152</v>
      </c>
      <c r="D47" t="s">
        <v>201</v>
      </c>
      <c r="E47" s="3" t="s">
        <v>159</v>
      </c>
      <c r="F47" s="3" t="s">
        <v>154</v>
      </c>
      <c r="G47" s="3" t="s">
        <v>238</v>
      </c>
      <c r="H47" s="3">
        <v>10676.28</v>
      </c>
      <c r="I47" s="3">
        <v>9161.41</v>
      </c>
      <c r="J47" s="3">
        <v>10207.39</v>
      </c>
      <c r="K47" s="3">
        <v>9774.57</v>
      </c>
      <c r="L47" s="3">
        <v>10856.63</v>
      </c>
      <c r="M47" s="3">
        <v>9558.16</v>
      </c>
      <c r="N47" s="3">
        <v>9738.5</v>
      </c>
      <c r="O47" s="3">
        <v>11469.79</v>
      </c>
      <c r="P47" s="3">
        <v>9269.61</v>
      </c>
      <c r="Q47" s="3">
        <v>11073.04</v>
      </c>
      <c r="R47" s="3">
        <v>9738.5</v>
      </c>
      <c r="S47" s="3">
        <v>8476.1</v>
      </c>
      <c r="T47" s="3">
        <f t="shared" si="2"/>
        <v>119999.98000000001</v>
      </c>
    </row>
    <row r="48" spans="1:20">
      <c r="A48" t="s">
        <v>151</v>
      </c>
      <c r="B48" t="s">
        <v>151</v>
      </c>
      <c r="C48" t="s">
        <v>152</v>
      </c>
      <c r="D48" t="s">
        <v>202</v>
      </c>
      <c r="E48" s="3" t="s">
        <v>176</v>
      </c>
      <c r="F48" s="3" t="s">
        <v>204</v>
      </c>
      <c r="G48" s="3" t="s">
        <v>238</v>
      </c>
      <c r="H48" s="3">
        <v>-10480.950000000001</v>
      </c>
      <c r="I48" s="3">
        <v>-29094.26</v>
      </c>
      <c r="J48" s="3">
        <v>-21165.119999999999</v>
      </c>
      <c r="K48" s="3">
        <v>-14892.35</v>
      </c>
      <c r="L48" s="3">
        <v>-7095.27</v>
      </c>
      <c r="M48" s="3">
        <v>-11080.97</v>
      </c>
      <c r="N48" s="3">
        <v>-8573.2900000000009</v>
      </c>
      <c r="O48" s="3">
        <v>-12642.36</v>
      </c>
      <c r="P48" s="3">
        <v>-12640.45</v>
      </c>
      <c r="Q48" s="3">
        <v>-12639.65</v>
      </c>
      <c r="R48" s="3">
        <v>-12642.29</v>
      </c>
      <c r="S48" s="3">
        <v>-12640.05</v>
      </c>
      <c r="T48" s="3">
        <f t="shared" si="2"/>
        <v>-165587.01</v>
      </c>
    </row>
    <row r="49" spans="1:20">
      <c r="A49" t="s">
        <v>151</v>
      </c>
      <c r="B49" t="s">
        <v>151</v>
      </c>
      <c r="C49" t="s">
        <v>152</v>
      </c>
      <c r="D49" t="s">
        <v>160</v>
      </c>
      <c r="E49" s="3" t="s">
        <v>153</v>
      </c>
      <c r="F49" s="3" t="s">
        <v>154</v>
      </c>
      <c r="G49" s="3" t="s">
        <v>238</v>
      </c>
      <c r="H49" s="3">
        <v>3559.57</v>
      </c>
      <c r="I49" s="3">
        <v>2669.68</v>
      </c>
      <c r="J49" s="3">
        <v>2546.9299999999998</v>
      </c>
      <c r="K49" s="3">
        <v>2240.0700000000002</v>
      </c>
      <c r="L49" s="3">
        <v>2332.13</v>
      </c>
      <c r="M49" s="3">
        <v>2546.9299999999998</v>
      </c>
      <c r="N49" s="3">
        <v>2608.3000000000002</v>
      </c>
      <c r="O49" s="3">
        <v>3068.59</v>
      </c>
      <c r="P49" s="3">
        <v>3713</v>
      </c>
      <c r="Q49" s="3">
        <v>2454.87</v>
      </c>
      <c r="R49" s="3">
        <v>3007.22</v>
      </c>
      <c r="S49" s="3">
        <v>3252.71</v>
      </c>
      <c r="T49" s="3">
        <f t="shared" si="2"/>
        <v>34000</v>
      </c>
    </row>
    <row r="50" spans="1:20">
      <c r="A50" t="s">
        <v>151</v>
      </c>
      <c r="B50" t="s">
        <v>151</v>
      </c>
      <c r="C50" t="s">
        <v>152</v>
      </c>
      <c r="D50" t="s">
        <v>160</v>
      </c>
      <c r="E50" s="3" t="s">
        <v>159</v>
      </c>
      <c r="F50" s="3" t="s">
        <v>154</v>
      </c>
      <c r="G50" s="3" t="s">
        <v>238</v>
      </c>
      <c r="H50" s="3">
        <v>1675.09</v>
      </c>
      <c r="I50" s="3">
        <v>1256.32</v>
      </c>
      <c r="J50" s="3">
        <v>1198.56</v>
      </c>
      <c r="K50" s="3">
        <v>1054.1500000000001</v>
      </c>
      <c r="L50" s="3">
        <v>1097.47</v>
      </c>
      <c r="M50" s="3">
        <v>1198.56</v>
      </c>
      <c r="N50" s="3">
        <v>1227.44</v>
      </c>
      <c r="O50" s="3">
        <v>1444.04</v>
      </c>
      <c r="P50" s="3">
        <v>1747.29</v>
      </c>
      <c r="Q50" s="3">
        <v>1155.23</v>
      </c>
      <c r="R50" s="3">
        <v>1415.16</v>
      </c>
      <c r="S50" s="3">
        <v>1530.69</v>
      </c>
      <c r="T50" s="3">
        <f t="shared" si="2"/>
        <v>16000.000000000002</v>
      </c>
    </row>
    <row r="51" spans="1:20">
      <c r="A51" t="s">
        <v>151</v>
      </c>
      <c r="B51" t="s">
        <v>151</v>
      </c>
      <c r="C51" t="s">
        <v>152</v>
      </c>
      <c r="D51" t="s">
        <v>162</v>
      </c>
      <c r="E51" s="3" t="s">
        <v>153</v>
      </c>
      <c r="F51" s="3" t="s">
        <v>154</v>
      </c>
      <c r="G51" s="3" t="s">
        <v>238</v>
      </c>
      <c r="H51" s="3">
        <v>317.23</v>
      </c>
      <c r="I51" s="3">
        <v>237.92</v>
      </c>
      <c r="J51" s="3">
        <v>226.98</v>
      </c>
      <c r="K51" s="3">
        <v>199.64</v>
      </c>
      <c r="L51" s="3">
        <v>207.84</v>
      </c>
      <c r="M51" s="3">
        <v>226.98</v>
      </c>
      <c r="N51" s="3">
        <v>232.45</v>
      </c>
      <c r="O51" s="3">
        <v>273.47000000000003</v>
      </c>
      <c r="P51" s="3">
        <v>330.9</v>
      </c>
      <c r="Q51" s="3">
        <v>218.78</v>
      </c>
      <c r="R51" s="3">
        <v>268</v>
      </c>
      <c r="S51" s="3">
        <v>289.88</v>
      </c>
      <c r="T51" s="3">
        <f t="shared" si="2"/>
        <v>3030.07</v>
      </c>
    </row>
    <row r="52" spans="1:20">
      <c r="A52" t="s">
        <v>151</v>
      </c>
      <c r="B52" t="s">
        <v>151</v>
      </c>
      <c r="C52" t="s">
        <v>152</v>
      </c>
      <c r="D52" t="s">
        <v>162</v>
      </c>
      <c r="E52" s="3" t="s">
        <v>159</v>
      </c>
      <c r="F52" s="3" t="s">
        <v>154</v>
      </c>
      <c r="G52" s="3" t="s">
        <v>238</v>
      </c>
      <c r="H52" s="3">
        <v>149.28</v>
      </c>
      <c r="I52" s="3">
        <v>111.96</v>
      </c>
      <c r="J52" s="3">
        <v>106.82</v>
      </c>
      <c r="K52" s="3">
        <v>93.95</v>
      </c>
      <c r="L52" s="3">
        <v>97.81</v>
      </c>
      <c r="M52" s="3">
        <v>106.82</v>
      </c>
      <c r="N52" s="3">
        <v>109.39</v>
      </c>
      <c r="O52" s="3">
        <v>128.69</v>
      </c>
      <c r="P52" s="3">
        <v>155.72</v>
      </c>
      <c r="Q52" s="3">
        <v>102.95</v>
      </c>
      <c r="R52" s="3">
        <v>126.12</v>
      </c>
      <c r="S52" s="3">
        <v>136.41999999999999</v>
      </c>
      <c r="T52" s="3">
        <f t="shared" si="2"/>
        <v>1425.9299999999998</v>
      </c>
    </row>
    <row r="53" spans="1:20">
      <c r="A53" t="s">
        <v>151</v>
      </c>
      <c r="B53" t="s">
        <v>151</v>
      </c>
      <c r="C53" t="s">
        <v>182</v>
      </c>
      <c r="D53" t="s">
        <v>202</v>
      </c>
      <c r="E53" s="3" t="s">
        <v>176</v>
      </c>
      <c r="F53" s="3" t="s">
        <v>205</v>
      </c>
      <c r="G53" s="3" t="s">
        <v>238</v>
      </c>
      <c r="H53" s="3">
        <v>26.54</v>
      </c>
      <c r="I53" s="3">
        <v>-1720.82</v>
      </c>
      <c r="J53" s="3">
        <v>-0.08</v>
      </c>
      <c r="K53" s="3">
        <v>-4588.18</v>
      </c>
      <c r="L53" s="3">
        <v>-289.92</v>
      </c>
      <c r="M53" s="3">
        <v>-15.23</v>
      </c>
      <c r="N53" s="3">
        <v>-256.69</v>
      </c>
      <c r="O53" s="3">
        <v>-0.28000000000000003</v>
      </c>
      <c r="P53" s="3">
        <v>-0.3</v>
      </c>
      <c r="Q53" s="3">
        <v>0.13</v>
      </c>
      <c r="R53" s="3">
        <v>0.31</v>
      </c>
      <c r="S53" s="3">
        <v>-0.49</v>
      </c>
      <c r="T53" s="3">
        <f t="shared" si="2"/>
        <v>-6845.0099999999984</v>
      </c>
    </row>
    <row r="54" spans="1:20">
      <c r="A54" t="s">
        <v>151</v>
      </c>
      <c r="B54" t="s">
        <v>151</v>
      </c>
      <c r="C54" t="s">
        <v>206</v>
      </c>
      <c r="D54" t="s">
        <v>202</v>
      </c>
      <c r="E54" s="3" t="s">
        <v>176</v>
      </c>
      <c r="F54" s="3" t="s">
        <v>207</v>
      </c>
      <c r="G54" s="3" t="s">
        <v>238</v>
      </c>
      <c r="H54" s="3">
        <v>27645</v>
      </c>
      <c r="I54" s="3">
        <v>16929</v>
      </c>
      <c r="J54" s="3">
        <v>26328</v>
      </c>
      <c r="K54" s="3">
        <v>21264</v>
      </c>
      <c r="L54" s="3">
        <v>32600</v>
      </c>
      <c r="M54" s="3">
        <v>26306</v>
      </c>
      <c r="N54" s="3">
        <v>12291</v>
      </c>
      <c r="O54" s="3">
        <v>24863</v>
      </c>
      <c r="P54" s="3">
        <v>24859</v>
      </c>
      <c r="Q54" s="3">
        <v>24859</v>
      </c>
      <c r="R54" s="3">
        <v>24863</v>
      </c>
      <c r="S54" s="3">
        <v>24858</v>
      </c>
      <c r="T54" s="3">
        <f t="shared" si="2"/>
        <v>287665</v>
      </c>
    </row>
    <row r="55" spans="1:20">
      <c r="A55" t="s">
        <v>151</v>
      </c>
      <c r="B55" t="s">
        <v>151</v>
      </c>
      <c r="C55" t="s">
        <v>208</v>
      </c>
      <c r="D55" t="s">
        <v>202</v>
      </c>
      <c r="E55" s="3" t="s">
        <v>176</v>
      </c>
      <c r="F55" s="3" t="s">
        <v>209</v>
      </c>
      <c r="G55" s="3" t="s">
        <v>238</v>
      </c>
      <c r="H55" s="3">
        <v>-3546.02</v>
      </c>
      <c r="I55" s="3">
        <v>-5635.08</v>
      </c>
      <c r="J55" s="3">
        <v>-10522.94</v>
      </c>
      <c r="K55" s="3">
        <v>-7520.1</v>
      </c>
      <c r="L55" s="3">
        <v>-7208.2</v>
      </c>
      <c r="M55" s="3">
        <v>-6340.69</v>
      </c>
      <c r="N55" s="3">
        <v>-3307.87</v>
      </c>
      <c r="O55" s="3">
        <v>-6321.22</v>
      </c>
      <c r="P55" s="3">
        <v>-6319.79</v>
      </c>
      <c r="Q55" s="3">
        <v>-6319.62</v>
      </c>
      <c r="R55" s="3">
        <v>-6320.87</v>
      </c>
      <c r="S55" s="3">
        <v>-6319.59</v>
      </c>
      <c r="T55" s="3">
        <f t="shared" si="2"/>
        <v>-75681.990000000005</v>
      </c>
    </row>
    <row r="56" spans="1:20">
      <c r="A56" t="s">
        <v>155</v>
      </c>
      <c r="B56" t="s">
        <v>178</v>
      </c>
      <c r="C56" t="s">
        <v>152</v>
      </c>
      <c r="D56" t="s">
        <v>180</v>
      </c>
      <c r="E56" s="3" t="s">
        <v>156</v>
      </c>
      <c r="F56" s="3" t="s">
        <v>154</v>
      </c>
      <c r="G56" s="3" t="s">
        <v>238</v>
      </c>
      <c r="H56" s="3">
        <v>3000</v>
      </c>
      <c r="I56" s="3">
        <v>1000</v>
      </c>
      <c r="J56" s="3">
        <v>2000</v>
      </c>
      <c r="K56" s="3">
        <v>1000</v>
      </c>
      <c r="L56" s="3">
        <v>1000</v>
      </c>
      <c r="M56" s="3">
        <v>0</v>
      </c>
      <c r="N56" s="3">
        <v>1000</v>
      </c>
      <c r="O56" s="3">
        <v>0</v>
      </c>
      <c r="P56" s="3">
        <v>1000</v>
      </c>
      <c r="Q56" s="3">
        <v>1000</v>
      </c>
      <c r="R56" s="3">
        <v>1000</v>
      </c>
      <c r="S56" s="3">
        <v>1000</v>
      </c>
      <c r="T56" s="3">
        <f t="shared" si="2"/>
        <v>13000</v>
      </c>
    </row>
    <row r="57" spans="1:20">
      <c r="A57" t="s">
        <v>155</v>
      </c>
      <c r="B57" t="s">
        <v>178</v>
      </c>
      <c r="C57" t="s">
        <v>152</v>
      </c>
      <c r="D57" t="s">
        <v>148</v>
      </c>
      <c r="E57" s="3" t="s">
        <v>156</v>
      </c>
      <c r="F57" s="3" t="s">
        <v>154</v>
      </c>
      <c r="G57" s="3" t="s">
        <v>238</v>
      </c>
      <c r="H57" s="3">
        <v>3000</v>
      </c>
      <c r="I57" s="3">
        <v>3000</v>
      </c>
      <c r="J57" s="3">
        <v>1000</v>
      </c>
      <c r="K57" s="3">
        <v>3000</v>
      </c>
      <c r="L57" s="3">
        <v>3000</v>
      </c>
      <c r="M57" s="3">
        <v>3000</v>
      </c>
      <c r="N57" s="3">
        <v>1000</v>
      </c>
      <c r="O57" s="3">
        <v>3000</v>
      </c>
      <c r="P57" s="3">
        <v>3000</v>
      </c>
      <c r="Q57" s="3">
        <v>1000</v>
      </c>
      <c r="R57" s="3">
        <v>3000</v>
      </c>
      <c r="S57" s="3">
        <v>3000</v>
      </c>
      <c r="T57" s="3">
        <f t="shared" si="2"/>
        <v>30000</v>
      </c>
    </row>
    <row r="58" spans="1:20">
      <c r="A58" t="s">
        <v>155</v>
      </c>
      <c r="B58" t="s">
        <v>178</v>
      </c>
      <c r="C58" t="s">
        <v>152</v>
      </c>
      <c r="D58" t="s">
        <v>179</v>
      </c>
      <c r="E58" s="3" t="s">
        <v>156</v>
      </c>
      <c r="F58" s="3" t="s">
        <v>154</v>
      </c>
      <c r="G58" s="3" t="s">
        <v>238</v>
      </c>
      <c r="H58" s="3">
        <v>1000</v>
      </c>
      <c r="I58" s="3">
        <v>0</v>
      </c>
      <c r="J58" s="3">
        <v>1000</v>
      </c>
      <c r="K58" s="3">
        <v>0</v>
      </c>
      <c r="L58" s="3">
        <v>0</v>
      </c>
      <c r="M58" s="3">
        <v>1000</v>
      </c>
      <c r="N58" s="3">
        <v>1000</v>
      </c>
      <c r="O58" s="3">
        <v>0</v>
      </c>
      <c r="P58" s="3">
        <v>0</v>
      </c>
      <c r="Q58" s="3">
        <v>1000</v>
      </c>
      <c r="R58" s="3">
        <v>0</v>
      </c>
      <c r="S58" s="3">
        <v>0</v>
      </c>
      <c r="T58" s="3">
        <f t="shared" si="2"/>
        <v>5000</v>
      </c>
    </row>
    <row r="59" spans="1:20">
      <c r="A59" t="s">
        <v>155</v>
      </c>
      <c r="B59" t="s">
        <v>178</v>
      </c>
      <c r="C59" t="s">
        <v>152</v>
      </c>
      <c r="D59" t="s">
        <v>161</v>
      </c>
      <c r="E59" s="3" t="s">
        <v>156</v>
      </c>
      <c r="F59" s="3" t="s">
        <v>154</v>
      </c>
      <c r="G59" s="3" t="s">
        <v>238</v>
      </c>
      <c r="H59" s="3">
        <v>358</v>
      </c>
      <c r="I59" s="3">
        <v>119</v>
      </c>
      <c r="J59" s="3">
        <v>239</v>
      </c>
      <c r="K59" s="3">
        <v>119</v>
      </c>
      <c r="L59" s="3">
        <v>119</v>
      </c>
      <c r="M59" s="3">
        <v>0</v>
      </c>
      <c r="N59" s="3">
        <v>119</v>
      </c>
      <c r="O59" s="3">
        <v>0</v>
      </c>
      <c r="P59" s="3">
        <v>119</v>
      </c>
      <c r="Q59" s="3">
        <v>119</v>
      </c>
      <c r="R59" s="3">
        <v>119</v>
      </c>
      <c r="S59" s="3">
        <v>119</v>
      </c>
      <c r="T59" s="3">
        <f t="shared" si="2"/>
        <v>1549</v>
      </c>
    </row>
    <row r="60" spans="1:20">
      <c r="A60" t="s">
        <v>155</v>
      </c>
      <c r="B60" t="s">
        <v>178</v>
      </c>
      <c r="C60" t="s">
        <v>152</v>
      </c>
      <c r="D60" t="s">
        <v>181</v>
      </c>
      <c r="E60" s="3" t="s">
        <v>156</v>
      </c>
      <c r="F60" s="3" t="s">
        <v>154</v>
      </c>
      <c r="G60" s="3" t="s">
        <v>238</v>
      </c>
      <c r="H60" s="3">
        <v>799.08</v>
      </c>
      <c r="I60" s="3">
        <v>266.36</v>
      </c>
      <c r="J60" s="3">
        <v>532.72</v>
      </c>
      <c r="K60" s="3">
        <v>266.36</v>
      </c>
      <c r="L60" s="3">
        <v>266.36</v>
      </c>
      <c r="M60" s="3">
        <v>0</v>
      </c>
      <c r="N60" s="3">
        <v>266.36</v>
      </c>
      <c r="O60" s="3">
        <v>0</v>
      </c>
      <c r="P60" s="3">
        <v>266.36</v>
      </c>
      <c r="Q60" s="3">
        <v>266.36</v>
      </c>
      <c r="R60" s="3">
        <v>266.36</v>
      </c>
      <c r="S60" s="3">
        <v>266.36</v>
      </c>
      <c r="T60" s="3">
        <f t="shared" si="2"/>
        <v>3462.6800000000007</v>
      </c>
    </row>
    <row r="61" spans="1:20">
      <c r="A61" t="s">
        <v>157</v>
      </c>
      <c r="B61" t="s">
        <v>210</v>
      </c>
      <c r="C61" t="s">
        <v>152</v>
      </c>
      <c r="D61" t="s">
        <v>180</v>
      </c>
      <c r="E61" s="3" t="s">
        <v>158</v>
      </c>
      <c r="F61" s="3" t="s">
        <v>154</v>
      </c>
      <c r="G61" s="3" t="s">
        <v>238</v>
      </c>
      <c r="H61" s="3">
        <v>1000</v>
      </c>
      <c r="I61" s="3">
        <v>1000</v>
      </c>
      <c r="J61" s="3">
        <v>1000</v>
      </c>
      <c r="K61" s="3">
        <v>1000</v>
      </c>
      <c r="L61" s="3">
        <v>1000</v>
      </c>
      <c r="M61" s="3">
        <v>1000</v>
      </c>
      <c r="N61" s="3">
        <v>1000</v>
      </c>
      <c r="O61" s="3">
        <v>1000</v>
      </c>
      <c r="P61" s="3">
        <v>1000</v>
      </c>
      <c r="Q61" s="3">
        <v>1000</v>
      </c>
      <c r="R61" s="3">
        <v>1000</v>
      </c>
      <c r="S61" s="3">
        <v>1000</v>
      </c>
      <c r="T61" s="3">
        <f t="shared" si="2"/>
        <v>12000</v>
      </c>
    </row>
    <row r="62" spans="1:20">
      <c r="A62" t="s">
        <v>157</v>
      </c>
      <c r="B62" t="s">
        <v>210</v>
      </c>
      <c r="C62" t="s">
        <v>152</v>
      </c>
      <c r="D62" t="s">
        <v>179</v>
      </c>
      <c r="E62" s="3" t="s">
        <v>158</v>
      </c>
      <c r="F62" s="3" t="s">
        <v>154</v>
      </c>
      <c r="G62" s="3" t="s">
        <v>238</v>
      </c>
      <c r="H62" s="3">
        <v>0</v>
      </c>
      <c r="I62" s="3">
        <v>0</v>
      </c>
      <c r="J62" s="3">
        <v>1000</v>
      </c>
      <c r="K62" s="3">
        <v>0</v>
      </c>
      <c r="L62" s="3">
        <v>0</v>
      </c>
      <c r="M62" s="3">
        <v>1000</v>
      </c>
      <c r="N62" s="3">
        <v>0</v>
      </c>
      <c r="O62" s="3">
        <v>0</v>
      </c>
      <c r="P62" s="3">
        <v>1000</v>
      </c>
      <c r="Q62" s="3">
        <v>0</v>
      </c>
      <c r="R62" s="3">
        <v>0</v>
      </c>
      <c r="S62" s="3">
        <v>1000</v>
      </c>
      <c r="T62" s="3">
        <f t="shared" si="2"/>
        <v>4000</v>
      </c>
    </row>
    <row r="63" spans="1:20">
      <c r="A63" t="s">
        <v>157</v>
      </c>
      <c r="B63" t="s">
        <v>210</v>
      </c>
      <c r="C63" t="s">
        <v>152</v>
      </c>
      <c r="D63" t="s">
        <v>161</v>
      </c>
      <c r="E63" s="3" t="s">
        <v>158</v>
      </c>
      <c r="F63" s="3" t="s">
        <v>154</v>
      </c>
      <c r="G63" s="3" t="s">
        <v>238</v>
      </c>
      <c r="H63" s="3">
        <v>126.86</v>
      </c>
      <c r="I63" s="3">
        <v>126.86</v>
      </c>
      <c r="J63" s="3">
        <v>126.86</v>
      </c>
      <c r="K63" s="3">
        <v>126.86</v>
      </c>
      <c r="L63" s="3">
        <v>126.86</v>
      </c>
      <c r="M63" s="3">
        <v>126.86</v>
      </c>
      <c r="N63" s="3">
        <v>126.86</v>
      </c>
      <c r="O63" s="3">
        <v>126.86</v>
      </c>
      <c r="P63" s="3">
        <v>126.86</v>
      </c>
      <c r="Q63" s="3">
        <v>126.86</v>
      </c>
      <c r="R63" s="3">
        <v>126.86</v>
      </c>
      <c r="S63" s="3">
        <v>126.86</v>
      </c>
      <c r="T63" s="3">
        <f t="shared" si="2"/>
        <v>1522.3199999999997</v>
      </c>
    </row>
    <row r="64" spans="1:20">
      <c r="A64" t="s">
        <v>157</v>
      </c>
      <c r="B64" t="s">
        <v>210</v>
      </c>
      <c r="C64" t="s">
        <v>152</v>
      </c>
      <c r="D64" t="s">
        <v>181</v>
      </c>
      <c r="E64" s="3" t="s">
        <v>158</v>
      </c>
      <c r="F64" s="3" t="s">
        <v>154</v>
      </c>
      <c r="G64" s="3" t="s">
        <v>238</v>
      </c>
      <c r="H64" s="3">
        <v>266.36</v>
      </c>
      <c r="I64" s="3">
        <v>266.36</v>
      </c>
      <c r="J64" s="3">
        <v>266.36</v>
      </c>
      <c r="K64" s="3">
        <v>266.36</v>
      </c>
      <c r="L64" s="3">
        <v>266.36</v>
      </c>
      <c r="M64" s="3">
        <v>266.36</v>
      </c>
      <c r="N64" s="3">
        <v>266.36</v>
      </c>
      <c r="O64" s="3">
        <v>266.36</v>
      </c>
      <c r="P64" s="3">
        <v>266.36</v>
      </c>
      <c r="Q64" s="3">
        <v>266.36</v>
      </c>
      <c r="R64" s="3">
        <v>266.36</v>
      </c>
      <c r="S64" s="3">
        <v>266.36</v>
      </c>
      <c r="T64" s="3">
        <f t="shared" si="2"/>
        <v>3196.3200000000011</v>
      </c>
    </row>
    <row r="65" spans="1:20">
      <c r="A65" t="s">
        <v>211</v>
      </c>
      <c r="B65" t="s">
        <v>211</v>
      </c>
      <c r="C65" t="s">
        <v>212</v>
      </c>
      <c r="D65" t="s">
        <v>202</v>
      </c>
      <c r="E65" s="3" t="s">
        <v>213</v>
      </c>
      <c r="F65" s="3" t="s">
        <v>214</v>
      </c>
      <c r="G65" s="3" t="s">
        <v>238</v>
      </c>
      <c r="H65" s="29">
        <v>291728.99</v>
      </c>
      <c r="I65" s="29">
        <v>291728.99</v>
      </c>
      <c r="J65" s="29">
        <v>291728.99</v>
      </c>
      <c r="K65" s="29">
        <v>291728.99</v>
      </c>
      <c r="L65" s="29">
        <v>291728.99</v>
      </c>
      <c r="M65" s="29">
        <v>291728.99</v>
      </c>
      <c r="N65" s="29">
        <v>291728.99</v>
      </c>
      <c r="O65" s="29">
        <v>291728.99</v>
      </c>
      <c r="P65" s="29">
        <v>291728.99</v>
      </c>
      <c r="Q65" s="29">
        <v>291728.99</v>
      </c>
      <c r="R65" s="29">
        <v>291728.99</v>
      </c>
      <c r="S65" s="29">
        <v>291728.99</v>
      </c>
      <c r="T65" s="29">
        <f t="shared" si="2"/>
        <v>3500747.8800000008</v>
      </c>
    </row>
    <row r="66" spans="1:20">
      <c r="C66" s="2"/>
      <c r="D66" s="2" t="s">
        <v>239</v>
      </c>
      <c r="E66" s="26"/>
      <c r="F66" s="26"/>
      <c r="G66" s="26"/>
      <c r="H66" s="26">
        <f t="shared" ref="H66:T66" si="3">SUM(H35:H65)</f>
        <v>433939.63999999996</v>
      </c>
      <c r="I66" s="26">
        <f t="shared" si="3"/>
        <v>358288.83999999997</v>
      </c>
      <c r="J66" s="26">
        <f t="shared" si="3"/>
        <v>392624.39</v>
      </c>
      <c r="K66" s="26">
        <f t="shared" si="3"/>
        <v>333938.59000000003</v>
      </c>
      <c r="L66" s="26">
        <f t="shared" si="3"/>
        <v>433065.33999999997</v>
      </c>
      <c r="M66" s="26">
        <f t="shared" si="3"/>
        <v>406023.41</v>
      </c>
      <c r="N66" s="26">
        <f t="shared" si="3"/>
        <v>397006.22</v>
      </c>
      <c r="O66" s="26">
        <f t="shared" si="3"/>
        <v>424567.01999999996</v>
      </c>
      <c r="P66" s="26">
        <f t="shared" si="3"/>
        <v>413838.97</v>
      </c>
      <c r="Q66" s="26">
        <f t="shared" si="3"/>
        <v>444309.14999999997</v>
      </c>
      <c r="R66" s="26">
        <f t="shared" si="3"/>
        <v>406230.79</v>
      </c>
      <c r="S66" s="26">
        <f t="shared" si="3"/>
        <v>406258.18</v>
      </c>
      <c r="T66" s="26">
        <f t="shared" si="3"/>
        <v>4850090.540000001</v>
      </c>
    </row>
    <row r="68" spans="1:20">
      <c r="A68" t="s">
        <v>146</v>
      </c>
      <c r="B68" t="s">
        <v>146</v>
      </c>
      <c r="C68" t="s">
        <v>147</v>
      </c>
      <c r="D68" t="s">
        <v>201</v>
      </c>
      <c r="E68" s="3" t="s">
        <v>149</v>
      </c>
      <c r="F68" s="3" t="s">
        <v>150</v>
      </c>
      <c r="G68" s="3" t="s">
        <v>240</v>
      </c>
      <c r="H68" s="3">
        <v>6000</v>
      </c>
      <c r="I68" s="3">
        <v>6000</v>
      </c>
      <c r="J68" s="3">
        <v>8000</v>
      </c>
      <c r="K68" s="3">
        <v>11000</v>
      </c>
      <c r="L68" s="3">
        <v>12000</v>
      </c>
      <c r="M68" s="3">
        <v>13000</v>
      </c>
      <c r="N68" s="3">
        <v>13000</v>
      </c>
      <c r="O68" s="3">
        <v>16000</v>
      </c>
      <c r="P68" s="3">
        <v>11000</v>
      </c>
      <c r="Q68" s="3">
        <v>11000</v>
      </c>
      <c r="R68" s="3">
        <v>11000</v>
      </c>
      <c r="S68" s="3">
        <v>10000</v>
      </c>
      <c r="T68" s="3">
        <f>SUM(H68:S68)</f>
        <v>128000</v>
      </c>
    </row>
    <row r="69" spans="1:20">
      <c r="A69" t="s">
        <v>151</v>
      </c>
      <c r="B69" t="s">
        <v>151</v>
      </c>
      <c r="C69" t="s">
        <v>147</v>
      </c>
      <c r="D69" t="s">
        <v>202</v>
      </c>
      <c r="E69" s="3" t="s">
        <v>176</v>
      </c>
      <c r="F69" s="3" t="s">
        <v>203</v>
      </c>
      <c r="G69" s="3" t="s">
        <v>240</v>
      </c>
      <c r="H69" s="3">
        <v>-3068.61</v>
      </c>
      <c r="I69" s="3">
        <v>-1881.7</v>
      </c>
      <c r="J69" s="3">
        <v>-536.45000000000005</v>
      </c>
      <c r="K69" s="3">
        <v>-2332.19</v>
      </c>
      <c r="L69" s="3">
        <v>-1806.6</v>
      </c>
      <c r="M69" s="3">
        <v>-166.66</v>
      </c>
      <c r="N69" s="3">
        <v>-463.85</v>
      </c>
      <c r="O69" s="3">
        <v>-1283.6099999999999</v>
      </c>
      <c r="P69" s="3">
        <v>-1284.78</v>
      </c>
      <c r="Q69" s="3">
        <v>-1284.5999999999999</v>
      </c>
      <c r="R69" s="3">
        <v>-1284.33</v>
      </c>
      <c r="S69" s="3">
        <v>-1284.6300000000001</v>
      </c>
      <c r="T69" s="3">
        <f t="shared" ref="T69:T98" si="4">SUM(H69:S69)</f>
        <v>-16678.010000000002</v>
      </c>
    </row>
    <row r="70" spans="1:20">
      <c r="A70" t="s">
        <v>151</v>
      </c>
      <c r="B70" t="s">
        <v>151</v>
      </c>
      <c r="C70" t="s">
        <v>175</v>
      </c>
      <c r="D70" t="s">
        <v>202</v>
      </c>
      <c r="E70" s="3" t="s">
        <v>176</v>
      </c>
      <c r="F70" s="3" t="s">
        <v>177</v>
      </c>
      <c r="G70" s="3" t="s">
        <v>240</v>
      </c>
      <c r="H70" s="3">
        <v>6701</v>
      </c>
      <c r="I70" s="3">
        <v>-17562</v>
      </c>
      <c r="J70" s="3">
        <v>-11695</v>
      </c>
      <c r="K70" s="3">
        <v>-66704</v>
      </c>
      <c r="L70" s="3">
        <v>-1498</v>
      </c>
      <c r="M70" s="3">
        <v>-10861</v>
      </c>
      <c r="N70" s="3">
        <v>-10090</v>
      </c>
      <c r="O70" s="3">
        <v>-6507</v>
      </c>
      <c r="P70" s="3">
        <v>3471</v>
      </c>
      <c r="Q70" s="3">
        <v>21695</v>
      </c>
      <c r="R70" s="3">
        <v>-6507</v>
      </c>
      <c r="S70" s="3">
        <v>6509</v>
      </c>
      <c r="T70" s="3">
        <f t="shared" si="4"/>
        <v>-93048</v>
      </c>
    </row>
    <row r="71" spans="1:20">
      <c r="A71" t="s">
        <v>151</v>
      </c>
      <c r="B71" t="s">
        <v>151</v>
      </c>
      <c r="C71" t="s">
        <v>152</v>
      </c>
      <c r="D71" t="s">
        <v>180</v>
      </c>
      <c r="E71" s="3" t="s">
        <v>153</v>
      </c>
      <c r="F71" s="3" t="s">
        <v>154</v>
      </c>
      <c r="G71" s="3" t="s">
        <v>240</v>
      </c>
      <c r="H71" s="3">
        <v>14953.08</v>
      </c>
      <c r="I71" s="3">
        <v>12727.06</v>
      </c>
      <c r="J71" s="3">
        <v>13501.33</v>
      </c>
      <c r="K71" s="3">
        <v>14130.42</v>
      </c>
      <c r="L71" s="3">
        <v>14807.91</v>
      </c>
      <c r="M71" s="3">
        <v>12291.53</v>
      </c>
      <c r="N71" s="3">
        <v>14033.64</v>
      </c>
      <c r="O71" s="3">
        <v>14953.08</v>
      </c>
      <c r="P71" s="3">
        <v>13452.94</v>
      </c>
      <c r="Q71" s="3">
        <v>14807.91</v>
      </c>
      <c r="R71" s="3">
        <v>12339.92</v>
      </c>
      <c r="S71" s="3">
        <v>12001.18</v>
      </c>
      <c r="T71" s="3">
        <f t="shared" si="4"/>
        <v>164000</v>
      </c>
    </row>
    <row r="72" spans="1:20">
      <c r="A72" t="s">
        <v>151</v>
      </c>
      <c r="B72" t="s">
        <v>151</v>
      </c>
      <c r="C72" t="s">
        <v>152</v>
      </c>
      <c r="D72" t="s">
        <v>180</v>
      </c>
      <c r="E72" s="3" t="s">
        <v>159</v>
      </c>
      <c r="F72" s="3" t="s">
        <v>154</v>
      </c>
      <c r="G72" s="3" t="s">
        <v>240</v>
      </c>
      <c r="H72" s="3">
        <v>3282.38</v>
      </c>
      <c r="I72" s="3">
        <v>2793.74</v>
      </c>
      <c r="J72" s="3">
        <v>2963.71</v>
      </c>
      <c r="K72" s="3">
        <v>3101.8</v>
      </c>
      <c r="L72" s="3">
        <v>3250.52</v>
      </c>
      <c r="M72" s="3">
        <v>2698.14</v>
      </c>
      <c r="N72" s="3">
        <v>3080.55</v>
      </c>
      <c r="O72" s="3">
        <v>3282.38</v>
      </c>
      <c r="P72" s="3">
        <v>2953.08</v>
      </c>
      <c r="Q72" s="3">
        <v>3250.52</v>
      </c>
      <c r="R72" s="3">
        <v>2708.76</v>
      </c>
      <c r="S72" s="3">
        <v>2634.41</v>
      </c>
      <c r="T72" s="3">
        <f t="shared" si="4"/>
        <v>35999.990000000005</v>
      </c>
    </row>
    <row r="73" spans="1:20">
      <c r="A73" t="s">
        <v>151</v>
      </c>
      <c r="B73" t="s">
        <v>151</v>
      </c>
      <c r="C73" t="s">
        <v>152</v>
      </c>
      <c r="D73" t="s">
        <v>179</v>
      </c>
      <c r="E73" s="3" t="s">
        <v>153</v>
      </c>
      <c r="F73" s="3" t="s">
        <v>154</v>
      </c>
      <c r="G73" s="3" t="s">
        <v>240</v>
      </c>
      <c r="H73" s="3">
        <v>7294.19</v>
      </c>
      <c r="I73" s="3">
        <v>6208.32</v>
      </c>
      <c r="J73" s="3">
        <v>6586.01</v>
      </c>
      <c r="K73" s="3">
        <v>6892.89</v>
      </c>
      <c r="L73" s="3">
        <v>7223.37</v>
      </c>
      <c r="M73" s="3">
        <v>5995.87</v>
      </c>
      <c r="N73" s="3">
        <v>6845.68</v>
      </c>
      <c r="O73" s="3">
        <v>7294.19</v>
      </c>
      <c r="P73" s="3">
        <v>6562.41</v>
      </c>
      <c r="Q73" s="3">
        <v>7223.37</v>
      </c>
      <c r="R73" s="3">
        <v>6019.47</v>
      </c>
      <c r="S73" s="3">
        <v>5854.23</v>
      </c>
      <c r="T73" s="3">
        <f t="shared" si="4"/>
        <v>80000</v>
      </c>
    </row>
    <row r="74" spans="1:20">
      <c r="A74" t="s">
        <v>151</v>
      </c>
      <c r="B74" t="s">
        <v>151</v>
      </c>
      <c r="C74" t="s">
        <v>152</v>
      </c>
      <c r="D74" t="s">
        <v>179</v>
      </c>
      <c r="E74" s="3" t="s">
        <v>159</v>
      </c>
      <c r="F74" s="3" t="s">
        <v>154</v>
      </c>
      <c r="G74" s="3" t="s">
        <v>240</v>
      </c>
      <c r="H74" s="3">
        <v>547.05999999999995</v>
      </c>
      <c r="I74" s="3">
        <v>465.62</v>
      </c>
      <c r="J74" s="3">
        <v>493.95</v>
      </c>
      <c r="K74" s="3">
        <v>516.97</v>
      </c>
      <c r="L74" s="3">
        <v>541.75</v>
      </c>
      <c r="M74" s="3">
        <v>449.69</v>
      </c>
      <c r="N74" s="3">
        <v>513.42999999999995</v>
      </c>
      <c r="O74" s="3">
        <v>547.05999999999995</v>
      </c>
      <c r="P74" s="3">
        <v>492.18</v>
      </c>
      <c r="Q74" s="3">
        <v>541.75</v>
      </c>
      <c r="R74" s="3">
        <v>451.46</v>
      </c>
      <c r="S74" s="3">
        <v>439.07</v>
      </c>
      <c r="T74" s="3">
        <f t="shared" si="4"/>
        <v>5999.99</v>
      </c>
    </row>
    <row r="75" spans="1:20">
      <c r="A75" t="s">
        <v>151</v>
      </c>
      <c r="B75" t="s">
        <v>151</v>
      </c>
      <c r="C75" t="s">
        <v>152</v>
      </c>
      <c r="D75" t="s">
        <v>161</v>
      </c>
      <c r="E75" s="3" t="s">
        <v>153</v>
      </c>
      <c r="F75" s="3" t="s">
        <v>154</v>
      </c>
      <c r="G75" s="3" t="s">
        <v>240</v>
      </c>
      <c r="H75" s="3">
        <v>5055.3599999999997</v>
      </c>
      <c r="I75" s="3">
        <v>4200.38</v>
      </c>
      <c r="J75" s="3">
        <v>4385.7700000000004</v>
      </c>
      <c r="K75" s="3">
        <v>4465.03</v>
      </c>
      <c r="L75" s="3">
        <v>4674.1400000000003</v>
      </c>
      <c r="M75" s="3">
        <v>4048.68</v>
      </c>
      <c r="N75" s="3">
        <v>4547.1000000000004</v>
      </c>
      <c r="O75" s="3">
        <v>4921.99</v>
      </c>
      <c r="P75" s="3">
        <v>4697.72</v>
      </c>
      <c r="Q75" s="3">
        <v>4715.82</v>
      </c>
      <c r="R75" s="3">
        <v>4195.21</v>
      </c>
      <c r="S75" s="3">
        <v>4169.84</v>
      </c>
      <c r="T75" s="3">
        <f t="shared" si="4"/>
        <v>54077.039999999994</v>
      </c>
    </row>
    <row r="76" spans="1:20">
      <c r="A76" t="s">
        <v>151</v>
      </c>
      <c r="B76" t="s">
        <v>151</v>
      </c>
      <c r="C76" t="s">
        <v>152</v>
      </c>
      <c r="D76" t="s">
        <v>161</v>
      </c>
      <c r="E76" s="3" t="s">
        <v>159</v>
      </c>
      <c r="F76" s="3" t="s">
        <v>154</v>
      </c>
      <c r="G76" s="3" t="s">
        <v>240</v>
      </c>
      <c r="H76" s="3">
        <v>1345.43</v>
      </c>
      <c r="I76" s="3">
        <v>1098.33</v>
      </c>
      <c r="J76" s="3">
        <v>1133.08</v>
      </c>
      <c r="K76" s="3">
        <v>1128.69</v>
      </c>
      <c r="L76" s="3">
        <v>1180.54</v>
      </c>
      <c r="M76" s="3">
        <v>1057.1099999999999</v>
      </c>
      <c r="N76" s="3">
        <v>1172.46</v>
      </c>
      <c r="O76" s="3">
        <v>1284.46</v>
      </c>
      <c r="P76" s="3">
        <v>1278.81</v>
      </c>
      <c r="Q76" s="3">
        <v>1199.5899999999999</v>
      </c>
      <c r="R76" s="3">
        <v>1120.96</v>
      </c>
      <c r="S76" s="3">
        <v>1131.24</v>
      </c>
      <c r="T76" s="3">
        <f t="shared" si="4"/>
        <v>14130.699999999999</v>
      </c>
    </row>
    <row r="77" spans="1:20">
      <c r="A77" t="s">
        <v>151</v>
      </c>
      <c r="B77" t="s">
        <v>151</v>
      </c>
      <c r="C77" t="s">
        <v>152</v>
      </c>
      <c r="D77" t="s">
        <v>181</v>
      </c>
      <c r="E77" s="3" t="s">
        <v>153</v>
      </c>
      <c r="F77" s="3" t="s">
        <v>154</v>
      </c>
      <c r="G77" s="3" t="s">
        <v>240</v>
      </c>
      <c r="H77" s="3">
        <v>3982.9</v>
      </c>
      <c r="I77" s="3">
        <v>3389.98</v>
      </c>
      <c r="J77" s="3">
        <v>3596.22</v>
      </c>
      <c r="K77" s="3">
        <v>3763.78</v>
      </c>
      <c r="L77" s="3">
        <v>3944.23</v>
      </c>
      <c r="M77" s="3">
        <v>3273.97</v>
      </c>
      <c r="N77" s="3">
        <v>3738</v>
      </c>
      <c r="O77" s="3">
        <v>3982.9</v>
      </c>
      <c r="P77" s="3">
        <v>3583.33</v>
      </c>
      <c r="Q77" s="3">
        <v>3944.23</v>
      </c>
      <c r="R77" s="3">
        <v>3286.86</v>
      </c>
      <c r="S77" s="3">
        <v>3196.64</v>
      </c>
      <c r="T77" s="3">
        <f t="shared" si="4"/>
        <v>43683.040000000008</v>
      </c>
    </row>
    <row r="78" spans="1:20">
      <c r="A78" t="s">
        <v>151</v>
      </c>
      <c r="B78" t="s">
        <v>151</v>
      </c>
      <c r="C78" t="s">
        <v>152</v>
      </c>
      <c r="D78" t="s">
        <v>181</v>
      </c>
      <c r="E78" s="3" t="s">
        <v>159</v>
      </c>
      <c r="F78" s="3" t="s">
        <v>154</v>
      </c>
      <c r="G78" s="3" t="s">
        <v>240</v>
      </c>
      <c r="H78" s="3">
        <v>874.3</v>
      </c>
      <c r="I78" s="3">
        <v>744.14</v>
      </c>
      <c r="J78" s="3">
        <v>789.42</v>
      </c>
      <c r="K78" s="3">
        <v>826.19</v>
      </c>
      <c r="L78" s="3">
        <v>865.81</v>
      </c>
      <c r="M78" s="3">
        <v>718.68</v>
      </c>
      <c r="N78" s="3">
        <v>820.54</v>
      </c>
      <c r="O78" s="3">
        <v>874.3</v>
      </c>
      <c r="P78" s="3">
        <v>786.58</v>
      </c>
      <c r="Q78" s="3">
        <v>865.81</v>
      </c>
      <c r="R78" s="3">
        <v>721.5</v>
      </c>
      <c r="S78" s="3">
        <v>701.7</v>
      </c>
      <c r="T78" s="3">
        <f t="shared" si="4"/>
        <v>9588.9700000000012</v>
      </c>
    </row>
    <row r="79" spans="1:20">
      <c r="A79" t="s">
        <v>151</v>
      </c>
      <c r="B79" t="s">
        <v>151</v>
      </c>
      <c r="C79" t="s">
        <v>152</v>
      </c>
      <c r="D79" t="s">
        <v>201</v>
      </c>
      <c r="E79" s="3" t="s">
        <v>153</v>
      </c>
      <c r="F79" s="3" t="s">
        <v>154</v>
      </c>
      <c r="G79" s="3" t="s">
        <v>240</v>
      </c>
      <c r="H79" s="3">
        <v>60632.93</v>
      </c>
      <c r="I79" s="3">
        <v>51606.67</v>
      </c>
      <c r="J79" s="3">
        <v>54746.239999999998</v>
      </c>
      <c r="K79" s="3">
        <v>57297.14</v>
      </c>
      <c r="L79" s="3">
        <v>60044.26</v>
      </c>
      <c r="M79" s="3">
        <v>49840.66</v>
      </c>
      <c r="N79" s="3">
        <v>56904.69</v>
      </c>
      <c r="O79" s="3">
        <v>60632.93</v>
      </c>
      <c r="P79" s="3">
        <v>54550.01</v>
      </c>
      <c r="Q79" s="3">
        <v>60044.26</v>
      </c>
      <c r="R79" s="3">
        <v>50036.88</v>
      </c>
      <c r="S79" s="3">
        <v>48663.32</v>
      </c>
      <c r="T79" s="3">
        <f t="shared" si="4"/>
        <v>664999.99</v>
      </c>
    </row>
    <row r="80" spans="1:20">
      <c r="A80" t="s">
        <v>151</v>
      </c>
      <c r="B80" t="s">
        <v>151</v>
      </c>
      <c r="C80" t="s">
        <v>152</v>
      </c>
      <c r="D80" t="s">
        <v>201</v>
      </c>
      <c r="E80" s="3" t="s">
        <v>159</v>
      </c>
      <c r="F80" s="3" t="s">
        <v>154</v>
      </c>
      <c r="G80" s="3" t="s">
        <v>240</v>
      </c>
      <c r="H80" s="3">
        <v>11305.99</v>
      </c>
      <c r="I80" s="3">
        <v>9622.9</v>
      </c>
      <c r="J80" s="3">
        <v>10208.32</v>
      </c>
      <c r="K80" s="3">
        <v>10683.98</v>
      </c>
      <c r="L80" s="3">
        <v>11196.22</v>
      </c>
      <c r="M80" s="3">
        <v>9293.6</v>
      </c>
      <c r="N80" s="3">
        <v>10610.8</v>
      </c>
      <c r="O80" s="3">
        <v>11305.99</v>
      </c>
      <c r="P80" s="3">
        <v>10171.73</v>
      </c>
      <c r="Q80" s="3">
        <v>11196.22</v>
      </c>
      <c r="R80" s="3">
        <v>9330.19</v>
      </c>
      <c r="S80" s="3">
        <v>9074.06</v>
      </c>
      <c r="T80" s="3">
        <f t="shared" si="4"/>
        <v>124000</v>
      </c>
    </row>
    <row r="81" spans="1:20">
      <c r="A81" t="s">
        <v>151</v>
      </c>
      <c r="B81" t="s">
        <v>151</v>
      </c>
      <c r="C81" t="s">
        <v>152</v>
      </c>
      <c r="D81" t="s">
        <v>202</v>
      </c>
      <c r="E81" s="3" t="s">
        <v>176</v>
      </c>
      <c r="F81" s="3" t="s">
        <v>204</v>
      </c>
      <c r="G81" s="3" t="s">
        <v>240</v>
      </c>
      <c r="H81" s="3">
        <v>-10793.65</v>
      </c>
      <c r="I81" s="3">
        <v>-29963.34</v>
      </c>
      <c r="J81" s="3">
        <v>-21797.19</v>
      </c>
      <c r="K81" s="3">
        <v>-15336.69</v>
      </c>
      <c r="L81" s="3">
        <v>-7306.3</v>
      </c>
      <c r="M81" s="3">
        <v>-11413.3</v>
      </c>
      <c r="N81" s="3">
        <v>-8830.4599999999991</v>
      </c>
      <c r="O81" s="3">
        <v>-13013.65</v>
      </c>
      <c r="P81" s="3">
        <v>-13017.07</v>
      </c>
      <c r="Q81" s="3">
        <v>-13017.3</v>
      </c>
      <c r="R81" s="3">
        <v>-13014.42</v>
      </c>
      <c r="S81" s="3">
        <v>-13017.61</v>
      </c>
      <c r="T81" s="3">
        <f t="shared" si="4"/>
        <v>-170520.97999999998</v>
      </c>
    </row>
    <row r="82" spans="1:20">
      <c r="A82" t="s">
        <v>151</v>
      </c>
      <c r="B82" t="s">
        <v>151</v>
      </c>
      <c r="C82" t="s">
        <v>152</v>
      </c>
      <c r="D82" t="s">
        <v>160</v>
      </c>
      <c r="E82" s="3" t="s">
        <v>153</v>
      </c>
      <c r="F82" s="3" t="s">
        <v>154</v>
      </c>
      <c r="G82" s="3" t="s">
        <v>240</v>
      </c>
      <c r="H82" s="3">
        <v>3650.31</v>
      </c>
      <c r="I82" s="3">
        <v>2730.06</v>
      </c>
      <c r="J82" s="3">
        <v>2638.04</v>
      </c>
      <c r="K82" s="3">
        <v>2300.61</v>
      </c>
      <c r="L82" s="3">
        <v>2392.64</v>
      </c>
      <c r="M82" s="3">
        <v>2607.36</v>
      </c>
      <c r="N82" s="3">
        <v>2699.39</v>
      </c>
      <c r="O82" s="3">
        <v>3159.51</v>
      </c>
      <c r="P82" s="3">
        <v>3834.36</v>
      </c>
      <c r="Q82" s="3">
        <v>2546.0100000000002</v>
      </c>
      <c r="R82" s="3">
        <v>3098.16</v>
      </c>
      <c r="S82" s="3">
        <v>3343.56</v>
      </c>
      <c r="T82" s="3">
        <f t="shared" si="4"/>
        <v>35000.01</v>
      </c>
    </row>
    <row r="83" spans="1:20">
      <c r="A83" t="s">
        <v>151</v>
      </c>
      <c r="B83" t="s">
        <v>151</v>
      </c>
      <c r="C83" t="s">
        <v>152</v>
      </c>
      <c r="D83" t="s">
        <v>160</v>
      </c>
      <c r="E83" s="3" t="s">
        <v>159</v>
      </c>
      <c r="F83" s="3" t="s">
        <v>154</v>
      </c>
      <c r="G83" s="3" t="s">
        <v>240</v>
      </c>
      <c r="H83" s="3">
        <v>1668.71</v>
      </c>
      <c r="I83" s="3">
        <v>1248.03</v>
      </c>
      <c r="J83" s="3">
        <v>1205.96</v>
      </c>
      <c r="K83" s="3">
        <v>1051.71</v>
      </c>
      <c r="L83" s="3">
        <v>1093.78</v>
      </c>
      <c r="M83" s="3">
        <v>1191.94</v>
      </c>
      <c r="N83" s="3">
        <v>1234.01</v>
      </c>
      <c r="O83" s="3">
        <v>1444.35</v>
      </c>
      <c r="P83" s="3">
        <v>1752.85</v>
      </c>
      <c r="Q83" s="3">
        <v>1163.8900000000001</v>
      </c>
      <c r="R83" s="3">
        <v>1416.3</v>
      </c>
      <c r="S83" s="3">
        <v>1528.48</v>
      </c>
      <c r="T83" s="3">
        <f t="shared" si="4"/>
        <v>16000.009999999998</v>
      </c>
    </row>
    <row r="84" spans="1:20">
      <c r="A84" t="s">
        <v>151</v>
      </c>
      <c r="B84" t="s">
        <v>151</v>
      </c>
      <c r="C84" t="s">
        <v>152</v>
      </c>
      <c r="D84" t="s">
        <v>162</v>
      </c>
      <c r="E84" s="3" t="s">
        <v>153</v>
      </c>
      <c r="F84" s="3" t="s">
        <v>154</v>
      </c>
      <c r="G84" s="3" t="s">
        <v>240</v>
      </c>
      <c r="H84" s="3">
        <v>325.32</v>
      </c>
      <c r="I84" s="3">
        <v>243.3</v>
      </c>
      <c r="J84" s="3">
        <v>235.1</v>
      </c>
      <c r="K84" s="3">
        <v>205.03</v>
      </c>
      <c r="L84" s="3">
        <v>213.23</v>
      </c>
      <c r="M84" s="3">
        <v>232.37</v>
      </c>
      <c r="N84" s="3">
        <v>240.57</v>
      </c>
      <c r="O84" s="3">
        <v>281.58</v>
      </c>
      <c r="P84" s="3">
        <v>341.72</v>
      </c>
      <c r="Q84" s="3">
        <v>226.9</v>
      </c>
      <c r="R84" s="3">
        <v>276.11</v>
      </c>
      <c r="S84" s="3">
        <v>297.98</v>
      </c>
      <c r="T84" s="3">
        <f t="shared" si="4"/>
        <v>3119.21</v>
      </c>
    </row>
    <row r="85" spans="1:20">
      <c r="A85" t="s">
        <v>151</v>
      </c>
      <c r="B85" t="s">
        <v>151</v>
      </c>
      <c r="C85" t="s">
        <v>152</v>
      </c>
      <c r="D85" t="s">
        <v>162</v>
      </c>
      <c r="E85" s="3" t="s">
        <v>159</v>
      </c>
      <c r="F85" s="3" t="s">
        <v>154</v>
      </c>
      <c r="G85" s="3" t="s">
        <v>240</v>
      </c>
      <c r="H85" s="3">
        <v>148.72</v>
      </c>
      <c r="I85" s="3">
        <v>111.22</v>
      </c>
      <c r="J85" s="3">
        <v>107.48</v>
      </c>
      <c r="K85" s="3">
        <v>93.73</v>
      </c>
      <c r="L85" s="3">
        <v>97.48</v>
      </c>
      <c r="M85" s="3">
        <v>106.23</v>
      </c>
      <c r="N85" s="3">
        <v>109.97</v>
      </c>
      <c r="O85" s="3">
        <v>128.72</v>
      </c>
      <c r="P85" s="3">
        <v>156.21</v>
      </c>
      <c r="Q85" s="3">
        <v>103.73</v>
      </c>
      <c r="R85" s="3">
        <v>126.22</v>
      </c>
      <c r="S85" s="3">
        <v>136.22</v>
      </c>
      <c r="T85" s="3">
        <f t="shared" si="4"/>
        <v>1425.93</v>
      </c>
    </row>
    <row r="86" spans="1:20">
      <c r="A86" t="s">
        <v>151</v>
      </c>
      <c r="B86" t="s">
        <v>151</v>
      </c>
      <c r="C86" t="s">
        <v>182</v>
      </c>
      <c r="D86" t="s">
        <v>202</v>
      </c>
      <c r="E86" s="3" t="s">
        <v>176</v>
      </c>
      <c r="F86" s="3" t="s">
        <v>205</v>
      </c>
      <c r="G86" s="3" t="s">
        <v>240</v>
      </c>
      <c r="H86" s="3">
        <v>27.66</v>
      </c>
      <c r="I86" s="3">
        <v>-1772.94</v>
      </c>
      <c r="J86" s="3">
        <v>-0.12</v>
      </c>
      <c r="K86" s="3">
        <v>-4724.58</v>
      </c>
      <c r="L86" s="3">
        <v>-297.62</v>
      </c>
      <c r="M86" s="3">
        <v>-14.77</v>
      </c>
      <c r="N86" s="3">
        <v>-265.44</v>
      </c>
      <c r="O86" s="3">
        <v>-0.34</v>
      </c>
      <c r="P86" s="3">
        <v>0.45</v>
      </c>
      <c r="Q86" s="3">
        <v>0.38</v>
      </c>
      <c r="R86" s="3">
        <v>-0.35</v>
      </c>
      <c r="S86" s="3">
        <v>-0.33</v>
      </c>
      <c r="T86" s="3">
        <f t="shared" si="4"/>
        <v>-7048</v>
      </c>
    </row>
    <row r="87" spans="1:20">
      <c r="A87" t="s">
        <v>151</v>
      </c>
      <c r="B87" t="s">
        <v>151</v>
      </c>
      <c r="C87" t="s">
        <v>206</v>
      </c>
      <c r="D87" t="s">
        <v>202</v>
      </c>
      <c r="E87" s="3" t="s">
        <v>176</v>
      </c>
      <c r="F87" s="3" t="s">
        <v>207</v>
      </c>
      <c r="G87" s="3" t="s">
        <v>240</v>
      </c>
      <c r="H87" s="3">
        <v>28470</v>
      </c>
      <c r="I87" s="3">
        <v>17435</v>
      </c>
      <c r="J87" s="3">
        <v>27114</v>
      </c>
      <c r="K87" s="3">
        <v>21899</v>
      </c>
      <c r="L87" s="3">
        <v>33571</v>
      </c>
      <c r="M87" s="3">
        <v>27093</v>
      </c>
      <c r="N87" s="3">
        <v>12659</v>
      </c>
      <c r="O87" s="3">
        <v>25593</v>
      </c>
      <c r="P87" s="3">
        <v>25599</v>
      </c>
      <c r="Q87" s="3">
        <v>25600</v>
      </c>
      <c r="R87" s="3">
        <v>25593</v>
      </c>
      <c r="S87" s="3">
        <v>25601</v>
      </c>
      <c r="T87" s="3">
        <f t="shared" si="4"/>
        <v>296227</v>
      </c>
    </row>
    <row r="88" spans="1:20">
      <c r="A88" t="s">
        <v>151</v>
      </c>
      <c r="B88" t="s">
        <v>151</v>
      </c>
      <c r="C88" t="s">
        <v>208</v>
      </c>
      <c r="D88" t="s">
        <v>202</v>
      </c>
      <c r="E88" s="3" t="s">
        <v>176</v>
      </c>
      <c r="F88" s="3" t="s">
        <v>209</v>
      </c>
      <c r="G88" s="3" t="s">
        <v>240</v>
      </c>
      <c r="H88" s="3">
        <v>-3651.53</v>
      </c>
      <c r="I88" s="3">
        <v>-5803.26</v>
      </c>
      <c r="J88" s="3">
        <v>-10837.14</v>
      </c>
      <c r="K88" s="3">
        <v>-7744.47</v>
      </c>
      <c r="L88" s="3">
        <v>-7422.99</v>
      </c>
      <c r="M88" s="3">
        <v>-6529.64</v>
      </c>
      <c r="N88" s="3">
        <v>-3407.11</v>
      </c>
      <c r="O88" s="3">
        <v>-6506.53</v>
      </c>
      <c r="P88" s="3">
        <v>-6507.96</v>
      </c>
      <c r="Q88" s="3">
        <v>-6507.99</v>
      </c>
      <c r="R88" s="3">
        <v>-6506.82</v>
      </c>
      <c r="S88" s="3">
        <v>-6508.57</v>
      </c>
      <c r="T88" s="3">
        <f t="shared" si="4"/>
        <v>-77934.010000000009</v>
      </c>
    </row>
    <row r="89" spans="1:20">
      <c r="A89" t="s">
        <v>155</v>
      </c>
      <c r="B89" t="s">
        <v>178</v>
      </c>
      <c r="C89" t="s">
        <v>152</v>
      </c>
      <c r="D89" t="s">
        <v>180</v>
      </c>
      <c r="E89" s="3" t="s">
        <v>156</v>
      </c>
      <c r="F89" s="3" t="s">
        <v>154</v>
      </c>
      <c r="G89" s="3" t="s">
        <v>240</v>
      </c>
      <c r="H89" s="3">
        <v>1000</v>
      </c>
      <c r="I89" s="3">
        <v>1000</v>
      </c>
      <c r="J89" s="3">
        <v>1000</v>
      </c>
      <c r="K89" s="3">
        <v>1000</v>
      </c>
      <c r="L89" s="3">
        <v>1000</v>
      </c>
      <c r="M89" s="3">
        <v>1000</v>
      </c>
      <c r="N89" s="3">
        <v>1000</v>
      </c>
      <c r="O89" s="3">
        <v>1000</v>
      </c>
      <c r="P89" s="3">
        <v>1000</v>
      </c>
      <c r="Q89" s="3">
        <v>1000</v>
      </c>
      <c r="R89" s="3">
        <v>1000</v>
      </c>
      <c r="S89" s="3">
        <v>1000</v>
      </c>
      <c r="T89" s="3">
        <f t="shared" si="4"/>
        <v>12000</v>
      </c>
    </row>
    <row r="90" spans="1:20">
      <c r="A90" t="s">
        <v>155</v>
      </c>
      <c r="B90" t="s">
        <v>178</v>
      </c>
      <c r="C90" t="s">
        <v>152</v>
      </c>
      <c r="D90" t="s">
        <v>148</v>
      </c>
      <c r="E90" s="3" t="s">
        <v>156</v>
      </c>
      <c r="F90" s="3" t="s">
        <v>154</v>
      </c>
      <c r="G90" s="3" t="s">
        <v>240</v>
      </c>
      <c r="H90" s="3">
        <v>3000</v>
      </c>
      <c r="I90" s="3">
        <v>3000</v>
      </c>
      <c r="J90" s="3">
        <v>2000</v>
      </c>
      <c r="K90" s="3">
        <v>3000</v>
      </c>
      <c r="L90" s="3">
        <v>3000</v>
      </c>
      <c r="M90" s="3">
        <v>3000</v>
      </c>
      <c r="N90" s="3">
        <v>2000</v>
      </c>
      <c r="O90" s="3">
        <v>3000</v>
      </c>
      <c r="P90" s="3">
        <v>3000</v>
      </c>
      <c r="Q90" s="3">
        <v>1000</v>
      </c>
      <c r="R90" s="3">
        <v>3000</v>
      </c>
      <c r="S90" s="3">
        <v>3000</v>
      </c>
      <c r="T90" s="3">
        <f t="shared" si="4"/>
        <v>32000</v>
      </c>
    </row>
    <row r="91" spans="1:20">
      <c r="A91" t="s">
        <v>155</v>
      </c>
      <c r="B91" t="s">
        <v>178</v>
      </c>
      <c r="C91" t="s">
        <v>152</v>
      </c>
      <c r="D91" t="s">
        <v>179</v>
      </c>
      <c r="E91" s="3" t="s">
        <v>156</v>
      </c>
      <c r="F91" s="3" t="s">
        <v>154</v>
      </c>
      <c r="G91" s="3" t="s">
        <v>240</v>
      </c>
      <c r="H91" s="3">
        <v>1000</v>
      </c>
      <c r="I91" s="3">
        <v>0</v>
      </c>
      <c r="J91" s="3">
        <v>1000</v>
      </c>
      <c r="K91" s="3">
        <v>0</v>
      </c>
      <c r="L91" s="3">
        <v>0</v>
      </c>
      <c r="M91" s="3">
        <v>1000</v>
      </c>
      <c r="N91" s="3">
        <v>1000</v>
      </c>
      <c r="O91" s="3">
        <v>0</v>
      </c>
      <c r="P91" s="3">
        <v>0</v>
      </c>
      <c r="Q91" s="3">
        <v>1000</v>
      </c>
      <c r="R91" s="3">
        <v>0</v>
      </c>
      <c r="S91" s="3">
        <v>0</v>
      </c>
      <c r="T91" s="3">
        <f t="shared" si="4"/>
        <v>5000</v>
      </c>
    </row>
    <row r="92" spans="1:20">
      <c r="A92" t="s">
        <v>155</v>
      </c>
      <c r="B92" t="s">
        <v>178</v>
      </c>
      <c r="C92" t="s">
        <v>152</v>
      </c>
      <c r="D92" t="s">
        <v>161</v>
      </c>
      <c r="E92" s="3" t="s">
        <v>156</v>
      </c>
      <c r="F92" s="3" t="s">
        <v>154</v>
      </c>
      <c r="G92" s="3" t="s">
        <v>240</v>
      </c>
      <c r="H92" s="3">
        <v>121</v>
      </c>
      <c r="I92" s="3">
        <v>121</v>
      </c>
      <c r="J92" s="3">
        <v>121</v>
      </c>
      <c r="K92" s="3">
        <v>121</v>
      </c>
      <c r="L92" s="3">
        <v>121</v>
      </c>
      <c r="M92" s="3">
        <v>121</v>
      </c>
      <c r="N92" s="3">
        <v>121</v>
      </c>
      <c r="O92" s="3">
        <v>121</v>
      </c>
      <c r="P92" s="3">
        <v>121</v>
      </c>
      <c r="Q92" s="3">
        <v>121</v>
      </c>
      <c r="R92" s="3">
        <v>121</v>
      </c>
      <c r="S92" s="3">
        <v>121</v>
      </c>
      <c r="T92" s="3">
        <f t="shared" si="4"/>
        <v>1452</v>
      </c>
    </row>
    <row r="93" spans="1:20">
      <c r="A93" t="s">
        <v>155</v>
      </c>
      <c r="B93" t="s">
        <v>178</v>
      </c>
      <c r="C93" t="s">
        <v>152</v>
      </c>
      <c r="D93" t="s">
        <v>181</v>
      </c>
      <c r="E93" s="3" t="s">
        <v>156</v>
      </c>
      <c r="F93" s="3" t="s">
        <v>154</v>
      </c>
      <c r="G93" s="3" t="s">
        <v>240</v>
      </c>
      <c r="H93" s="3">
        <v>266.36</v>
      </c>
      <c r="I93" s="3">
        <v>266.36</v>
      </c>
      <c r="J93" s="3">
        <v>266.36</v>
      </c>
      <c r="K93" s="3">
        <v>266.36</v>
      </c>
      <c r="L93" s="3">
        <v>266.36</v>
      </c>
      <c r="M93" s="3">
        <v>266.36</v>
      </c>
      <c r="N93" s="3">
        <v>266.36</v>
      </c>
      <c r="O93" s="3">
        <v>266.36</v>
      </c>
      <c r="P93" s="3">
        <v>266.36</v>
      </c>
      <c r="Q93" s="3">
        <v>266.36</v>
      </c>
      <c r="R93" s="3">
        <v>266.36</v>
      </c>
      <c r="S93" s="3">
        <v>266.36</v>
      </c>
      <c r="T93" s="3">
        <f t="shared" si="4"/>
        <v>3196.3200000000011</v>
      </c>
    </row>
    <row r="94" spans="1:20">
      <c r="A94" t="s">
        <v>157</v>
      </c>
      <c r="B94" t="s">
        <v>210</v>
      </c>
      <c r="C94" t="s">
        <v>152</v>
      </c>
      <c r="D94" t="s">
        <v>180</v>
      </c>
      <c r="E94" s="3" t="s">
        <v>158</v>
      </c>
      <c r="F94" s="3" t="s">
        <v>154</v>
      </c>
      <c r="G94" s="3" t="s">
        <v>240</v>
      </c>
      <c r="H94" s="3">
        <v>1000</v>
      </c>
      <c r="I94" s="3">
        <v>1000</v>
      </c>
      <c r="J94" s="3">
        <v>1000</v>
      </c>
      <c r="K94" s="3">
        <v>1000</v>
      </c>
      <c r="L94" s="3">
        <v>1000</v>
      </c>
      <c r="M94" s="3">
        <v>1000</v>
      </c>
      <c r="N94" s="3">
        <v>1000</v>
      </c>
      <c r="O94" s="3">
        <v>1000</v>
      </c>
      <c r="P94" s="3">
        <v>1000</v>
      </c>
      <c r="Q94" s="3">
        <v>1000</v>
      </c>
      <c r="R94" s="3">
        <v>1000</v>
      </c>
      <c r="S94" s="3">
        <v>1000</v>
      </c>
      <c r="T94" s="3">
        <f t="shared" si="4"/>
        <v>12000</v>
      </c>
    </row>
    <row r="95" spans="1:20">
      <c r="A95" t="s">
        <v>157</v>
      </c>
      <c r="B95" t="s">
        <v>210</v>
      </c>
      <c r="C95" t="s">
        <v>152</v>
      </c>
      <c r="D95" t="s">
        <v>179</v>
      </c>
      <c r="E95" s="3" t="s">
        <v>158</v>
      </c>
      <c r="F95" s="3" t="s">
        <v>154</v>
      </c>
      <c r="G95" s="3" t="s">
        <v>240</v>
      </c>
      <c r="H95" s="3">
        <v>0</v>
      </c>
      <c r="I95" s="3">
        <v>0</v>
      </c>
      <c r="J95" s="3">
        <v>1000</v>
      </c>
      <c r="K95" s="3">
        <v>0</v>
      </c>
      <c r="L95" s="3">
        <v>0</v>
      </c>
      <c r="M95" s="3">
        <v>1000</v>
      </c>
      <c r="N95" s="3">
        <v>0</v>
      </c>
      <c r="O95" s="3">
        <v>0</v>
      </c>
      <c r="P95" s="3">
        <v>1000</v>
      </c>
      <c r="Q95" s="3">
        <v>0</v>
      </c>
      <c r="R95" s="3">
        <v>0</v>
      </c>
      <c r="S95" s="3">
        <v>1000</v>
      </c>
      <c r="T95" s="3">
        <f t="shared" si="4"/>
        <v>4000</v>
      </c>
    </row>
    <row r="96" spans="1:20">
      <c r="A96" t="s">
        <v>157</v>
      </c>
      <c r="B96" t="s">
        <v>210</v>
      </c>
      <c r="C96" t="s">
        <v>152</v>
      </c>
      <c r="D96" t="s">
        <v>161</v>
      </c>
      <c r="E96" s="3" t="s">
        <v>158</v>
      </c>
      <c r="F96" s="3" t="s">
        <v>154</v>
      </c>
      <c r="G96" s="3" t="s">
        <v>240</v>
      </c>
      <c r="H96" s="3">
        <v>128.07</v>
      </c>
      <c r="I96" s="3">
        <v>128.07</v>
      </c>
      <c r="J96" s="3">
        <v>128.07</v>
      </c>
      <c r="K96" s="3">
        <v>128.07</v>
      </c>
      <c r="L96" s="3">
        <v>128.07</v>
      </c>
      <c r="M96" s="3">
        <v>128.07</v>
      </c>
      <c r="N96" s="3">
        <v>128.07</v>
      </c>
      <c r="O96" s="3">
        <v>128.07</v>
      </c>
      <c r="P96" s="3">
        <v>128.07</v>
      </c>
      <c r="Q96" s="3">
        <v>128.07</v>
      </c>
      <c r="R96" s="3">
        <v>128.07</v>
      </c>
      <c r="S96" s="3">
        <v>128.07</v>
      </c>
      <c r="T96" s="3">
        <f t="shared" si="4"/>
        <v>1536.8399999999995</v>
      </c>
    </row>
    <row r="97" spans="1:20">
      <c r="A97" t="s">
        <v>157</v>
      </c>
      <c r="B97" t="s">
        <v>210</v>
      </c>
      <c r="C97" t="s">
        <v>152</v>
      </c>
      <c r="D97" t="s">
        <v>181</v>
      </c>
      <c r="E97" s="3" t="s">
        <v>158</v>
      </c>
      <c r="F97" s="3" t="s">
        <v>154</v>
      </c>
      <c r="G97" s="3" t="s">
        <v>240</v>
      </c>
      <c r="H97" s="3">
        <v>266.36</v>
      </c>
      <c r="I97" s="3">
        <v>266.36</v>
      </c>
      <c r="J97" s="3">
        <v>266.36</v>
      </c>
      <c r="K97" s="3">
        <v>266.36</v>
      </c>
      <c r="L97" s="3">
        <v>266.36</v>
      </c>
      <c r="M97" s="3">
        <v>266.36</v>
      </c>
      <c r="N97" s="3">
        <v>266.36</v>
      </c>
      <c r="O97" s="3">
        <v>266.36</v>
      </c>
      <c r="P97" s="3">
        <v>266.36</v>
      </c>
      <c r="Q97" s="3">
        <v>266.36</v>
      </c>
      <c r="R97" s="3">
        <v>266.36</v>
      </c>
      <c r="S97" s="3">
        <v>266.36</v>
      </c>
      <c r="T97" s="3">
        <f t="shared" si="4"/>
        <v>3196.3200000000011</v>
      </c>
    </row>
    <row r="98" spans="1:20">
      <c r="A98" t="s">
        <v>211</v>
      </c>
      <c r="B98" t="s">
        <v>211</v>
      </c>
      <c r="C98" t="s">
        <v>212</v>
      </c>
      <c r="D98" t="s">
        <v>202</v>
      </c>
      <c r="E98" s="3" t="s">
        <v>213</v>
      </c>
      <c r="F98" s="3" t="s">
        <v>214</v>
      </c>
      <c r="G98" s="3" t="s">
        <v>240</v>
      </c>
      <c r="H98" s="29">
        <v>343311.49</v>
      </c>
      <c r="I98" s="29">
        <v>343311.49</v>
      </c>
      <c r="J98" s="29">
        <v>343311.49</v>
      </c>
      <c r="K98" s="29">
        <v>343311.49</v>
      </c>
      <c r="L98" s="29">
        <v>343311.49</v>
      </c>
      <c r="M98" s="29">
        <v>343311.49</v>
      </c>
      <c r="N98" s="29">
        <v>343311.49</v>
      </c>
      <c r="O98" s="29">
        <v>343311.49</v>
      </c>
      <c r="P98" s="29">
        <v>343311.49</v>
      </c>
      <c r="Q98" s="29">
        <v>343311.49</v>
      </c>
      <c r="R98" s="29">
        <v>343311.49</v>
      </c>
      <c r="S98" s="29">
        <v>343311.49</v>
      </c>
      <c r="T98" s="29">
        <f t="shared" si="4"/>
        <v>4119737.8800000008</v>
      </c>
    </row>
    <row r="99" spans="1:20">
      <c r="C99" s="2"/>
      <c r="D99" s="2" t="s">
        <v>241</v>
      </c>
      <c r="E99" s="26"/>
      <c r="F99" s="26"/>
      <c r="G99" s="26"/>
      <c r="H99" s="26">
        <f t="shared" ref="H99:T99" si="5">SUM(H68:H98)</f>
        <v>488844.82999999996</v>
      </c>
      <c r="I99" s="26">
        <f t="shared" si="5"/>
        <v>412734.79</v>
      </c>
      <c r="J99" s="26">
        <f t="shared" si="5"/>
        <v>442932.01</v>
      </c>
      <c r="K99" s="26">
        <f t="shared" si="5"/>
        <v>391608.32000000001</v>
      </c>
      <c r="L99" s="26">
        <f t="shared" si="5"/>
        <v>487858.64999999997</v>
      </c>
      <c r="M99" s="26">
        <f t="shared" si="5"/>
        <v>456006.74</v>
      </c>
      <c r="N99" s="26">
        <f t="shared" si="5"/>
        <v>458246.25</v>
      </c>
      <c r="O99" s="26">
        <f t="shared" si="5"/>
        <v>477468.58999999997</v>
      </c>
      <c r="P99" s="26">
        <f t="shared" si="5"/>
        <v>473967.85</v>
      </c>
      <c r="Q99" s="26">
        <f t="shared" si="5"/>
        <v>497408.77999999997</v>
      </c>
      <c r="R99" s="26">
        <f t="shared" si="5"/>
        <v>453501.36</v>
      </c>
      <c r="S99" s="26">
        <f t="shared" si="5"/>
        <v>464564.06999999995</v>
      </c>
      <c r="T99" s="26">
        <f t="shared" si="5"/>
        <v>5505142.2400000012</v>
      </c>
    </row>
  </sheetData>
  <pageMargins left="0.7" right="0.7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="80" zoomScaleNormal="80" workbookViewId="0"/>
  </sheetViews>
  <sheetFormatPr defaultColWidth="9.140625" defaultRowHeight="15"/>
  <cols>
    <col min="1" max="1" width="20.7109375" style="338" customWidth="1"/>
    <col min="2" max="8" width="18.85546875" style="339" customWidth="1"/>
    <col min="9" max="9" width="24.7109375" style="339" customWidth="1"/>
    <col min="10" max="16384" width="9.140625" style="338"/>
  </cols>
  <sheetData>
    <row r="1" spans="1:10" ht="15.75">
      <c r="A1" s="429" t="s">
        <v>67</v>
      </c>
      <c r="B1" s="430"/>
      <c r="C1" s="430"/>
      <c r="D1" s="430"/>
      <c r="E1" s="430"/>
      <c r="F1" s="430"/>
      <c r="G1" s="430"/>
      <c r="H1" s="430"/>
      <c r="I1" s="430"/>
    </row>
    <row r="2" spans="1:10" ht="15.75" customHeight="1">
      <c r="A2" s="298" t="s">
        <v>450</v>
      </c>
      <c r="B2" s="337"/>
      <c r="C2" s="298"/>
      <c r="D2" s="298"/>
      <c r="E2" s="298"/>
      <c r="F2" s="298"/>
      <c r="G2" s="298"/>
      <c r="H2" s="298"/>
      <c r="I2" s="298"/>
    </row>
    <row r="3" spans="1:10" ht="15.75" customHeight="1">
      <c r="A3" s="301" t="str">
        <f>'OU Collection'!A3</f>
        <v>As of December 2017</v>
      </c>
      <c r="B3" s="337"/>
      <c r="C3" s="301"/>
      <c r="D3" s="301"/>
      <c r="E3" s="301"/>
      <c r="F3" s="301"/>
      <c r="G3" s="301"/>
      <c r="H3" s="301"/>
      <c r="I3" s="301"/>
    </row>
    <row r="4" spans="1:10" ht="15.75" customHeight="1">
      <c r="C4" s="317"/>
    </row>
    <row r="5" spans="1:10" s="340" customFormat="1" ht="15.75" customHeight="1">
      <c r="B5" s="341"/>
      <c r="C5" s="317"/>
      <c r="D5" s="341"/>
      <c r="E5" s="341"/>
      <c r="F5" s="341"/>
      <c r="G5" s="341"/>
      <c r="H5" s="341"/>
      <c r="I5" s="341"/>
    </row>
    <row r="6" spans="1:10" s="307" customFormat="1" ht="15.75" customHeight="1">
      <c r="A6" s="303" t="s">
        <v>399</v>
      </c>
      <c r="B6" s="324" t="s">
        <v>400</v>
      </c>
      <c r="C6" s="324" t="s">
        <v>401</v>
      </c>
      <c r="D6" s="324" t="s">
        <v>402</v>
      </c>
      <c r="E6" s="324" t="s">
        <v>403</v>
      </c>
      <c r="F6" s="324" t="s">
        <v>404</v>
      </c>
      <c r="G6" s="324" t="s">
        <v>405</v>
      </c>
      <c r="H6" s="324" t="s">
        <v>415</v>
      </c>
      <c r="I6" s="324" t="s">
        <v>416</v>
      </c>
    </row>
    <row r="7" spans="1:10" s="325" customFormat="1" ht="15.75" customHeight="1">
      <c r="A7" s="342"/>
      <c r="B7" s="323" t="s">
        <v>451</v>
      </c>
      <c r="C7" s="323" t="s">
        <v>451</v>
      </c>
      <c r="D7" s="323" t="s">
        <v>451</v>
      </c>
      <c r="E7" s="323" t="s">
        <v>451</v>
      </c>
      <c r="F7" s="323" t="s">
        <v>451</v>
      </c>
      <c r="G7" s="323" t="s">
        <v>451</v>
      </c>
      <c r="H7" s="323" t="s">
        <v>451</v>
      </c>
      <c r="I7" s="323" t="s">
        <v>451</v>
      </c>
      <c r="J7" s="342"/>
    </row>
    <row r="8" spans="1:10" s="325" customFormat="1" ht="15.75" customHeight="1">
      <c r="A8" s="343" t="s">
        <v>452</v>
      </c>
      <c r="B8" s="323" t="s">
        <v>453</v>
      </c>
      <c r="C8" s="323" t="s">
        <v>454</v>
      </c>
      <c r="D8" s="323" t="s">
        <v>19</v>
      </c>
      <c r="E8" s="323" t="s">
        <v>455</v>
      </c>
      <c r="F8" s="323" t="s">
        <v>456</v>
      </c>
      <c r="G8" s="323" t="s">
        <v>454</v>
      </c>
      <c r="H8" s="323" t="s">
        <v>455</v>
      </c>
      <c r="I8" s="323" t="s">
        <v>457</v>
      </c>
      <c r="J8" s="342"/>
    </row>
    <row r="9" spans="1:10" s="325" customFormat="1" ht="15.75" customHeight="1">
      <c r="A9" s="344" t="s">
        <v>108</v>
      </c>
      <c r="B9" s="303" t="s">
        <v>458</v>
      </c>
      <c r="C9" s="303" t="s">
        <v>459</v>
      </c>
      <c r="D9" s="303" t="s">
        <v>460</v>
      </c>
      <c r="E9" s="303" t="s">
        <v>461</v>
      </c>
      <c r="F9" s="303" t="s">
        <v>462</v>
      </c>
      <c r="G9" s="303" t="s">
        <v>463</v>
      </c>
      <c r="H9" s="303" t="s">
        <v>12</v>
      </c>
      <c r="I9" s="303" t="s">
        <v>464</v>
      </c>
      <c r="J9" s="342"/>
    </row>
    <row r="10" spans="1:10" s="325" customFormat="1" ht="15.75" customHeight="1">
      <c r="A10" s="345"/>
      <c r="B10" s="324"/>
      <c r="C10" s="324"/>
      <c r="D10" s="324"/>
      <c r="E10" s="324"/>
      <c r="F10" s="324"/>
      <c r="G10" s="324"/>
      <c r="H10" s="324"/>
      <c r="I10" s="346" t="s">
        <v>465</v>
      </c>
    </row>
    <row r="11" spans="1:10" s="325" customFormat="1" ht="15.75" customHeight="1">
      <c r="A11" s="328" t="s">
        <v>435</v>
      </c>
      <c r="B11" s="307"/>
      <c r="C11" s="307"/>
      <c r="D11" s="307"/>
      <c r="E11" s="307"/>
      <c r="F11" s="307"/>
      <c r="G11" s="307"/>
      <c r="H11" s="307"/>
      <c r="I11" s="307"/>
    </row>
    <row r="12" spans="1:10" s="325" customFormat="1" ht="15.75" customHeight="1">
      <c r="A12" s="330">
        <v>42705</v>
      </c>
      <c r="B12" s="308">
        <v>223092597.29999998</v>
      </c>
      <c r="C12" s="308">
        <v>-14352040.949999999</v>
      </c>
      <c r="D12" s="308">
        <v>4464379.71</v>
      </c>
      <c r="E12" s="308">
        <v>-36256614.840000004</v>
      </c>
      <c r="F12" s="308">
        <v>7090839.9299999997</v>
      </c>
      <c r="G12" s="308">
        <v>-4889166.9800000004</v>
      </c>
      <c r="H12" s="308">
        <v>-453616.94338109798</v>
      </c>
      <c r="I12" s="308">
        <f t="shared" ref="I12:I25" si="0">B12+C12+D12+E12-F12-G12-H12</f>
        <v>175200265.21338108</v>
      </c>
      <c r="J12" s="307"/>
    </row>
    <row r="13" spans="1:10" s="325" customFormat="1" ht="15.75" customHeight="1">
      <c r="A13" s="330"/>
      <c r="B13" s="314"/>
      <c r="C13" s="314"/>
      <c r="D13" s="314"/>
      <c r="E13" s="314"/>
      <c r="F13" s="314"/>
      <c r="G13" s="314"/>
      <c r="H13" s="314"/>
      <c r="I13" s="314"/>
      <c r="J13" s="307"/>
    </row>
    <row r="14" spans="1:10" s="325" customFormat="1" ht="15.75" customHeight="1">
      <c r="A14" s="330">
        <f>DATE(YEAR(A12+45),MONTH(A12+45),1)</f>
        <v>42736</v>
      </c>
      <c r="B14" s="308">
        <v>226727802.00999996</v>
      </c>
      <c r="C14" s="308">
        <v>-14977062.199999999</v>
      </c>
      <c r="D14" s="308">
        <v>4531081.7200000007</v>
      </c>
      <c r="E14" s="308">
        <v>-36385915.189999998</v>
      </c>
      <c r="F14" s="308">
        <v>7090839.9299999997</v>
      </c>
      <c r="G14" s="308">
        <v>-4889166.9800000004</v>
      </c>
      <c r="H14" s="308">
        <v>-453616.94338109798</v>
      </c>
      <c r="I14" s="308">
        <f t="shared" si="0"/>
        <v>178147850.33338106</v>
      </c>
      <c r="J14" s="307"/>
    </row>
    <row r="15" spans="1:10" s="325" customFormat="1" ht="15.75" customHeight="1">
      <c r="A15" s="330">
        <f t="shared" ref="A15:A25" si="1">DATE(YEAR(A14+45),MONTH(A14+45),1)</f>
        <v>42767</v>
      </c>
      <c r="B15" s="308">
        <v>230465769.88999999</v>
      </c>
      <c r="C15" s="308">
        <v>-15611327.4</v>
      </c>
      <c r="D15" s="308">
        <v>4763777.1100000003</v>
      </c>
      <c r="E15" s="308">
        <v>-36673342.630000003</v>
      </c>
      <c r="F15" s="308">
        <v>7090839.9299999997</v>
      </c>
      <c r="G15" s="308">
        <v>-4889166.9800000004</v>
      </c>
      <c r="H15" s="308">
        <v>-453616.94</v>
      </c>
      <c r="I15" s="308">
        <f t="shared" si="0"/>
        <v>181196820.95999998</v>
      </c>
      <c r="J15" s="307"/>
    </row>
    <row r="16" spans="1:10" s="325" customFormat="1" ht="15.75" customHeight="1">
      <c r="A16" s="330">
        <f t="shared" si="1"/>
        <v>42795</v>
      </c>
      <c r="B16" s="308">
        <v>234537476.19</v>
      </c>
      <c r="C16" s="308">
        <v>-16255222.939999999</v>
      </c>
      <c r="D16" s="308">
        <v>4884911.3600000003</v>
      </c>
      <c r="E16" s="308">
        <v>-37031489.859999999</v>
      </c>
      <c r="F16" s="308">
        <v>7090839.9299999997</v>
      </c>
      <c r="G16" s="308">
        <v>-4889166.9800000004</v>
      </c>
      <c r="H16" s="308">
        <v>-453616.94</v>
      </c>
      <c r="I16" s="308">
        <f t="shared" si="0"/>
        <v>184387618.73999998</v>
      </c>
      <c r="J16" s="307"/>
    </row>
    <row r="17" spans="1:10" s="325" customFormat="1" ht="15.75" customHeight="1">
      <c r="A17" s="330">
        <f t="shared" si="1"/>
        <v>42826</v>
      </c>
      <c r="B17" s="308">
        <v>238184140.47</v>
      </c>
      <c r="C17" s="308">
        <v>-16908737.559999999</v>
      </c>
      <c r="D17" s="308">
        <v>4936468.2699999996</v>
      </c>
      <c r="E17" s="308">
        <v>-37482100.799999997</v>
      </c>
      <c r="F17" s="308">
        <v>7090839.9299999997</v>
      </c>
      <c r="G17" s="308">
        <v>-4889166.9800000004</v>
      </c>
      <c r="H17" s="308">
        <v>-453616.94</v>
      </c>
      <c r="I17" s="308">
        <f t="shared" si="0"/>
        <v>186981714.36999997</v>
      </c>
      <c r="J17" s="307"/>
    </row>
    <row r="18" spans="1:10" s="325" customFormat="1" ht="15.75" customHeight="1">
      <c r="A18" s="330">
        <f t="shared" si="1"/>
        <v>42856</v>
      </c>
      <c r="B18" s="308">
        <v>241878074.94999999</v>
      </c>
      <c r="C18" s="308">
        <v>-17571754.370000001</v>
      </c>
      <c r="D18" s="308">
        <v>5120795.0999999996</v>
      </c>
      <c r="E18" s="308">
        <v>-38108993.939999998</v>
      </c>
      <c r="F18" s="308">
        <v>7090839.9299999997</v>
      </c>
      <c r="G18" s="308">
        <v>-4889166.9800000004</v>
      </c>
      <c r="H18" s="308">
        <v>-453616.94</v>
      </c>
      <c r="I18" s="308">
        <f t="shared" si="0"/>
        <v>189570065.72999996</v>
      </c>
      <c r="J18" s="307"/>
    </row>
    <row r="19" spans="1:10" s="325" customFormat="1" ht="15.75" customHeight="1">
      <c r="A19" s="330">
        <f t="shared" si="1"/>
        <v>42887</v>
      </c>
      <c r="B19" s="308">
        <v>244926833.38</v>
      </c>
      <c r="C19" s="308">
        <v>-18243773.18</v>
      </c>
      <c r="D19" s="308">
        <v>5308416.62</v>
      </c>
      <c r="E19" s="308">
        <v>-38810975.420000002</v>
      </c>
      <c r="F19" s="308">
        <v>7090839.9299999997</v>
      </c>
      <c r="G19" s="308">
        <v>-4889166.9800000004</v>
      </c>
      <c r="H19" s="308">
        <v>-453616.94</v>
      </c>
      <c r="I19" s="308">
        <f t="shared" si="0"/>
        <v>191432445.38999996</v>
      </c>
      <c r="J19" s="307"/>
    </row>
    <row r="20" spans="1:10" s="325" customFormat="1" ht="15.75" customHeight="1">
      <c r="A20" s="330">
        <f t="shared" si="1"/>
        <v>42917</v>
      </c>
      <c r="B20" s="308">
        <v>3037429.96</v>
      </c>
      <c r="C20" s="308">
        <v>-3483.1</v>
      </c>
      <c r="D20" s="308">
        <v>203541.69</v>
      </c>
      <c r="E20" s="308">
        <v>-180193.26101066667</v>
      </c>
      <c r="F20" s="308">
        <v>0</v>
      </c>
      <c r="G20" s="308">
        <v>0</v>
      </c>
      <c r="H20" s="308">
        <v>0</v>
      </c>
      <c r="I20" s="308">
        <f t="shared" si="0"/>
        <v>3057295.288989333</v>
      </c>
      <c r="J20" s="307"/>
    </row>
    <row r="21" spans="1:10" s="325" customFormat="1" ht="15.75" customHeight="1">
      <c r="A21" s="330">
        <f t="shared" si="1"/>
        <v>42948</v>
      </c>
      <c r="B21" s="308">
        <v>6302967</v>
      </c>
      <c r="C21" s="308">
        <v>-41623.97</v>
      </c>
      <c r="D21" s="308">
        <v>354600.65</v>
      </c>
      <c r="E21" s="308">
        <v>-553339.98</v>
      </c>
      <c r="F21" s="308">
        <v>0</v>
      </c>
      <c r="G21" s="308">
        <v>0</v>
      </c>
      <c r="H21" s="308">
        <v>0</v>
      </c>
      <c r="I21" s="308">
        <f t="shared" si="0"/>
        <v>6062603.7000000011</v>
      </c>
      <c r="J21" s="307"/>
    </row>
    <row r="22" spans="1:10" s="325" customFormat="1" ht="15.75" customHeight="1">
      <c r="A22" s="330">
        <f t="shared" si="1"/>
        <v>42979</v>
      </c>
      <c r="B22" s="308">
        <v>9459921.3599999994</v>
      </c>
      <c r="C22" s="308">
        <v>-60027.199999999997</v>
      </c>
      <c r="D22" s="308">
        <v>502267.67</v>
      </c>
      <c r="E22" s="308">
        <v>-1160546.54</v>
      </c>
      <c r="F22" s="308">
        <v>0</v>
      </c>
      <c r="G22" s="308">
        <v>0</v>
      </c>
      <c r="H22" s="308">
        <v>0</v>
      </c>
      <c r="I22" s="308">
        <f t="shared" si="0"/>
        <v>8741615.2899999991</v>
      </c>
      <c r="J22" s="307"/>
    </row>
    <row r="23" spans="1:10" s="325" customFormat="1" ht="15.75" customHeight="1">
      <c r="A23" s="330">
        <f t="shared" si="1"/>
        <v>43009</v>
      </c>
      <c r="B23" s="308">
        <v>13359775.57</v>
      </c>
      <c r="C23" s="308">
        <v>-86150.91</v>
      </c>
      <c r="D23" s="308">
        <v>903421.45</v>
      </c>
      <c r="E23" s="308">
        <v>-2028811.5</v>
      </c>
      <c r="F23" s="308">
        <v>0</v>
      </c>
      <c r="G23" s="308">
        <v>0</v>
      </c>
      <c r="H23" s="308">
        <v>0</v>
      </c>
      <c r="I23" s="308">
        <f t="shared" si="0"/>
        <v>12148234.609999999</v>
      </c>
      <c r="J23" s="307"/>
    </row>
    <row r="24" spans="1:10" s="325" customFormat="1" ht="15.75" customHeight="1">
      <c r="A24" s="330">
        <f t="shared" si="1"/>
        <v>43040</v>
      </c>
      <c r="B24" s="308">
        <v>16010268.99</v>
      </c>
      <c r="C24" s="308">
        <v>-119677.57</v>
      </c>
      <c r="D24" s="308">
        <v>1192482.7</v>
      </c>
      <c r="E24" s="308">
        <v>-2946106.56</v>
      </c>
      <c r="F24" s="308">
        <v>0</v>
      </c>
      <c r="G24" s="308">
        <v>0</v>
      </c>
      <c r="H24" s="308">
        <v>0</v>
      </c>
      <c r="I24" s="308">
        <f t="shared" si="0"/>
        <v>14136967.560000001</v>
      </c>
      <c r="J24" s="307"/>
    </row>
    <row r="25" spans="1:10" s="325" customFormat="1" ht="15.75" customHeight="1">
      <c r="A25" s="330">
        <f t="shared" si="1"/>
        <v>43070</v>
      </c>
      <c r="B25" s="308">
        <v>17681979.870000001</v>
      </c>
      <c r="C25" s="308">
        <v>-158385.18</v>
      </c>
      <c r="D25" s="308">
        <v>1643717.13</v>
      </c>
      <c r="E25" s="308">
        <v>-4031690.84</v>
      </c>
      <c r="F25" s="308">
        <v>0</v>
      </c>
      <c r="G25" s="308">
        <v>0</v>
      </c>
      <c r="H25" s="308">
        <v>0</v>
      </c>
      <c r="I25" s="308">
        <f t="shared" si="0"/>
        <v>15135620.98</v>
      </c>
      <c r="J25" s="307"/>
    </row>
    <row r="26" spans="1:10" s="325" customFormat="1" ht="15.75" customHeight="1">
      <c r="A26" s="328" t="str">
        <f>+"TOTAL for Year, "&amp;TEXT(A14,"mm/yy")&amp;" - "&amp;TEXT(A25,"mm/yy")</f>
        <v>TOTAL for Year, 01/17 - 12/17</v>
      </c>
      <c r="B26" s="307"/>
      <c r="C26" s="307"/>
      <c r="D26" s="307"/>
      <c r="E26" s="307"/>
      <c r="F26" s="307"/>
      <c r="G26" s="307"/>
      <c r="H26" s="307"/>
      <c r="I26" s="307"/>
      <c r="J26" s="307"/>
    </row>
    <row r="27" spans="1:10" ht="15.75" customHeight="1"/>
    <row r="28" spans="1:10" ht="15.75" customHeight="1"/>
    <row r="29" spans="1:10" ht="15.75" customHeight="1"/>
    <row r="30" spans="1:10" ht="15.75">
      <c r="A30" s="303" t="s">
        <v>414</v>
      </c>
      <c r="B30" s="324" t="s">
        <v>417</v>
      </c>
      <c r="C30" s="324" t="s">
        <v>418</v>
      </c>
      <c r="D30" s="324" t="s">
        <v>419</v>
      </c>
      <c r="E30" s="324" t="s">
        <v>420</v>
      </c>
      <c r="F30" s="324" t="s">
        <v>437</v>
      </c>
      <c r="G30" s="324" t="s">
        <v>438</v>
      </c>
      <c r="H30" s="324" t="s">
        <v>439</v>
      </c>
      <c r="I30" s="324" t="s">
        <v>440</v>
      </c>
    </row>
    <row r="31" spans="1:10" ht="15.75">
      <c r="A31" s="342"/>
      <c r="B31" s="323" t="s">
        <v>451</v>
      </c>
      <c r="C31" s="323" t="s">
        <v>451</v>
      </c>
      <c r="D31" s="323" t="s">
        <v>451</v>
      </c>
      <c r="E31" s="323" t="s">
        <v>451</v>
      </c>
      <c r="F31" s="323" t="s">
        <v>451</v>
      </c>
      <c r="G31" s="323" t="s">
        <v>451</v>
      </c>
      <c r="H31" s="323" t="s">
        <v>451</v>
      </c>
      <c r="I31" s="323" t="s">
        <v>451</v>
      </c>
    </row>
    <row r="32" spans="1:10" ht="15.75">
      <c r="A32" s="343" t="s">
        <v>452</v>
      </c>
      <c r="B32" s="323" t="s">
        <v>453</v>
      </c>
      <c r="C32" s="323" t="s">
        <v>454</v>
      </c>
      <c r="D32" s="323" t="s">
        <v>19</v>
      </c>
      <c r="E32" s="323" t="s">
        <v>455</v>
      </c>
      <c r="F32" s="323" t="s">
        <v>456</v>
      </c>
      <c r="G32" s="323" t="s">
        <v>454</v>
      </c>
      <c r="H32" s="323" t="s">
        <v>455</v>
      </c>
      <c r="I32" s="323" t="s">
        <v>457</v>
      </c>
    </row>
    <row r="33" spans="1:9" ht="15.75">
      <c r="A33" s="344" t="s">
        <v>108</v>
      </c>
      <c r="B33" s="303" t="s">
        <v>458</v>
      </c>
      <c r="C33" s="303" t="s">
        <v>459</v>
      </c>
      <c r="D33" s="303" t="s">
        <v>460</v>
      </c>
      <c r="E33" s="303" t="s">
        <v>461</v>
      </c>
      <c r="F33" s="303" t="s">
        <v>462</v>
      </c>
      <c r="G33" s="303" t="s">
        <v>463</v>
      </c>
      <c r="H33" s="303" t="s">
        <v>12</v>
      </c>
      <c r="I33" s="303" t="s">
        <v>464</v>
      </c>
    </row>
    <row r="34" spans="1:9" ht="15.75">
      <c r="A34" s="345"/>
      <c r="B34" s="324"/>
      <c r="C34" s="324"/>
      <c r="D34" s="324"/>
      <c r="E34" s="324"/>
      <c r="F34" s="324"/>
      <c r="G34" s="324"/>
      <c r="H34" s="324"/>
      <c r="I34" s="346" t="s">
        <v>466</v>
      </c>
    </row>
    <row r="35" spans="1:9" ht="15.75">
      <c r="A35" s="328" t="s">
        <v>435</v>
      </c>
      <c r="B35" s="307"/>
      <c r="C35" s="307"/>
      <c r="D35" s="307"/>
      <c r="E35" s="307"/>
      <c r="F35" s="307"/>
      <c r="G35" s="307"/>
      <c r="H35" s="307"/>
      <c r="I35" s="307"/>
    </row>
    <row r="36" spans="1:9" ht="15.75">
      <c r="A36" s="330">
        <f>A12</f>
        <v>42705</v>
      </c>
      <c r="B36" s="308"/>
      <c r="C36" s="308"/>
      <c r="D36" s="308"/>
      <c r="E36" s="308"/>
      <c r="F36" s="308"/>
      <c r="G36" s="308"/>
      <c r="H36" s="308"/>
      <c r="I36" s="308">
        <f t="shared" ref="I36" si="2">B36+C36+D36+E36-F36-G36-H36</f>
        <v>0</v>
      </c>
    </row>
    <row r="37" spans="1:9" ht="15.75">
      <c r="A37" s="330"/>
      <c r="B37" s="314"/>
      <c r="C37" s="314"/>
      <c r="D37" s="314"/>
      <c r="E37" s="314"/>
      <c r="F37" s="314"/>
      <c r="G37" s="314"/>
      <c r="H37" s="314"/>
      <c r="I37" s="314"/>
    </row>
    <row r="38" spans="1:9" ht="15.75">
      <c r="A38" s="330">
        <f>A14</f>
        <v>42736</v>
      </c>
      <c r="B38" s="308"/>
      <c r="C38" s="308"/>
      <c r="D38" s="308"/>
      <c r="E38" s="308"/>
      <c r="F38" s="308"/>
      <c r="G38" s="308"/>
      <c r="H38" s="308"/>
      <c r="I38" s="308">
        <f t="shared" ref="I38:I49" si="3">B38+C38+D38+E38-F38-G38-H38</f>
        <v>0</v>
      </c>
    </row>
    <row r="39" spans="1:9" ht="15.75">
      <c r="A39" s="330">
        <f t="shared" ref="A39:A49" si="4">A15</f>
        <v>42767</v>
      </c>
      <c r="B39" s="308"/>
      <c r="C39" s="308"/>
      <c r="D39" s="308"/>
      <c r="E39" s="308"/>
      <c r="F39" s="308"/>
      <c r="G39" s="308"/>
      <c r="H39" s="308"/>
      <c r="I39" s="308">
        <f t="shared" si="3"/>
        <v>0</v>
      </c>
    </row>
    <row r="40" spans="1:9" ht="15.75">
      <c r="A40" s="330">
        <f t="shared" si="4"/>
        <v>42795</v>
      </c>
      <c r="B40" s="308"/>
      <c r="C40" s="308"/>
      <c r="D40" s="308"/>
      <c r="E40" s="308"/>
      <c r="F40" s="308"/>
      <c r="G40" s="308"/>
      <c r="H40" s="308"/>
      <c r="I40" s="308">
        <f t="shared" si="3"/>
        <v>0</v>
      </c>
    </row>
    <row r="41" spans="1:9" ht="15.75">
      <c r="A41" s="330">
        <f t="shared" si="4"/>
        <v>42826</v>
      </c>
      <c r="B41" s="308"/>
      <c r="C41" s="308"/>
      <c r="D41" s="308"/>
      <c r="E41" s="308"/>
      <c r="F41" s="308"/>
      <c r="G41" s="308"/>
      <c r="H41" s="308"/>
      <c r="I41" s="308">
        <f t="shared" si="3"/>
        <v>0</v>
      </c>
    </row>
    <row r="42" spans="1:9" ht="15.75">
      <c r="A42" s="330">
        <f t="shared" si="4"/>
        <v>42856</v>
      </c>
      <c r="B42" s="308"/>
      <c r="C42" s="308"/>
      <c r="D42" s="308"/>
      <c r="E42" s="308"/>
      <c r="F42" s="308"/>
      <c r="G42" s="308"/>
      <c r="H42" s="308"/>
      <c r="I42" s="308">
        <f t="shared" si="3"/>
        <v>0</v>
      </c>
    </row>
    <row r="43" spans="1:9" ht="15.75">
      <c r="A43" s="330">
        <f t="shared" si="4"/>
        <v>42887</v>
      </c>
      <c r="B43" s="308"/>
      <c r="C43" s="308"/>
      <c r="D43" s="308"/>
      <c r="E43" s="308"/>
      <c r="F43" s="308"/>
      <c r="G43" s="308"/>
      <c r="H43" s="308"/>
      <c r="I43" s="308">
        <f t="shared" si="3"/>
        <v>0</v>
      </c>
    </row>
    <row r="44" spans="1:9" ht="15.75">
      <c r="A44" s="330">
        <f t="shared" si="4"/>
        <v>42917</v>
      </c>
      <c r="B44" s="308">
        <v>239723.06</v>
      </c>
      <c r="C44" s="308">
        <v>0</v>
      </c>
      <c r="D44" s="308">
        <v>0</v>
      </c>
      <c r="E44" s="308">
        <v>0</v>
      </c>
      <c r="F44" s="308">
        <v>0</v>
      </c>
      <c r="G44" s="308">
        <v>0</v>
      </c>
      <c r="H44" s="308">
        <v>0</v>
      </c>
      <c r="I44" s="308">
        <f t="shared" si="3"/>
        <v>239723.06</v>
      </c>
    </row>
    <row r="45" spans="1:9" ht="15.75">
      <c r="A45" s="330">
        <f t="shared" si="4"/>
        <v>42948</v>
      </c>
      <c r="B45" s="308">
        <v>310103.82</v>
      </c>
      <c r="C45" s="308">
        <v>0</v>
      </c>
      <c r="D45" s="308">
        <v>0</v>
      </c>
      <c r="E45" s="308">
        <v>0</v>
      </c>
      <c r="F45" s="308">
        <v>0</v>
      </c>
      <c r="G45" s="308">
        <v>0</v>
      </c>
      <c r="H45" s="308">
        <v>0</v>
      </c>
      <c r="I45" s="308">
        <f t="shared" si="3"/>
        <v>310103.82</v>
      </c>
    </row>
    <row r="46" spans="1:9" ht="15.75">
      <c r="A46" s="330">
        <f t="shared" si="4"/>
        <v>42979</v>
      </c>
      <c r="B46" s="308">
        <v>616593.06999999995</v>
      </c>
      <c r="C46" s="308">
        <v>0</v>
      </c>
      <c r="D46" s="308">
        <v>0</v>
      </c>
      <c r="E46" s="308">
        <v>0</v>
      </c>
      <c r="F46" s="308">
        <v>0</v>
      </c>
      <c r="G46" s="308">
        <v>0</v>
      </c>
      <c r="H46" s="308">
        <v>0</v>
      </c>
      <c r="I46" s="308">
        <f t="shared" si="3"/>
        <v>616593.06999999995</v>
      </c>
    </row>
    <row r="47" spans="1:9" ht="15.75">
      <c r="A47" s="330">
        <f t="shared" si="4"/>
        <v>43009</v>
      </c>
      <c r="B47" s="308">
        <v>1046533.85</v>
      </c>
      <c r="C47" s="308">
        <v>0</v>
      </c>
      <c r="D47" s="308">
        <v>0</v>
      </c>
      <c r="E47" s="308">
        <v>0</v>
      </c>
      <c r="F47" s="308">
        <v>0</v>
      </c>
      <c r="G47" s="308">
        <v>0</v>
      </c>
      <c r="H47" s="308">
        <v>0</v>
      </c>
      <c r="I47" s="308">
        <f t="shared" si="3"/>
        <v>1046533.85</v>
      </c>
    </row>
    <row r="48" spans="1:9" ht="15.75">
      <c r="A48" s="330">
        <f t="shared" si="4"/>
        <v>43040</v>
      </c>
      <c r="B48" s="308">
        <v>1439946.39</v>
      </c>
      <c r="C48" s="308">
        <v>0</v>
      </c>
      <c r="D48" s="308">
        <v>0</v>
      </c>
      <c r="E48" s="308">
        <v>0</v>
      </c>
      <c r="F48" s="308">
        <v>0</v>
      </c>
      <c r="G48" s="308">
        <v>0</v>
      </c>
      <c r="H48" s="308">
        <v>0</v>
      </c>
      <c r="I48" s="308">
        <f t="shared" si="3"/>
        <v>1439946.39</v>
      </c>
    </row>
    <row r="49" spans="1:9" ht="15.75">
      <c r="A49" s="330">
        <f t="shared" si="4"/>
        <v>43070</v>
      </c>
      <c r="B49" s="308">
        <v>3062641.2100000004</v>
      </c>
      <c r="C49" s="308">
        <v>0</v>
      </c>
      <c r="D49" s="308">
        <v>0</v>
      </c>
      <c r="E49" s="308">
        <v>0</v>
      </c>
      <c r="F49" s="308">
        <v>0</v>
      </c>
      <c r="G49" s="308">
        <v>0</v>
      </c>
      <c r="H49" s="308">
        <v>0</v>
      </c>
      <c r="I49" s="308">
        <f t="shared" si="3"/>
        <v>3062641.2100000004</v>
      </c>
    </row>
    <row r="50" spans="1:9" ht="15.75">
      <c r="A50" s="328" t="str">
        <f>+"TOTAL for Year, "&amp;TEXT(A38,"mm/yy")&amp;" - "&amp;TEXT(A49,"mm/yy")</f>
        <v>TOTAL for Year, 01/17 - 12/17</v>
      </c>
      <c r="B50" s="307"/>
      <c r="C50" s="307"/>
      <c r="D50" s="307"/>
      <c r="E50" s="307"/>
      <c r="F50" s="307"/>
      <c r="G50" s="307"/>
      <c r="H50" s="307"/>
      <c r="I50" s="307"/>
    </row>
  </sheetData>
  <pageMargins left="0.49" right="0.48" top="1.1000000000000001" bottom="0.75" header="0.5" footer="0.1"/>
  <pageSetup scale="62" orientation="landscape" r:id="rId1"/>
  <headerFooter scaleWithDoc="0" alignWithMargins="0">
    <oddFooter xml:space="preserve">&amp;R&amp;"Times New Roman,Bold"Exhibit 3
Page 3 of 4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="80" zoomScaleNormal="80" workbookViewId="0"/>
  </sheetViews>
  <sheetFormatPr defaultColWidth="9.140625" defaultRowHeight="12.75"/>
  <cols>
    <col min="1" max="1" width="30.7109375" style="267" customWidth="1"/>
    <col min="2" max="4" width="15.7109375" style="302" customWidth="1"/>
    <col min="5" max="5" width="15.7109375" style="267" customWidth="1"/>
    <col min="6" max="6" width="15.7109375" style="302" customWidth="1"/>
    <col min="7" max="7" width="9.140625" style="267" customWidth="1"/>
    <col min="8" max="9" width="9.140625" style="267"/>
    <col min="10" max="12" width="9.140625" style="267" customWidth="1"/>
    <col min="13" max="16384" width="9.140625" style="267"/>
  </cols>
  <sheetData>
    <row r="1" spans="1:13" ht="15.75">
      <c r="A1" s="429" t="s">
        <v>67</v>
      </c>
      <c r="B1" s="299"/>
      <c r="C1" s="299"/>
      <c r="D1" s="299"/>
      <c r="E1" s="300"/>
      <c r="F1" s="299"/>
    </row>
    <row r="2" spans="1:13" ht="15" customHeight="1">
      <c r="A2" s="347" t="s">
        <v>467</v>
      </c>
      <c r="B2" s="298"/>
      <c r="C2" s="298"/>
      <c r="D2" s="298"/>
      <c r="E2" s="298"/>
      <c r="F2" s="298"/>
    </row>
    <row r="3" spans="1:13" ht="15" customHeight="1">
      <c r="A3" s="347" t="str">
        <f>'OU Collection'!A3</f>
        <v>As of December 2017</v>
      </c>
      <c r="B3" s="301"/>
      <c r="C3" s="301"/>
      <c r="D3" s="301"/>
      <c r="E3" s="301"/>
      <c r="F3" s="301"/>
    </row>
    <row r="4" spans="1:13" ht="15" customHeight="1">
      <c r="C4" s="412"/>
      <c r="D4" s="412"/>
      <c r="E4" s="302"/>
    </row>
    <row r="5" spans="1:13" s="320" customFormat="1" ht="12.95" customHeight="1">
      <c r="B5" s="321"/>
      <c r="C5" s="412"/>
      <c r="D5" s="412"/>
      <c r="E5" s="321"/>
      <c r="F5" s="321"/>
    </row>
    <row r="6" spans="1:13" s="307" customFormat="1" ht="15.95" customHeight="1">
      <c r="A6" s="303" t="s">
        <v>399</v>
      </c>
      <c r="B6" s="324" t="s">
        <v>400</v>
      </c>
      <c r="C6" s="324" t="s">
        <v>401</v>
      </c>
      <c r="D6" s="324" t="s">
        <v>402</v>
      </c>
      <c r="E6" s="324" t="s">
        <v>403</v>
      </c>
      <c r="F6" s="324" t="s">
        <v>404</v>
      </c>
      <c r="I6" s="415"/>
      <c r="J6" s="415"/>
      <c r="K6" s="415"/>
      <c r="L6" s="415"/>
      <c r="M6" s="415"/>
    </row>
    <row r="7" spans="1:13" s="325" customFormat="1" ht="15.95" customHeight="1">
      <c r="A7" s="342"/>
      <c r="B7" s="323" t="s">
        <v>468</v>
      </c>
      <c r="C7" s="323"/>
      <c r="D7" s="323" t="s">
        <v>0</v>
      </c>
      <c r="E7" s="323"/>
      <c r="F7" s="323" t="s">
        <v>469</v>
      </c>
      <c r="I7" s="415"/>
      <c r="J7" s="415"/>
      <c r="K7" s="415"/>
      <c r="L7" s="415"/>
      <c r="M7" s="415"/>
    </row>
    <row r="8" spans="1:13" s="325" customFormat="1" ht="15.95" customHeight="1">
      <c r="A8" s="343" t="s">
        <v>452</v>
      </c>
      <c r="B8" s="323" t="s">
        <v>470</v>
      </c>
      <c r="C8" s="323" t="s">
        <v>0</v>
      </c>
      <c r="D8" s="323" t="s">
        <v>471</v>
      </c>
      <c r="E8" s="323" t="s">
        <v>472</v>
      </c>
      <c r="F8" s="323" t="s">
        <v>473</v>
      </c>
      <c r="I8" s="415"/>
      <c r="J8" s="415"/>
      <c r="K8" s="415"/>
      <c r="L8" s="415"/>
      <c r="M8" s="415"/>
    </row>
    <row r="9" spans="1:13" s="325" customFormat="1" ht="15.95" customHeight="1">
      <c r="A9" s="344" t="s">
        <v>108</v>
      </c>
      <c r="B9" s="303" t="s">
        <v>452</v>
      </c>
      <c r="C9" s="303" t="s">
        <v>452</v>
      </c>
      <c r="D9" s="303" t="s">
        <v>12</v>
      </c>
      <c r="E9" s="303" t="s">
        <v>452</v>
      </c>
      <c r="F9" s="303" t="s">
        <v>474</v>
      </c>
      <c r="I9" s="415"/>
      <c r="J9" s="415"/>
      <c r="K9" s="415"/>
      <c r="L9" s="415"/>
      <c r="M9" s="415"/>
    </row>
    <row r="10" spans="1:13" s="325" customFormat="1" ht="15.95" customHeight="1">
      <c r="A10" s="348"/>
      <c r="B10" s="306"/>
      <c r="C10" s="306"/>
      <c r="D10" s="306"/>
      <c r="E10" s="306"/>
      <c r="F10" s="326" t="s">
        <v>475</v>
      </c>
      <c r="I10" s="415"/>
      <c r="J10" s="415"/>
      <c r="K10" s="415"/>
      <c r="L10" s="415"/>
      <c r="M10" s="415"/>
    </row>
    <row r="11" spans="1:13" s="325" customFormat="1" ht="15.95" customHeight="1">
      <c r="A11" s="330">
        <v>42736</v>
      </c>
      <c r="B11" s="308">
        <v>73315.010000000009</v>
      </c>
      <c r="C11" s="308">
        <v>625021.25</v>
      </c>
      <c r="D11" s="308">
        <v>-22304.98</v>
      </c>
      <c r="E11" s="314">
        <v>215880</v>
      </c>
      <c r="F11" s="308">
        <f>SUM(B11:E11)</f>
        <v>891911.28</v>
      </c>
      <c r="G11" s="307"/>
      <c r="I11" s="415"/>
      <c r="J11" s="415"/>
      <c r="K11" s="415"/>
      <c r="L11" s="415"/>
      <c r="M11" s="415"/>
    </row>
    <row r="12" spans="1:13" s="325" customFormat="1" ht="15.95" customHeight="1">
      <c r="A12" s="330">
        <f t="shared" ref="A12:A22" si="0">DATE(YEAR(A11+45),MONTH(A11+45),1)</f>
        <v>42767</v>
      </c>
      <c r="B12" s="308">
        <v>9078.5800000000072</v>
      </c>
      <c r="C12" s="308">
        <v>634265.19999999995</v>
      </c>
      <c r="D12" s="308">
        <v>-22304.98</v>
      </c>
      <c r="E12" s="314">
        <v>215880</v>
      </c>
      <c r="F12" s="311">
        <f>SUM(B12:E12)</f>
        <v>836918.79999999993</v>
      </c>
      <c r="G12" s="307"/>
      <c r="I12" s="415"/>
      <c r="J12" s="415"/>
      <c r="K12" s="415"/>
      <c r="L12" s="415"/>
      <c r="M12" s="415"/>
    </row>
    <row r="13" spans="1:13" s="325" customFormat="1" ht="15.95" customHeight="1">
      <c r="A13" s="330">
        <f t="shared" si="0"/>
        <v>42795</v>
      </c>
      <c r="B13" s="308">
        <v>14185.92</v>
      </c>
      <c r="C13" s="308">
        <v>643895.54</v>
      </c>
      <c r="D13" s="308">
        <v>-22304.98</v>
      </c>
      <c r="E13" s="314">
        <v>215880</v>
      </c>
      <c r="F13" s="311">
        <f t="shared" ref="F13:F22" si="1">SUM(B13:E13)</f>
        <v>851656.4800000001</v>
      </c>
      <c r="G13" s="307"/>
      <c r="I13" s="415"/>
      <c r="J13" s="415"/>
      <c r="K13" s="415"/>
      <c r="L13" s="415"/>
      <c r="M13" s="415"/>
    </row>
    <row r="14" spans="1:13" s="325" customFormat="1" ht="15.95" customHeight="1">
      <c r="A14" s="330">
        <f t="shared" si="0"/>
        <v>42826</v>
      </c>
      <c r="B14" s="308">
        <v>-101343.68999999999</v>
      </c>
      <c r="C14" s="308">
        <v>653514.62</v>
      </c>
      <c r="D14" s="308">
        <v>-22304.98</v>
      </c>
      <c r="E14" s="314">
        <v>215880</v>
      </c>
      <c r="F14" s="311">
        <f t="shared" si="1"/>
        <v>745745.95000000007</v>
      </c>
      <c r="G14" s="307"/>
      <c r="I14" s="415"/>
      <c r="J14" s="415"/>
      <c r="K14" s="415"/>
      <c r="L14" s="415"/>
      <c r="M14" s="415"/>
    </row>
    <row r="15" spans="1:13" s="325" customFormat="1" ht="15.95" customHeight="1">
      <c r="A15" s="330">
        <f t="shared" si="0"/>
        <v>42856</v>
      </c>
      <c r="B15" s="308">
        <v>25340.609999999982</v>
      </c>
      <c r="C15" s="308">
        <v>663016.81000000006</v>
      </c>
      <c r="D15" s="308">
        <v>-22304.98</v>
      </c>
      <c r="E15" s="314">
        <v>215880</v>
      </c>
      <c r="F15" s="311">
        <f t="shared" si="1"/>
        <v>881932.44000000006</v>
      </c>
      <c r="G15" s="307"/>
      <c r="I15" s="415"/>
      <c r="J15" s="415"/>
      <c r="K15" s="415"/>
      <c r="L15" s="415"/>
      <c r="M15" s="415"/>
    </row>
    <row r="16" spans="1:13" s="325" customFormat="1" ht="15.95" customHeight="1">
      <c r="A16" s="330">
        <f t="shared" si="0"/>
        <v>42887</v>
      </c>
      <c r="B16" s="308">
        <v>46261.820000000007</v>
      </c>
      <c r="C16" s="308">
        <v>672018.81</v>
      </c>
      <c r="D16" s="308">
        <v>-22304.98</v>
      </c>
      <c r="E16" s="314">
        <v>215880</v>
      </c>
      <c r="F16" s="311">
        <f t="shared" si="1"/>
        <v>911855.65000000014</v>
      </c>
      <c r="G16" s="307"/>
      <c r="I16" s="415"/>
      <c r="J16" s="415"/>
      <c r="K16" s="415"/>
      <c r="L16" s="415"/>
      <c r="M16" s="415"/>
    </row>
    <row r="17" spans="1:13" s="325" customFormat="1" ht="15.95" customHeight="1">
      <c r="A17" s="330">
        <f t="shared" si="0"/>
        <v>42917</v>
      </c>
      <c r="B17" s="308">
        <v>62063.899999999994</v>
      </c>
      <c r="C17" s="308">
        <v>3483.1</v>
      </c>
      <c r="D17" s="308">
        <v>0</v>
      </c>
      <c r="E17" s="314">
        <v>0</v>
      </c>
      <c r="F17" s="311">
        <f t="shared" si="1"/>
        <v>65547</v>
      </c>
      <c r="G17" s="307"/>
      <c r="I17" s="415"/>
      <c r="J17" s="415"/>
      <c r="K17" s="415"/>
      <c r="L17" s="415"/>
      <c r="M17" s="415"/>
    </row>
    <row r="18" spans="1:13" s="325" customFormat="1" ht="15.95" customHeight="1">
      <c r="A18" s="330">
        <f t="shared" si="0"/>
        <v>42948</v>
      </c>
      <c r="B18" s="308">
        <v>85274.15</v>
      </c>
      <c r="C18" s="308">
        <v>38140.870000000003</v>
      </c>
      <c r="D18" s="308">
        <v>0</v>
      </c>
      <c r="E18" s="314">
        <v>0</v>
      </c>
      <c r="F18" s="311">
        <f t="shared" si="1"/>
        <v>123415.01999999999</v>
      </c>
      <c r="G18" s="307"/>
      <c r="I18" s="415"/>
      <c r="J18" s="415"/>
      <c r="K18" s="415"/>
      <c r="L18" s="415"/>
      <c r="M18" s="415"/>
    </row>
    <row r="19" spans="1:13" s="325" customFormat="1" ht="15.95" customHeight="1">
      <c r="A19" s="330">
        <f t="shared" si="0"/>
        <v>42979</v>
      </c>
      <c r="B19" s="308">
        <v>64736.08</v>
      </c>
      <c r="C19" s="308">
        <v>18403.23</v>
      </c>
      <c r="D19" s="308">
        <v>0</v>
      </c>
      <c r="E19" s="314">
        <v>0</v>
      </c>
      <c r="F19" s="311">
        <f t="shared" si="1"/>
        <v>83139.31</v>
      </c>
      <c r="G19" s="307"/>
      <c r="I19" s="415"/>
      <c r="J19" s="415"/>
      <c r="K19" s="415"/>
      <c r="L19" s="415"/>
      <c r="M19" s="415"/>
    </row>
    <row r="20" spans="1:13" s="325" customFormat="1" ht="15.95" customHeight="1">
      <c r="A20" s="330">
        <f t="shared" si="0"/>
        <v>43009</v>
      </c>
      <c r="B20" s="308">
        <v>107597.89000000001</v>
      </c>
      <c r="C20" s="308">
        <v>26123.71</v>
      </c>
      <c r="D20" s="308">
        <v>0</v>
      </c>
      <c r="E20" s="314">
        <v>0</v>
      </c>
      <c r="F20" s="311">
        <f t="shared" si="1"/>
        <v>133721.60000000001</v>
      </c>
      <c r="G20" s="307"/>
      <c r="I20" s="415"/>
      <c r="J20" s="415"/>
      <c r="K20" s="415"/>
      <c r="L20" s="415"/>
      <c r="M20" s="415"/>
    </row>
    <row r="21" spans="1:13" s="325" customFormat="1" ht="15.95" customHeight="1">
      <c r="A21" s="330">
        <f t="shared" si="0"/>
        <v>43040</v>
      </c>
      <c r="B21" s="308">
        <v>78694.020000000019</v>
      </c>
      <c r="C21" s="308">
        <v>33526.660000000003</v>
      </c>
      <c r="D21" s="308">
        <v>0</v>
      </c>
      <c r="E21" s="314">
        <v>0</v>
      </c>
      <c r="F21" s="311">
        <f t="shared" si="1"/>
        <v>112220.68000000002</v>
      </c>
      <c r="G21" s="307"/>
      <c r="I21" s="415"/>
      <c r="J21" s="415"/>
      <c r="K21" s="415"/>
      <c r="L21" s="415"/>
      <c r="M21" s="415"/>
    </row>
    <row r="22" spans="1:13" s="325" customFormat="1" ht="15.95" customHeight="1">
      <c r="A22" s="330">
        <f t="shared" si="0"/>
        <v>43070</v>
      </c>
      <c r="B22" s="308">
        <v>88839.3</v>
      </c>
      <c r="C22" s="308">
        <v>38707.61</v>
      </c>
      <c r="D22" s="308">
        <v>0</v>
      </c>
      <c r="E22" s="314">
        <v>0</v>
      </c>
      <c r="F22" s="313">
        <f t="shared" si="1"/>
        <v>127546.91</v>
      </c>
      <c r="G22" s="307"/>
      <c r="I22" s="415"/>
      <c r="J22" s="415"/>
      <c r="K22" s="415"/>
      <c r="L22" s="415"/>
      <c r="M22" s="415"/>
    </row>
    <row r="23" spans="1:13" s="325" customFormat="1" ht="18" customHeight="1" thickBot="1">
      <c r="A23" s="349" t="str">
        <f>+"TOTAL for Year, "&amp;TEXT(A11,"mm/yy")&amp;" - "&amp;TEXT(A22,"mm/yy")</f>
        <v>TOTAL for Year, 01/17 - 12/17</v>
      </c>
      <c r="B23" s="316">
        <f>SUM(B11:B22)</f>
        <v>554043.59000000008</v>
      </c>
      <c r="C23" s="316">
        <f>SUM(C11:C22)</f>
        <v>4050117.41</v>
      </c>
      <c r="D23" s="316">
        <f>SUM(D11:D22)</f>
        <v>-133829.88</v>
      </c>
      <c r="E23" s="316">
        <f>SUM(E11:E22)</f>
        <v>1295280</v>
      </c>
      <c r="F23" s="316">
        <f>SUM(F11:F22)</f>
        <v>5765611.1199999992</v>
      </c>
      <c r="G23" s="307"/>
      <c r="I23" s="415"/>
      <c r="J23" s="415"/>
      <c r="K23" s="415"/>
      <c r="L23" s="415"/>
      <c r="M23" s="415"/>
    </row>
    <row r="24" spans="1:13" ht="15.75" customHeight="1" thickTop="1">
      <c r="A24" s="333"/>
      <c r="E24" s="302"/>
      <c r="G24" s="302"/>
      <c r="I24" s="415"/>
      <c r="J24" s="415"/>
      <c r="K24" s="415"/>
      <c r="L24" s="415"/>
      <c r="M24" s="415"/>
    </row>
    <row r="25" spans="1:13" s="415" customFormat="1" ht="15.75" customHeight="1">
      <c r="A25" s="414"/>
      <c r="B25" s="414"/>
      <c r="C25" s="414"/>
      <c r="D25" s="414"/>
      <c r="E25" s="414"/>
      <c r="F25" s="414"/>
      <c r="G25" s="414"/>
    </row>
    <row r="26" spans="1:13" s="415" customFormat="1" ht="15.75" customHeight="1"/>
    <row r="27" spans="1:13" s="415" customFormat="1" ht="15.75">
      <c r="A27" s="303" t="s">
        <v>414</v>
      </c>
      <c r="B27" s="324" t="s">
        <v>405</v>
      </c>
      <c r="C27" s="324" t="s">
        <v>415</v>
      </c>
      <c r="D27" s="324" t="s">
        <v>416</v>
      </c>
      <c r="E27" s="324" t="s">
        <v>417</v>
      </c>
      <c r="F27" s="324" t="s">
        <v>418</v>
      </c>
    </row>
    <row r="28" spans="1:13" s="415" customFormat="1" ht="15.75">
      <c r="A28" s="342"/>
      <c r="B28" s="323" t="s">
        <v>468</v>
      </c>
      <c r="C28" s="323"/>
      <c r="D28" s="323" t="s">
        <v>0</v>
      </c>
      <c r="E28" s="323"/>
      <c r="F28" s="323" t="s">
        <v>469</v>
      </c>
    </row>
    <row r="29" spans="1:13" s="415" customFormat="1" ht="15.75">
      <c r="A29" s="343" t="s">
        <v>452</v>
      </c>
      <c r="B29" s="323" t="s">
        <v>470</v>
      </c>
      <c r="C29" s="323" t="s">
        <v>0</v>
      </c>
      <c r="D29" s="323" t="s">
        <v>471</v>
      </c>
      <c r="E29" s="323" t="s">
        <v>472</v>
      </c>
      <c r="F29" s="323" t="s">
        <v>473</v>
      </c>
    </row>
    <row r="30" spans="1:13" s="415" customFormat="1" ht="15.75">
      <c r="A30" s="344" t="s">
        <v>108</v>
      </c>
      <c r="B30" s="303" t="s">
        <v>452</v>
      </c>
      <c r="C30" s="303" t="s">
        <v>452</v>
      </c>
      <c r="D30" s="303" t="s">
        <v>12</v>
      </c>
      <c r="E30" s="303" t="s">
        <v>452</v>
      </c>
      <c r="F30" s="303" t="s">
        <v>474</v>
      </c>
    </row>
    <row r="31" spans="1:13" s="415" customFormat="1" ht="15.75">
      <c r="A31" s="348"/>
      <c r="B31" s="306"/>
      <c r="C31" s="306"/>
      <c r="D31" s="306"/>
      <c r="E31" s="306"/>
      <c r="F31" s="326" t="s">
        <v>476</v>
      </c>
    </row>
    <row r="32" spans="1:13" ht="15.75">
      <c r="A32" s="330">
        <f>A11</f>
        <v>42736</v>
      </c>
      <c r="B32" s="308"/>
      <c r="C32" s="308"/>
      <c r="D32" s="308"/>
      <c r="E32" s="314"/>
      <c r="F32" s="308">
        <f>SUM(B32:E32)</f>
        <v>0</v>
      </c>
    </row>
    <row r="33" spans="1:6" ht="15.75">
      <c r="A33" s="330">
        <f t="shared" ref="A33:A43" si="2">A12</f>
        <v>42767</v>
      </c>
      <c r="B33" s="308"/>
      <c r="C33" s="308"/>
      <c r="D33" s="308"/>
      <c r="E33" s="314"/>
      <c r="F33" s="311">
        <f>SUM(B33:E33)</f>
        <v>0</v>
      </c>
    </row>
    <row r="34" spans="1:6" ht="15.75">
      <c r="A34" s="330">
        <f t="shared" si="2"/>
        <v>42795</v>
      </c>
      <c r="B34" s="308"/>
      <c r="C34" s="308"/>
      <c r="D34" s="308"/>
      <c r="E34" s="314"/>
      <c r="F34" s="311">
        <f t="shared" ref="F34:F43" si="3">SUM(B34:E34)</f>
        <v>0</v>
      </c>
    </row>
    <row r="35" spans="1:6" ht="15.75">
      <c r="A35" s="330">
        <f t="shared" si="2"/>
        <v>42826</v>
      </c>
      <c r="B35" s="308"/>
      <c r="C35" s="308"/>
      <c r="D35" s="308"/>
      <c r="E35" s="314"/>
      <c r="F35" s="311">
        <f t="shared" si="3"/>
        <v>0</v>
      </c>
    </row>
    <row r="36" spans="1:6" ht="15.75">
      <c r="A36" s="330">
        <f t="shared" si="2"/>
        <v>42856</v>
      </c>
      <c r="B36" s="308"/>
      <c r="C36" s="308"/>
      <c r="D36" s="308"/>
      <c r="E36" s="314"/>
      <c r="F36" s="311">
        <f t="shared" si="3"/>
        <v>0</v>
      </c>
    </row>
    <row r="37" spans="1:6" ht="15.75">
      <c r="A37" s="330">
        <f t="shared" si="2"/>
        <v>42887</v>
      </c>
      <c r="B37" s="308"/>
      <c r="C37" s="308"/>
      <c r="D37" s="308"/>
      <c r="E37" s="314"/>
      <c r="F37" s="311">
        <f t="shared" si="3"/>
        <v>0</v>
      </c>
    </row>
    <row r="38" spans="1:6" ht="15.75">
      <c r="A38" s="330">
        <f t="shared" si="2"/>
        <v>42917</v>
      </c>
      <c r="B38" s="308">
        <v>0</v>
      </c>
      <c r="C38" s="308">
        <v>0</v>
      </c>
      <c r="D38" s="308">
        <v>0</v>
      </c>
      <c r="E38" s="314">
        <v>0</v>
      </c>
      <c r="F38" s="311">
        <f t="shared" si="3"/>
        <v>0</v>
      </c>
    </row>
    <row r="39" spans="1:6" ht="15.75">
      <c r="A39" s="330">
        <f t="shared" si="2"/>
        <v>42948</v>
      </c>
      <c r="B39" s="308">
        <v>0</v>
      </c>
      <c r="C39" s="308">
        <v>0</v>
      </c>
      <c r="D39" s="308">
        <v>0</v>
      </c>
      <c r="E39" s="314">
        <v>0</v>
      </c>
      <c r="F39" s="311">
        <f t="shared" si="3"/>
        <v>0</v>
      </c>
    </row>
    <row r="40" spans="1:6" ht="15.75">
      <c r="A40" s="330">
        <f t="shared" si="2"/>
        <v>42979</v>
      </c>
      <c r="B40" s="308">
        <v>0</v>
      </c>
      <c r="C40" s="308">
        <v>0</v>
      </c>
      <c r="D40" s="308">
        <v>0</v>
      </c>
      <c r="E40" s="314">
        <v>0</v>
      </c>
      <c r="F40" s="311">
        <f t="shared" si="3"/>
        <v>0</v>
      </c>
    </row>
    <row r="41" spans="1:6" ht="15.75">
      <c r="A41" s="330">
        <f t="shared" si="2"/>
        <v>43009</v>
      </c>
      <c r="B41" s="308">
        <v>0</v>
      </c>
      <c r="C41" s="308">
        <v>0</v>
      </c>
      <c r="D41" s="308">
        <v>0</v>
      </c>
      <c r="E41" s="314">
        <v>0</v>
      </c>
      <c r="F41" s="311">
        <f t="shared" si="3"/>
        <v>0</v>
      </c>
    </row>
    <row r="42" spans="1:6" ht="15.75">
      <c r="A42" s="330">
        <f t="shared" si="2"/>
        <v>43040</v>
      </c>
      <c r="B42" s="308">
        <v>0</v>
      </c>
      <c r="C42" s="308">
        <v>0</v>
      </c>
      <c r="D42" s="308">
        <v>0</v>
      </c>
      <c r="E42" s="314">
        <v>0</v>
      </c>
      <c r="F42" s="311">
        <f t="shared" si="3"/>
        <v>0</v>
      </c>
    </row>
    <row r="43" spans="1:6" ht="15.75">
      <c r="A43" s="330">
        <f t="shared" si="2"/>
        <v>43070</v>
      </c>
      <c r="B43" s="308">
        <v>0</v>
      </c>
      <c r="C43" s="308">
        <v>0</v>
      </c>
      <c r="D43" s="308">
        <v>0</v>
      </c>
      <c r="E43" s="314">
        <v>0</v>
      </c>
      <c r="F43" s="313">
        <f t="shared" si="3"/>
        <v>0</v>
      </c>
    </row>
    <row r="44" spans="1:6" ht="16.5" thickBot="1">
      <c r="A44" s="349" t="str">
        <f>+"TOTAL for Year, "&amp;TEXT(A32,"mm/yy")&amp;" - "&amp;TEXT(A43,"mm/yy")</f>
        <v>TOTAL for Year, 01/17 - 12/17</v>
      </c>
      <c r="B44" s="316">
        <f>SUM(B32:B43)</f>
        <v>0</v>
      </c>
      <c r="C44" s="316">
        <f>SUM(C32:C43)</f>
        <v>0</v>
      </c>
      <c r="D44" s="316">
        <f>SUM(D32:D43)</f>
        <v>0</v>
      </c>
      <c r="E44" s="316">
        <f>SUM(E32:E43)</f>
        <v>0</v>
      </c>
      <c r="F44" s="316">
        <f>SUM(F32:F43)</f>
        <v>0</v>
      </c>
    </row>
    <row r="45" spans="1:6" ht="13.5" thickTop="1"/>
  </sheetData>
  <pageMargins left="1" right="0.5" top="1.85" bottom="0.5" header="0.5" footer="0.1"/>
  <pageSetup scale="83" orientation="portrait" r:id="rId1"/>
  <headerFooter scaleWithDoc="0" alignWithMargins="0">
    <oddHeader>&amp;R&amp;"Times New Roman,Bold"Exhibit 3
Page 4 of 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2.75"/>
  <cols>
    <col min="1" max="16384" width="9.140625" style="250"/>
  </cols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8576"/>
  <sheetViews>
    <sheetView zoomScale="55" zoomScaleNormal="55" workbookViewId="0"/>
  </sheetViews>
  <sheetFormatPr defaultRowHeight="20.25"/>
  <cols>
    <col min="1" max="1" width="9" style="69" customWidth="1"/>
    <col min="2" max="2" width="9.140625" style="69"/>
    <col min="3" max="3" width="60.7109375" style="69" customWidth="1"/>
    <col min="4" max="17" width="19.140625" style="69" customWidth="1"/>
    <col min="18" max="18" width="13.7109375" customWidth="1"/>
    <col min="19" max="19" width="18.7109375" style="69" customWidth="1"/>
    <col min="20" max="20" width="18" style="69" customWidth="1"/>
    <col min="21" max="21" width="17" style="69" customWidth="1"/>
    <col min="22" max="22" width="14.7109375" style="69" bestFit="1" customWidth="1"/>
    <col min="23" max="23" width="14.5703125" style="69" bestFit="1" customWidth="1"/>
    <col min="24" max="24" width="13.140625" style="69" bestFit="1" customWidth="1"/>
    <col min="25" max="25" width="14" style="69" customWidth="1"/>
    <col min="26" max="26" width="15.5703125" style="69" customWidth="1"/>
    <col min="27" max="27" width="14.42578125" style="69" bestFit="1" customWidth="1"/>
    <col min="28" max="28" width="14.85546875" style="69" customWidth="1"/>
    <col min="29" max="29" width="15.7109375" style="69" customWidth="1"/>
    <col min="30" max="30" width="13.42578125" style="69" customWidth="1"/>
    <col min="31" max="31" width="12.140625" style="69" bestFit="1" customWidth="1"/>
    <col min="32" max="32" width="16.5703125" style="69" customWidth="1"/>
    <col min="33" max="33" width="14.42578125" style="69" customWidth="1"/>
    <col min="34" max="34" width="15.140625" style="69" customWidth="1"/>
    <col min="35" max="35" width="9.42578125" style="69" bestFit="1" customWidth="1"/>
    <col min="36" max="36" width="12.7109375" style="69" customWidth="1"/>
    <col min="37" max="16384" width="9.140625" style="69"/>
  </cols>
  <sheetData>
    <row r="1" spans="1:36">
      <c r="A1" s="190" t="s">
        <v>67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36">
      <c r="A2" s="190" t="s">
        <v>273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36">
      <c r="A3" s="190" t="s">
        <v>79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4" spans="1:36" s="34" customFormat="1">
      <c r="A4" s="70"/>
      <c r="D4" s="31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4" customFormat="1">
      <c r="D5" s="223" t="s">
        <v>379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6"/>
      <c r="R5"/>
      <c r="U5" s="15"/>
      <c r="V5" s="14"/>
      <c r="W5" s="14"/>
      <c r="X5" s="14"/>
      <c r="Y5" s="14"/>
      <c r="Z5" s="14"/>
      <c r="AA5" s="14"/>
      <c r="AB5" s="14"/>
      <c r="AC5" s="439"/>
      <c r="AD5" s="439"/>
      <c r="AE5" s="439"/>
      <c r="AF5" s="439"/>
      <c r="AG5" s="439"/>
      <c r="AH5" s="439"/>
      <c r="AI5" s="439"/>
      <c r="AJ5" s="439"/>
    </row>
    <row r="6" spans="1:36" s="34" customFormat="1">
      <c r="A6" s="221" t="s">
        <v>4</v>
      </c>
      <c r="B6" s="35"/>
      <c r="D6" s="110">
        <v>2017</v>
      </c>
      <c r="E6" s="90">
        <v>2018</v>
      </c>
      <c r="F6" s="90">
        <f>$E$6</f>
        <v>2018</v>
      </c>
      <c r="G6" s="90">
        <f>$E$6</f>
        <v>2018</v>
      </c>
      <c r="H6" s="90">
        <f>$E$6</f>
        <v>2018</v>
      </c>
      <c r="I6" s="90">
        <f>$E$6</f>
        <v>2018</v>
      </c>
      <c r="J6" s="90">
        <f>$E$6</f>
        <v>2018</v>
      </c>
      <c r="K6" s="90">
        <f t="shared" ref="K6:Q6" si="0">$E$6</f>
        <v>2018</v>
      </c>
      <c r="L6" s="90">
        <f t="shared" si="0"/>
        <v>2018</v>
      </c>
      <c r="M6" s="90">
        <f t="shared" si="0"/>
        <v>2018</v>
      </c>
      <c r="N6" s="90">
        <f t="shared" si="0"/>
        <v>2018</v>
      </c>
      <c r="O6" s="90">
        <f t="shared" si="0"/>
        <v>2018</v>
      </c>
      <c r="P6" s="90">
        <f t="shared" si="0"/>
        <v>2018</v>
      </c>
      <c r="Q6" s="128">
        <f t="shared" si="0"/>
        <v>2018</v>
      </c>
      <c r="R6"/>
      <c r="U6" s="90"/>
      <c r="V6" s="16"/>
      <c r="W6" s="90"/>
      <c r="X6" s="90"/>
      <c r="Y6" s="90"/>
      <c r="Z6" s="90"/>
      <c r="AA6" s="90"/>
      <c r="AB6" s="90"/>
      <c r="AC6" s="90"/>
      <c r="AD6" s="90"/>
      <c r="AE6" s="90"/>
      <c r="AF6" s="16"/>
      <c r="AG6" s="90"/>
      <c r="AH6" s="90"/>
      <c r="AI6" s="90"/>
      <c r="AJ6" s="90"/>
    </row>
    <row r="7" spans="1:36" s="34" customFormat="1">
      <c r="A7" s="71" t="s">
        <v>5</v>
      </c>
      <c r="B7" s="35"/>
      <c r="C7" s="71" t="s">
        <v>6</v>
      </c>
      <c r="D7" s="112" t="s">
        <v>107</v>
      </c>
      <c r="E7" s="72" t="s">
        <v>95</v>
      </c>
      <c r="F7" s="72" t="s">
        <v>98</v>
      </c>
      <c r="G7" s="72" t="s">
        <v>99</v>
      </c>
      <c r="H7" s="72" t="s">
        <v>100</v>
      </c>
      <c r="I7" s="72" t="s">
        <v>88</v>
      </c>
      <c r="J7" s="72" t="s">
        <v>101</v>
      </c>
      <c r="K7" s="72" t="s">
        <v>102</v>
      </c>
      <c r="L7" s="72" t="s">
        <v>103</v>
      </c>
      <c r="M7" s="72" t="s">
        <v>104</v>
      </c>
      <c r="N7" s="72" t="s">
        <v>105</v>
      </c>
      <c r="O7" s="72" t="s">
        <v>106</v>
      </c>
      <c r="P7" s="72" t="s">
        <v>107</v>
      </c>
      <c r="Q7" s="113" t="s">
        <v>372</v>
      </c>
      <c r="R7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16"/>
      <c r="AG7" s="90"/>
      <c r="AH7" s="90"/>
      <c r="AI7" s="90"/>
      <c r="AJ7" s="90"/>
    </row>
    <row r="8" spans="1:36" s="34" customFormat="1">
      <c r="A8" s="221"/>
      <c r="B8" s="35"/>
      <c r="C8" s="73">
        <v>-1</v>
      </c>
      <c r="D8" s="114">
        <v>-2</v>
      </c>
      <c r="E8" s="115">
        <v>-3</v>
      </c>
      <c r="F8" s="115">
        <v>-4</v>
      </c>
      <c r="G8" s="115">
        <v>-5</v>
      </c>
      <c r="H8" s="115">
        <v>-6</v>
      </c>
      <c r="I8" s="115">
        <v>-7</v>
      </c>
      <c r="J8" s="115">
        <v>-8</v>
      </c>
      <c r="K8" s="115">
        <v>-9</v>
      </c>
      <c r="L8" s="115">
        <v>-10</v>
      </c>
      <c r="M8" s="115">
        <v>-11</v>
      </c>
      <c r="N8" s="115">
        <v>-12</v>
      </c>
      <c r="O8" s="115">
        <v>-13</v>
      </c>
      <c r="P8" s="115">
        <v>-14</v>
      </c>
      <c r="Q8" s="116">
        <v>-15</v>
      </c>
      <c r="R8"/>
      <c r="U8" s="90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4" customFormat="1">
      <c r="A9" s="35"/>
      <c r="B9" s="35"/>
      <c r="D9" s="117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18"/>
      <c r="R9"/>
      <c r="U9" s="90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4" customFormat="1">
      <c r="A10" s="35"/>
      <c r="B10" s="74" t="s">
        <v>51</v>
      </c>
      <c r="D10" s="117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1"/>
      <c r="Q10" s="118"/>
      <c r="R10"/>
      <c r="U10" s="90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4" customFormat="1">
      <c r="A11" s="35">
        <v>1</v>
      </c>
      <c r="B11" s="35"/>
      <c r="C11" s="75" t="s">
        <v>481</v>
      </c>
      <c r="D11" s="365">
        <f>'Rev Req 2017-Distr'!P11</f>
        <v>17681979.870000001</v>
      </c>
      <c r="E11" s="366">
        <f>SUM('201801 Bk Depr'!R13,'201801 Bk Depr'!R14:R16,'201801 Bk Depr'!R20,'201801 Bk Depr'!R21:R22)</f>
        <v>18943710.789999999</v>
      </c>
      <c r="F11" s="366">
        <f>SUM('201802 Bk Depr'!R13,'201802 Bk Depr'!R14:R16,'201802 Bk Depr'!R20,'201802 Bk Depr'!R21:R22)</f>
        <v>20440200.649999999</v>
      </c>
      <c r="G11" s="366">
        <f>SUM('201803 Bk Depr'!R13,'201803 Bk Depr'!R14:R16,'201803 Bk Depr'!R20,'201803 Bk Depr'!R21:R22)</f>
        <v>22832760.949999999</v>
      </c>
      <c r="H11" s="366">
        <f>SUM('201804 Bk Depr'!R13,'201804 Bk Depr'!R14:R16,'201804 Bk Depr'!R20,'201804 Bk Depr'!R21:R22)</f>
        <v>25329159.149999999</v>
      </c>
      <c r="I11" s="366">
        <f>SUM('201805 Bk Depr'!R13,'201805 Bk Depr'!R14:R16,'201805 Bk Depr'!R20,'201805 Bk Depr'!R21:R22)</f>
        <v>28096225.870000001</v>
      </c>
      <c r="J11" s="366">
        <f>SUM('201806 Bk Depr'!R13,'201806 Bk Depr'!R14:R16,'201806 Bk Depr'!R20,'201806 Bk Depr'!R21:R22)</f>
        <v>31241746.200000003</v>
      </c>
      <c r="K11" s="366">
        <f>SUM('201807 Bk Depr'!R13,'201807 Bk Depr'!R14:R16,'201807 Bk Depr'!R20,'201807 Bk Depr'!R21:R22)</f>
        <v>34343332.609999999</v>
      </c>
      <c r="L11" s="366">
        <f>SUM('201808 Bk Depr'!R13,'201808 Bk Depr'!R14:R16,'201808 Bk Depr'!R20,'201808 Bk Depr'!R21:R22)</f>
        <v>37610784.540000007</v>
      </c>
      <c r="M11" s="366">
        <f>SUM('201809 Bk Depr'!R13,'201809 Bk Depr'!R14:R16,'201809 Bk Depr'!R20,'201809 Bk Depr'!R21:R22)</f>
        <v>40646850.270000003</v>
      </c>
      <c r="N11" s="366">
        <f>SUM('201810 Bk Depr'!R13,'201810 Bk Depr'!R14:R16,'201810 Bk Depr'!R20,'201810 Bk Depr'!R21:R22)</f>
        <v>43794033.159999996</v>
      </c>
      <c r="O11" s="366">
        <f>SUM('201811 Bk Depr'!R13,'201811 Bk Depr'!R14:R16,'201811 Bk Depr'!R20,'201811 Bk Depr'!R21:R22)</f>
        <v>46076166.32</v>
      </c>
      <c r="P11" s="366">
        <f>SUM('201812 Bk Depr'!R13,'201812 Bk Depr'!R14:R16,'201812 Bk Depr'!R20,'201812 Bk Depr'!R21:R22)</f>
        <v>47819079.049999997</v>
      </c>
      <c r="Q11" s="367">
        <f>AVERAGE(D11:P11)</f>
        <v>31912002.263846159</v>
      </c>
      <c r="R11"/>
      <c r="U11" s="90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4" customFormat="1">
      <c r="A12" s="35">
        <v>2</v>
      </c>
      <c r="B12" s="35"/>
      <c r="C12" s="34" t="s">
        <v>19</v>
      </c>
      <c r="D12" s="365">
        <f>'201712 Bk Depr'!R31</f>
        <v>1643717.13</v>
      </c>
      <c r="E12" s="366">
        <f>SUM('201801 Bk Depr'!R28,'201801 Bk Depr'!R29:R30)</f>
        <v>1692706.92</v>
      </c>
      <c r="F12" s="366">
        <f>SUM('201802 Bk Depr'!R28,'201802 Bk Depr'!R29:R30)</f>
        <v>1737063.38</v>
      </c>
      <c r="G12" s="366">
        <f>SUM('201803 Bk Depr'!R28,'201803 Bk Depr'!R29:R30)</f>
        <v>1783226.8</v>
      </c>
      <c r="H12" s="366">
        <f>SUM('201804 Bk Depr'!R28,'201804 Bk Depr'!R29:R30)</f>
        <v>1828005.63</v>
      </c>
      <c r="I12" s="366">
        <f>SUM('201805 Bk Depr'!R28,'201805 Bk Depr'!R29:R30)</f>
        <v>1876835.7</v>
      </c>
      <c r="J12" s="366">
        <f>SUM('201806 Bk Depr'!R28,'201806 Bk Depr'!R29:R30)</f>
        <v>1921960.29</v>
      </c>
      <c r="K12" s="366">
        <f>SUM('201807 Bk Depr'!R28,'201807 Bk Depr'!R29:R30)</f>
        <v>1968472.23</v>
      </c>
      <c r="L12" s="366">
        <f>SUM('201808 Bk Depr'!R28,'201808 Bk Depr'!R29:R30)</f>
        <v>2018586.15</v>
      </c>
      <c r="M12" s="366">
        <f>SUM('201809 Bk Depr'!R28,'201809 Bk Depr'!R29:R30)</f>
        <v>2063669.29</v>
      </c>
      <c r="N12" s="366">
        <f>SUM('201810 Bk Depr'!R28,'201810 Bk Depr'!R29:R30)</f>
        <v>2113087.87</v>
      </c>
      <c r="O12" s="366">
        <f>SUM('201811 Bk Depr'!R28,'201811 Bk Depr'!R29:R30)</f>
        <v>2158553.09</v>
      </c>
      <c r="P12" s="366">
        <f>SUM('201812 Bk Depr'!R28,'201812 Bk Depr'!R29:R30)</f>
        <v>2200549.39</v>
      </c>
      <c r="Q12" s="367">
        <f>AVERAGE(D12:P12)</f>
        <v>1923571.8361538462</v>
      </c>
      <c r="R12"/>
      <c r="U12" s="90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4" customFormat="1">
      <c r="A13" s="35">
        <v>3</v>
      </c>
      <c r="B13" s="35"/>
      <c r="C13" s="34" t="s">
        <v>52</v>
      </c>
      <c r="D13" s="369">
        <f>'Rev Req 2017-Distr'!P13</f>
        <v>-158385.19315550002</v>
      </c>
      <c r="E13" s="370">
        <f>-'Cap&amp;OpEx 2018'!C23-SUM('201801 Bk Depr'!P13,'201801 Bk Depr'!P14:P16)+D13</f>
        <v>-200627.09259350004</v>
      </c>
      <c r="F13" s="370">
        <f>-'Cap&amp;OpEx 2018'!C23-SUM('201802 Bk Depr'!P13,'201802 Bk Depr'!P14:P16)+E13</f>
        <v>-245895.47780000005</v>
      </c>
      <c r="G13" s="370">
        <f>-'Cap&amp;OpEx 2018'!C23-SUM('201803 Bk Depr'!P13,'201803 Bk Depr'!P14:P16)+F13</f>
        <v>-295167.44897375006</v>
      </c>
      <c r="H13" s="370">
        <f>-'Cap&amp;OpEx 2018'!C23-SUM('201804 Bk Depr'!P13,'201804 Bk Depr'!P14:P16)+G13</f>
        <v>-349441.92770000006</v>
      </c>
      <c r="I13" s="370">
        <f>-'Cap&amp;OpEx 2018'!C23-SUM('201805 Bk Depr'!P13,'201805 Bk Depr'!P14:P16)+H13</f>
        <v>-409215.73722575005</v>
      </c>
      <c r="J13" s="370">
        <f>-'Cap&amp;OpEx 2018'!C23-SUM('201806 Bk Depr'!P13,'201806 Bk Depr'!P14:P16)+I13</f>
        <v>-475366.94032550009</v>
      </c>
      <c r="K13" s="370">
        <f>-'Cap&amp;OpEx 2018'!C23-SUM('201807 Bk Depr'!P13,'201807 Bk Depr'!P14:P16)+J13</f>
        <v>-548419.05993875011</v>
      </c>
      <c r="L13" s="370">
        <f>-'Cap&amp;OpEx 2018'!C23-SUM('201808 Bk Depr'!P13,'201808 Bk Depr'!P14:P16)+K13</f>
        <v>-628594.53539000009</v>
      </c>
      <c r="M13" s="370">
        <f>-'Cap&amp;OpEx 2018'!C23-SUM('201809 Bk Depr'!P13,'201809 Bk Depr'!P14:P16)+L13</f>
        <v>-715836.21250550007</v>
      </c>
      <c r="N13" s="370">
        <f>-'Cap&amp;OpEx 2018'!C23-SUM('201810 Bk Depr'!P13,'201810 Bk Depr'!P14:P16)+M13</f>
        <v>-810014.9103455001</v>
      </c>
      <c r="O13" s="370">
        <f>-'Cap&amp;OpEx 2018'!C23-SUM('201811 Bk Depr'!P13,'201811 Bk Depr'!P14:P16)+N13</f>
        <v>-910147.94632625009</v>
      </c>
      <c r="P13" s="370">
        <f>-'Cap&amp;OpEx 2018'!C23-SUM('201812 Bk Depr'!P13,'201812 Bk Depr'!P14:P16)+O13</f>
        <v>-1014564.3927980001</v>
      </c>
      <c r="Q13" s="368">
        <f>AVERAGE(D13:P13)</f>
        <v>-520128.99039061548</v>
      </c>
      <c r="R13"/>
      <c r="U13" s="90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4" customFormat="1">
      <c r="A14" s="35">
        <v>4</v>
      </c>
      <c r="B14" s="35"/>
      <c r="C14" s="34" t="s">
        <v>53</v>
      </c>
      <c r="D14" s="401">
        <f t="shared" ref="D14:J14" si="1">SUM(D11:D13)</f>
        <v>19167311.806844499</v>
      </c>
      <c r="E14" s="366">
        <f t="shared" si="1"/>
        <v>20435790.617406502</v>
      </c>
      <c r="F14" s="366">
        <f t="shared" si="1"/>
        <v>21931368.552199997</v>
      </c>
      <c r="G14" s="366">
        <f t="shared" si="1"/>
        <v>24320820.301026251</v>
      </c>
      <c r="H14" s="366">
        <f t="shared" si="1"/>
        <v>26807722.852299996</v>
      </c>
      <c r="I14" s="366">
        <f t="shared" si="1"/>
        <v>29563845.832774252</v>
      </c>
      <c r="J14" s="366">
        <f t="shared" si="1"/>
        <v>32688339.549674504</v>
      </c>
      <c r="K14" s="366">
        <f t="shared" ref="K14:Q14" si="2">SUM(K11:K13)</f>
        <v>35763385.780061245</v>
      </c>
      <c r="L14" s="366">
        <f t="shared" si="2"/>
        <v>39000776.154610008</v>
      </c>
      <c r="M14" s="366">
        <f t="shared" si="2"/>
        <v>41994683.347494505</v>
      </c>
      <c r="N14" s="366">
        <f t="shared" si="2"/>
        <v>45097106.119654492</v>
      </c>
      <c r="O14" s="366">
        <f t="shared" si="2"/>
        <v>47324571.463673748</v>
      </c>
      <c r="P14" s="366">
        <f t="shared" si="2"/>
        <v>49005064.047201999</v>
      </c>
      <c r="Q14" s="367">
        <f t="shared" si="2"/>
        <v>33315445.109609395</v>
      </c>
      <c r="R14"/>
      <c r="U14" s="90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4" customFormat="1">
      <c r="A15" s="35"/>
      <c r="B15" s="35"/>
      <c r="D15" s="119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120"/>
      <c r="R15"/>
      <c r="U15" s="90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4" customFormat="1">
      <c r="A16" s="35">
        <v>5</v>
      </c>
      <c r="B16" s="35"/>
      <c r="C16" s="34" t="s">
        <v>54</v>
      </c>
      <c r="D16" s="369">
        <f>-'Tax Depr 2017'!$X28</f>
        <v>-1730125.3504440216</v>
      </c>
      <c r="E16" s="370">
        <f>-'Tax Depr 2018'!T17</f>
        <v>-4158867.9808065929</v>
      </c>
      <c r="F16" s="370">
        <f>-'Tax Depr 2018'!T18</f>
        <v>-4256948.827522519</v>
      </c>
      <c r="G16" s="370">
        <f>-'Tax Depr 2018'!T19</f>
        <v>-4366967.0674123978</v>
      </c>
      <c r="H16" s="370">
        <f>-'Tax Depr 2018'!T20</f>
        <v>-4453273.602264341</v>
      </c>
      <c r="I16" s="370">
        <f>-'Tax Depr 2018'!T21</f>
        <v>-4541107.1011079708</v>
      </c>
      <c r="J16" s="370">
        <f>-'Tax Depr 2018'!T22</f>
        <v>-4609347.7555539096</v>
      </c>
      <c r="K16" s="370">
        <f>-'Tax Depr 2018'!T23</f>
        <v>-4665427.1961699808</v>
      </c>
      <c r="L16" s="370">
        <f>-'Tax Depr 2018'!T24</f>
        <v>-4715262.5218874952</v>
      </c>
      <c r="M16" s="370">
        <f>-'Tax Depr 2018'!T25</f>
        <v>-4746287.8651829073</v>
      </c>
      <c r="N16" s="370">
        <f>-'Tax Depr 2018'!T26</f>
        <v>-4770270.0151345404</v>
      </c>
      <c r="O16" s="370">
        <f>-'Tax Depr 2018'!T27</f>
        <v>-4780391.2943419954</v>
      </c>
      <c r="P16" s="370">
        <f>-'Tax Depr 2018'!T28</f>
        <v>-4780655.101427421</v>
      </c>
      <c r="Q16" s="368">
        <f>P16</f>
        <v>-4780655.101427421</v>
      </c>
      <c r="R16"/>
      <c r="U16" s="90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4" customFormat="1">
      <c r="A17" s="35"/>
      <c r="B17" s="35"/>
      <c r="D17" s="119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120"/>
      <c r="R17"/>
    </row>
    <row r="18" spans="1:19" s="34" customFormat="1">
      <c r="A18" s="35">
        <v>6</v>
      </c>
      <c r="B18" s="35"/>
      <c r="C18" s="75" t="s">
        <v>55</v>
      </c>
      <c r="D18" s="365">
        <f t="shared" ref="D18:J18" si="3">SUM(D14:D16)</f>
        <v>17437186.456400476</v>
      </c>
      <c r="E18" s="366">
        <f t="shared" si="3"/>
        <v>16276922.63659991</v>
      </c>
      <c r="F18" s="366">
        <f t="shared" si="3"/>
        <v>17674419.724677477</v>
      </c>
      <c r="G18" s="366">
        <f t="shared" si="3"/>
        <v>19953853.233613852</v>
      </c>
      <c r="H18" s="366">
        <f t="shared" si="3"/>
        <v>22354449.250035655</v>
      </c>
      <c r="I18" s="366">
        <f t="shared" si="3"/>
        <v>25022738.731666282</v>
      </c>
      <c r="J18" s="366">
        <f t="shared" si="3"/>
        <v>28078991.794120595</v>
      </c>
      <c r="K18" s="366">
        <f t="shared" ref="K18:Q18" si="4">SUM(K14:K16)</f>
        <v>31097958.583891265</v>
      </c>
      <c r="L18" s="366">
        <f t="shared" si="4"/>
        <v>34285513.632722512</v>
      </c>
      <c r="M18" s="366">
        <f t="shared" si="4"/>
        <v>37248395.482311599</v>
      </c>
      <c r="N18" s="366">
        <f t="shared" si="4"/>
        <v>40326836.104519948</v>
      </c>
      <c r="O18" s="366">
        <f t="shared" si="4"/>
        <v>42544180.169331752</v>
      </c>
      <c r="P18" s="366">
        <f t="shared" si="4"/>
        <v>44224408.945774578</v>
      </c>
      <c r="Q18" s="367">
        <f t="shared" si="4"/>
        <v>28534790.008181974</v>
      </c>
      <c r="R18"/>
      <c r="S18" s="77"/>
    </row>
    <row r="19" spans="1:19" s="34" customFormat="1">
      <c r="A19" s="35"/>
      <c r="B19" s="35"/>
      <c r="D19" s="117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8"/>
      <c r="R19"/>
    </row>
    <row r="20" spans="1:19" s="34" customFormat="1">
      <c r="A20" s="35">
        <v>7</v>
      </c>
      <c r="B20" s="35"/>
      <c r="C20" s="34" t="s">
        <v>56</v>
      </c>
      <c r="D20" s="121">
        <v>8.5431530257663712E-3</v>
      </c>
      <c r="E20" s="37">
        <f>ROR!$G$12/12</f>
        <v>7.2943348684686819E-3</v>
      </c>
      <c r="F20" s="37">
        <f>ROR!$G$12/12</f>
        <v>7.2943348684686819E-3</v>
      </c>
      <c r="G20" s="37">
        <f>ROR!$G$12/12</f>
        <v>7.2943348684686819E-3</v>
      </c>
      <c r="H20" s="37">
        <f>ROR!$G$12/12</f>
        <v>7.2943348684686819E-3</v>
      </c>
      <c r="I20" s="37">
        <f>ROR!$G$12/12</f>
        <v>7.2943348684686819E-3</v>
      </c>
      <c r="J20" s="37">
        <f>ROR!$G$12/12</f>
        <v>7.2943348684686819E-3</v>
      </c>
      <c r="K20" s="37">
        <f>ROR!$G$12/12</f>
        <v>7.2943348684686819E-3</v>
      </c>
      <c r="L20" s="37">
        <f>ROR!$G$12/12</f>
        <v>7.2943348684686819E-3</v>
      </c>
      <c r="M20" s="37">
        <f>ROR!$G$12/12</f>
        <v>7.2943348684686819E-3</v>
      </c>
      <c r="N20" s="37">
        <f>ROR!$G$12/12</f>
        <v>7.2943348684686819E-3</v>
      </c>
      <c r="O20" s="37">
        <f>ROR!$G$12/12</f>
        <v>7.2943348684686819E-3</v>
      </c>
      <c r="P20" s="37">
        <f>ROR!$G$12/12</f>
        <v>7.2943348684686819E-3</v>
      </c>
      <c r="Q20" s="122">
        <f>ROR!$G$12</f>
        <v>8.7532018421624183E-2</v>
      </c>
      <c r="R20"/>
    </row>
    <row r="21" spans="1:19" s="34" customFormat="1">
      <c r="A21" s="35"/>
      <c r="B21" s="35"/>
      <c r="D21" s="227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8"/>
      <c r="R21"/>
    </row>
    <row r="22" spans="1:19" s="34" customFormat="1">
      <c r="A22" s="35">
        <v>8</v>
      </c>
      <c r="B22" s="35"/>
      <c r="C22" s="34" t="s">
        <v>57</v>
      </c>
      <c r="D22" s="392">
        <f t="shared" ref="D22:J22" si="5">D18*D20</f>
        <v>148968.5522358501</v>
      </c>
      <c r="E22" s="393">
        <f t="shared" si="5"/>
        <v>118729.32433951792</v>
      </c>
      <c r="F22" s="393">
        <f t="shared" si="5"/>
        <v>128923.13607766556</v>
      </c>
      <c r="G22" s="393">
        <f t="shared" si="5"/>
        <v>145550.08740225609</v>
      </c>
      <c r="H22" s="393">
        <f t="shared" si="5"/>
        <v>163060.83862994864</v>
      </c>
      <c r="I22" s="393">
        <f t="shared" si="5"/>
        <v>182524.23563497516</v>
      </c>
      <c r="J22" s="393">
        <f t="shared" si="5"/>
        <v>204817.56891529984</v>
      </c>
      <c r="K22" s="393">
        <f t="shared" ref="K22:Q22" si="6">K18*K20</f>
        <v>226838.92363667302</v>
      </c>
      <c r="L22" s="393">
        <f t="shared" si="6"/>
        <v>250090.01757452617</v>
      </c>
      <c r="M22" s="393">
        <f t="shared" si="6"/>
        <v>271702.2699611368</v>
      </c>
      <c r="N22" s="393">
        <f t="shared" si="6"/>
        <v>294157.44673222164</v>
      </c>
      <c r="O22" s="393">
        <f t="shared" si="6"/>
        <v>310331.49685957044</v>
      </c>
      <c r="P22" s="393">
        <f t="shared" si="6"/>
        <v>322587.6482105818</v>
      </c>
      <c r="Q22" s="394">
        <f t="shared" si="6"/>
        <v>2497707.7646533623</v>
      </c>
      <c r="R22"/>
    </row>
    <row r="23" spans="1:19" s="34" customFormat="1">
      <c r="A23" s="35"/>
      <c r="B23" s="35"/>
      <c r="D23" s="227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8"/>
      <c r="R23"/>
    </row>
    <row r="24" spans="1:19" s="34" customFormat="1">
      <c r="A24" s="35"/>
      <c r="B24" s="74" t="s">
        <v>58</v>
      </c>
      <c r="D24" s="11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8"/>
      <c r="R24"/>
    </row>
    <row r="25" spans="1:19" s="34" customFormat="1">
      <c r="A25" s="35">
        <v>9</v>
      </c>
      <c r="B25" s="35"/>
      <c r="C25" s="34" t="s">
        <v>0</v>
      </c>
      <c r="D25" s="365">
        <f>'Rev Req 2017-Distr'!P25</f>
        <v>38707.618675500009</v>
      </c>
      <c r="E25" s="366">
        <f>'201801 Bk Depr'!P25</f>
        <v>42241.899438000015</v>
      </c>
      <c r="F25" s="366">
        <f>'201802 Bk Depr'!P25</f>
        <v>45268.38520650001</v>
      </c>
      <c r="G25" s="366">
        <f>'201803 Bk Depr'!P25</f>
        <v>49271.971173750018</v>
      </c>
      <c r="H25" s="366">
        <f>'201804 Bk Depr'!P25</f>
        <v>54274.478726250003</v>
      </c>
      <c r="I25" s="366">
        <f>'201805 Bk Depr'!P25</f>
        <v>59773.80952575001</v>
      </c>
      <c r="J25" s="366">
        <f>'201806 Bk Depr'!P25</f>
        <v>66151.203099750011</v>
      </c>
      <c r="K25" s="366">
        <f>'201807 Bk Depr'!P25</f>
        <v>73052.119613250019</v>
      </c>
      <c r="L25" s="366">
        <f>'201808 Bk Depr'!P25</f>
        <v>80175.475451250008</v>
      </c>
      <c r="M25" s="366">
        <f>'201809 Bk Depr'!P25</f>
        <v>87241.677115500032</v>
      </c>
      <c r="N25" s="366">
        <f>'201810 Bk Depr'!P25</f>
        <v>94178.697840000023</v>
      </c>
      <c r="O25" s="366">
        <f>'201811 Bk Depr'!P25</f>
        <v>100133.03598075002</v>
      </c>
      <c r="P25" s="366">
        <f>'201812 Bk Depr'!P25</f>
        <v>104416.44647175004</v>
      </c>
      <c r="Q25" s="367">
        <f>SUM(E25:P25)</f>
        <v>856179.19964250026</v>
      </c>
      <c r="R25"/>
      <c r="S25" s="77"/>
    </row>
    <row r="26" spans="1:19" s="34" customFormat="1">
      <c r="A26" s="35">
        <v>10</v>
      </c>
      <c r="B26" s="35"/>
      <c r="C26" s="13" t="s">
        <v>59</v>
      </c>
      <c r="D26" s="365">
        <f>'Rev Req 2017-Distr'!P26</f>
        <v>115895.67000000001</v>
      </c>
      <c r="E26" s="366">
        <f>'Cap&amp;OpEx 2018'!C31</f>
        <v>178624.91999999998</v>
      </c>
      <c r="F26" s="366">
        <f>'Cap&amp;OpEx 2018'!D31</f>
        <v>75365.239999999991</v>
      </c>
      <c r="G26" s="366">
        <f>'Cap&amp;OpEx 2018'!E31</f>
        <v>112250.22</v>
      </c>
      <c r="H26" s="366">
        <f>'Cap&amp;OpEx 2018'!F31</f>
        <v>31125.109999999979</v>
      </c>
      <c r="I26" s="366">
        <f>'Cap&amp;OpEx 2018'!G31</f>
        <v>176845.44</v>
      </c>
      <c r="J26" s="366">
        <f>'Cap&amp;OpEx 2018'!H31</f>
        <v>135348.01999999999</v>
      </c>
      <c r="K26" s="366">
        <f>'Cap&amp;OpEx 2018'!I31</f>
        <v>108695.45999999996</v>
      </c>
      <c r="L26" s="366">
        <f>'Cap&amp;OpEx 2018'!J31</f>
        <v>156974.66</v>
      </c>
      <c r="M26" s="366">
        <f>'Cap&amp;OpEx 2018'!K31</f>
        <v>147911.28</v>
      </c>
      <c r="N26" s="366">
        <f>'Cap&amp;OpEx 2018'!L31</f>
        <v>177726.59000000003</v>
      </c>
      <c r="O26" s="366">
        <f>'Cap&amp;OpEx 2018'!M31</f>
        <v>167668.5</v>
      </c>
      <c r="P26" s="366">
        <f>'Cap&amp;OpEx 2018'!N31</f>
        <v>166702.50999999998</v>
      </c>
      <c r="Q26" s="367">
        <f t="shared" ref="Q26:Q27" si="7">SUM(E26:P26)</f>
        <v>1635237.95</v>
      </c>
      <c r="R26"/>
      <c r="S26" s="77"/>
    </row>
    <row r="27" spans="1:19" s="34" customFormat="1">
      <c r="A27" s="35">
        <v>11</v>
      </c>
      <c r="B27" s="35"/>
      <c r="C27" s="34" t="s">
        <v>184</v>
      </c>
      <c r="D27" s="365">
        <f>'Rev Req 2017-Distr'!P27</f>
        <v>0</v>
      </c>
      <c r="E27" s="366">
        <f>'Cap&amp;OpEx 2018'!C32</f>
        <v>26136.04</v>
      </c>
      <c r="F27" s="366">
        <f>'Cap&amp;OpEx 2018'!D32</f>
        <v>26136.04</v>
      </c>
      <c r="G27" s="366">
        <f>'Cap&amp;OpEx 2018'!E32</f>
        <v>26136.04</v>
      </c>
      <c r="H27" s="366">
        <f>'Cap&amp;OpEx 2018'!F32</f>
        <v>26136.04</v>
      </c>
      <c r="I27" s="366">
        <f>'Cap&amp;OpEx 2018'!G32</f>
        <v>26136.04</v>
      </c>
      <c r="J27" s="366">
        <f>'Cap&amp;OpEx 2018'!H32</f>
        <v>26136.04</v>
      </c>
      <c r="K27" s="366">
        <f>'Cap&amp;OpEx 2018'!I32</f>
        <v>26136.04</v>
      </c>
      <c r="L27" s="366">
        <f>'Cap&amp;OpEx 2018'!J32</f>
        <v>26136.04</v>
      </c>
      <c r="M27" s="366">
        <f>'Cap&amp;OpEx 2018'!K32</f>
        <v>26136.04</v>
      </c>
      <c r="N27" s="366">
        <f>'Cap&amp;OpEx 2018'!L32</f>
        <v>26136.04</v>
      </c>
      <c r="O27" s="366">
        <f>'Cap&amp;OpEx 2018'!M32</f>
        <v>26136.04</v>
      </c>
      <c r="P27" s="366">
        <f>'Cap&amp;OpEx 2018'!N32</f>
        <v>26136.04</v>
      </c>
      <c r="Q27" s="367">
        <f t="shared" si="7"/>
        <v>313632.48000000004</v>
      </c>
      <c r="R27"/>
      <c r="S27" s="77"/>
    </row>
    <row r="28" spans="1:19" s="34" customFormat="1">
      <c r="A28" s="35"/>
      <c r="B28" s="35"/>
      <c r="D28" s="119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120"/>
      <c r="R28"/>
    </row>
    <row r="29" spans="1:19" s="34" customFormat="1">
      <c r="A29" s="35">
        <v>12</v>
      </c>
      <c r="B29" s="35"/>
      <c r="C29" s="34" t="s">
        <v>60</v>
      </c>
      <c r="D29" s="365">
        <f t="shared" ref="D29:K29" si="8">SUM(D25:D28)</f>
        <v>154603.28867550002</v>
      </c>
      <c r="E29" s="366">
        <f t="shared" si="8"/>
        <v>247002.85943800001</v>
      </c>
      <c r="F29" s="366">
        <f t="shared" si="8"/>
        <v>146769.66520650001</v>
      </c>
      <c r="G29" s="366">
        <f t="shared" si="8"/>
        <v>187658.23117375004</v>
      </c>
      <c r="H29" s="366">
        <f t="shared" si="8"/>
        <v>111535.62872625</v>
      </c>
      <c r="I29" s="366">
        <f t="shared" si="8"/>
        <v>262755.28952574998</v>
      </c>
      <c r="J29" s="366">
        <f t="shared" si="8"/>
        <v>227635.26309975001</v>
      </c>
      <c r="K29" s="366">
        <f t="shared" si="8"/>
        <v>207883.61961324999</v>
      </c>
      <c r="L29" s="366">
        <f t="shared" ref="L29:P29" si="9">SUM(L25:L28)</f>
        <v>263286.17545124999</v>
      </c>
      <c r="M29" s="366">
        <f t="shared" si="9"/>
        <v>261288.99711550004</v>
      </c>
      <c r="N29" s="366">
        <f t="shared" si="9"/>
        <v>298041.32784000004</v>
      </c>
      <c r="O29" s="366">
        <f t="shared" si="9"/>
        <v>293937.57598074997</v>
      </c>
      <c r="P29" s="366">
        <f t="shared" si="9"/>
        <v>297254.99647175003</v>
      </c>
      <c r="Q29" s="367">
        <f>SUM(Q25:Q28)</f>
        <v>2805049.6296425001</v>
      </c>
      <c r="R29"/>
    </row>
    <row r="30" spans="1:19" s="34" customFormat="1">
      <c r="A30" s="35"/>
      <c r="B30" s="35"/>
      <c r="D30" s="11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8"/>
      <c r="R30"/>
    </row>
    <row r="31" spans="1:19" s="34" customFormat="1">
      <c r="A31" s="35">
        <v>13</v>
      </c>
      <c r="B31" s="74" t="s">
        <v>170</v>
      </c>
      <c r="D31" s="398">
        <f t="shared" ref="D31:J31" si="10">D22+D29</f>
        <v>303571.8409113501</v>
      </c>
      <c r="E31" s="399">
        <f t="shared" si="10"/>
        <v>365732.18377751793</v>
      </c>
      <c r="F31" s="399">
        <f t="shared" si="10"/>
        <v>275692.80128416559</v>
      </c>
      <c r="G31" s="399">
        <f t="shared" si="10"/>
        <v>333208.3185760061</v>
      </c>
      <c r="H31" s="399">
        <f t="shared" si="10"/>
        <v>274596.46735619864</v>
      </c>
      <c r="I31" s="399">
        <f t="shared" si="10"/>
        <v>445279.52516072511</v>
      </c>
      <c r="J31" s="399">
        <f t="shared" si="10"/>
        <v>432452.83201504988</v>
      </c>
      <c r="K31" s="399">
        <f t="shared" ref="K31:Q31" si="11">K22+K29</f>
        <v>434722.54324992304</v>
      </c>
      <c r="L31" s="399">
        <f t="shared" si="11"/>
        <v>513376.19302577619</v>
      </c>
      <c r="M31" s="399">
        <f t="shared" si="11"/>
        <v>532991.2670766369</v>
      </c>
      <c r="N31" s="399">
        <f t="shared" si="11"/>
        <v>592198.77457222168</v>
      </c>
      <c r="O31" s="399">
        <f t="shared" si="11"/>
        <v>604269.07284032041</v>
      </c>
      <c r="P31" s="399">
        <f t="shared" si="11"/>
        <v>619842.64468233183</v>
      </c>
      <c r="Q31" s="400">
        <f t="shared" si="11"/>
        <v>5302757.3942958619</v>
      </c>
      <c r="R31"/>
    </row>
    <row r="32" spans="1:19" s="34" customFormat="1">
      <c r="D32" s="36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R32"/>
    </row>
    <row r="33" spans="1:28" s="34" customFormat="1">
      <c r="D33" s="36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R33"/>
    </row>
    <row r="34" spans="1:28" s="34" customFormat="1">
      <c r="D34" s="36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R34"/>
    </row>
    <row r="35" spans="1:28" s="34" customFormat="1">
      <c r="B35" s="33" t="s">
        <v>373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54"/>
      <c r="B36" s="155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4"/>
      <c r="B37" s="154"/>
      <c r="C37" s="156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4"/>
      <c r="B38" s="154"/>
      <c r="C38" s="156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4"/>
      <c r="B39" s="154"/>
      <c r="C39" s="156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4"/>
      <c r="B40" s="154"/>
      <c r="C40" s="156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58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59"/>
      <c r="C42" s="160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0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16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>
      <c r="A51" s="154"/>
      <c r="B51" s="15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23"/>
      <c r="U51" s="19"/>
      <c r="V51" s="20"/>
      <c r="W51" s="20"/>
      <c r="X51" s="20"/>
      <c r="Y51" s="20"/>
      <c r="Z51" s="20"/>
      <c r="AA51" s="20"/>
      <c r="AB51" s="20"/>
      <c r="AC51" s="89"/>
      <c r="AD51" s="89"/>
      <c r="AE51" s="89"/>
      <c r="AF51" s="89"/>
      <c r="AG51" s="89"/>
      <c r="AH51" s="89"/>
      <c r="AI51" s="89"/>
      <c r="AJ51" s="89"/>
    </row>
    <row r="52" spans="1:36">
      <c r="A52" s="21"/>
      <c r="B52" s="154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81"/>
      <c r="B53" s="154"/>
      <c r="C53" s="81"/>
      <c r="D53" s="80"/>
      <c r="E53" s="81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S53" s="2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>
      <c r="A54" s="21"/>
      <c r="B54" s="154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S54" s="23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>
      <c r="A55" s="154"/>
      <c r="B55" s="15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>
      <c r="A56" s="154"/>
      <c r="B56" s="16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4"/>
      <c r="B57" s="154"/>
      <c r="C57" s="156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4"/>
      <c r="B58" s="154"/>
      <c r="C58" s="23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4"/>
      <c r="B59" s="154"/>
      <c r="C59" s="23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S59" s="23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4"/>
      <c r="B60" s="154"/>
      <c r="C60" s="23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4"/>
      <c r="B61" s="154"/>
      <c r="C61" s="23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S61" s="23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>
      <c r="A62" s="154"/>
      <c r="B62" s="154"/>
      <c r="C62" s="23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S62" s="23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4"/>
      <c r="B63" s="154"/>
      <c r="C63" s="23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4"/>
      <c r="B64" s="154"/>
      <c r="C64" s="156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4"/>
      <c r="B65" s="15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4"/>
      <c r="B66" s="154"/>
      <c r="C66" s="23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4"/>
      <c r="B67" s="15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4"/>
      <c r="B68" s="154"/>
      <c r="C68" s="23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4"/>
      <c r="B69" s="15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4"/>
      <c r="B70" s="164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4"/>
      <c r="B71" s="154"/>
      <c r="C71" s="23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4"/>
      <c r="B72" s="154"/>
      <c r="C72" s="23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4"/>
      <c r="B73" s="154"/>
      <c r="C73" s="23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4"/>
      <c r="B74" s="154"/>
      <c r="C74" s="23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4"/>
      <c r="B75" s="15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4"/>
      <c r="B76" s="164"/>
      <c r="C76" s="23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4"/>
      <c r="B77" s="154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4"/>
      <c r="B78" s="164"/>
      <c r="C78" s="23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4"/>
      <c r="B79" s="164"/>
      <c r="C79" s="23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4"/>
      <c r="B80" s="154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4"/>
      <c r="B81" s="155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4"/>
      <c r="B82" s="154"/>
      <c r="C82" s="156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4"/>
      <c r="B83" s="154"/>
      <c r="C83" s="156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4"/>
      <c r="B84" s="154"/>
      <c r="C84" s="156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4"/>
      <c r="B85" s="154"/>
      <c r="C85" s="156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4"/>
      <c r="B86" s="154"/>
      <c r="C86" s="16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4"/>
      <c r="B87" s="159"/>
      <c r="C87" s="160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4"/>
      <c r="B88" s="154"/>
      <c r="C88" s="160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3"/>
      <c r="B111" s="123"/>
      <c r="C111" s="124"/>
      <c r="D111" s="124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79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34" spans="14:19">
      <c r="N134"/>
      <c r="O134"/>
      <c r="P134"/>
      <c r="Q134"/>
      <c r="S134"/>
    </row>
    <row r="1048576" spans="19:19">
      <c r="S1048576" s="77">
        <f>SUM(D1048576:P1048576)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1 of 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12</vt:i4>
      </vt:variant>
    </vt:vector>
  </HeadingPairs>
  <TitlesOfParts>
    <vt:vector size="52" baseType="lpstr">
      <vt:lpstr>Class Allocation</vt:lpstr>
      <vt:lpstr>True-up &gt;&gt;</vt:lpstr>
      <vt:lpstr>OU Collection</vt:lpstr>
      <vt:lpstr>RevReq</vt:lpstr>
      <vt:lpstr>Net Assets</vt:lpstr>
      <vt:lpstr>OpEx</vt:lpstr>
      <vt:lpstr>Forecast &gt;&gt;</vt:lpstr>
      <vt:lpstr>2018 Filing &gt;&gt;</vt:lpstr>
      <vt:lpstr>Rev Req 2018-Distr</vt:lpstr>
      <vt:lpstr>Rev Req 2018-Trans</vt:lpstr>
      <vt:lpstr>ROR</vt:lpstr>
      <vt:lpstr>Cap&amp;OpEx 2018</vt:lpstr>
      <vt:lpstr>201801 Bk Depr</vt:lpstr>
      <vt:lpstr>201802 Bk Depr</vt:lpstr>
      <vt:lpstr>201803 Bk Depr</vt:lpstr>
      <vt:lpstr>201804 Bk Depr</vt:lpstr>
      <vt:lpstr>201805 Bk Depr</vt:lpstr>
      <vt:lpstr>201806 Bk Depr</vt:lpstr>
      <vt:lpstr>201807 Bk Depr</vt:lpstr>
      <vt:lpstr>201808 Bk Depr</vt:lpstr>
      <vt:lpstr>201809 Bk Depr</vt:lpstr>
      <vt:lpstr>201810 Bk Depr</vt:lpstr>
      <vt:lpstr>201811 Bk Depr</vt:lpstr>
      <vt:lpstr>201812 Bk Depr</vt:lpstr>
      <vt:lpstr>Tax Depr 2018</vt:lpstr>
      <vt:lpstr>2018 Capital Budget</vt:lpstr>
      <vt:lpstr>COS Budget 2018</vt:lpstr>
      <vt:lpstr>2017 Support &gt;&gt;</vt:lpstr>
      <vt:lpstr>Rev Req 2017-Distr</vt:lpstr>
      <vt:lpstr>Rev Req 2017-Trans</vt:lpstr>
      <vt:lpstr>Cap&amp;OpEx 2017</vt:lpstr>
      <vt:lpstr>201707 Bk Depr</vt:lpstr>
      <vt:lpstr>201708 Bk Depr</vt:lpstr>
      <vt:lpstr>201709 Bk Depr</vt:lpstr>
      <vt:lpstr>201710 Bk Depr</vt:lpstr>
      <vt:lpstr>201711 Bk Depr</vt:lpstr>
      <vt:lpstr>201712 Bk Depr</vt:lpstr>
      <vt:lpstr>Tax Depr 2017</vt:lpstr>
      <vt:lpstr>Capital Budget 2017</vt:lpstr>
      <vt:lpstr>COS Budget 2017</vt:lpstr>
      <vt:lpstr>'Capital Budget 2017'!Print_Area</vt:lpstr>
      <vt:lpstr>'Class Allocation'!Print_Area</vt:lpstr>
      <vt:lpstr>'Net Assets'!Print_Area</vt:lpstr>
      <vt:lpstr>OpEx!Print_Area</vt:lpstr>
      <vt:lpstr>'OU Collection'!Print_Area</vt:lpstr>
      <vt:lpstr>'Rev Req 2017-Distr'!Print_Area</vt:lpstr>
      <vt:lpstr>'Rev Req 2017-Trans'!Print_Area</vt:lpstr>
      <vt:lpstr>'Rev Req 2018-Distr'!Print_Area</vt:lpstr>
      <vt:lpstr>'Rev Req 2018-Trans'!Print_Area</vt:lpstr>
      <vt:lpstr>RevReq!Print_Area</vt:lpstr>
      <vt:lpstr>'Tax Depr 2018'!Print_Area</vt:lpstr>
      <vt:lpstr>'Class Allocation'!Print_Titles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2016-11-16T19:08:28Z</dcterms:created>
  <dcterms:modified xsi:type="dcterms:W3CDTF">2018-04-03T13:03:13Z</dcterms:modified>
</cp:coreProperties>
</file>