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J:\CN2018\CNs-00051-00052 - K L ECR 6 Month Reviews\LGE\Data Request\1st Request\Amended Response\"/>
    </mc:Choice>
  </mc:AlternateContent>
  <bookViews>
    <workbookView xWindow="0" yWindow="60" windowWidth="9720" windowHeight="7680"/>
  </bookViews>
  <sheets>
    <sheet name="Q5 - LGE ROR Aug17 (All Plans)" sheetId="3" r:id="rId1"/>
    <sheet name="ECR 2016" sheetId="11" state="hidden" r:id="rId2"/>
    <sheet name="Q5 - LGE ECC Aug17" sheetId="12" r:id="rId3"/>
    <sheet name="Tax Rate" sheetId="13" r:id="rId4"/>
  </sheets>
  <definedNames>
    <definedName name="_Order1" hidden="1">0</definedName>
    <definedName name="_Order2" hidden="1">0</definedName>
    <definedName name="ACTUAL">"'Vol_Revs'!R5C3:R5C14"</definedName>
    <definedName name="CheckDataCol_49" localSheetId="1">#REF!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ORECAST">"'IFPSReport'!R5C3:R5C14"</definedName>
    <definedName name="InputSec_02A">#REF!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NextBillMonth">#REF!</definedName>
    <definedName name="_xlnm.Print_Area" localSheetId="1">'ECR 2016'!$A$1:$U$63</definedName>
    <definedName name="_xlnm.Print_Area" localSheetId="0">'Q5 - LGE ROR Aug17 (All Plans)'!$A$1:$U$58</definedName>
    <definedName name="ReptItemsTableAll">#REF!</definedName>
    <definedName name="RevCas1AmortAmt1">#REF!</definedName>
    <definedName name="RevCas1AmortPer1">#REF!</definedName>
    <definedName name="RevCas2AmortAmt2">#REF!</definedName>
    <definedName name="Z_7522341C_81EE_4DA0_B3EC_1044A421AEFA_.wvu.PrintArea" localSheetId="1" hidden="1">'ECR 2016'!$A$1:$U$63</definedName>
    <definedName name="Z_7522341C_81EE_4DA0_B3EC_1044A421AEFA_.wvu.PrintArea" localSheetId="0" hidden="1">'Q5 - LGE ROR Aug17 (All Plans)'!$A$1:$U$58</definedName>
  </definedNames>
  <calcPr calcId="152511"/>
  <customWorkbookViews>
    <customWorkbookView name="Fackler, Andrea - Personal View" guid="{7522341C-81EE-4DA0-B3EC-1044A421AEFA}" mergeInterval="0" personalView="1" maximized="1" windowWidth="1440" windowHeight="619" activeSheetId="1"/>
  </customWorkbookViews>
</workbook>
</file>

<file path=xl/calcChain.xml><?xml version="1.0" encoding="utf-8"?>
<calcChain xmlns="http://schemas.openxmlformats.org/spreadsheetml/2006/main">
  <c r="R17" i="3" l="1"/>
  <c r="R15" i="3"/>
  <c r="N70" i="12" l="1"/>
  <c r="L70" i="12"/>
  <c r="J70" i="12"/>
  <c r="H68" i="12"/>
  <c r="P68" i="12" s="1"/>
  <c r="R68" i="12" s="1"/>
  <c r="R67" i="12"/>
  <c r="H67" i="12"/>
  <c r="P67" i="12" s="1"/>
  <c r="F70" i="12"/>
  <c r="H66" i="12"/>
  <c r="N49" i="12"/>
  <c r="L49" i="12"/>
  <c r="J49" i="12"/>
  <c r="H49" i="12"/>
  <c r="F49" i="12"/>
  <c r="P48" i="12"/>
  <c r="P47" i="12"/>
  <c r="P49" i="12" s="1"/>
  <c r="N45" i="12"/>
  <c r="L45" i="12"/>
  <c r="J45" i="12"/>
  <c r="P44" i="12"/>
  <c r="P43" i="12"/>
  <c r="P42" i="12"/>
  <c r="P41" i="12"/>
  <c r="P36" i="12"/>
  <c r="P34" i="12"/>
  <c r="P33" i="12"/>
  <c r="R33" i="12" s="1"/>
  <c r="D33" i="12"/>
  <c r="P31" i="12"/>
  <c r="P30" i="12"/>
  <c r="R30" i="12" s="1"/>
  <c r="D30" i="12"/>
  <c r="P28" i="12"/>
  <c r="P27" i="12"/>
  <c r="R27" i="12" s="1"/>
  <c r="D27" i="12"/>
  <c r="P25" i="12"/>
  <c r="R25" i="12" s="1"/>
  <c r="D25" i="12"/>
  <c r="P22" i="12"/>
  <c r="P21" i="12"/>
  <c r="R21" i="12" s="1"/>
  <c r="H20" i="12"/>
  <c r="P20" i="12" s="1"/>
  <c r="R20" i="12" s="1"/>
  <c r="H19" i="12"/>
  <c r="P19" i="12" s="1"/>
  <c r="R19" i="12" s="1"/>
  <c r="H18" i="12"/>
  <c r="P18" i="12" s="1"/>
  <c r="R18" i="12" s="1"/>
  <c r="H17" i="12"/>
  <c r="P17" i="12" s="1"/>
  <c r="R17" i="12" s="1"/>
  <c r="H16" i="12"/>
  <c r="P16" i="12" s="1"/>
  <c r="R16" i="12" s="1"/>
  <c r="H15" i="12"/>
  <c r="P15" i="12" s="1"/>
  <c r="R15" i="12" s="1"/>
  <c r="H14" i="12"/>
  <c r="P14" i="12" s="1"/>
  <c r="R14" i="12" s="1"/>
  <c r="H13" i="12"/>
  <c r="P13" i="12" s="1"/>
  <c r="R13" i="12" s="1"/>
  <c r="L38" i="12"/>
  <c r="L51" i="12" s="1"/>
  <c r="L73" i="12" s="1"/>
  <c r="J38" i="12"/>
  <c r="H12" i="12"/>
  <c r="P12" i="12" s="1"/>
  <c r="R12" i="12" s="1"/>
  <c r="N38" i="12"/>
  <c r="H11" i="12"/>
  <c r="F38" i="12"/>
  <c r="N51" i="12" l="1"/>
  <c r="N73" i="12" s="1"/>
  <c r="F51" i="12"/>
  <c r="J51" i="12"/>
  <c r="J73" i="12" s="1"/>
  <c r="H70" i="12"/>
  <c r="P66" i="12"/>
  <c r="P70" i="12" s="1"/>
  <c r="R70" i="12" s="1"/>
  <c r="P45" i="12"/>
  <c r="R45" i="12" s="1"/>
  <c r="R49" i="12"/>
  <c r="P11" i="12"/>
  <c r="H32" i="12"/>
  <c r="P32" i="12" s="1"/>
  <c r="R32" i="12" s="1"/>
  <c r="H26" i="12"/>
  <c r="P26" i="12" s="1"/>
  <c r="R26" i="12" s="1"/>
  <c r="H45" i="12"/>
  <c r="H24" i="12"/>
  <c r="P24" i="12" s="1"/>
  <c r="R24" i="12" s="1"/>
  <c r="H29" i="12"/>
  <c r="P29" i="12" s="1"/>
  <c r="R29" i="12" s="1"/>
  <c r="H87" i="12"/>
  <c r="F76" i="12"/>
  <c r="R66" i="12" l="1"/>
  <c r="F53" i="12"/>
  <c r="F73" i="12"/>
  <c r="R11" i="12"/>
  <c r="P38" i="12"/>
  <c r="H38" i="12"/>
  <c r="H51" i="12" s="1"/>
  <c r="H73" i="12" s="1"/>
  <c r="F75" i="12"/>
  <c r="P51" i="12" l="1"/>
  <c r="R38" i="12"/>
  <c r="R51" i="12" l="1"/>
  <c r="P73" i="12"/>
  <c r="R73" i="12" s="1"/>
  <c r="E45" i="13"/>
  <c r="E49" i="13" s="1"/>
  <c r="E33" i="13"/>
  <c r="E18" i="13"/>
  <c r="E15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E20" i="13" l="1"/>
  <c r="E22" i="13" s="1"/>
  <c r="E24" i="13" s="1"/>
  <c r="E27" i="13" s="1"/>
  <c r="E29" i="13" s="1"/>
  <c r="E32" i="13" l="1"/>
  <c r="E34" i="13" s="1"/>
  <c r="E36" i="13" s="1"/>
  <c r="R19" i="11"/>
  <c r="F56" i="11"/>
  <c r="F55" i="11"/>
  <c r="F54" i="11"/>
  <c r="F53" i="11"/>
  <c r="F52" i="11"/>
  <c r="B50" i="11"/>
  <c r="T25" i="11"/>
  <c r="A5" i="11" l="1"/>
  <c r="C50" i="11" s="1"/>
  <c r="C11" i="11"/>
  <c r="F57" i="11" l="1"/>
  <c r="F51" i="11" l="1"/>
  <c r="F59" i="11"/>
  <c r="H46" i="11" s="1"/>
  <c r="H15" i="11" l="1"/>
  <c r="C15" i="11"/>
  <c r="L46" i="11"/>
  <c r="R46" i="11"/>
  <c r="J46" i="11" l="1"/>
  <c r="H19" i="11"/>
  <c r="H17" i="11"/>
  <c r="C17" i="11"/>
  <c r="R17" i="11"/>
  <c r="R15" i="11"/>
  <c r="P46" i="11" l="1"/>
  <c r="N46" i="11" l="1"/>
  <c r="B46" i="3" l="1"/>
  <c r="F55" i="3" l="1"/>
  <c r="H42" i="3" s="1"/>
  <c r="F47" i="3"/>
  <c r="C19" i="11" l="1"/>
  <c r="C46" i="3"/>
  <c r="J19" i="11" l="1"/>
  <c r="C44" i="11" s="1"/>
  <c r="C21" i="11"/>
  <c r="F15" i="11" s="1"/>
  <c r="J15" i="11"/>
  <c r="J17" i="11"/>
  <c r="C42" i="11" s="1"/>
  <c r="H19" i="3"/>
  <c r="H17" i="3"/>
  <c r="C40" i="11" l="1"/>
  <c r="J21" i="11"/>
  <c r="F17" i="11"/>
  <c r="F19" i="11" s="1"/>
  <c r="F21" i="11" s="1"/>
  <c r="J17" i="3"/>
  <c r="C38" i="3" s="1"/>
  <c r="J15" i="3"/>
  <c r="C21" i="3"/>
  <c r="F17" i="3" s="1"/>
  <c r="J19" i="3"/>
  <c r="C40" i="3" s="1"/>
  <c r="C46" i="11" l="1"/>
  <c r="F42" i="11" s="1"/>
  <c r="F15" i="3"/>
  <c r="F19" i="3" s="1"/>
  <c r="F21" i="3" s="1"/>
  <c r="J21" i="3"/>
  <c r="C36" i="3"/>
  <c r="C42" i="3" s="1"/>
  <c r="F40" i="11" l="1"/>
  <c r="J40" i="11" s="1"/>
  <c r="P42" i="11"/>
  <c r="R42" i="11"/>
  <c r="H42" i="11"/>
  <c r="J42" i="11"/>
  <c r="N42" i="11"/>
  <c r="L42" i="11"/>
  <c r="F38" i="3"/>
  <c r="N40" i="11" l="1"/>
  <c r="N44" i="11" s="1"/>
  <c r="T42" i="11"/>
  <c r="L17" i="11" s="1"/>
  <c r="N17" i="11" s="1"/>
  <c r="R40" i="11"/>
  <c r="R44" i="11" s="1"/>
  <c r="L40" i="11"/>
  <c r="L44" i="11" s="1"/>
  <c r="P40" i="11"/>
  <c r="P44" i="11" s="1"/>
  <c r="J44" i="11"/>
  <c r="H40" i="11"/>
  <c r="F44" i="11"/>
  <c r="F46" i="11" s="1"/>
  <c r="N38" i="3"/>
  <c r="P38" i="3"/>
  <c r="R38" i="3"/>
  <c r="H38" i="3"/>
  <c r="L38" i="3"/>
  <c r="J38" i="3"/>
  <c r="F36" i="3"/>
  <c r="T40" i="11" l="1"/>
  <c r="L15" i="11" s="1"/>
  <c r="H44" i="11"/>
  <c r="T44" i="11" s="1"/>
  <c r="L19" i="11" s="1"/>
  <c r="N19" i="11" s="1"/>
  <c r="N36" i="3"/>
  <c r="N40" i="3" s="1"/>
  <c r="P36" i="3"/>
  <c r="P40" i="3" s="1"/>
  <c r="T38" i="3"/>
  <c r="L17" i="3" s="1"/>
  <c r="N17" i="3" s="1"/>
  <c r="J36" i="3"/>
  <c r="J40" i="3" s="1"/>
  <c r="H36" i="3"/>
  <c r="L36" i="3"/>
  <c r="R36" i="3"/>
  <c r="R40" i="3" s="1"/>
  <c r="F40" i="3"/>
  <c r="F42" i="3" s="1"/>
  <c r="T46" i="11" l="1"/>
  <c r="L21" i="11"/>
  <c r="N15" i="11"/>
  <c r="T36" i="3"/>
  <c r="L15" i="3" s="1"/>
  <c r="L40" i="3"/>
  <c r="H40" i="3"/>
  <c r="N21" i="11" l="1"/>
  <c r="P17" i="11" s="1"/>
  <c r="T17" i="11" s="1"/>
  <c r="T40" i="3"/>
  <c r="L19" i="3" s="1"/>
  <c r="N19" i="3" s="1"/>
  <c r="P15" i="11" l="1"/>
  <c r="T42" i="3"/>
  <c r="L21" i="3"/>
  <c r="N15" i="3"/>
  <c r="P19" i="11" l="1"/>
  <c r="T19" i="11" s="1"/>
  <c r="T15" i="11"/>
  <c r="N21" i="3"/>
  <c r="P17" i="3" s="1"/>
  <c r="T17" i="3" s="1"/>
  <c r="T21" i="11" l="1"/>
  <c r="T27" i="11" s="1"/>
  <c r="T23" i="11"/>
  <c r="P21" i="11"/>
  <c r="P15" i="3"/>
  <c r="P19" i="3" s="1"/>
  <c r="T19" i="3" s="1"/>
  <c r="T15" i="3" l="1"/>
  <c r="P21" i="3"/>
  <c r="T21" i="3" l="1"/>
  <c r="T23" i="3" s="1"/>
</calcChain>
</file>

<file path=xl/sharedStrings.xml><?xml version="1.0" encoding="utf-8"?>
<sst xmlns="http://schemas.openxmlformats.org/spreadsheetml/2006/main" count="340" uniqueCount="200">
  <si>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</si>
  <si>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</si>
  <si>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</si>
  <si>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</si>
  <si>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</si>
  <si>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</si>
  <si>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</si>
  <si>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</si>
  <si>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</si>
  <si>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</si>
  <si>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</si>
  <si>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</si>
  <si>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</si>
  <si>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</si>
  <si>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</si>
  <si>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</si>
  <si>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</si>
  <si>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</si>
  <si>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</si>
  <si>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</si>
  <si>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</si>
  <si>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</si>
  <si>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</si>
  <si>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</si>
  <si>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</si>
  <si>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</si>
  <si>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</si>
  <si>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</si>
  <si>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</si>
  <si>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</si>
  <si>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</si>
  <si>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</si>
  <si>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</si>
  <si>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</si>
  <si>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</si>
  <si>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</si>
  <si>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</si>
  <si>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</si>
  <si>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</si>
  <si>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</si>
  <si>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</si>
  <si>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</si>
  <si>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</si>
  <si>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</si>
  <si>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</si>
  <si>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</si>
  <si>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</si>
  <si>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</si>
  <si>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</si>
  <si>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</si>
  <si>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</si>
  <si>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</si>
  <si>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</si>
  <si>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</si>
  <si>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</si>
  <si>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</si>
  <si>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</si>
  <si>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</si>
  <si>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</si>
  <si>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(c)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</si>
  <si>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</si>
  <si>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</si>
  <si>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</si>
  <si>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</si>
  <si>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</si>
  <si>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</si>
  <si>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Composite Debt Rate (DR)</t>
  </si>
  <si>
    <t>Grossed up Tax Rate (w/ Production Tax Credit and Lower State Tax Rate) (TR)</t>
  </si>
  <si>
    <t>Remove this row for Review Cases.</t>
  </si>
  <si>
    <t>Average daily balance per Settlement Agreement in Case No. 2011-00162.</t>
  </si>
  <si>
    <t>Adjusted Electric Rate of Return on Common Equity - 2016 ECR Plans</t>
  </si>
  <si>
    <t>Adjusted Electric Rate of Return on Common Equity - ECR All Plans</t>
  </si>
  <si>
    <t>c - Revolving Credit Facility fee = 10 basis points</t>
  </si>
  <si>
    <t>b - Remarketing fee = 25 basis points</t>
  </si>
  <si>
    <t>a - Remarketing fee = 10 basis points</t>
  </si>
  <si>
    <t>68% of 1 mo LIBOR</t>
  </si>
  <si>
    <t>Series CC, DD &amp; EE - PCB</t>
  </si>
  <si>
    <t>BMA Index</t>
  </si>
  <si>
    <t>Series Z - PCB</t>
  </si>
  <si>
    <t>Counterparty</t>
  </si>
  <si>
    <t>LG&amp;E Swap</t>
  </si>
  <si>
    <t>Swap</t>
  </si>
  <si>
    <t>Variable</t>
  </si>
  <si>
    <t>Fixed</t>
  </si>
  <si>
    <t>Expiration of</t>
  </si>
  <si>
    <t>**  Debt discount shown on separate line.</t>
  </si>
  <si>
    <t>G/L Balance</t>
  </si>
  <si>
    <t>Rounding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</si>
  <si>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</si>
  <si>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</si>
  <si>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</si>
  <si>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</si>
  <si>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</si>
  <si>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</si>
  <si>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t>Premium</t>
  </si>
  <si>
    <t>Maturity</t>
  </si>
  <si>
    <t>Embedded</t>
  </si>
  <si>
    <t>Annualized Cost</t>
  </si>
  <si>
    <t>SHORT-TERM DEBT</t>
  </si>
  <si>
    <t>Total Internal Debt</t>
  </si>
  <si>
    <t>Notes Payable to PPL</t>
  </si>
  <si>
    <t>Interest Rate Swaps External Debt</t>
  </si>
  <si>
    <t>Morgan Stanley Capital Services 3.645% - Louisville Metro 2003 Series A</t>
  </si>
  <si>
    <t>Morgan Stanley Capital Services 3.657% - Louisville Metro 2003 Series A</t>
  </si>
  <si>
    <t>JP Morgan Chase Bank 5.495% - Trimble Co. 2000 Series A</t>
  </si>
  <si>
    <t>Interest Rate Swaps:</t>
  </si>
  <si>
    <t>Total External Debt</t>
  </si>
  <si>
    <t>c</t>
  </si>
  <si>
    <t>Revolving Credit Facility</t>
  </si>
  <si>
    <t xml:space="preserve">   Regulatory Asset - Swap Hedging FMB</t>
  </si>
  <si>
    <t xml:space="preserve">   Debt discount on FMB</t>
  </si>
  <si>
    <t>2015 due 2045</t>
  </si>
  <si>
    <t>2015 due 2025</t>
  </si>
  <si>
    <t xml:space="preserve">   Regulatory Liability - Swap Hedging FMB</t>
  </si>
  <si>
    <t>2013 due 2043</t>
  </si>
  <si>
    <t>2010 due 2040</t>
  </si>
  <si>
    <t>First Mortgage Bonds -</t>
  </si>
  <si>
    <t>Called Bonds</t>
  </si>
  <si>
    <t>a</t>
  </si>
  <si>
    <t>Trimble Co. 2016 Series A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</si>
  <si>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</si>
  <si>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</si>
  <si>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</si>
  <si>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</si>
  <si>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</si>
  <si>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Trimble Co. 2001 Series B</t>
  </si>
  <si>
    <t>Jefferson Co. 2001 Series B</t>
  </si>
  <si>
    <t>Trimble Co. 2001 Series A</t>
  </si>
  <si>
    <t>Jefferson Co. 2001 Series A</t>
  </si>
  <si>
    <t>b</t>
  </si>
  <si>
    <t xml:space="preserve">Pollution Control Bonds - </t>
  </si>
  <si>
    <t xml:space="preserve">  Cost  </t>
  </si>
  <si>
    <t>and other fees</t>
  </si>
  <si>
    <t>Reacquired Debt</t>
  </si>
  <si>
    <t xml:space="preserve"> Issuance Exp/Discount</t>
  </si>
  <si>
    <t>Interest/(Income)</t>
  </si>
  <si>
    <t>Principal</t>
  </si>
  <si>
    <t>Due</t>
  </si>
  <si>
    <t>Letter of Credit</t>
  </si>
  <si>
    <t>Amortized Loss-</t>
  </si>
  <si>
    <t>Amortized Debt</t>
  </si>
  <si>
    <t>USING ENDING BALANCES AND INTEREST RATES</t>
  </si>
  <si>
    <t>ANALYSIS OF THE EMBEDDED COST OF CAPITAL AT</t>
  </si>
  <si>
    <t>As of August 31, 2017</t>
  </si>
  <si>
    <t>08-31-17</t>
  </si>
  <si>
    <t>ECR - Gross-up Revenue Factor &amp;</t>
  </si>
  <si>
    <t>Composite Income Tax Calculation</t>
  </si>
  <si>
    <t xml:space="preserve">Federal  Tax Rate </t>
  </si>
  <si>
    <t>W/State Prod.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</si>
  <si>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</si>
  <si>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</si>
  <si>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</si>
  <si>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</si>
  <si>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</si>
  <si>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</si>
  <si>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</si>
  <si>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</si>
  <si>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</si>
  <si>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</si>
  <si>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</si>
  <si>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</si>
  <si>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</si>
  <si>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</si>
  <si>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</si>
  <si>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</si>
  <si>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</si>
  <si>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</si>
  <si>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</si>
  <si>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</si>
  <si>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</si>
  <si>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</si>
  <si>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</si>
  <si>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</si>
  <si>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</si>
  <si>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</si>
  <si>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</si>
  <si>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</si>
  <si>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</si>
  <si>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</si>
  <si>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</si>
  <si>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</si>
  <si>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</si>
  <si>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</si>
  <si>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</si>
  <si>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</si>
  <si>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</si>
  <si>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</si>
  <si>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</si>
  <si>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</si>
  <si>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</si>
  <si>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</si>
  <si>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</si>
  <si>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</si>
  <si>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</si>
  <si>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</si>
  <si>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</si>
  <si>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</si>
  <si>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</si>
  <si>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W/ 6% 2018 State</t>
  </si>
  <si>
    <t>Regulatory Asset - Swap Hedging Louisville Metro 2003 Series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</si>
</sst>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0_);\(#,##0.0000\)"/>
    <numFmt numFmtId="179" formatCode="mm/dd/yy_)"/>
    <numFmt numFmtId="180" formatCode="0.000_)"/>
    <numFmt numFmtId="181" formatCode="0.00000%"/>
    <numFmt numFmtId="182" formatCode="mmmm\ d\,\ yyyy"/>
    <numFmt numFmtId="183" formatCode="0_);\(0\)"/>
    <numFmt numFmtId="184" formatCode="#,##0.000_);\(#,##0.000\)"/>
    <numFmt numFmtId="185" formatCode="_(&quot;$&quot;* #,##0.0000_);_(&quot;$&quot;* \(#,##0.0000\);_(&quot;$&quot;* &quot;-&quot;??_);_(@_)"/>
    <numFmt numFmtId="186" formatCode="_(&quot;$&quot;* #,##0.00_);_(&quot;$&quot;* \(#,##0.00\);_(&quot;$&quot;* &quot;-&quot;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sz val="13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59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6" fontId="11" fillId="0" borderId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0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10" fontId="48" fillId="0" borderId="0" xfId="64" applyNumberFormat="1" applyFont="1" applyFill="1" applyBorder="1" applyAlignment="1">
      <alignment horizontal="center"/>
    </xf>
    <xf numFmtId="165" fontId="48" fillId="0" borderId="0" xfId="72" applyNumberFormat="1" applyFont="1" applyFill="1" applyBorder="1" applyAlignment="1">
      <alignment horizontal="center"/>
    </xf>
    <xf numFmtId="10" fontId="48" fillId="53" borderId="0" xfId="72" applyNumberFormat="1" applyFont="1" applyFill="1" applyBorder="1"/>
    <xf numFmtId="37" fontId="48" fillId="53" borderId="0" xfId="64" applyFont="1" applyFill="1"/>
    <xf numFmtId="37" fontId="48" fillId="53" borderId="0" xfId="64" applyFont="1" applyFill="1" applyBorder="1"/>
    <xf numFmtId="172" fontId="48" fillId="0" borderId="0" xfId="33" applyNumberFormat="1" applyFont="1" applyFill="1"/>
    <xf numFmtId="0" fontId="79" fillId="0" borderId="0" xfId="49800" applyFont="1" applyFill="1"/>
    <xf numFmtId="178" fontId="79" fillId="0" borderId="0" xfId="49800" applyNumberFormat="1" applyFont="1" applyFill="1"/>
    <xf numFmtId="0" fontId="79" fillId="0" borderId="0" xfId="49800" applyFont="1" applyFill="1" applyAlignment="1">
      <alignment horizontal="center"/>
    </xf>
    <xf numFmtId="164" fontId="79" fillId="0" borderId="0" xfId="49800" applyNumberFormat="1" applyFont="1" applyFill="1"/>
    <xf numFmtId="37" fontId="79" fillId="0" borderId="0" xfId="49800" applyNumberFormat="1" applyFont="1" applyFill="1"/>
    <xf numFmtId="0" fontId="79" fillId="0" borderId="0" xfId="49800" applyFont="1" applyFill="1" applyAlignment="1">
      <alignment horizontal="left"/>
    </xf>
    <xf numFmtId="0" fontId="80" fillId="0" borderId="0" xfId="49800" applyFont="1" applyFill="1"/>
    <xf numFmtId="178" fontId="79" fillId="0" borderId="9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79" fillId="0" borderId="15" xfId="49800" applyFont="1" applyFill="1" applyBorder="1"/>
    <xf numFmtId="0" fontId="79" fillId="0" borderId="0" xfId="49800" applyFont="1" applyFill="1" applyAlignment="1"/>
    <xf numFmtId="180" fontId="79" fillId="0" borderId="0" xfId="49800" applyNumberFormat="1" applyFont="1" applyFill="1"/>
    <xf numFmtId="4" fontId="79" fillId="0" borderId="0" xfId="49800" applyNumberFormat="1" applyFont="1" applyFill="1"/>
    <xf numFmtId="37" fontId="79" fillId="0" borderId="12" xfId="49800" applyNumberFormat="1" applyFont="1" applyFill="1" applyBorder="1"/>
    <xf numFmtId="178" fontId="79" fillId="0" borderId="28" xfId="49800" applyNumberFormat="1" applyFont="1" applyFill="1" applyBorder="1"/>
    <xf numFmtId="0" fontId="79" fillId="0" borderId="11" xfId="49800" applyFont="1" applyFill="1" applyBorder="1"/>
    <xf numFmtId="37" fontId="79" fillId="0" borderId="11" xfId="49800" applyNumberFormat="1" applyFont="1" applyFill="1" applyBorder="1"/>
    <xf numFmtId="180" fontId="79" fillId="0" borderId="11" xfId="49800" applyNumberFormat="1" applyFont="1" applyFill="1" applyBorder="1"/>
    <xf numFmtId="0" fontId="79" fillId="0" borderId="11" xfId="49800" applyFont="1" applyFill="1" applyBorder="1" applyAlignment="1">
      <alignment horizontal="center"/>
    </xf>
    <xf numFmtId="0" fontId="79" fillId="0" borderId="29" xfId="49800" applyFont="1" applyFill="1" applyBorder="1"/>
    <xf numFmtId="43" fontId="79" fillId="0" borderId="0" xfId="33" applyFont="1" applyFill="1"/>
    <xf numFmtId="166" fontId="79" fillId="0" borderId="0" xfId="49800" applyNumberFormat="1" applyFont="1" applyFill="1"/>
    <xf numFmtId="2" fontId="79" fillId="0" borderId="0" xfId="49800" applyNumberFormat="1" applyFont="1" applyFill="1"/>
    <xf numFmtId="0" fontId="79" fillId="0" borderId="11" xfId="49800" applyFont="1" applyFill="1" applyBorder="1" applyAlignment="1">
      <alignment horizontal="center" wrapText="1"/>
    </xf>
    <xf numFmtId="0" fontId="81" fillId="0" borderId="0" xfId="49800" applyFont="1" applyFill="1" applyAlignment="1"/>
    <xf numFmtId="0" fontId="81" fillId="0" borderId="0" xfId="49800" applyFont="1" applyFill="1"/>
    <xf numFmtId="0" fontId="81" fillId="0" borderId="15" xfId="49800" applyFont="1" applyFill="1" applyBorder="1" applyAlignment="1">
      <alignment horizontal="left"/>
    </xf>
    <xf numFmtId="0" fontId="79" fillId="0" borderId="0" xfId="49800" applyFont="1" applyFill="1" applyBorder="1" applyAlignment="1">
      <alignment horizontal="right"/>
    </xf>
    <xf numFmtId="43" fontId="79" fillId="0" borderId="15" xfId="33" applyFont="1" applyFill="1" applyBorder="1"/>
    <xf numFmtId="178" fontId="79" fillId="0" borderId="9" xfId="49800" applyNumberFormat="1" applyFont="1" applyFill="1" applyBorder="1" applyAlignment="1">
      <alignment horizontal="center"/>
    </xf>
    <xf numFmtId="0" fontId="83" fillId="0" borderId="0" xfId="49800" applyFont="1" applyFill="1" applyBorder="1" applyAlignment="1">
      <alignment horizontal="center"/>
    </xf>
    <xf numFmtId="0" fontId="79" fillId="0" borderId="11" xfId="49800" applyFont="1" applyFill="1" applyBorder="1" applyAlignment="1">
      <alignment horizontal="right" wrapText="1"/>
    </xf>
    <xf numFmtId="178" fontId="79" fillId="0" borderId="28" xfId="49800" applyNumberFormat="1" applyFont="1" applyFill="1" applyBorder="1" applyAlignment="1">
      <alignment horizontal="center"/>
    </xf>
    <xf numFmtId="179" fontId="79" fillId="0" borderId="0" xfId="49800" applyNumberFormat="1" applyFont="1" applyFill="1" applyBorder="1" applyAlignment="1">
      <alignment horizontal="center"/>
    </xf>
    <xf numFmtId="165" fontId="79" fillId="0" borderId="0" xfId="49800" applyNumberFormat="1" applyFont="1" applyFill="1" applyBorder="1"/>
    <xf numFmtId="37" fontId="79" fillId="0" borderId="0" xfId="49800" applyNumberFormat="1" applyFont="1" applyFill="1" applyBorder="1"/>
    <xf numFmtId="166" fontId="79" fillId="0" borderId="0" xfId="49800" applyNumberFormat="1" applyFont="1" applyFill="1" applyBorder="1"/>
    <xf numFmtId="166" fontId="79" fillId="0" borderId="0" xfId="49800" applyNumberFormat="1" applyFont="1" applyFill="1" applyBorder="1" applyAlignment="1">
      <alignment horizontal="right"/>
    </xf>
    <xf numFmtId="37" fontId="79" fillId="0" borderId="0" xfId="49800" applyNumberFormat="1" applyFont="1" applyFill="1" applyBorder="1" applyAlignment="1">
      <alignment horizontal="right"/>
    </xf>
    <xf numFmtId="164" fontId="79" fillId="0" borderId="9" xfId="72" applyNumberFormat="1" applyFont="1" applyFill="1" applyBorder="1"/>
    <xf numFmtId="0" fontId="79" fillId="0" borderId="0" xfId="49800" applyFont="1" applyFill="1" applyAlignment="1">
      <alignment horizontal="right"/>
    </xf>
    <xf numFmtId="0" fontId="81" fillId="0" borderId="15" xfId="49800" applyFont="1" applyFill="1" applyBorder="1"/>
    <xf numFmtId="43" fontId="79" fillId="0" borderId="0" xfId="33" applyFont="1" applyFill="1" applyBorder="1" applyAlignment="1">
      <alignment horizontal="center"/>
    </xf>
    <xf numFmtId="180" fontId="79" fillId="0" borderId="0" xfId="49800" applyNumberFormat="1" applyFont="1" applyFill="1" applyBorder="1"/>
    <xf numFmtId="42" fontId="79" fillId="0" borderId="0" xfId="49800" applyNumberFormat="1" applyFont="1" applyFill="1" applyBorder="1" applyAlignment="1">
      <alignment horizontal="right"/>
    </xf>
    <xf numFmtId="42" fontId="79" fillId="0" borderId="0" xfId="49800" applyNumberFormat="1" applyFont="1" applyFill="1" applyBorder="1"/>
    <xf numFmtId="164" fontId="81" fillId="0" borderId="31" xfId="72" applyNumberFormat="1" applyFont="1" applyFill="1" applyBorder="1"/>
    <xf numFmtId="0" fontId="79" fillId="0" borderId="15" xfId="49800" applyFont="1" applyFill="1" applyBorder="1" applyAlignment="1">
      <alignment wrapText="1"/>
    </xf>
    <xf numFmtId="164" fontId="81" fillId="0" borderId="9" xfId="72" applyNumberFormat="1" applyFont="1" applyFill="1" applyBorder="1"/>
    <xf numFmtId="43" fontId="79" fillId="0" borderId="0" xfId="33" applyFont="1" applyFill="1" applyBorder="1"/>
    <xf numFmtId="0" fontId="79" fillId="0" borderId="11" xfId="49800" applyFont="1" applyFill="1" applyBorder="1" applyAlignment="1">
      <alignment horizontal="right"/>
    </xf>
    <xf numFmtId="37" fontId="79" fillId="0" borderId="11" xfId="49800" applyNumberFormat="1" applyFont="1" applyFill="1" applyBorder="1" applyAlignment="1">
      <alignment horizontal="right"/>
    </xf>
    <xf numFmtId="0" fontId="81" fillId="0" borderId="0" xfId="49800" applyFont="1" applyFill="1" applyAlignment="1">
      <alignment horizontal="right"/>
    </xf>
    <xf numFmtId="37" fontId="79" fillId="0" borderId="0" xfId="49800" applyNumberFormat="1" applyFont="1" applyFill="1" applyAlignment="1">
      <alignment horizontal="right"/>
    </xf>
    <xf numFmtId="0" fontId="83" fillId="0" borderId="0" xfId="49800" applyFont="1" applyFill="1" applyBorder="1" applyAlignment="1">
      <alignment horizontal="right"/>
    </xf>
    <xf numFmtId="178" fontId="83" fillId="0" borderId="9" xfId="49800" applyNumberFormat="1" applyFont="1" applyFill="1" applyBorder="1" applyAlignment="1">
      <alignment horizontal="center"/>
    </xf>
    <xf numFmtId="164" fontId="79" fillId="0" borderId="28" xfId="72" applyNumberFormat="1" applyFont="1" applyFill="1" applyBorder="1"/>
    <xf numFmtId="164" fontId="81" fillId="0" borderId="27" xfId="72" applyNumberFormat="1" applyFont="1" applyFill="1" applyBorder="1"/>
    <xf numFmtId="164" fontId="79" fillId="0" borderId="0" xfId="72" applyNumberFormat="1" applyFont="1" applyFill="1"/>
    <xf numFmtId="42" fontId="79" fillId="0" borderId="0" xfId="49800" applyNumberFormat="1" applyFont="1" applyFill="1"/>
    <xf numFmtId="42" fontId="79" fillId="0" borderId="14" xfId="49800" applyNumberFormat="1" applyFont="1" applyFill="1" applyBorder="1"/>
    <xf numFmtId="42" fontId="79" fillId="0" borderId="0" xfId="49800" applyNumberFormat="1" applyFont="1" applyFill="1" applyAlignment="1">
      <alignment horizontal="right"/>
    </xf>
    <xf numFmtId="42" fontId="79" fillId="0" borderId="14" xfId="49800" applyNumberFormat="1" applyFont="1" applyFill="1" applyBorder="1" applyAlignment="1">
      <alignment horizontal="right"/>
    </xf>
    <xf numFmtId="164" fontId="80" fillId="0" borderId="0" xfId="72" applyNumberFormat="1" applyFont="1" applyFill="1"/>
    <xf numFmtId="165" fontId="81" fillId="0" borderId="0" xfId="72" applyNumberFormat="1" applyFont="1" applyFill="1" applyBorder="1"/>
    <xf numFmtId="165" fontId="81" fillId="0" borderId="0" xfId="72" applyNumberFormat="1" applyFont="1" applyFill="1" applyAlignment="1">
      <alignment horizontal="center"/>
    </xf>
    <xf numFmtId="37" fontId="79" fillId="0" borderId="0" xfId="49800" applyNumberFormat="1" applyFont="1" applyFill="1" applyAlignment="1">
      <alignment horizontal="center"/>
    </xf>
    <xf numFmtId="0" fontId="83" fillId="0" borderId="0" xfId="49800" applyFont="1" applyFill="1" applyAlignment="1">
      <alignment horizontal="left"/>
    </xf>
    <xf numFmtId="0" fontId="83" fillId="0" borderId="0" xfId="49800" applyFont="1" applyFill="1"/>
    <xf numFmtId="37" fontId="83" fillId="0" borderId="0" xfId="49800" applyNumberFormat="1" applyFont="1" applyFill="1" applyAlignment="1">
      <alignment horizontal="center"/>
    </xf>
    <xf numFmtId="37" fontId="83" fillId="0" borderId="0" xfId="49800" applyNumberFormat="1" applyFont="1" applyFill="1" applyAlignment="1">
      <alignment horizontal="right"/>
    </xf>
    <xf numFmtId="0" fontId="83" fillId="0" borderId="0" xfId="49800" applyFont="1" applyFill="1" applyAlignment="1">
      <alignment horizontal="center"/>
    </xf>
    <xf numFmtId="179" fontId="79" fillId="0" borderId="0" xfId="49800" applyNumberFormat="1" applyFont="1" applyFill="1" applyAlignment="1">
      <alignment horizontal="center"/>
    </xf>
    <xf numFmtId="179" fontId="79" fillId="0" borderId="0" xfId="49800" applyNumberFormat="1" applyFont="1" applyFill="1" applyAlignment="1">
      <alignment horizontal="right"/>
    </xf>
    <xf numFmtId="164" fontId="79" fillId="0" borderId="0" xfId="49800" applyNumberFormat="1" applyFont="1" applyFill="1" applyAlignment="1">
      <alignment horizontal="center"/>
    </xf>
    <xf numFmtId="164" fontId="79" fillId="0" borderId="0" xfId="49800" applyNumberFormat="1" applyFont="1" applyFill="1" applyAlignment="1">
      <alignment horizontal="right"/>
    </xf>
    <xf numFmtId="0" fontId="79" fillId="0" borderId="0" xfId="49800" applyFont="1" applyFill="1" applyAlignment="1">
      <alignment wrapText="1"/>
    </xf>
    <xf numFmtId="0" fontId="79" fillId="0" borderId="0" xfId="49800" applyFont="1" applyFill="1" applyAlignment="1">
      <alignment horizontal="right" wrapText="1"/>
    </xf>
    <xf numFmtId="37" fontId="47" fillId="0" borderId="0" xfId="57590" applyFont="1" applyAlignment="1"/>
    <xf numFmtId="37" fontId="48" fillId="0" borderId="0" xfId="57590" applyFont="1"/>
    <xf numFmtId="0" fontId="84" fillId="0" borderId="0" xfId="57591" applyFont="1"/>
    <xf numFmtId="0" fontId="48" fillId="0" borderId="0" xfId="0" applyFont="1"/>
    <xf numFmtId="37" fontId="47" fillId="0" borderId="0" xfId="57590" applyFont="1" applyFill="1" applyAlignment="1">
      <alignment horizontal="center"/>
    </xf>
    <xf numFmtId="0" fontId="84" fillId="0" borderId="0" xfId="57591" applyFont="1" applyFill="1"/>
    <xf numFmtId="37" fontId="49" fillId="0" borderId="0" xfId="57590" applyFont="1" applyAlignment="1">
      <alignment horizontal="centerContinuous"/>
    </xf>
    <xf numFmtId="37" fontId="48" fillId="0" borderId="0" xfId="57590" applyFont="1" applyAlignment="1">
      <alignment horizontal="centerContinuous"/>
    </xf>
    <xf numFmtId="37" fontId="48" fillId="0" borderId="0" xfId="57590" applyFont="1" applyBorder="1" applyAlignment="1">
      <alignment horizontal="center"/>
    </xf>
    <xf numFmtId="183" fontId="47" fillId="0" borderId="0" xfId="57590" applyNumberFormat="1" applyFont="1" applyAlignment="1">
      <alignment horizontal="center"/>
    </xf>
    <xf numFmtId="37" fontId="48" fillId="0" borderId="0" xfId="57590" applyFont="1" applyBorder="1"/>
    <xf numFmtId="166" fontId="48" fillId="0" borderId="0" xfId="57593" applyNumberFormat="1" applyFont="1" applyBorder="1"/>
    <xf numFmtId="37" fontId="48" fillId="0" borderId="0" xfId="57590" quotePrefix="1" applyFont="1" applyAlignment="1">
      <alignment horizontal="center"/>
    </xf>
    <xf numFmtId="37" fontId="48" fillId="0" borderId="0" xfId="57590" applyFont="1" applyAlignment="1">
      <alignment horizontal="left"/>
    </xf>
    <xf numFmtId="10" fontId="48" fillId="0" borderId="0" xfId="57592" applyNumberFormat="1" applyFont="1" applyAlignment="1">
      <alignment horizontal="center"/>
    </xf>
    <xf numFmtId="184" fontId="48" fillId="0" borderId="0" xfId="57590" quotePrefix="1" applyNumberFormat="1" applyFont="1" applyAlignment="1">
      <alignment horizontal="center"/>
    </xf>
    <xf numFmtId="184" fontId="53" fillId="0" borderId="0" xfId="57590" applyNumberFormat="1" applyFont="1" applyAlignment="1">
      <alignment horizontal="center"/>
    </xf>
    <xf numFmtId="167" fontId="48" fillId="0" borderId="0" xfId="57594" applyNumberFormat="1" applyFont="1" applyBorder="1"/>
    <xf numFmtId="185" fontId="48" fillId="0" borderId="0" xfId="57594" applyNumberFormat="1" applyFont="1" applyFill="1"/>
    <xf numFmtId="37" fontId="48" fillId="0" borderId="0" xfId="57590" applyFont="1" applyBorder="1" applyAlignment="1">
      <alignment horizontal="left"/>
    </xf>
    <xf numFmtId="185" fontId="48" fillId="0" borderId="0" xfId="57590" applyNumberFormat="1" applyFont="1" applyFill="1" applyProtection="1"/>
    <xf numFmtId="37" fontId="48" fillId="0" borderId="0" xfId="57590" applyFont="1" applyFill="1" applyBorder="1" applyAlignment="1">
      <alignment horizontal="left"/>
    </xf>
    <xf numFmtId="37" fontId="48" fillId="0" borderId="0" xfId="57590" applyFont="1" applyFill="1" applyBorder="1"/>
    <xf numFmtId="166" fontId="48" fillId="0" borderId="0" xfId="57593" applyNumberFormat="1" applyFont="1" applyFill="1" applyBorder="1"/>
    <xf numFmtId="172" fontId="48" fillId="0" borderId="11" xfId="57593" applyNumberFormat="1" applyFont="1" applyFill="1" applyBorder="1" applyProtection="1"/>
    <xf numFmtId="172" fontId="48" fillId="0" borderId="0" xfId="57593" applyNumberFormat="1" applyFont="1" applyFill="1" applyProtection="1"/>
    <xf numFmtId="167" fontId="48" fillId="0" borderId="0" xfId="57594" applyNumberFormat="1" applyFont="1" applyBorder="1" applyProtection="1"/>
    <xf numFmtId="172" fontId="48" fillId="0" borderId="0" xfId="57593" applyNumberFormat="1" applyFont="1" applyFill="1" applyBorder="1" applyProtection="1"/>
    <xf numFmtId="37" fontId="48" fillId="0" borderId="0" xfId="57590" quotePrefix="1" applyFont="1" applyFill="1" applyAlignment="1">
      <alignment horizontal="left"/>
    </xf>
    <xf numFmtId="167" fontId="48" fillId="0" borderId="0" xfId="57594" applyNumberFormat="1" applyFont="1" applyFill="1" applyBorder="1" applyProtection="1"/>
    <xf numFmtId="9" fontId="48" fillId="0" borderId="0" xfId="57593" applyNumberFormat="1" applyFont="1" applyFill="1" applyBorder="1" applyProtection="1"/>
    <xf numFmtId="9" fontId="48" fillId="0" borderId="0" xfId="57592" applyNumberFormat="1" applyFont="1" applyFill="1" applyBorder="1" applyProtection="1"/>
    <xf numFmtId="37" fontId="48" fillId="0" borderId="0" xfId="57590" quotePrefix="1" applyFont="1" applyFill="1" applyBorder="1" applyAlignment="1">
      <alignment horizontal="left"/>
    </xf>
    <xf numFmtId="10" fontId="48" fillId="0" borderId="0" xfId="57592" applyNumberFormat="1" applyFont="1" applyFill="1" applyBorder="1" applyProtection="1"/>
    <xf numFmtId="9" fontId="48" fillId="0" borderId="0" xfId="57592" applyFont="1" applyFill="1" applyBorder="1" applyProtection="1"/>
    <xf numFmtId="37" fontId="48" fillId="0" borderId="0" xfId="57590" quotePrefix="1" applyFont="1" applyBorder="1" applyAlignment="1">
      <alignment horizontal="left"/>
    </xf>
    <xf numFmtId="185" fontId="48" fillId="0" borderId="11" xfId="57590" applyNumberFormat="1" applyFont="1" applyFill="1" applyBorder="1"/>
    <xf numFmtId="184" fontId="48" fillId="0" borderId="0" xfId="57590" applyNumberFormat="1" applyFont="1" applyFill="1" applyProtection="1"/>
    <xf numFmtId="185" fontId="48" fillId="0" borderId="13" xfId="57590" applyNumberFormat="1" applyFont="1" applyFill="1" applyBorder="1"/>
    <xf numFmtId="165" fontId="48" fillId="0" borderId="0" xfId="57592" applyNumberFormat="1" applyFont="1" applyFill="1" applyBorder="1"/>
    <xf numFmtId="165" fontId="48" fillId="0" borderId="11" xfId="57592" applyNumberFormat="1" applyFont="1" applyFill="1" applyBorder="1"/>
    <xf numFmtId="165" fontId="48" fillId="0" borderId="14" xfId="57592" applyNumberFormat="1" applyFont="1" applyFill="1" applyBorder="1"/>
    <xf numFmtId="184" fontId="48" fillId="0" borderId="0" xfId="57590" applyNumberFormat="1" applyFont="1" applyFill="1"/>
    <xf numFmtId="10" fontId="48" fillId="0" borderId="0" xfId="57592" applyNumberFormat="1" applyFont="1" applyFill="1"/>
    <xf numFmtId="37" fontId="53" fillId="0" borderId="0" xfId="57590" applyFont="1"/>
    <xf numFmtId="37" fontId="48" fillId="0" borderId="0" xfId="57590" applyFont="1" applyFill="1"/>
    <xf numFmtId="165" fontId="48" fillId="0" borderId="11" xfId="57592" applyNumberFormat="1" applyFont="1" applyFill="1" applyBorder="1" applyProtection="1"/>
    <xf numFmtId="185" fontId="48" fillId="0" borderId="13" xfId="57590" applyNumberFormat="1" applyFont="1" applyBorder="1"/>
    <xf numFmtId="42" fontId="79" fillId="0" borderId="11" xfId="49800" applyNumberFormat="1" applyFont="1" applyFill="1" applyBorder="1"/>
    <xf numFmtId="42" fontId="79" fillId="0" borderId="11" xfId="49800" applyNumberFormat="1" applyFont="1" applyFill="1" applyBorder="1" applyAlignment="1">
      <alignment horizontal="right"/>
    </xf>
    <xf numFmtId="42" fontId="79" fillId="0" borderId="11" xfId="49800" applyNumberFormat="1" applyFont="1" applyFill="1" applyBorder="1" applyAlignment="1">
      <alignment horizontal="center"/>
    </xf>
    <xf numFmtId="0" fontId="79" fillId="0" borderId="0" xfId="0" applyFont="1" applyFill="1"/>
    <xf numFmtId="179" fontId="79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right"/>
    </xf>
    <xf numFmtId="164" fontId="79" fillId="0" borderId="0" xfId="0" applyNumberFormat="1" applyFont="1" applyFill="1" applyBorder="1"/>
    <xf numFmtId="0" fontId="79" fillId="0" borderId="0" xfId="0" applyFont="1" applyFill="1" applyBorder="1" applyAlignment="1">
      <alignment horizontal="left"/>
    </xf>
    <xf numFmtId="41" fontId="79" fillId="0" borderId="0" xfId="0" applyNumberFormat="1" applyFont="1" applyFill="1" applyBorder="1"/>
    <xf numFmtId="0" fontId="79" fillId="0" borderId="0" xfId="0" applyFont="1" applyFill="1" applyBorder="1"/>
    <xf numFmtId="0" fontId="81" fillId="0" borderId="0" xfId="0" applyFont="1" applyFill="1" applyBorder="1" applyAlignment="1">
      <alignment horizontal="right"/>
    </xf>
    <xf numFmtId="41" fontId="79" fillId="0" borderId="0" xfId="0" applyNumberFormat="1" applyFont="1" applyFill="1" applyBorder="1" applyAlignment="1">
      <alignment horizontal="right"/>
    </xf>
    <xf numFmtId="41" fontId="79" fillId="0" borderId="0" xfId="0" applyNumberFormat="1" applyFont="1" applyFill="1" applyBorder="1" applyAlignment="1">
      <alignment horizontal="left"/>
    </xf>
    <xf numFmtId="166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/>
    </xf>
    <xf numFmtId="181" fontId="79" fillId="0" borderId="0" xfId="0" applyNumberFormat="1" applyFont="1" applyFill="1" applyBorder="1"/>
    <xf numFmtId="41" fontId="79" fillId="0" borderId="0" xfId="0" applyNumberFormat="1" applyFont="1" applyFill="1" applyBorder="1" applyAlignment="1">
      <alignment horizontal="center"/>
    </xf>
    <xf numFmtId="180" fontId="79" fillId="0" borderId="0" xfId="0" applyNumberFormat="1" applyFont="1" applyFill="1" applyBorder="1"/>
    <xf numFmtId="42" fontId="79" fillId="0" borderId="32" xfId="0" applyNumberFormat="1" applyFont="1" applyFill="1" applyBorder="1"/>
    <xf numFmtId="42" fontId="79" fillId="0" borderId="0" xfId="0" applyNumberFormat="1" applyFont="1" applyFill="1" applyBorder="1" applyAlignment="1">
      <alignment horizontal="right"/>
    </xf>
    <xf numFmtId="42" fontId="79" fillId="0" borderId="32" xfId="0" applyNumberFormat="1" applyFont="1" applyFill="1" applyBorder="1" applyAlignment="1">
      <alignment horizontal="right"/>
    </xf>
    <xf numFmtId="42" fontId="79" fillId="0" borderId="0" xfId="0" applyNumberFormat="1" applyFont="1" applyFill="1" applyBorder="1"/>
    <xf numFmtId="166" fontId="79" fillId="0" borderId="0" xfId="0" applyNumberFormat="1" applyFont="1" applyFill="1" applyBorder="1"/>
    <xf numFmtId="37" fontId="79" fillId="0" borderId="0" xfId="0" applyNumberFormat="1" applyFont="1" applyFill="1" applyBorder="1"/>
    <xf numFmtId="37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/>
    <xf numFmtId="39" fontId="79" fillId="0" borderId="0" xfId="0" applyNumberFormat="1" applyFont="1" applyFill="1" applyBorder="1"/>
    <xf numFmtId="43" fontId="79" fillId="0" borderId="0" xfId="0" applyNumberFormat="1" applyFont="1" applyFill="1" applyBorder="1" applyAlignment="1">
      <alignment horizontal="right"/>
    </xf>
    <xf numFmtId="165" fontId="79" fillId="0" borderId="0" xfId="0" applyNumberFormat="1" applyFont="1" applyFill="1" applyBorder="1"/>
    <xf numFmtId="42" fontId="79" fillId="0" borderId="13" xfId="0" applyNumberFormat="1" applyFont="1" applyFill="1" applyBorder="1"/>
    <xf numFmtId="42" fontId="79" fillId="0" borderId="13" xfId="0" applyNumberFormat="1" applyFont="1" applyFill="1" applyBorder="1" applyAlignment="1">
      <alignment horizontal="right"/>
    </xf>
    <xf numFmtId="5" fontId="79" fillId="0" borderId="0" xfId="0" applyNumberFormat="1" applyFont="1" applyFill="1" applyBorder="1"/>
    <xf numFmtId="42" fontId="79" fillId="0" borderId="0" xfId="0" applyNumberFormat="1" applyFont="1" applyFill="1" applyBorder="1" applyAlignment="1">
      <alignment horizontal="center"/>
    </xf>
    <xf numFmtId="167" fontId="79" fillId="0" borderId="11" xfId="0" applyNumberFormat="1" applyFont="1" applyFill="1" applyBorder="1"/>
    <xf numFmtId="41" fontId="79" fillId="0" borderId="11" xfId="0" applyNumberFormat="1" applyFont="1" applyFill="1" applyBorder="1"/>
    <xf numFmtId="41" fontId="79" fillId="0" borderId="11" xfId="0" applyNumberFormat="1" applyFont="1" applyFill="1" applyBorder="1" applyAlignment="1">
      <alignment horizontal="center"/>
    </xf>
    <xf numFmtId="41" fontId="79" fillId="0" borderId="11" xfId="0" applyNumberFormat="1" applyFont="1" applyFill="1" applyBorder="1" applyAlignment="1">
      <alignment horizontal="right"/>
    </xf>
    <xf numFmtId="5" fontId="79" fillId="0" borderId="13" xfId="0" applyNumberFormat="1" applyFont="1" applyFill="1" applyBorder="1"/>
    <xf numFmtId="42" fontId="79" fillId="0" borderId="13" xfId="0" applyNumberFormat="1" applyFont="1" applyFill="1" applyBorder="1" applyAlignment="1">
      <alignment horizontal="center"/>
    </xf>
    <xf numFmtId="37" fontId="79" fillId="0" borderId="14" xfId="0" applyNumberFormat="1" applyFont="1" applyFill="1" applyBorder="1"/>
    <xf numFmtId="0" fontId="79" fillId="0" borderId="11" xfId="49800" applyFont="1" applyFill="1" applyBorder="1" applyAlignment="1">
      <alignment horizontal="center"/>
    </xf>
    <xf numFmtId="37" fontId="38" fillId="0" borderId="0" xfId="57590" applyFont="1" applyAlignment="1">
      <alignment horizontal="center"/>
    </xf>
    <xf numFmtId="0" fontId="38" fillId="0" borderId="0" xfId="0" applyFont="1"/>
    <xf numFmtId="37" fontId="38" fillId="0" borderId="0" xfId="57590" quotePrefix="1" applyFont="1" applyAlignment="1">
      <alignment horizontal="center"/>
    </xf>
    <xf numFmtId="37" fontId="38" fillId="0" borderId="0" xfId="57590" quotePrefix="1" applyFont="1" applyFill="1" applyAlignment="1">
      <alignment horizontal="center"/>
    </xf>
    <xf numFmtId="0" fontId="79" fillId="0" borderId="0" xfId="49800" applyFont="1" applyFill="1" applyAlignment="1">
      <alignment horizontal="center"/>
    </xf>
    <xf numFmtId="43" fontId="79" fillId="0" borderId="11" xfId="33" applyFont="1" applyFill="1" applyBorder="1"/>
    <xf numFmtId="43" fontId="79" fillId="0" borderId="14" xfId="33" applyFont="1" applyFill="1" applyBorder="1"/>
    <xf numFmtId="5" fontId="79" fillId="0" borderId="11" xfId="49800" applyNumberFormat="1" applyFont="1" applyFill="1" applyBorder="1"/>
    <xf numFmtId="164" fontId="81" fillId="0" borderId="33" xfId="72" applyNumberFormat="1" applyFont="1" applyFill="1" applyBorder="1"/>
    <xf numFmtId="0" fontId="85" fillId="0" borderId="0" xfId="0" applyFont="1" applyFill="1"/>
    <xf numFmtId="0" fontId="85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80" fontId="85" fillId="0" borderId="0" xfId="0" applyNumberFormat="1" applyFont="1" applyFill="1"/>
    <xf numFmtId="42" fontId="85" fillId="0" borderId="0" xfId="0" applyNumberFormat="1" applyFont="1" applyFill="1" applyBorder="1"/>
    <xf numFmtId="164" fontId="81" fillId="0" borderId="0" xfId="72" applyNumberFormat="1" applyFont="1" applyFill="1" applyBorder="1"/>
    <xf numFmtId="186" fontId="79" fillId="0" borderId="0" xfId="0" applyNumberFormat="1" applyFont="1" applyFill="1" applyBorder="1"/>
    <xf numFmtId="42" fontId="79" fillId="0" borderId="14" xfId="0" applyNumberFormat="1" applyFont="1" applyFill="1" applyBorder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79" fillId="0" borderId="11" xfId="49800" applyFont="1" applyFill="1" applyBorder="1" applyAlignment="1">
      <alignment horizontal="center"/>
    </xf>
    <xf numFmtId="0" fontId="79" fillId="0" borderId="0" xfId="49800" applyFont="1" applyFill="1" applyAlignment="1">
      <alignment horizontal="left" wrapText="1"/>
    </xf>
    <xf numFmtId="0" fontId="82" fillId="0" borderId="26" xfId="49800" applyFont="1" applyFill="1" applyBorder="1" applyAlignment="1">
      <alignment horizontal="center"/>
    </xf>
    <xf numFmtId="0" fontId="82" fillId="0" borderId="12" xfId="49800" applyFont="1" applyFill="1" applyBorder="1" applyAlignment="1">
      <alignment horizontal="center"/>
    </xf>
    <xf numFmtId="0" fontId="82" fillId="0" borderId="30" xfId="49800" applyFont="1" applyFill="1" applyBorder="1" applyAlignment="1">
      <alignment horizontal="center"/>
    </xf>
    <xf numFmtId="0" fontId="81" fillId="0" borderId="0" xfId="49800" applyFont="1" applyFill="1" applyAlignment="1">
      <alignment horizontal="center"/>
    </xf>
    <xf numFmtId="0" fontId="79" fillId="0" borderId="0" xfId="49800" applyFont="1" applyFill="1" applyAlignment="1">
      <alignment horizontal="center"/>
    </xf>
    <xf numFmtId="182" fontId="81" fillId="0" borderId="0" xfId="57589" applyNumberFormat="1" applyFont="1" applyFill="1" applyAlignment="1">
      <alignment horizontal="center"/>
    </xf>
    <xf numFmtId="0" fontId="81" fillId="0" borderId="12" xfId="49800" applyFont="1" applyFill="1" applyBorder="1" applyAlignment="1">
      <alignment horizontal="center"/>
    </xf>
    <xf numFmtId="0" fontId="81" fillId="0" borderId="30" xfId="49800" applyFont="1" applyFill="1" applyBorder="1" applyAlignment="1">
      <alignment horizontal="center"/>
    </xf>
    <xf numFmtId="0" fontId="81" fillId="0" borderId="11" xfId="49800" applyFont="1" applyFill="1" applyBorder="1" applyAlignment="1">
      <alignment horizontal="center"/>
    </xf>
    <xf numFmtId="0" fontId="79" fillId="0" borderId="11" xfId="49800" applyFont="1" applyFill="1" applyBorder="1" applyAlignment="1"/>
    <xf numFmtId="37" fontId="47" fillId="0" borderId="0" xfId="57590" applyFont="1" applyAlignment="1"/>
    <xf numFmtId="183" fontId="47" fillId="0" borderId="0" xfId="57590" applyNumberFormat="1" applyFont="1" applyAlignment="1">
      <alignment horizontal="left"/>
    </xf>
  </cellXfs>
  <cellStyles count="57595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3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4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9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2 4 2" xfId="57588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1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90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2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7"/>
  <sheetViews>
    <sheetView showGridLines="0" tabSelected="1" zoomScale="75" zoomScaleNormal="75" zoomScaleSheetLayoutView="70" workbookViewId="0">
      <selection activeCell="R17" sqref="R17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44" t="s">
        <v>71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5"/>
      <c r="X4" s="5"/>
      <c r="Y4" s="5"/>
      <c r="Z4" s="5"/>
      <c r="AA4" s="5"/>
    </row>
    <row r="5" spans="1:27" x14ac:dyDescent="0.25">
      <c r="A5" s="245" t="s">
        <v>143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144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62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>
        <v>176982342</v>
      </c>
      <c r="D15" s="2"/>
      <c r="E15" s="2"/>
      <c r="F15" s="15">
        <f>ROUND(+C15/$C$21,4)</f>
        <v>4.5499999999999999E-2</v>
      </c>
      <c r="G15" s="15"/>
      <c r="H15" s="16">
        <v>0.82379999999999998</v>
      </c>
      <c r="I15" s="2"/>
      <c r="J15" s="49">
        <f>ROUND(+C15*H15,0)</f>
        <v>145798053</v>
      </c>
      <c r="K15" s="2"/>
      <c r="L15" s="49">
        <f>+T36</f>
        <v>-44080260</v>
      </c>
      <c r="M15" s="2"/>
      <c r="N15" s="17">
        <f>+J15+L15</f>
        <v>101717793</v>
      </c>
      <c r="P15" s="18">
        <f>ROUND(+N15/$N$21,4)</f>
        <v>4.5499999999999999E-2</v>
      </c>
      <c r="R15" s="19">
        <f>ROUND('Q5 - LGE ECC Aug17'!R70,4)</f>
        <v>1.41E-2</v>
      </c>
      <c r="S15" s="20"/>
      <c r="T15" s="19">
        <f>ROUND(+$P$15*$R$15,4)</f>
        <v>5.9999999999999995E-4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50">
        <v>1630034867</v>
      </c>
      <c r="D17" s="2"/>
      <c r="E17" s="2"/>
      <c r="F17" s="15">
        <f>ROUND(+C17/$C$21,4)</f>
        <v>0.41930000000000001</v>
      </c>
      <c r="G17" s="15"/>
      <c r="H17" s="16">
        <f>+H15</f>
        <v>0.82379999999999998</v>
      </c>
      <c r="I17" s="2"/>
      <c r="J17" s="50">
        <f>ROUND(+C17*H17,0)</f>
        <v>1342822723</v>
      </c>
      <c r="K17" s="2"/>
      <c r="L17" s="2">
        <f>+T38</f>
        <v>-406216554</v>
      </c>
      <c r="M17" s="2"/>
      <c r="N17" s="4">
        <f>+J17+L17</f>
        <v>936606169</v>
      </c>
      <c r="P17" s="18">
        <f>ROUND(+N17/$N$21,4)</f>
        <v>0.41930000000000001</v>
      </c>
      <c r="R17" s="19">
        <f>ROUND('Q5 - LGE ECC Aug17'!R51,4)</f>
        <v>4.07E-2</v>
      </c>
      <c r="S17" s="20"/>
      <c r="T17" s="19">
        <f>ROUND(+$P$17*$R$17,4)</f>
        <v>1.7100000000000001E-2</v>
      </c>
    </row>
    <row r="18" spans="1:26" x14ac:dyDescent="0.25">
      <c r="A18" s="2"/>
      <c r="B18" s="2"/>
      <c r="C18" s="24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>
        <v>2080756348</v>
      </c>
      <c r="D19" s="2"/>
      <c r="E19" s="2"/>
      <c r="F19" s="18">
        <f>ROUND(1-F15-F17,4)</f>
        <v>0.53520000000000001</v>
      </c>
      <c r="G19" s="18"/>
      <c r="H19" s="16">
        <f>+H15</f>
        <v>0.82379999999999998</v>
      </c>
      <c r="I19" s="2"/>
      <c r="J19" s="50">
        <f>ROUND(+C19*H19,0)</f>
        <v>1714127079</v>
      </c>
      <c r="K19" s="2"/>
      <c r="L19" s="2">
        <f>+T40</f>
        <v>-518500122</v>
      </c>
      <c r="M19" s="2"/>
      <c r="N19" s="4">
        <f>+J19+L19</f>
        <v>1195626957</v>
      </c>
      <c r="P19" s="18">
        <f>ROUND(1-P15-P17,4)</f>
        <v>0.53520000000000001</v>
      </c>
      <c r="R19" s="19">
        <v>9.7000000000000003E-2</v>
      </c>
      <c r="S19" s="20"/>
      <c r="T19" s="19">
        <f>ROUND(+$P$19*$R$19,4)</f>
        <v>5.1900000000000002E-2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>
        <f>SUM(C15:C19)</f>
        <v>3887773557</v>
      </c>
      <c r="D21" s="2"/>
      <c r="E21" s="2"/>
      <c r="F21" s="26">
        <f>SUM(F15:F19)</f>
        <v>1</v>
      </c>
      <c r="G21" s="2"/>
      <c r="H21" s="2"/>
      <c r="I21" s="2"/>
      <c r="J21" s="48">
        <f>SUM(J15:J19)</f>
        <v>3202747855</v>
      </c>
      <c r="K21" s="2"/>
      <c r="L21" s="48">
        <f>SUM(L15:L19)</f>
        <v>-968796936</v>
      </c>
      <c r="M21" s="2"/>
      <c r="N21" s="48">
        <f>SUM(N15:N19)</f>
        <v>2233950919</v>
      </c>
      <c r="P21" s="26">
        <f>SUM(P15:P19)</f>
        <v>1</v>
      </c>
      <c r="R21" s="27"/>
      <c r="S21" s="2"/>
      <c r="T21" s="46">
        <f>SUM(T15:T19)</f>
        <v>6.9599999999999995E-2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6.5" thickBot="1" x14ac:dyDescent="0.3">
      <c r="A23" s="29" t="s">
        <v>31</v>
      </c>
      <c r="B23" s="30" t="s">
        <v>32</v>
      </c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47">
        <f>ROUND(T21+(T21-T17-T15)*(25.4556%/(1-25.4556%)),4)</f>
        <v>8.7300000000000003E-2</v>
      </c>
      <c r="U23" s="31"/>
      <c r="W23" s="31"/>
      <c r="X23" s="31"/>
      <c r="Y23" s="31"/>
    </row>
    <row r="24" spans="1:26" ht="16.5" thickTop="1" x14ac:dyDescent="0.25">
      <c r="A24" s="2"/>
      <c r="B24" s="2"/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5"/>
      <c r="W24" s="2"/>
      <c r="X24" s="2"/>
    </row>
    <row r="25" spans="1:26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5"/>
      <c r="Y27" s="2"/>
      <c r="Z27" s="2"/>
    </row>
    <row r="28" spans="1:26" ht="24" customHeight="1" x14ac:dyDescent="0.4">
      <c r="C28" s="28"/>
      <c r="D28" s="8"/>
      <c r="E28" s="28"/>
      <c r="F28" s="28"/>
      <c r="G28" s="8"/>
      <c r="H28" s="8"/>
      <c r="I28" s="8"/>
      <c r="J28" s="8"/>
      <c r="K28" s="28"/>
      <c r="L28" s="28"/>
      <c r="M28" s="28"/>
      <c r="N28" s="7"/>
      <c r="O28" s="28"/>
      <c r="P28" s="7"/>
      <c r="Q28" s="28"/>
      <c r="R28" s="28"/>
      <c r="S28" s="28"/>
      <c r="T28" s="28"/>
      <c r="U28" s="28"/>
      <c r="V28" s="28"/>
      <c r="W28" s="28"/>
      <c r="X28" s="32"/>
      <c r="Y28" s="28"/>
      <c r="Z28" s="28"/>
    </row>
    <row r="29" spans="1:26" x14ac:dyDescent="0.25">
      <c r="A29" s="1"/>
      <c r="B29" s="1"/>
      <c r="C29" s="7"/>
      <c r="D29" s="7"/>
      <c r="E29" s="7"/>
      <c r="G29" s="8"/>
      <c r="H29" s="33"/>
      <c r="I29" s="7"/>
      <c r="J29" s="33"/>
      <c r="K29" s="7"/>
      <c r="L29" s="33"/>
      <c r="M29" s="7"/>
      <c r="N29" s="7" t="s">
        <v>0</v>
      </c>
      <c r="O29" s="7"/>
      <c r="P29" s="7"/>
      <c r="Q29" s="7"/>
      <c r="R29" s="7" t="s">
        <v>33</v>
      </c>
      <c r="T29" s="7" t="s">
        <v>4</v>
      </c>
    </row>
    <row r="30" spans="1:26" x14ac:dyDescent="0.25">
      <c r="A30" s="1"/>
      <c r="B30" s="1"/>
      <c r="C30" s="7" t="s">
        <v>9</v>
      </c>
      <c r="D30" s="7"/>
      <c r="E30" s="7"/>
      <c r="F30" s="7"/>
      <c r="G30" s="7"/>
      <c r="H30" s="7" t="s">
        <v>34</v>
      </c>
      <c r="I30" s="7"/>
      <c r="J30" s="7" t="s">
        <v>35</v>
      </c>
      <c r="K30" s="7"/>
      <c r="L30" s="7"/>
      <c r="M30" s="7"/>
      <c r="N30" s="7" t="s">
        <v>60</v>
      </c>
      <c r="O30" s="7"/>
      <c r="P30" s="7" t="s">
        <v>61</v>
      </c>
      <c r="Q30" s="7"/>
      <c r="R30" s="7" t="s">
        <v>36</v>
      </c>
      <c r="T30" s="7" t="s">
        <v>2</v>
      </c>
    </row>
    <row r="31" spans="1:26" x14ac:dyDescent="0.25">
      <c r="A31" s="1"/>
      <c r="B31" s="2"/>
      <c r="C31" s="7" t="s">
        <v>14</v>
      </c>
      <c r="D31" s="7"/>
      <c r="E31" s="7"/>
      <c r="F31" s="8" t="s">
        <v>13</v>
      </c>
      <c r="G31" s="2"/>
      <c r="H31" s="7" t="s">
        <v>37</v>
      </c>
      <c r="I31" s="7"/>
      <c r="J31" s="7" t="s">
        <v>38</v>
      </c>
      <c r="K31" s="7"/>
      <c r="L31" s="7" t="s">
        <v>39</v>
      </c>
      <c r="M31" s="7"/>
      <c r="N31" s="7" t="s">
        <v>1</v>
      </c>
      <c r="O31" s="7"/>
      <c r="P31" s="7" t="s">
        <v>1</v>
      </c>
      <c r="Q31" s="7"/>
      <c r="R31" s="34" t="s">
        <v>40</v>
      </c>
      <c r="T31" s="7" t="s">
        <v>46</v>
      </c>
    </row>
    <row r="32" spans="1:26" x14ac:dyDescent="0.25">
      <c r="A32" s="2"/>
      <c r="B32" s="2"/>
      <c r="C32" s="45" t="s">
        <v>41</v>
      </c>
      <c r="D32" s="7"/>
      <c r="E32" s="7"/>
      <c r="F32" s="8" t="s">
        <v>16</v>
      </c>
      <c r="G32" s="15"/>
      <c r="H32" s="45" t="s">
        <v>42</v>
      </c>
      <c r="I32" s="7"/>
      <c r="J32" s="45" t="s">
        <v>43</v>
      </c>
      <c r="K32" s="7"/>
      <c r="L32" s="45" t="s">
        <v>44</v>
      </c>
      <c r="M32" s="7"/>
      <c r="N32" s="45" t="s">
        <v>45</v>
      </c>
      <c r="O32" s="7"/>
      <c r="P32" s="45" t="s">
        <v>65</v>
      </c>
      <c r="Q32" s="7"/>
      <c r="R32" s="45" t="s">
        <v>63</v>
      </c>
      <c r="T32" s="10" t="s">
        <v>64</v>
      </c>
    </row>
    <row r="33" spans="1:24" x14ac:dyDescent="0.25">
      <c r="A33" s="2"/>
      <c r="B33" s="2"/>
      <c r="C33" s="11">
        <v>-10</v>
      </c>
      <c r="D33" s="7"/>
      <c r="E33" s="8"/>
      <c r="F33" s="11">
        <v>-11</v>
      </c>
      <c r="G33" s="15"/>
      <c r="H33" s="11">
        <v>-12</v>
      </c>
      <c r="I33" s="7"/>
      <c r="J33" s="11">
        <v>-13</v>
      </c>
      <c r="K33" s="7"/>
      <c r="L33" s="11">
        <v>-14</v>
      </c>
      <c r="M33" s="7"/>
      <c r="N33" s="11">
        <v>-15</v>
      </c>
      <c r="O33" s="7"/>
      <c r="P33" s="11">
        <v>-16</v>
      </c>
      <c r="Q33" s="7"/>
      <c r="R33" s="11">
        <v>-17</v>
      </c>
      <c r="T33" s="11">
        <v>-18</v>
      </c>
    </row>
    <row r="34" spans="1:24" x14ac:dyDescent="0.25">
      <c r="A34" s="12" t="s">
        <v>22</v>
      </c>
      <c r="B34" s="2"/>
      <c r="C34" s="13"/>
      <c r="D34" s="2"/>
      <c r="E34" s="13"/>
      <c r="F34" s="7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7"/>
    </row>
    <row r="35" spans="1:24" x14ac:dyDescent="0.25">
      <c r="A35" s="2"/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4" x14ac:dyDescent="0.25">
      <c r="A36" s="14" t="s">
        <v>23</v>
      </c>
      <c r="B36" s="2" t="s">
        <v>24</v>
      </c>
      <c r="C36" s="49">
        <f>+J15</f>
        <v>145798053</v>
      </c>
      <c r="D36" s="2"/>
      <c r="E36" s="2"/>
      <c r="F36" s="15">
        <f>ROUND(+C36/$C$42,4)</f>
        <v>4.5499999999999999E-2</v>
      </c>
      <c r="G36" s="18"/>
      <c r="H36" s="49">
        <f>ROUND(+F36*$H$42,0)</f>
        <v>-274704</v>
      </c>
      <c r="I36" s="2"/>
      <c r="J36" s="49">
        <f>ROUND(+F36*$J$42,0)</f>
        <v>-52863</v>
      </c>
      <c r="K36" s="2"/>
      <c r="L36" s="49">
        <f>ROUND(+F36*$L$42,0)</f>
        <v>549983</v>
      </c>
      <c r="M36" s="2"/>
      <c r="N36" s="49">
        <f>ROUND(+F36*$N$42,0)</f>
        <v>-45025666</v>
      </c>
      <c r="O36" s="2"/>
      <c r="P36" s="49">
        <f>ROUND(+F36*$P$42,0)</f>
        <v>-211382</v>
      </c>
      <c r="Q36" s="2"/>
      <c r="R36" s="49">
        <f>ROUND(+F36*$R$42,0)</f>
        <v>934372</v>
      </c>
      <c r="T36" s="49">
        <f>SUM(H36:R36)</f>
        <v>-44080260</v>
      </c>
    </row>
    <row r="37" spans="1:24" x14ac:dyDescent="0.25">
      <c r="A37" s="14"/>
      <c r="B37" s="2"/>
      <c r="C37" s="2"/>
      <c r="D37" s="2"/>
      <c r="E37" s="2"/>
      <c r="F37" s="16"/>
      <c r="G37" s="15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4" x14ac:dyDescent="0.25">
      <c r="A38" s="14" t="s">
        <v>25</v>
      </c>
      <c r="B38" s="2" t="s">
        <v>26</v>
      </c>
      <c r="C38" s="2">
        <f>+J17</f>
        <v>1342822723</v>
      </c>
      <c r="D38" s="2"/>
      <c r="E38" s="2"/>
      <c r="F38" s="15">
        <f>ROUND(+C38/$C$42,4)</f>
        <v>0.41930000000000001</v>
      </c>
      <c r="G38" s="18"/>
      <c r="H38" s="50">
        <f>ROUND(+F38*$H$42,0)</f>
        <v>-2531506</v>
      </c>
      <c r="I38" s="2"/>
      <c r="J38" s="50">
        <f>ROUND(+F38*$J$42,0)</f>
        <v>-487152</v>
      </c>
      <c r="K38" s="2"/>
      <c r="L38" s="2">
        <f>ROUND(+F38*$L$42,0)</f>
        <v>5068302</v>
      </c>
      <c r="M38" s="2"/>
      <c r="N38" s="2">
        <f>ROUND(+F38*$N$42,0)</f>
        <v>-414928831</v>
      </c>
      <c r="O38" s="2"/>
      <c r="P38" s="50">
        <f>ROUND(+F38*$P$42,0)</f>
        <v>-1947965</v>
      </c>
      <c r="Q38" s="2"/>
      <c r="R38" s="50">
        <f>ROUND(+F38*$R$42,0)</f>
        <v>8610598</v>
      </c>
      <c r="T38" s="2">
        <f>SUM(H38:R38)</f>
        <v>-406216554</v>
      </c>
    </row>
    <row r="39" spans="1:24" ht="18" x14ac:dyDescent="0.4">
      <c r="A39" s="2"/>
      <c r="B39" s="2"/>
      <c r="C39" s="2"/>
      <c r="D39" s="2"/>
      <c r="E39" s="2"/>
      <c r="F39" s="16"/>
      <c r="G39" s="28"/>
      <c r="H39" s="50"/>
      <c r="I39" s="2"/>
      <c r="J39" s="15"/>
      <c r="K39" s="2"/>
      <c r="L39" s="2"/>
      <c r="M39" s="2"/>
      <c r="N39" s="2"/>
      <c r="O39" s="2"/>
      <c r="P39" s="50"/>
      <c r="Q39" s="2"/>
      <c r="R39" s="50"/>
      <c r="T39" s="2"/>
    </row>
    <row r="40" spans="1:24" x14ac:dyDescent="0.25">
      <c r="A40" s="14" t="s">
        <v>27</v>
      </c>
      <c r="B40" s="2" t="s">
        <v>28</v>
      </c>
      <c r="C40" s="2">
        <f>+J19</f>
        <v>1714127079</v>
      </c>
      <c r="D40" s="2"/>
      <c r="E40" s="2"/>
      <c r="F40" s="18">
        <f>ROUND(1-F36-F38,4)</f>
        <v>0.53520000000000001</v>
      </c>
      <c r="H40" s="50">
        <f>+H42-H36-H38</f>
        <v>-3231247</v>
      </c>
      <c r="I40" s="2"/>
      <c r="J40" s="2">
        <f>+J42-J36-J38</f>
        <v>-621808</v>
      </c>
      <c r="K40" s="2"/>
      <c r="L40" s="2">
        <f>+L42-L36-L38</f>
        <v>6469247</v>
      </c>
      <c r="M40" s="2"/>
      <c r="N40" s="2">
        <f>+N42-N36-N38</f>
        <v>-529620584</v>
      </c>
      <c r="O40" s="2"/>
      <c r="P40" s="2">
        <f>+P42-P36-P38</f>
        <v>-2486409</v>
      </c>
      <c r="Q40" s="2"/>
      <c r="R40" s="2">
        <f>+R42-R36-R38</f>
        <v>10990679</v>
      </c>
      <c r="T40" s="2">
        <f>SUM(H40:R40)</f>
        <v>-518500122</v>
      </c>
    </row>
    <row r="41" spans="1:24" x14ac:dyDescent="0.25">
      <c r="A41" s="2"/>
      <c r="B41" s="2"/>
      <c r="C41" s="2"/>
      <c r="D41" s="2"/>
      <c r="E41" s="2"/>
      <c r="F41" s="16"/>
      <c r="G41" s="8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4" ht="16.5" thickBot="1" x14ac:dyDescent="0.3">
      <c r="A42" s="14" t="s">
        <v>29</v>
      </c>
      <c r="B42" s="2" t="s">
        <v>30</v>
      </c>
      <c r="C42" s="48">
        <f>SUM(C36:C40)</f>
        <v>3202747855</v>
      </c>
      <c r="D42" s="2"/>
      <c r="E42" s="2"/>
      <c r="F42" s="26">
        <f>SUM(F36:F40)</f>
        <v>1</v>
      </c>
      <c r="G42" s="15"/>
      <c r="H42" s="48">
        <f>-F55</f>
        <v>-6037457</v>
      </c>
      <c r="I42" s="2"/>
      <c r="J42" s="48">
        <v>-1161823</v>
      </c>
      <c r="K42" s="2"/>
      <c r="L42" s="48">
        <v>12087532</v>
      </c>
      <c r="M42" s="2"/>
      <c r="N42" s="48">
        <v>-989575081</v>
      </c>
      <c r="O42" s="2"/>
      <c r="P42" s="48">
        <v>-4645756</v>
      </c>
      <c r="Q42" s="2"/>
      <c r="R42" s="48">
        <v>20535649</v>
      </c>
      <c r="T42" s="48">
        <f>SUM(T36:T40)</f>
        <v>-968796936</v>
      </c>
    </row>
    <row r="43" spans="1:24" ht="16.5" thickTop="1" x14ac:dyDescent="0.25">
      <c r="A43" s="2"/>
      <c r="B43" s="2"/>
      <c r="C43" s="2"/>
      <c r="D43" s="2"/>
      <c r="E43" s="2"/>
      <c r="F43" s="2"/>
      <c r="G43" s="15"/>
      <c r="H43" s="15"/>
      <c r="I43" s="2"/>
      <c r="J43" s="2"/>
      <c r="K43" s="2"/>
      <c r="L43" s="35"/>
      <c r="M43" s="2"/>
      <c r="N43" s="2"/>
      <c r="O43" s="2"/>
      <c r="P43" s="2"/>
      <c r="Q43" s="2"/>
      <c r="R43" s="2"/>
      <c r="S43" s="2"/>
      <c r="T43" s="2"/>
      <c r="U43" s="2"/>
    </row>
    <row r="44" spans="1:24" x14ac:dyDescent="0.25">
      <c r="A44" s="2"/>
      <c r="B44" s="2"/>
      <c r="C44" s="2"/>
      <c r="D44" s="2"/>
      <c r="E44" s="2"/>
      <c r="F44" s="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36"/>
      <c r="T44" s="2"/>
      <c r="U44" s="2"/>
    </row>
    <row r="45" spans="1:24" x14ac:dyDescent="0.25">
      <c r="G45" s="18"/>
      <c r="H45" s="18"/>
    </row>
    <row r="46" spans="1:24" x14ac:dyDescent="0.25">
      <c r="A46" s="37" t="s">
        <v>47</v>
      </c>
      <c r="B46" s="38" t="str">
        <f>"Trimble County Inventories"</f>
        <v>Trimble County Inventories</v>
      </c>
      <c r="C46" s="4" t="str">
        <f>A5</f>
        <v>As of August 31, 2017</v>
      </c>
      <c r="F46" s="37"/>
      <c r="G46" s="17"/>
      <c r="H46" s="17"/>
      <c r="L46" s="39"/>
      <c r="T46" s="40"/>
      <c r="U46" s="40"/>
      <c r="V46" s="40"/>
      <c r="X46" s="40"/>
    </row>
    <row r="47" spans="1:24" x14ac:dyDescent="0.25">
      <c r="B47" s="4" t="s">
        <v>58</v>
      </c>
      <c r="F47" s="17">
        <f>F53-SUM(F48:F52)</f>
        <v>12043397</v>
      </c>
      <c r="T47" s="17"/>
      <c r="U47" s="41"/>
      <c r="V47" s="17"/>
      <c r="W47" s="17"/>
      <c r="X47" s="17"/>
    </row>
    <row r="48" spans="1:24" x14ac:dyDescent="0.25">
      <c r="B48" s="4" t="s">
        <v>48</v>
      </c>
      <c r="F48" s="41">
        <v>2558809</v>
      </c>
      <c r="T48" s="17"/>
      <c r="V48" s="17"/>
      <c r="W48" s="17"/>
      <c r="X48" s="17"/>
    </row>
    <row r="49" spans="1:20" x14ac:dyDescent="0.25">
      <c r="B49" s="4" t="s">
        <v>49</v>
      </c>
      <c r="F49" s="41">
        <v>9229067</v>
      </c>
    </row>
    <row r="50" spans="1:20" x14ac:dyDescent="0.25">
      <c r="B50" s="4" t="s">
        <v>50</v>
      </c>
      <c r="F50" s="41">
        <v>214877</v>
      </c>
    </row>
    <row r="51" spans="1:20" x14ac:dyDescent="0.25">
      <c r="B51" s="4" t="s">
        <v>51</v>
      </c>
      <c r="F51" s="41">
        <v>103650</v>
      </c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B52" s="4" t="s">
        <v>52</v>
      </c>
      <c r="F52" s="41">
        <v>29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4" t="s">
        <v>53</v>
      </c>
      <c r="F53" s="51">
        <v>24149829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B54" s="4" t="s">
        <v>54</v>
      </c>
      <c r="F54" s="18">
        <v>0.25</v>
      </c>
    </row>
    <row r="55" spans="1:20" ht="16.5" thickBot="1" x14ac:dyDescent="0.3">
      <c r="B55" s="4" t="s">
        <v>55</v>
      </c>
      <c r="F55" s="48">
        <f>ROUND(+F53*F54,0)</f>
        <v>6037457</v>
      </c>
    </row>
    <row r="56" spans="1:20" ht="16.5" thickTop="1" x14ac:dyDescent="0.25"/>
    <row r="57" spans="1:20" x14ac:dyDescent="0.25">
      <c r="A57" s="37" t="s">
        <v>56</v>
      </c>
      <c r="B57" s="38" t="s">
        <v>57</v>
      </c>
    </row>
  </sheetData>
  <customSheetViews>
    <customSheetView guid="{7522341C-81EE-4DA0-B3EC-1044A421AEFA}" scale="75" showGridLines="0" fitToPage="1">
      <pageMargins left="0.32" right="0.33" top="0.75" bottom="0.5" header="0.5" footer="0"/>
      <printOptions horizontalCentered="1"/>
      <pageSetup scale="53" orientation="landscape" r:id="rId1"/>
      <headerFooter alignWithMargins="0">
        <oddFooter xml:space="preserve">&amp;L&amp;Z&amp;F
&amp;A
</oddFooter>
      </headerFooter>
    </customSheetView>
  </customSheetViews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7" orientation="landscape" useFirstPageNumber="1" r:id="rId2"/>
  <headerFooter scaleWithDoc="0">
    <oddFooter xml:space="preserve">&amp;R&amp;"Times New Roman,Bold"&amp;12Attachment to Response to Question No. 5 (a-c)
Page 1 of 3
Metts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AA63"/>
  <sheetViews>
    <sheetView showGridLines="0" topLeftCell="A10" zoomScale="75" zoomScaleNormal="75" zoomScaleSheetLayoutView="70" workbookViewId="0">
      <selection activeCell="N46" sqref="N46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44" t="s">
        <v>70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5"/>
      <c r="X4" s="5"/>
      <c r="Y4" s="5"/>
      <c r="Z4" s="5"/>
      <c r="AA4" s="5"/>
    </row>
    <row r="5" spans="1:27" x14ac:dyDescent="0.25">
      <c r="A5" s="245" t="e">
        <f>"As of "&amp;TEXT(EOMONTH(#REF!,0),"mmmm dd, yyyy")</f>
        <v>#VALUE!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e">
        <f>TEXT(EOMONTH(#REF!,0),"mm-dd-yy")</f>
        <v>#REF!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62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 t="e">
        <f>ROUND(#REF!,0)</f>
        <v>#REF!</v>
      </c>
      <c r="D15" s="2" t="s">
        <v>59</v>
      </c>
      <c r="E15" s="2"/>
      <c r="F15" s="15" t="e">
        <f>ROUND(+C15/$C$21,4)</f>
        <v>#REF!</v>
      </c>
      <c r="G15" s="15"/>
      <c r="H15" s="16" t="e">
        <f>+#REF!</f>
        <v>#REF!</v>
      </c>
      <c r="I15" s="2"/>
      <c r="J15" s="49" t="e">
        <f>ROUND(+C15*H15,0)</f>
        <v>#REF!</v>
      </c>
      <c r="K15" s="2"/>
      <c r="L15" s="49" t="e">
        <f>+T40</f>
        <v>#REF!</v>
      </c>
      <c r="M15" s="2"/>
      <c r="N15" s="17" t="e">
        <f>+J15+L15</f>
        <v>#REF!</v>
      </c>
      <c r="P15" s="18" t="e">
        <f>ROUND(+N15/$N$21,4)</f>
        <v>#REF!</v>
      </c>
      <c r="R15" s="19" t="e">
        <f>ROUND(#REF!,4)</f>
        <v>#REF!</v>
      </c>
      <c r="S15" s="20"/>
      <c r="T15" s="19" t="e">
        <f>ROUND(+$P$15*$R$15,4)</f>
        <v>#REF!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50" t="e">
        <f>ROUND(#REF!,0)</f>
        <v>#REF!</v>
      </c>
      <c r="D17" s="2" t="s">
        <v>59</v>
      </c>
      <c r="E17" s="2"/>
      <c r="F17" s="15" t="e">
        <f>ROUND(+C17/$C$21,4)</f>
        <v>#REF!</v>
      </c>
      <c r="G17" s="15"/>
      <c r="H17" s="16" t="e">
        <f>+H15</f>
        <v>#REF!</v>
      </c>
      <c r="I17" s="2"/>
      <c r="J17" s="50" t="e">
        <f>ROUND(+C17*H17,0)</f>
        <v>#REF!</v>
      </c>
      <c r="K17" s="2"/>
      <c r="L17" s="2" t="e">
        <f>+T42</f>
        <v>#REF!</v>
      </c>
      <c r="M17" s="2"/>
      <c r="N17" s="4" t="e">
        <f>+J17+L17</f>
        <v>#REF!</v>
      </c>
      <c r="P17" s="18" t="e">
        <f>ROUND(+N17/$N$21,4)</f>
        <v>#REF!</v>
      </c>
      <c r="R17" s="19" t="e">
        <f>ROUND(#REF!,4)</f>
        <v>#REF!</v>
      </c>
      <c r="S17" s="20"/>
      <c r="T17" s="19" t="e">
        <f>ROUND(+$P$17*$R$17,4)</f>
        <v>#REF!</v>
      </c>
    </row>
    <row r="18" spans="1:26" x14ac:dyDescent="0.25">
      <c r="A18" s="2"/>
      <c r="B18" s="2"/>
      <c r="C18" s="50"/>
      <c r="D18" s="2"/>
      <c r="E18" s="2"/>
      <c r="F18" s="15"/>
      <c r="G18" s="15"/>
      <c r="H18" s="16"/>
      <c r="I18" s="2"/>
      <c r="J18" s="50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 t="e">
        <f>ROUND(#REF!,0)</f>
        <v>#REF!</v>
      </c>
      <c r="D19" s="2"/>
      <c r="E19" s="2"/>
      <c r="F19" s="18" t="e">
        <f>ROUND(1-F15-F17,4)</f>
        <v>#REF!</v>
      </c>
      <c r="G19" s="18"/>
      <c r="H19" s="16" t="e">
        <f>+H15</f>
        <v>#REF!</v>
      </c>
      <c r="I19" s="2"/>
      <c r="J19" s="50" t="e">
        <f>ROUND(+C19*H19,0)</f>
        <v>#REF!</v>
      </c>
      <c r="K19" s="2"/>
      <c r="L19" s="2" t="e">
        <f>+T44</f>
        <v>#REF!</v>
      </c>
      <c r="M19" s="2"/>
      <c r="N19" s="4" t="e">
        <f>+J19+L19</f>
        <v>#REF!</v>
      </c>
      <c r="P19" s="18" t="e">
        <f>ROUND(1-P15-P17,4)</f>
        <v>#REF!</v>
      </c>
      <c r="R19" s="19" t="e">
        <f>ROUND(#REF!,4)</f>
        <v>#REF!</v>
      </c>
      <c r="S19" s="20"/>
      <c r="T19" s="19" t="e">
        <f>ROUND(+$P$19*$R$19,4)</f>
        <v>#REF!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 t="e">
        <f>SUM(C15:C19)</f>
        <v>#REF!</v>
      </c>
      <c r="D21" s="2"/>
      <c r="E21" s="2"/>
      <c r="F21" s="26" t="e">
        <f>SUM(F15:F19)</f>
        <v>#REF!</v>
      </c>
      <c r="G21" s="2"/>
      <c r="H21" s="2"/>
      <c r="I21" s="2"/>
      <c r="J21" s="48" t="e">
        <f>SUM(J15:J19)</f>
        <v>#REF!</v>
      </c>
      <c r="K21" s="2"/>
      <c r="L21" s="48" t="e">
        <f>SUM(L15:L19)</f>
        <v>#REF!</v>
      </c>
      <c r="M21" s="2"/>
      <c r="N21" s="48" t="e">
        <f>SUM(N15:N19)</f>
        <v>#REF!</v>
      </c>
      <c r="P21" s="26" t="e">
        <f>SUM(P15:P19)</f>
        <v>#REF!</v>
      </c>
      <c r="R21" s="27"/>
      <c r="S21" s="2"/>
      <c r="T21" s="46" t="e">
        <f>SUM(T15:T19)</f>
        <v>#REF!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8" x14ac:dyDescent="0.4">
      <c r="A23" s="2"/>
      <c r="B23" s="2" t="s">
        <v>66</v>
      </c>
      <c r="C23" s="2"/>
      <c r="D23" s="28"/>
      <c r="E23" s="2"/>
      <c r="F23" s="2"/>
      <c r="G23" s="28"/>
      <c r="H23" s="28"/>
      <c r="I23" s="28"/>
      <c r="J23" s="28"/>
      <c r="K23" s="2"/>
      <c r="L23" s="2"/>
      <c r="M23" s="2"/>
      <c r="N23" s="2"/>
      <c r="O23" s="2"/>
      <c r="P23" s="2"/>
      <c r="Q23" s="2"/>
      <c r="T23" s="52" t="e">
        <f>SUM(T17,T15)</f>
        <v>#REF!</v>
      </c>
      <c r="V23" s="54" t="s">
        <v>68</v>
      </c>
      <c r="W23" s="55"/>
      <c r="X23" s="55"/>
      <c r="Y23" s="56"/>
    </row>
    <row r="24" spans="1:26" ht="18" x14ac:dyDescent="0.4">
      <c r="A24" s="2"/>
      <c r="B24" s="2"/>
      <c r="C24" s="2"/>
      <c r="D24" s="28"/>
      <c r="E24" s="2"/>
      <c r="F24" s="2"/>
      <c r="G24" s="28"/>
      <c r="H24" s="28"/>
      <c r="I24" s="28"/>
      <c r="J24" s="28"/>
      <c r="K24" s="2"/>
      <c r="L24" s="2"/>
      <c r="M24" s="2"/>
      <c r="N24" s="2"/>
      <c r="O24" s="2"/>
      <c r="P24" s="2"/>
      <c r="Q24" s="2"/>
      <c r="T24" s="52"/>
      <c r="V24" s="54" t="s">
        <v>68</v>
      </c>
      <c r="W24" s="55"/>
      <c r="X24" s="55"/>
      <c r="Y24" s="56"/>
    </row>
    <row r="25" spans="1:26" ht="18" x14ac:dyDescent="0.4">
      <c r="A25" s="2"/>
      <c r="B25" s="2" t="s">
        <v>67</v>
      </c>
      <c r="C25" s="2"/>
      <c r="D25" s="28"/>
      <c r="E25" s="2"/>
      <c r="F25" s="2"/>
      <c r="G25" s="28"/>
      <c r="H25" s="28"/>
      <c r="I25" s="28"/>
      <c r="J25" s="28"/>
      <c r="K25" s="2"/>
      <c r="L25" s="2"/>
      <c r="M25" s="2"/>
      <c r="N25" s="2"/>
      <c r="O25" s="2"/>
      <c r="P25" s="2"/>
      <c r="Q25" s="2"/>
      <c r="T25" s="53" t="e">
        <f>#REF!</f>
        <v>#REF!</v>
      </c>
      <c r="V25" s="54" t="s">
        <v>68</v>
      </c>
      <c r="W25" s="55"/>
      <c r="X25" s="55"/>
      <c r="Y25" s="56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0"/>
      <c r="U26" s="2"/>
      <c r="V26" s="15"/>
      <c r="W26" s="2"/>
      <c r="X26" s="2"/>
    </row>
    <row r="27" spans="1:26" ht="16.5" thickBot="1" x14ac:dyDescent="0.3">
      <c r="A27" s="29" t="s">
        <v>31</v>
      </c>
      <c r="B27" s="30" t="s">
        <v>32</v>
      </c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47" t="e">
        <f>ROUND(T21+(T21-T17-T15)*(T25/(1-T25)),4)</f>
        <v>#REF!</v>
      </c>
      <c r="U27" s="31"/>
      <c r="W27" s="31"/>
      <c r="X27" s="31"/>
      <c r="Y27" s="31"/>
    </row>
    <row r="28" spans="1:26" ht="16.5" thickTop="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57"/>
      <c r="U28" s="2"/>
      <c r="V28" s="15"/>
      <c r="W28" s="2"/>
      <c r="X28" s="2"/>
    </row>
    <row r="29" spans="1:26" x14ac:dyDescent="0.25">
      <c r="A29" s="2"/>
      <c r="B29" s="2"/>
      <c r="C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5"/>
      <c r="W29" s="2"/>
      <c r="X29" s="2"/>
    </row>
    <row r="30" spans="1:26" x14ac:dyDescent="0.25">
      <c r="A30" s="2"/>
      <c r="B30" s="2"/>
      <c r="C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5"/>
      <c r="W30" s="2"/>
      <c r="X30" s="2"/>
    </row>
    <row r="31" spans="1:26" x14ac:dyDescent="0.25">
      <c r="A31" s="2"/>
      <c r="B31" s="2"/>
      <c r="C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5"/>
      <c r="Y31" s="2"/>
      <c r="Z31" s="2"/>
    </row>
    <row r="32" spans="1:26" ht="24" customHeight="1" x14ac:dyDescent="0.4">
      <c r="C32" s="28"/>
      <c r="D32" s="8"/>
      <c r="E32" s="28"/>
      <c r="F32" s="28"/>
      <c r="G32" s="8"/>
      <c r="H32" s="8"/>
      <c r="I32" s="8"/>
      <c r="J32" s="8"/>
      <c r="K32" s="28"/>
      <c r="L32" s="28"/>
      <c r="M32" s="28"/>
      <c r="N32" s="7"/>
      <c r="O32" s="28"/>
      <c r="P32" s="7"/>
      <c r="Q32" s="28"/>
      <c r="R32" s="28"/>
      <c r="S32" s="28"/>
      <c r="T32" s="28"/>
      <c r="U32" s="28"/>
      <c r="V32" s="28"/>
      <c r="W32" s="28"/>
      <c r="X32" s="32"/>
      <c r="Y32" s="28"/>
      <c r="Z32" s="28"/>
    </row>
    <row r="33" spans="1:21" x14ac:dyDescent="0.25">
      <c r="A33" s="1"/>
      <c r="B33" s="1"/>
      <c r="C33" s="7"/>
      <c r="D33" s="7"/>
      <c r="E33" s="7"/>
      <c r="G33" s="8"/>
      <c r="H33" s="33"/>
      <c r="I33" s="7"/>
      <c r="J33" s="33"/>
      <c r="K33" s="7"/>
      <c r="L33" s="33"/>
      <c r="M33" s="7"/>
      <c r="N33" s="7" t="s">
        <v>0</v>
      </c>
      <c r="O33" s="7"/>
      <c r="P33" s="7"/>
      <c r="Q33" s="7"/>
      <c r="R33" s="7" t="s">
        <v>33</v>
      </c>
      <c r="T33" s="7" t="s">
        <v>4</v>
      </c>
    </row>
    <row r="34" spans="1:21" x14ac:dyDescent="0.25">
      <c r="A34" s="1"/>
      <c r="B34" s="1"/>
      <c r="C34" s="7" t="s">
        <v>9</v>
      </c>
      <c r="D34" s="7"/>
      <c r="E34" s="7"/>
      <c r="F34" s="7"/>
      <c r="G34" s="7"/>
      <c r="H34" s="7" t="s">
        <v>34</v>
      </c>
      <c r="I34" s="7"/>
      <c r="J34" s="7" t="s">
        <v>35</v>
      </c>
      <c r="K34" s="7"/>
      <c r="L34" s="7"/>
      <c r="M34" s="7"/>
      <c r="N34" s="7" t="s">
        <v>60</v>
      </c>
      <c r="O34" s="7"/>
      <c r="P34" s="7" t="s">
        <v>61</v>
      </c>
      <c r="Q34" s="7"/>
      <c r="R34" s="7" t="s">
        <v>36</v>
      </c>
      <c r="T34" s="7" t="s">
        <v>2</v>
      </c>
    </row>
    <row r="35" spans="1:21" x14ac:dyDescent="0.25">
      <c r="A35" s="1"/>
      <c r="B35" s="2"/>
      <c r="C35" s="7" t="s">
        <v>14</v>
      </c>
      <c r="D35" s="7"/>
      <c r="E35" s="7"/>
      <c r="F35" s="8" t="s">
        <v>13</v>
      </c>
      <c r="G35" s="2"/>
      <c r="H35" s="7" t="s">
        <v>37</v>
      </c>
      <c r="I35" s="7"/>
      <c r="J35" s="7" t="s">
        <v>38</v>
      </c>
      <c r="K35" s="7"/>
      <c r="L35" s="7" t="s">
        <v>39</v>
      </c>
      <c r="M35" s="7"/>
      <c r="N35" s="7" t="s">
        <v>1</v>
      </c>
      <c r="O35" s="7"/>
      <c r="P35" s="7" t="s">
        <v>1</v>
      </c>
      <c r="Q35" s="7"/>
      <c r="R35" s="34" t="s">
        <v>40</v>
      </c>
      <c r="T35" s="7" t="s">
        <v>46</v>
      </c>
    </row>
    <row r="36" spans="1:21" x14ac:dyDescent="0.25">
      <c r="A36" s="2"/>
      <c r="B36" s="2"/>
      <c r="C36" s="45" t="s">
        <v>41</v>
      </c>
      <c r="D36" s="7"/>
      <c r="E36" s="7"/>
      <c r="F36" s="8" t="s">
        <v>16</v>
      </c>
      <c r="G36" s="15"/>
      <c r="H36" s="45" t="s">
        <v>42</v>
      </c>
      <c r="I36" s="7"/>
      <c r="J36" s="45" t="s">
        <v>43</v>
      </c>
      <c r="K36" s="7"/>
      <c r="L36" s="45" t="s">
        <v>44</v>
      </c>
      <c r="M36" s="7"/>
      <c r="N36" s="45" t="s">
        <v>45</v>
      </c>
      <c r="O36" s="7"/>
      <c r="P36" s="45" t="s">
        <v>65</v>
      </c>
      <c r="Q36" s="7"/>
      <c r="R36" s="45" t="s">
        <v>63</v>
      </c>
      <c r="T36" s="10" t="s">
        <v>64</v>
      </c>
    </row>
    <row r="37" spans="1:21" x14ac:dyDescent="0.25">
      <c r="A37" s="2"/>
      <c r="B37" s="2"/>
      <c r="C37" s="11">
        <v>-10</v>
      </c>
      <c r="D37" s="7"/>
      <c r="E37" s="8"/>
      <c r="F37" s="11">
        <v>-11</v>
      </c>
      <c r="G37" s="15"/>
      <c r="H37" s="11">
        <v>-12</v>
      </c>
      <c r="I37" s="7"/>
      <c r="J37" s="11">
        <v>-13</v>
      </c>
      <c r="K37" s="7"/>
      <c r="L37" s="11">
        <v>-14</v>
      </c>
      <c r="M37" s="7"/>
      <c r="N37" s="11">
        <v>-15</v>
      </c>
      <c r="O37" s="7"/>
      <c r="P37" s="11">
        <v>-16</v>
      </c>
      <c r="Q37" s="7"/>
      <c r="R37" s="11">
        <v>-17</v>
      </c>
      <c r="T37" s="11">
        <v>-18</v>
      </c>
    </row>
    <row r="38" spans="1:21" x14ac:dyDescent="0.25">
      <c r="A38" s="12" t="s">
        <v>22</v>
      </c>
      <c r="B38" s="2"/>
      <c r="C38" s="13"/>
      <c r="D38" s="2"/>
      <c r="E38" s="13"/>
      <c r="F38" s="7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T38" s="7"/>
    </row>
    <row r="39" spans="1:21" x14ac:dyDescent="0.25">
      <c r="A39" s="2"/>
      <c r="B39" s="2"/>
      <c r="C39" s="2"/>
      <c r="D39" s="2"/>
      <c r="E39" s="2"/>
      <c r="F39" s="2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2"/>
    </row>
    <row r="40" spans="1:21" x14ac:dyDescent="0.25">
      <c r="A40" s="14" t="s">
        <v>23</v>
      </c>
      <c r="B40" s="2" t="s">
        <v>24</v>
      </c>
      <c r="C40" s="49" t="e">
        <f>+J15</f>
        <v>#REF!</v>
      </c>
      <c r="D40" s="2"/>
      <c r="E40" s="2"/>
      <c r="F40" s="15" t="e">
        <f>ROUND(+C40/$C$46,4)</f>
        <v>#REF!</v>
      </c>
      <c r="G40" s="18"/>
      <c r="H40" s="49" t="e">
        <f>ROUND(+F40*$H$46,0)</f>
        <v>#REF!</v>
      </c>
      <c r="I40" s="2"/>
      <c r="J40" s="49" t="e">
        <f>ROUND(+F40*$J$46,0)</f>
        <v>#REF!</v>
      </c>
      <c r="K40" s="2"/>
      <c r="L40" s="49" t="e">
        <f>ROUND(+F40*$L$46,0)</f>
        <v>#REF!</v>
      </c>
      <c r="M40" s="2"/>
      <c r="N40" s="49" t="e">
        <f>ROUND(+F40*$N$46,0)</f>
        <v>#REF!</v>
      </c>
      <c r="O40" s="2"/>
      <c r="P40" s="49" t="e">
        <f>ROUND(+F40*$P$46,0)</f>
        <v>#REF!</v>
      </c>
      <c r="Q40" s="2"/>
      <c r="R40" s="49" t="e">
        <f>ROUND(+F40*$R$46,0)</f>
        <v>#REF!</v>
      </c>
      <c r="T40" s="49" t="e">
        <f>SUM(H40:R40)</f>
        <v>#REF!</v>
      </c>
    </row>
    <row r="41" spans="1:21" x14ac:dyDescent="0.25">
      <c r="A41" s="14"/>
      <c r="B41" s="2"/>
      <c r="C41" s="2"/>
      <c r="D41" s="2"/>
      <c r="E41" s="2"/>
      <c r="F41" s="16"/>
      <c r="G41" s="15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1" x14ac:dyDescent="0.25">
      <c r="A42" s="14" t="s">
        <v>25</v>
      </c>
      <c r="B42" s="2" t="s">
        <v>26</v>
      </c>
      <c r="C42" s="2" t="e">
        <f>+J17</f>
        <v>#REF!</v>
      </c>
      <c r="D42" s="2"/>
      <c r="E42" s="2"/>
      <c r="F42" s="15" t="e">
        <f>ROUND(+C42/$C$46,4)</f>
        <v>#REF!</v>
      </c>
      <c r="G42" s="18"/>
      <c r="H42" s="50" t="e">
        <f>ROUND(+F42*$H$46,0)</f>
        <v>#REF!</v>
      </c>
      <c r="I42" s="2"/>
      <c r="J42" s="50" t="e">
        <f>ROUND(+F42*$J$46,0)</f>
        <v>#REF!</v>
      </c>
      <c r="K42" s="2"/>
      <c r="L42" s="2" t="e">
        <f>ROUND(+F42*$L$46,0)</f>
        <v>#REF!</v>
      </c>
      <c r="M42" s="2"/>
      <c r="N42" s="2" t="e">
        <f>ROUND(+F42*$N$46,0)</f>
        <v>#REF!</v>
      </c>
      <c r="O42" s="2"/>
      <c r="P42" s="50" t="e">
        <f>ROUND(+F42*$P$46,0)</f>
        <v>#REF!</v>
      </c>
      <c r="Q42" s="2"/>
      <c r="R42" s="50" t="e">
        <f>ROUND(+F42*$R$46,0)</f>
        <v>#REF!</v>
      </c>
      <c r="T42" s="2" t="e">
        <f>SUM(H42:R42)</f>
        <v>#REF!</v>
      </c>
    </row>
    <row r="43" spans="1:21" ht="18" x14ac:dyDescent="0.4">
      <c r="A43" s="2"/>
      <c r="B43" s="2"/>
      <c r="C43" s="2"/>
      <c r="D43" s="2"/>
      <c r="E43" s="2"/>
      <c r="F43" s="16"/>
      <c r="G43" s="28"/>
      <c r="H43" s="50"/>
      <c r="I43" s="2"/>
      <c r="J43" s="15"/>
      <c r="K43" s="2"/>
      <c r="L43" s="2"/>
      <c r="M43" s="2"/>
      <c r="N43" s="2"/>
      <c r="O43" s="2"/>
      <c r="P43" s="50"/>
      <c r="Q43" s="2"/>
      <c r="R43" s="50"/>
      <c r="T43" s="2"/>
    </row>
    <row r="44" spans="1:21" x14ac:dyDescent="0.25">
      <c r="A44" s="14" t="s">
        <v>27</v>
      </c>
      <c r="B44" s="2" t="s">
        <v>28</v>
      </c>
      <c r="C44" s="2" t="e">
        <f>+J19</f>
        <v>#REF!</v>
      </c>
      <c r="D44" s="2"/>
      <c r="E44" s="2"/>
      <c r="F44" s="18" t="e">
        <f>ROUND(1-F40-F42,4)</f>
        <v>#REF!</v>
      </c>
      <c r="H44" s="50" t="e">
        <f>+H46-H40-H42</f>
        <v>#REF!</v>
      </c>
      <c r="I44" s="2"/>
      <c r="J44" s="2" t="e">
        <f>+J46-J40-J42</f>
        <v>#REF!</v>
      </c>
      <c r="K44" s="2"/>
      <c r="L44" s="2" t="e">
        <f>+L46-L40-L42</f>
        <v>#REF!</v>
      </c>
      <c r="M44" s="2"/>
      <c r="N44" s="2" t="e">
        <f>+N46-N40-N42</f>
        <v>#REF!</v>
      </c>
      <c r="O44" s="2"/>
      <c r="P44" s="2" t="e">
        <f>+P46-P40-P42</f>
        <v>#REF!</v>
      </c>
      <c r="Q44" s="2"/>
      <c r="R44" s="2" t="e">
        <f>+R46-R40-R42</f>
        <v>#REF!</v>
      </c>
      <c r="T44" s="2" t="e">
        <f>SUM(H44:R44)</f>
        <v>#REF!</v>
      </c>
    </row>
    <row r="45" spans="1:21" x14ac:dyDescent="0.25">
      <c r="A45" s="2"/>
      <c r="B45" s="2"/>
      <c r="C45" s="2"/>
      <c r="D45" s="2"/>
      <c r="E45" s="2"/>
      <c r="F45" s="16"/>
      <c r="G45" s="8"/>
      <c r="H45" s="50"/>
      <c r="I45" s="2"/>
      <c r="J45" s="2"/>
      <c r="K45" s="2"/>
      <c r="L45" s="2"/>
      <c r="M45" s="2"/>
      <c r="N45" s="2"/>
      <c r="O45" s="2"/>
      <c r="P45" s="2"/>
      <c r="Q45" s="2"/>
      <c r="R45" s="2"/>
      <c r="T45" s="2"/>
    </row>
    <row r="46" spans="1:21" ht="16.5" thickBot="1" x14ac:dyDescent="0.3">
      <c r="A46" s="14" t="s">
        <v>29</v>
      </c>
      <c r="B46" s="2" t="s">
        <v>30</v>
      </c>
      <c r="C46" s="48" t="e">
        <f>SUM(C40:C44)</f>
        <v>#REF!</v>
      </c>
      <c r="D46" s="2"/>
      <c r="E46" s="2"/>
      <c r="F46" s="26" t="e">
        <f>SUM(F40:F44)</f>
        <v>#REF!</v>
      </c>
      <c r="G46" s="15"/>
      <c r="H46" s="48" t="e">
        <f>-F59</f>
        <v>#REF!</v>
      </c>
      <c r="I46" s="2"/>
      <c r="J46" s="48" t="e">
        <f>ROUND(-#REF!-#REF!,0)</f>
        <v>#REF!</v>
      </c>
      <c r="K46" s="2"/>
      <c r="L46" s="48" t="e">
        <f>ROUND(#REF!,0)</f>
        <v>#REF!</v>
      </c>
      <c r="M46" s="2"/>
      <c r="N46" s="48" t="e">
        <f>-ROUND(#REF!,0)</f>
        <v>#REF!</v>
      </c>
      <c r="O46" s="2"/>
      <c r="P46" s="48" t="e">
        <f>-ROUND(#REF!,0)</f>
        <v>#REF!</v>
      </c>
      <c r="Q46" s="2"/>
      <c r="R46" s="48" t="e">
        <f>ROUND(#REF!,0)</f>
        <v>#REF!</v>
      </c>
      <c r="T46" s="48" t="e">
        <f>SUM(T40:T44)</f>
        <v>#REF!</v>
      </c>
    </row>
    <row r="47" spans="1:21" ht="16.5" thickTop="1" x14ac:dyDescent="0.25">
      <c r="A47" s="2"/>
      <c r="B47" s="2"/>
      <c r="C47" s="2"/>
      <c r="D47" s="2"/>
      <c r="E47" s="2"/>
      <c r="F47" s="2"/>
      <c r="G47" s="15"/>
      <c r="H47" s="15"/>
      <c r="I47" s="2"/>
      <c r="J47" s="2"/>
      <c r="K47" s="2"/>
      <c r="L47" s="35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36"/>
      <c r="T48" s="2"/>
      <c r="U48" s="2"/>
    </row>
    <row r="49" spans="1:24" x14ac:dyDescent="0.25">
      <c r="G49" s="18"/>
      <c r="H49" s="18"/>
    </row>
    <row r="50" spans="1:24" x14ac:dyDescent="0.25">
      <c r="A50" s="37" t="s">
        <v>47</v>
      </c>
      <c r="B50" s="38" t="str">
        <f>"Trimble County Inventories"</f>
        <v>Trimble County Inventories</v>
      </c>
      <c r="C50" s="4" t="e">
        <f>A5</f>
        <v>#VALUE!</v>
      </c>
      <c r="F50" s="37"/>
      <c r="G50" s="17"/>
      <c r="H50" s="17"/>
      <c r="L50" s="39"/>
      <c r="T50" s="40"/>
      <c r="U50" s="40"/>
      <c r="V50" s="40"/>
      <c r="X50" s="40"/>
    </row>
    <row r="51" spans="1:24" x14ac:dyDescent="0.25">
      <c r="B51" s="4" t="s">
        <v>58</v>
      </c>
      <c r="F51" s="17" t="e">
        <f>F57-SUM(F52:F56)</f>
        <v>#REF!</v>
      </c>
      <c r="T51" s="17"/>
      <c r="U51" s="41"/>
      <c r="V51" s="17"/>
      <c r="W51" s="17"/>
      <c r="X51" s="17"/>
    </row>
    <row r="52" spans="1:24" x14ac:dyDescent="0.25">
      <c r="B52" s="4" t="s">
        <v>48</v>
      </c>
      <c r="F52" s="41" t="e">
        <f>ROUND(#REF!,0)</f>
        <v>#REF!</v>
      </c>
      <c r="T52" s="17"/>
      <c r="V52" s="17"/>
      <c r="W52" s="17"/>
      <c r="X52" s="17"/>
    </row>
    <row r="53" spans="1:24" x14ac:dyDescent="0.25">
      <c r="B53" s="4" t="s">
        <v>49</v>
      </c>
      <c r="F53" s="41" t="e">
        <f>ROUND(#REF!,0)</f>
        <v>#REF!</v>
      </c>
    </row>
    <row r="54" spans="1:24" x14ac:dyDescent="0.25">
      <c r="B54" s="4" t="s">
        <v>50</v>
      </c>
      <c r="F54" s="41" t="e">
        <f>ROUND(#REF!,0)</f>
        <v>#REF!</v>
      </c>
    </row>
    <row r="55" spans="1:24" x14ac:dyDescent="0.25">
      <c r="B55" s="4" t="s">
        <v>51</v>
      </c>
      <c r="F55" s="41" t="e">
        <f>ROUND(#REF!,0)</f>
        <v>#REF!</v>
      </c>
      <c r="L55" s="42"/>
      <c r="M55" s="42"/>
      <c r="N55" s="42"/>
      <c r="O55" s="42"/>
      <c r="P55" s="42"/>
      <c r="Q55" s="42"/>
      <c r="R55" s="42"/>
      <c r="S55" s="42"/>
      <c r="T55" s="42"/>
    </row>
    <row r="56" spans="1:24" x14ac:dyDescent="0.25">
      <c r="B56" s="4" t="s">
        <v>52</v>
      </c>
      <c r="F56" s="41" t="e">
        <f>ROUND(#REF!,0)</f>
        <v>#REF!</v>
      </c>
      <c r="L56" s="42"/>
      <c r="M56" s="42"/>
      <c r="N56" s="42"/>
      <c r="O56" s="42"/>
      <c r="P56" s="42"/>
      <c r="Q56" s="42"/>
      <c r="R56" s="42"/>
      <c r="S56" s="42"/>
      <c r="T56" s="42"/>
    </row>
    <row r="57" spans="1:24" x14ac:dyDescent="0.25">
      <c r="B57" s="4" t="s">
        <v>53</v>
      </c>
      <c r="F57" s="51" t="e">
        <f>ROUND(#REF!,0)</f>
        <v>#REF!</v>
      </c>
      <c r="L57" s="42"/>
      <c r="M57" s="42"/>
      <c r="N57" s="42"/>
      <c r="O57" s="42"/>
      <c r="P57" s="42"/>
      <c r="Q57" s="42"/>
      <c r="R57" s="42"/>
      <c r="S57" s="42"/>
      <c r="T57" s="42"/>
    </row>
    <row r="58" spans="1:24" x14ac:dyDescent="0.25">
      <c r="B58" s="4" t="s">
        <v>54</v>
      </c>
      <c r="F58" s="18">
        <v>0.25</v>
      </c>
    </row>
    <row r="59" spans="1:24" ht="16.5" thickBot="1" x14ac:dyDescent="0.3">
      <c r="B59" s="4" t="s">
        <v>55</v>
      </c>
      <c r="F59" s="48" t="e">
        <f>ROUND(+F57*F58,0)</f>
        <v>#REF!</v>
      </c>
    </row>
    <row r="60" spans="1:24" ht="16.5" thickTop="1" x14ac:dyDescent="0.25"/>
    <row r="61" spans="1:24" x14ac:dyDescent="0.25">
      <c r="A61" s="37" t="s">
        <v>56</v>
      </c>
      <c r="B61" s="38" t="s">
        <v>57</v>
      </c>
    </row>
    <row r="63" spans="1:24" x14ac:dyDescent="0.25">
      <c r="A63" s="4" t="s">
        <v>59</v>
      </c>
      <c r="B63" s="4" t="s">
        <v>69</v>
      </c>
    </row>
  </sheetData>
  <sheetProtection sheet="1" objects="1" scenarios="1"/>
  <mergeCells count="3">
    <mergeCell ref="A2:V2"/>
    <mergeCell ref="A4:V4"/>
    <mergeCell ref="A5:V5"/>
  </mergeCells>
  <printOptions horizontalCentered="1" gridLinesSet="0"/>
  <pageMargins left="0.32" right="0.33" top="0.75" bottom="0.5" header="0.5" footer="0"/>
  <pageSetup scale="53" orientation="landscape" useFirstPageNumber="1" r:id="rId1"/>
  <headerFooter alignWithMargins="0">
    <oddFooter>&amp;L&amp;Z&amp;F
&amp;A
&amp;R&amp;"Arial,Bold"&amp;20&amp;P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showGridLines="0" topLeftCell="A19" zoomScale="80" zoomScaleNormal="80" zoomScaleSheetLayoutView="80" workbookViewId="0">
      <selection activeCell="R70" sqref="R70"/>
    </sheetView>
  </sheetViews>
  <sheetFormatPr defaultColWidth="9.7109375" defaultRowHeight="15" x14ac:dyDescent="0.2"/>
  <cols>
    <col min="1" max="1" width="49.140625" style="58" customWidth="1"/>
    <col min="2" max="2" width="15.85546875" style="60" customWidth="1"/>
    <col min="3" max="3" width="5.5703125" style="99" customWidth="1"/>
    <col min="4" max="4" width="12.7109375" style="58" customWidth="1"/>
    <col min="5" max="5" width="5.5703125" style="99" customWidth="1"/>
    <col min="6" max="6" width="22.42578125" style="58" customWidth="1"/>
    <col min="7" max="7" width="5.5703125" style="58" customWidth="1"/>
    <col min="8" max="8" width="19.85546875" style="58" customWidth="1"/>
    <col min="9" max="9" width="5.5703125" style="99" customWidth="1"/>
    <col min="10" max="10" width="16.85546875" style="58" customWidth="1"/>
    <col min="11" max="11" width="5.5703125" style="99" customWidth="1"/>
    <col min="12" max="12" width="16" style="58" customWidth="1"/>
    <col min="13" max="13" width="5.5703125" style="99" customWidth="1"/>
    <col min="14" max="14" width="16.5703125" style="58" customWidth="1"/>
    <col min="15" max="15" width="2.42578125" style="58" customWidth="1"/>
    <col min="16" max="16" width="17.42578125" style="58" bestFit="1" customWidth="1"/>
    <col min="17" max="17" width="1" style="58" customWidth="1"/>
    <col min="18" max="18" width="15.42578125" style="59" bestFit="1" customWidth="1"/>
    <col min="19" max="19" width="18.28515625" style="58" bestFit="1" customWidth="1"/>
    <col min="20" max="16384" width="9.7109375" style="58"/>
  </cols>
  <sheetData>
    <row r="1" spans="1:18" s="83" customFormat="1" ht="15.75" x14ac:dyDescent="0.25">
      <c r="A1" s="251" t="s">
        <v>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s="83" customFormat="1" ht="15.75" x14ac:dyDescent="0.25">
      <c r="A2" s="251" t="s">
        <v>142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83" customFormat="1" ht="15.75" x14ac:dyDescent="0.25">
      <c r="A3" s="253">
        <v>42978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 s="84" customFormat="1" ht="15.75" x14ac:dyDescent="0.25">
      <c r="A4" s="256" t="s">
        <v>141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18" s="83" customFormat="1" ht="15.75" x14ac:dyDescent="0.25">
      <c r="A5" s="248" t="s">
        <v>182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5"/>
    </row>
    <row r="6" spans="1:18" ht="15.75" x14ac:dyDescent="0.25">
      <c r="A6" s="85"/>
      <c r="B6" s="67"/>
      <c r="C6" s="86"/>
      <c r="D6" s="66"/>
      <c r="E6" s="86"/>
      <c r="F6" s="66"/>
      <c r="G6" s="66"/>
      <c r="H6" s="66"/>
      <c r="I6" s="86"/>
      <c r="J6" s="66"/>
      <c r="K6" s="86"/>
      <c r="L6" s="66"/>
      <c r="M6" s="86"/>
      <c r="N6" s="66"/>
      <c r="O6" s="66"/>
      <c r="P6" s="66"/>
      <c r="Q6" s="66"/>
      <c r="R6" s="65"/>
    </row>
    <row r="7" spans="1:18" x14ac:dyDescent="0.2">
      <c r="A7" s="87"/>
      <c r="B7" s="67"/>
      <c r="C7" s="86"/>
      <c r="D7" s="66"/>
      <c r="E7" s="86"/>
      <c r="F7" s="66"/>
      <c r="G7" s="66"/>
      <c r="H7" s="246" t="s">
        <v>97</v>
      </c>
      <c r="I7" s="246"/>
      <c r="J7" s="246"/>
      <c r="K7" s="246"/>
      <c r="L7" s="246"/>
      <c r="M7" s="246"/>
      <c r="N7" s="246"/>
      <c r="O7" s="246"/>
      <c r="P7" s="246"/>
      <c r="Q7" s="67"/>
      <c r="R7" s="88"/>
    </row>
    <row r="8" spans="1:18" x14ac:dyDescent="0.2">
      <c r="A8" s="68"/>
      <c r="B8" s="67"/>
      <c r="C8" s="86"/>
      <c r="D8" s="66"/>
      <c r="E8" s="86"/>
      <c r="F8" s="66"/>
      <c r="G8" s="66"/>
      <c r="H8" s="66"/>
      <c r="I8" s="86"/>
      <c r="J8" s="67" t="s">
        <v>140</v>
      </c>
      <c r="K8" s="86"/>
      <c r="L8" s="67" t="s">
        <v>139</v>
      </c>
      <c r="M8" s="86"/>
      <c r="N8" s="67" t="s">
        <v>138</v>
      </c>
      <c r="O8" s="66"/>
      <c r="P8" s="67"/>
      <c r="Q8" s="67"/>
      <c r="R8" s="88" t="s">
        <v>96</v>
      </c>
    </row>
    <row r="9" spans="1:18" ht="30" x14ac:dyDescent="0.2">
      <c r="A9" s="68"/>
      <c r="B9" s="89" t="s">
        <v>137</v>
      </c>
      <c r="C9" s="86"/>
      <c r="D9" s="89" t="s">
        <v>20</v>
      </c>
      <c r="E9" s="86"/>
      <c r="F9" s="89" t="s">
        <v>136</v>
      </c>
      <c r="G9" s="66"/>
      <c r="H9" s="77" t="s">
        <v>135</v>
      </c>
      <c r="I9" s="86"/>
      <c r="J9" s="82" t="s">
        <v>134</v>
      </c>
      <c r="K9" s="86"/>
      <c r="L9" s="82" t="s">
        <v>133</v>
      </c>
      <c r="M9" s="90"/>
      <c r="N9" s="77" t="s">
        <v>132</v>
      </c>
      <c r="O9" s="66"/>
      <c r="P9" s="77" t="s">
        <v>4</v>
      </c>
      <c r="Q9" s="67"/>
      <c r="R9" s="91" t="s">
        <v>131</v>
      </c>
    </row>
    <row r="10" spans="1:18" x14ac:dyDescent="0.2">
      <c r="A10" s="68" t="s">
        <v>130</v>
      </c>
      <c r="B10" s="92"/>
      <c r="C10" s="86"/>
      <c r="D10" s="93"/>
      <c r="E10" s="86"/>
      <c r="F10" s="94"/>
      <c r="G10" s="86"/>
      <c r="H10" s="94"/>
      <c r="I10" s="86"/>
      <c r="J10" s="95"/>
      <c r="K10" s="96"/>
      <c r="L10" s="94"/>
      <c r="M10" s="97"/>
      <c r="N10" s="94"/>
      <c r="O10" s="94"/>
      <c r="P10" s="94"/>
      <c r="Q10" s="66"/>
      <c r="R10" s="65"/>
    </row>
    <row r="11" spans="1:18" ht="17.25" customHeight="1" x14ac:dyDescent="0.2">
      <c r="A11" s="68" t="s">
        <v>128</v>
      </c>
      <c r="B11" s="189">
        <v>46631</v>
      </c>
      <c r="C11" s="190"/>
      <c r="D11" s="191">
        <v>2.1600000000000001E-2</v>
      </c>
      <c r="E11" s="192" t="s">
        <v>5</v>
      </c>
      <c r="F11" s="193">
        <v>10104000</v>
      </c>
      <c r="G11" s="190"/>
      <c r="H11" s="193">
        <f t="shared" ref="H11:H20" si="0">ROUND(D11*F11,0)</f>
        <v>218246</v>
      </c>
      <c r="I11" s="190"/>
      <c r="J11" s="193">
        <v>18403.3</v>
      </c>
      <c r="K11" s="190"/>
      <c r="L11" s="193">
        <v>0</v>
      </c>
      <c r="M11" s="190"/>
      <c r="N11" s="193">
        <v>30402.94</v>
      </c>
      <c r="O11" s="194" t="s">
        <v>129</v>
      </c>
      <c r="P11" s="193">
        <f t="shared" ref="P11:P22" si="1">H11+J11+L11+N11</f>
        <v>267052.24</v>
      </c>
      <c r="Q11" s="194"/>
      <c r="R11" s="98">
        <f t="shared" ref="R11:R21" si="2">ROUND((P11/F11),5)</f>
        <v>2.6429999999999999E-2</v>
      </c>
    </row>
    <row r="12" spans="1:18" ht="17.25" customHeight="1" x14ac:dyDescent="0.2">
      <c r="A12" s="68" t="s">
        <v>128</v>
      </c>
      <c r="B12" s="189">
        <v>46266</v>
      </c>
      <c r="C12" s="190"/>
      <c r="D12" s="191">
        <v>9.2999999999999992E-3</v>
      </c>
      <c r="E12" s="192" t="s">
        <v>5</v>
      </c>
      <c r="F12" s="193">
        <v>22500000</v>
      </c>
      <c r="G12" s="190"/>
      <c r="H12" s="193">
        <f t="shared" si="0"/>
        <v>209250</v>
      </c>
      <c r="I12" s="190"/>
      <c r="J12" s="193">
        <v>10023.017741935484</v>
      </c>
      <c r="K12" s="190"/>
      <c r="L12" s="193">
        <v>77400.604838709682</v>
      </c>
      <c r="M12" s="190"/>
      <c r="N12" s="193">
        <v>22500</v>
      </c>
      <c r="O12" s="194" t="s">
        <v>118</v>
      </c>
      <c r="P12" s="193">
        <f t="shared" si="1"/>
        <v>319173.62258064514</v>
      </c>
      <c r="Q12" s="194"/>
      <c r="R12" s="98">
        <f t="shared" si="2"/>
        <v>1.4189999999999999E-2</v>
      </c>
    </row>
    <row r="13" spans="1:18" ht="17.25" customHeight="1" x14ac:dyDescent="0.2">
      <c r="A13" s="68" t="s">
        <v>127</v>
      </c>
      <c r="B13" s="189">
        <v>46266</v>
      </c>
      <c r="C13" s="190"/>
      <c r="D13" s="191">
        <v>1.0500000000000001E-2</v>
      </c>
      <c r="E13" s="192"/>
      <c r="F13" s="193">
        <v>27500000</v>
      </c>
      <c r="G13" s="190"/>
      <c r="H13" s="193">
        <f t="shared" si="0"/>
        <v>288750</v>
      </c>
      <c r="I13" s="190"/>
      <c r="J13" s="193">
        <v>56169.496774193525</v>
      </c>
      <c r="K13" s="190"/>
      <c r="L13" s="193">
        <v>76158.309677419456</v>
      </c>
      <c r="M13" s="190"/>
      <c r="N13" s="193">
        <v>0</v>
      </c>
      <c r="O13" s="194"/>
      <c r="P13" s="193">
        <f t="shared" si="1"/>
        <v>421077.80645161297</v>
      </c>
      <c r="Q13" s="194"/>
      <c r="R13" s="98">
        <f t="shared" si="2"/>
        <v>1.5310000000000001E-2</v>
      </c>
    </row>
    <row r="14" spans="1:18" ht="17.25" customHeight="1" x14ac:dyDescent="0.2">
      <c r="A14" s="68" t="s">
        <v>126</v>
      </c>
      <c r="B14" s="189">
        <v>46692</v>
      </c>
      <c r="C14" s="190"/>
      <c r="D14" s="191">
        <v>1.35E-2</v>
      </c>
      <c r="E14" s="192"/>
      <c r="F14" s="193">
        <v>35000000</v>
      </c>
      <c r="G14" s="190"/>
      <c r="H14" s="193">
        <f t="shared" si="0"/>
        <v>472500</v>
      </c>
      <c r="I14" s="190"/>
      <c r="J14" s="193">
        <v>60566.922580645165</v>
      </c>
      <c r="K14" s="190"/>
      <c r="L14" s="193">
        <v>60025.427419354834</v>
      </c>
      <c r="M14" s="190"/>
      <c r="N14" s="193">
        <v>0</v>
      </c>
      <c r="O14" s="194"/>
      <c r="P14" s="193">
        <f t="shared" si="1"/>
        <v>593092.35</v>
      </c>
      <c r="Q14" s="194"/>
      <c r="R14" s="98">
        <f t="shared" si="2"/>
        <v>1.695E-2</v>
      </c>
    </row>
    <row r="15" spans="1:18" ht="17.25" customHeight="1" x14ac:dyDescent="0.2">
      <c r="A15" s="68" t="s">
        <v>125</v>
      </c>
      <c r="B15" s="189">
        <v>46692</v>
      </c>
      <c r="C15" s="190"/>
      <c r="D15" s="191">
        <v>1.35E-2</v>
      </c>
      <c r="E15" s="192"/>
      <c r="F15" s="193">
        <v>35000000</v>
      </c>
      <c r="G15" s="190"/>
      <c r="H15" s="193">
        <f t="shared" si="0"/>
        <v>472500</v>
      </c>
      <c r="I15" s="190"/>
      <c r="J15" s="193">
        <v>60406.322580645152</v>
      </c>
      <c r="K15" s="190"/>
      <c r="L15" s="193">
        <v>59843.398387096771</v>
      </c>
      <c r="M15" s="190"/>
      <c r="N15" s="193">
        <v>0</v>
      </c>
      <c r="O15" s="194"/>
      <c r="P15" s="193">
        <f t="shared" si="1"/>
        <v>592749.72096774192</v>
      </c>
      <c r="Q15" s="194"/>
      <c r="R15" s="98">
        <f t="shared" si="2"/>
        <v>1.694E-2</v>
      </c>
    </row>
    <row r="16" spans="1:18" ht="17.25" customHeight="1" x14ac:dyDescent="0.25">
      <c r="A16" s="68" t="s">
        <v>124</v>
      </c>
      <c r="B16" s="189">
        <v>12328</v>
      </c>
      <c r="C16" s="190"/>
      <c r="D16" s="191">
        <v>1.4999999999999999E-2</v>
      </c>
      <c r="E16" s="192"/>
      <c r="F16" s="193">
        <v>128000000</v>
      </c>
      <c r="G16" s="195"/>
      <c r="H16" s="193">
        <f t="shared" si="0"/>
        <v>1920000</v>
      </c>
      <c r="I16" s="190"/>
      <c r="J16" s="193">
        <v>229071.17419354888</v>
      </c>
      <c r="K16" s="190"/>
      <c r="L16" s="193">
        <v>313571.8532258065</v>
      </c>
      <c r="M16" s="196"/>
      <c r="N16" s="193">
        <v>0</v>
      </c>
      <c r="O16" s="194"/>
      <c r="P16" s="193">
        <f t="shared" si="1"/>
        <v>2462643.0274193557</v>
      </c>
      <c r="Q16" s="194"/>
      <c r="R16" s="98">
        <f t="shared" si="2"/>
        <v>1.924E-2</v>
      </c>
    </row>
    <row r="17" spans="1:18" ht="17.25" customHeight="1" x14ac:dyDescent="0.2">
      <c r="A17" s="68" t="s">
        <v>123</v>
      </c>
      <c r="B17" s="189">
        <v>12816</v>
      </c>
      <c r="C17" s="190"/>
      <c r="D17" s="191">
        <v>2.1999999999999999E-2</v>
      </c>
      <c r="E17" s="192"/>
      <c r="F17" s="193">
        <v>40000000</v>
      </c>
      <c r="G17" s="190"/>
      <c r="H17" s="193">
        <f t="shared" si="0"/>
        <v>880000</v>
      </c>
      <c r="I17" s="190"/>
      <c r="J17" s="193">
        <v>72717.301612903218</v>
      </c>
      <c r="K17" s="190"/>
      <c r="L17" s="193">
        <v>84561.904838709685</v>
      </c>
      <c r="M17" s="196"/>
      <c r="N17" s="193">
        <v>0</v>
      </c>
      <c r="O17" s="194"/>
      <c r="P17" s="193">
        <f t="shared" si="1"/>
        <v>1037279.206451613</v>
      </c>
      <c r="Q17" s="194"/>
      <c r="R17" s="98">
        <f t="shared" si="2"/>
        <v>2.5930000000000002E-2</v>
      </c>
    </row>
    <row r="18" spans="1:18" ht="17.25" customHeight="1" x14ac:dyDescent="0.2">
      <c r="A18" s="68" t="s">
        <v>122</v>
      </c>
      <c r="B18" s="189">
        <v>48731</v>
      </c>
      <c r="C18" s="190"/>
      <c r="D18" s="191">
        <v>3.7499999999999999E-2</v>
      </c>
      <c r="E18" s="192"/>
      <c r="F18" s="193">
        <v>60000000</v>
      </c>
      <c r="G18" s="190"/>
      <c r="H18" s="193">
        <f t="shared" si="0"/>
        <v>2250000</v>
      </c>
      <c r="I18" s="190"/>
      <c r="J18" s="193">
        <v>39874.601612903229</v>
      </c>
      <c r="K18" s="190"/>
      <c r="L18" s="193">
        <v>95099.219354838715</v>
      </c>
      <c r="M18" s="196"/>
      <c r="N18" s="193">
        <v>0</v>
      </c>
      <c r="O18" s="194"/>
      <c r="P18" s="193">
        <f t="shared" si="1"/>
        <v>2384973.8209677418</v>
      </c>
      <c r="Q18" s="194"/>
      <c r="R18" s="98">
        <f t="shared" si="2"/>
        <v>3.9750000000000001E-2</v>
      </c>
    </row>
    <row r="19" spans="1:18" ht="17.25" customHeight="1" x14ac:dyDescent="0.25">
      <c r="A19" s="68" t="s">
        <v>121</v>
      </c>
      <c r="B19" s="189">
        <v>48731</v>
      </c>
      <c r="C19" s="190"/>
      <c r="D19" s="191">
        <v>1.2500000000000001E-2</v>
      </c>
      <c r="E19" s="192"/>
      <c r="F19" s="193">
        <v>31000000</v>
      </c>
      <c r="G19" s="195"/>
      <c r="H19" s="193">
        <f t="shared" si="0"/>
        <v>387500</v>
      </c>
      <c r="I19" s="190"/>
      <c r="J19" s="193">
        <v>71725.914516129036</v>
      </c>
      <c r="K19" s="190"/>
      <c r="L19" s="197">
        <v>35348.95483870968</v>
      </c>
      <c r="M19" s="196"/>
      <c r="N19" s="193">
        <v>0</v>
      </c>
      <c r="O19" s="194"/>
      <c r="P19" s="193">
        <f t="shared" si="1"/>
        <v>494574.86935483874</v>
      </c>
      <c r="Q19" s="194"/>
      <c r="R19" s="98">
        <f t="shared" si="2"/>
        <v>1.5949999999999999E-2</v>
      </c>
    </row>
    <row r="20" spans="1:18" ht="17.25" customHeight="1" x14ac:dyDescent="0.25">
      <c r="A20" s="68" t="s">
        <v>120</v>
      </c>
      <c r="B20" s="189">
        <v>48731</v>
      </c>
      <c r="C20" s="190"/>
      <c r="D20" s="191">
        <v>1.2500000000000001E-2</v>
      </c>
      <c r="E20" s="192"/>
      <c r="F20" s="193">
        <v>35200000</v>
      </c>
      <c r="G20" s="195"/>
      <c r="H20" s="193">
        <f t="shared" si="0"/>
        <v>440000</v>
      </c>
      <c r="I20" s="190"/>
      <c r="J20" s="193">
        <v>74362.980645161297</v>
      </c>
      <c r="K20" s="190"/>
      <c r="L20" s="193">
        <v>32821.859677419357</v>
      </c>
      <c r="M20" s="196"/>
      <c r="N20" s="193">
        <v>0</v>
      </c>
      <c r="O20" s="194"/>
      <c r="P20" s="193">
        <f t="shared" si="1"/>
        <v>547184.84032258065</v>
      </c>
      <c r="Q20" s="194"/>
      <c r="R20" s="98">
        <f t="shared" si="2"/>
        <v>1.555E-2</v>
      </c>
    </row>
    <row r="21" spans="1:18" ht="17.25" customHeight="1" x14ac:dyDescent="0.25">
      <c r="A21" s="68" t="s">
        <v>119</v>
      </c>
      <c r="B21" s="189">
        <v>52841</v>
      </c>
      <c r="C21" s="190"/>
      <c r="D21" s="191">
        <v>8.2000000000000007E-3</v>
      </c>
      <c r="E21" s="192" t="s">
        <v>5</v>
      </c>
      <c r="F21" s="193">
        <v>125000000</v>
      </c>
      <c r="G21" s="195"/>
      <c r="H21" s="193">
        <v>934165</v>
      </c>
      <c r="I21" s="190"/>
      <c r="J21" s="193">
        <v>26713.761290322582</v>
      </c>
      <c r="K21" s="190"/>
      <c r="L21" s="193">
        <v>143959.06129032257</v>
      </c>
      <c r="M21" s="190"/>
      <c r="N21" s="193">
        <v>125000</v>
      </c>
      <c r="O21" s="194" t="s">
        <v>118</v>
      </c>
      <c r="P21" s="193">
        <f t="shared" si="1"/>
        <v>1229837.8225806451</v>
      </c>
      <c r="Q21" s="194"/>
      <c r="R21" s="98">
        <f t="shared" si="2"/>
        <v>9.8399999999999998E-3</v>
      </c>
    </row>
    <row r="22" spans="1:18" ht="17.25" customHeight="1" x14ac:dyDescent="0.2">
      <c r="A22" s="68" t="s">
        <v>117</v>
      </c>
      <c r="B22" s="189"/>
      <c r="C22" s="190"/>
      <c r="D22" s="191"/>
      <c r="E22" s="190"/>
      <c r="F22" s="193">
        <v>0</v>
      </c>
      <c r="G22" s="190"/>
      <c r="H22" s="193">
        <v>0</v>
      </c>
      <c r="I22" s="190"/>
      <c r="J22" s="193">
        <v>0</v>
      </c>
      <c r="K22" s="190"/>
      <c r="L22" s="193">
        <v>0</v>
      </c>
      <c r="M22" s="196"/>
      <c r="N22" s="193"/>
      <c r="O22" s="194"/>
      <c r="P22" s="193">
        <f t="shared" si="1"/>
        <v>0</v>
      </c>
      <c r="Q22" s="194"/>
      <c r="R22" s="98"/>
    </row>
    <row r="23" spans="1:18" ht="30" customHeight="1" x14ac:dyDescent="0.2">
      <c r="A23" s="68" t="s">
        <v>116</v>
      </c>
      <c r="B23" s="189"/>
      <c r="C23" s="190"/>
      <c r="D23" s="191"/>
      <c r="E23" s="190"/>
      <c r="F23" s="193"/>
      <c r="G23" s="190"/>
      <c r="H23" s="193"/>
      <c r="I23" s="190"/>
      <c r="J23" s="193"/>
      <c r="K23" s="198"/>
      <c r="L23" s="193"/>
      <c r="M23" s="196"/>
      <c r="N23" s="193"/>
      <c r="O23" s="194"/>
      <c r="P23" s="193"/>
      <c r="Q23" s="194"/>
      <c r="R23" s="98"/>
    </row>
    <row r="24" spans="1:18" ht="17.25" customHeight="1" x14ac:dyDescent="0.2">
      <c r="A24" s="68" t="s">
        <v>115</v>
      </c>
      <c r="B24" s="189">
        <v>51455</v>
      </c>
      <c r="C24" s="190"/>
      <c r="D24" s="191">
        <v>5.1249999999999997E-2</v>
      </c>
      <c r="E24" s="190"/>
      <c r="F24" s="193">
        <v>285000000</v>
      </c>
      <c r="G24" s="199"/>
      <c r="H24" s="193">
        <f>ROUND(D24*F24,0)</f>
        <v>14606250</v>
      </c>
      <c r="I24" s="190"/>
      <c r="J24" s="193">
        <v>119144.24193548497</v>
      </c>
      <c r="K24" s="198"/>
      <c r="L24" s="193">
        <v>0</v>
      </c>
      <c r="M24" s="196"/>
      <c r="N24" s="193">
        <v>0</v>
      </c>
      <c r="O24" s="194"/>
      <c r="P24" s="193">
        <f t="shared" ref="P24:P34" si="3">H24+J24+L24+N24</f>
        <v>14725394.241935484</v>
      </c>
      <c r="Q24" s="194"/>
      <c r="R24" s="98">
        <f>ROUND((P24/F24),5)</f>
        <v>5.1670000000000001E-2</v>
      </c>
    </row>
    <row r="25" spans="1:18" ht="17.25" customHeight="1" x14ac:dyDescent="0.2">
      <c r="A25" s="68" t="s">
        <v>110</v>
      </c>
      <c r="B25" s="189">
        <v>51455</v>
      </c>
      <c r="C25" s="190"/>
      <c r="D25" s="191">
        <f>+D24</f>
        <v>5.1249999999999997E-2</v>
      </c>
      <c r="E25" s="190"/>
      <c r="F25" s="193">
        <v>-2398684.02</v>
      </c>
      <c r="G25" s="199"/>
      <c r="H25" s="193"/>
      <c r="I25" s="190"/>
      <c r="J25" s="193">
        <v>103293.94032258065</v>
      </c>
      <c r="K25" s="198"/>
      <c r="L25" s="193"/>
      <c r="M25" s="196"/>
      <c r="N25" s="193"/>
      <c r="O25" s="194"/>
      <c r="P25" s="193">
        <f t="shared" si="3"/>
        <v>103293.94032258065</v>
      </c>
      <c r="Q25" s="194"/>
      <c r="R25" s="98">
        <f>ROUND((P25/F25),5)</f>
        <v>-4.3060000000000001E-2</v>
      </c>
    </row>
    <row r="26" spans="1:18" ht="17.25" customHeight="1" x14ac:dyDescent="0.2">
      <c r="A26" s="68" t="s">
        <v>114</v>
      </c>
      <c r="B26" s="189">
        <v>16025</v>
      </c>
      <c r="C26" s="190"/>
      <c r="D26" s="191">
        <v>4.65E-2</v>
      </c>
      <c r="E26" s="190"/>
      <c r="F26" s="193">
        <v>250000000</v>
      </c>
      <c r="G26" s="199"/>
      <c r="H26" s="193">
        <f>ROUND(D26*F26,0)</f>
        <v>11625000</v>
      </c>
      <c r="I26" s="190"/>
      <c r="J26" s="193">
        <v>91178.766129032258</v>
      </c>
      <c r="K26" s="198"/>
      <c r="L26" s="193"/>
      <c r="M26" s="196"/>
      <c r="N26" s="193"/>
      <c r="O26" s="194"/>
      <c r="P26" s="193">
        <f t="shared" si="3"/>
        <v>11716178.766129032</v>
      </c>
      <c r="Q26" s="194"/>
      <c r="R26" s="98">
        <f>ROUND((P26/F26),5)</f>
        <v>4.6859999999999999E-2</v>
      </c>
    </row>
    <row r="27" spans="1:18" ht="17.25" customHeight="1" x14ac:dyDescent="0.2">
      <c r="A27" s="68" t="s">
        <v>110</v>
      </c>
      <c r="B27" s="189">
        <v>52550</v>
      </c>
      <c r="C27" s="190"/>
      <c r="D27" s="191">
        <f>+D26</f>
        <v>4.65E-2</v>
      </c>
      <c r="E27" s="190"/>
      <c r="F27" s="193">
        <v>-1572166.45</v>
      </c>
      <c r="G27" s="199"/>
      <c r="H27" s="193"/>
      <c r="I27" s="190"/>
      <c r="J27" s="193">
        <v>59956.195161290329</v>
      </c>
      <c r="K27" s="198"/>
      <c r="L27" s="193"/>
      <c r="M27" s="196"/>
      <c r="N27" s="193"/>
      <c r="O27" s="194"/>
      <c r="P27" s="193">
        <f t="shared" si="3"/>
        <v>59956.195161290329</v>
      </c>
      <c r="Q27" s="194"/>
      <c r="R27" s="98">
        <f>ROUND((P27/F27),5)</f>
        <v>-3.814E-2</v>
      </c>
    </row>
    <row r="28" spans="1:18" ht="17.25" customHeight="1" x14ac:dyDescent="0.2">
      <c r="A28" s="68" t="s">
        <v>113</v>
      </c>
      <c r="B28" s="189">
        <v>52550</v>
      </c>
      <c r="C28" s="190"/>
      <c r="D28" s="191"/>
      <c r="E28" s="190"/>
      <c r="F28" s="193"/>
      <c r="G28" s="190"/>
      <c r="H28" s="193">
        <v>-1433703.9870967742</v>
      </c>
      <c r="I28" s="190"/>
      <c r="J28" s="193"/>
      <c r="K28" s="198"/>
      <c r="L28" s="193"/>
      <c r="M28" s="196"/>
      <c r="N28" s="193"/>
      <c r="O28" s="194"/>
      <c r="P28" s="193">
        <f t="shared" si="3"/>
        <v>-1433703.9870967742</v>
      </c>
      <c r="Q28" s="194"/>
      <c r="R28" s="98"/>
    </row>
    <row r="29" spans="1:18" ht="17.25" customHeight="1" x14ac:dyDescent="0.2">
      <c r="A29" s="68" t="s">
        <v>112</v>
      </c>
      <c r="B29" s="189">
        <v>45931</v>
      </c>
      <c r="C29" s="190"/>
      <c r="D29" s="191">
        <v>3.3000000000000002E-2</v>
      </c>
      <c r="E29" s="190"/>
      <c r="F29" s="193">
        <v>300000000</v>
      </c>
      <c r="G29" s="190"/>
      <c r="H29" s="193">
        <f>ROUND(D29*F29,0)</f>
        <v>9900000</v>
      </c>
      <c r="I29" s="190"/>
      <c r="J29" s="193">
        <v>237370.33225806453</v>
      </c>
      <c r="K29" s="198"/>
      <c r="L29" s="193"/>
      <c r="M29" s="196"/>
      <c r="N29" s="193"/>
      <c r="O29" s="194"/>
      <c r="P29" s="193">
        <f t="shared" si="3"/>
        <v>10137370.332258064</v>
      </c>
      <c r="Q29" s="194"/>
      <c r="R29" s="98">
        <f>ROUND((P29/F29),5)</f>
        <v>3.3790000000000001E-2</v>
      </c>
    </row>
    <row r="30" spans="1:18" ht="17.25" customHeight="1" x14ac:dyDescent="0.2">
      <c r="A30" s="68" t="s">
        <v>110</v>
      </c>
      <c r="B30" s="189">
        <v>45931</v>
      </c>
      <c r="C30" s="190"/>
      <c r="D30" s="191">
        <f>+D29</f>
        <v>3.3000000000000002E-2</v>
      </c>
      <c r="E30" s="190"/>
      <c r="F30" s="193">
        <v>-104159.74</v>
      </c>
      <c r="G30" s="190"/>
      <c r="H30" s="193"/>
      <c r="I30" s="190"/>
      <c r="J30" s="193">
        <v>12878.848387096774</v>
      </c>
      <c r="K30" s="198"/>
      <c r="L30" s="193"/>
      <c r="M30" s="196"/>
      <c r="N30" s="193"/>
      <c r="O30" s="194"/>
      <c r="P30" s="193">
        <f t="shared" si="3"/>
        <v>12878.848387096774</v>
      </c>
      <c r="Q30" s="194"/>
      <c r="R30" s="98">
        <f>ROUND((P30/F30),5)</f>
        <v>-0.12365</v>
      </c>
    </row>
    <row r="31" spans="1:18" ht="17.25" customHeight="1" x14ac:dyDescent="0.2">
      <c r="A31" s="68" t="s">
        <v>109</v>
      </c>
      <c r="B31" s="189">
        <v>45931</v>
      </c>
      <c r="C31" s="190"/>
      <c r="D31" s="191"/>
      <c r="E31" s="190"/>
      <c r="F31" s="193"/>
      <c r="G31" s="190"/>
      <c r="H31" s="193">
        <v>1405379.6338709677</v>
      </c>
      <c r="I31" s="190"/>
      <c r="J31" s="193"/>
      <c r="K31" s="198"/>
      <c r="L31" s="193"/>
      <c r="M31" s="196"/>
      <c r="N31" s="193"/>
      <c r="O31" s="194"/>
      <c r="P31" s="193">
        <f t="shared" si="3"/>
        <v>1405379.6338709677</v>
      </c>
      <c r="Q31" s="194"/>
      <c r="R31" s="98"/>
    </row>
    <row r="32" spans="1:18" ht="17.25" customHeight="1" x14ac:dyDescent="0.2">
      <c r="A32" s="68" t="s">
        <v>111</v>
      </c>
      <c r="B32" s="189">
        <v>53236</v>
      </c>
      <c r="C32" s="190"/>
      <c r="D32" s="191">
        <v>4.3749999999999997E-2</v>
      </c>
      <c r="E32" s="190"/>
      <c r="F32" s="193">
        <v>250000000</v>
      </c>
      <c r="G32" s="190"/>
      <c r="H32" s="193">
        <f>ROUND(D32*F32,0)</f>
        <v>10937500</v>
      </c>
      <c r="I32" s="190"/>
      <c r="J32" s="193">
        <v>85610.043548387097</v>
      </c>
      <c r="K32" s="198"/>
      <c r="L32" s="193"/>
      <c r="M32" s="196"/>
      <c r="N32" s="193"/>
      <c r="O32" s="194"/>
      <c r="P32" s="193">
        <f t="shared" si="3"/>
        <v>11023110.043548387</v>
      </c>
      <c r="Q32" s="194"/>
      <c r="R32" s="98">
        <f>ROUND((P32/F32),5)</f>
        <v>4.4089999999999997E-2</v>
      </c>
    </row>
    <row r="33" spans="1:21" ht="17.25" customHeight="1" x14ac:dyDescent="0.2">
      <c r="A33" s="68" t="s">
        <v>110</v>
      </c>
      <c r="B33" s="189">
        <v>53236</v>
      </c>
      <c r="C33" s="190"/>
      <c r="D33" s="191">
        <f>+D32</f>
        <v>4.3749999999999997E-2</v>
      </c>
      <c r="E33" s="190"/>
      <c r="F33" s="193">
        <v>-194172.75</v>
      </c>
      <c r="G33" s="190"/>
      <c r="H33" s="193"/>
      <c r="I33" s="190"/>
      <c r="J33" s="193">
        <v>6909.6854838709678</v>
      </c>
      <c r="K33" s="198"/>
      <c r="L33" s="193"/>
      <c r="M33" s="196"/>
      <c r="N33" s="193"/>
      <c r="O33" s="194"/>
      <c r="P33" s="193">
        <f t="shared" si="3"/>
        <v>6909.6854838709678</v>
      </c>
      <c r="Q33" s="194"/>
      <c r="R33" s="98">
        <f>ROUND((P33/F33),5)</f>
        <v>-3.5589999999999997E-2</v>
      </c>
    </row>
    <row r="34" spans="1:21" ht="17.25" customHeight="1" x14ac:dyDescent="0.2">
      <c r="A34" s="68" t="s">
        <v>109</v>
      </c>
      <c r="B34" s="189">
        <v>53236</v>
      </c>
      <c r="C34" s="190"/>
      <c r="D34" s="191"/>
      <c r="E34" s="190"/>
      <c r="F34" s="193"/>
      <c r="G34" s="190"/>
      <c r="H34" s="193">
        <v>986056.09516129026</v>
      </c>
      <c r="I34" s="190"/>
      <c r="J34" s="193"/>
      <c r="K34" s="198"/>
      <c r="L34" s="193"/>
      <c r="M34" s="196"/>
      <c r="N34" s="193"/>
      <c r="O34" s="194"/>
      <c r="P34" s="193">
        <f t="shared" si="3"/>
        <v>986056.09516129026</v>
      </c>
      <c r="Q34" s="194"/>
      <c r="R34" s="98"/>
    </row>
    <row r="35" spans="1:21" ht="17.25" customHeight="1" x14ac:dyDescent="0.2">
      <c r="A35" s="68"/>
      <c r="B35" s="189"/>
      <c r="C35" s="190"/>
      <c r="D35" s="191"/>
      <c r="E35" s="190"/>
      <c r="F35" s="193"/>
      <c r="G35" s="190"/>
      <c r="H35" s="193"/>
      <c r="I35" s="190"/>
      <c r="J35" s="193"/>
      <c r="K35" s="198"/>
      <c r="L35" s="193"/>
      <c r="M35" s="196"/>
      <c r="N35" s="193"/>
      <c r="O35" s="194"/>
      <c r="P35" s="193"/>
      <c r="Q35" s="194"/>
      <c r="R35" s="98"/>
    </row>
    <row r="36" spans="1:21" ht="17.25" customHeight="1" x14ac:dyDescent="0.2">
      <c r="A36" s="68" t="s">
        <v>108</v>
      </c>
      <c r="B36" s="189">
        <v>44588</v>
      </c>
      <c r="C36" s="190"/>
      <c r="D36" s="200"/>
      <c r="E36" s="190"/>
      <c r="F36" s="193"/>
      <c r="G36" s="190"/>
      <c r="H36" s="193"/>
      <c r="I36" s="190"/>
      <c r="J36" s="201">
        <v>502948.57096774201</v>
      </c>
      <c r="K36" s="190">
        <v>2</v>
      </c>
      <c r="L36" s="193">
        <v>31841.069354838684</v>
      </c>
      <c r="M36" s="190"/>
      <c r="N36" s="193">
        <v>506944.44444444444</v>
      </c>
      <c r="O36" s="194" t="s">
        <v>107</v>
      </c>
      <c r="P36" s="193">
        <f>H36+J36+L36+N36</f>
        <v>1041734.0847670252</v>
      </c>
      <c r="Q36" s="194"/>
      <c r="R36" s="98"/>
    </row>
    <row r="37" spans="1:21" ht="17.25" customHeight="1" thickBot="1" x14ac:dyDescent="0.25">
      <c r="A37" s="68"/>
      <c r="B37" s="189"/>
      <c r="C37" s="190"/>
      <c r="D37" s="191"/>
      <c r="E37" s="190"/>
      <c r="F37" s="193"/>
      <c r="G37" s="190"/>
      <c r="H37" s="193"/>
      <c r="I37" s="190"/>
      <c r="J37" s="193"/>
      <c r="K37" s="198"/>
      <c r="L37" s="193"/>
      <c r="M37" s="196"/>
      <c r="N37" s="193"/>
      <c r="O37" s="194"/>
      <c r="P37" s="193"/>
      <c r="Q37" s="194"/>
      <c r="R37" s="98"/>
    </row>
    <row r="38" spans="1:21" ht="16.5" thickBot="1" x14ac:dyDescent="0.3">
      <c r="A38" s="100" t="s">
        <v>106</v>
      </c>
      <c r="B38" s="101"/>
      <c r="C38" s="190"/>
      <c r="D38" s="202"/>
      <c r="E38" s="190"/>
      <c r="F38" s="203">
        <f>SUM(F11:F36)</f>
        <v>1630034817.04</v>
      </c>
      <c r="G38" s="204"/>
      <c r="H38" s="203">
        <f>SUM(H11:H36)</f>
        <v>56499392.741935484</v>
      </c>
      <c r="I38" s="204"/>
      <c r="J38" s="203">
        <f>SUM(J11:J36)</f>
        <v>1939325.4177419369</v>
      </c>
      <c r="K38" s="204"/>
      <c r="L38" s="203">
        <f>SUM(L11:L36)</f>
        <v>1010631.662903226</v>
      </c>
      <c r="M38" s="205"/>
      <c r="N38" s="203">
        <f>SUM(N11:N36)</f>
        <v>684847.38444444444</v>
      </c>
      <c r="O38" s="206"/>
      <c r="P38" s="203">
        <f>SUM(P11:P36)</f>
        <v>60134197.207025111</v>
      </c>
      <c r="Q38" s="194"/>
      <c r="R38" s="105">
        <f>ROUND(+P38/F51,5)</f>
        <v>3.6889999999999999E-2</v>
      </c>
      <c r="U38" s="81"/>
    </row>
    <row r="39" spans="1:21" x14ac:dyDescent="0.2">
      <c r="A39" s="68"/>
      <c r="B39" s="101"/>
      <c r="C39" s="190"/>
      <c r="D39" s="202"/>
      <c r="E39" s="190"/>
      <c r="F39" s="207"/>
      <c r="G39" s="198"/>
      <c r="H39" s="207"/>
      <c r="I39" s="190"/>
      <c r="J39" s="207"/>
      <c r="K39" s="198"/>
      <c r="L39" s="208"/>
      <c r="M39" s="209"/>
      <c r="N39" s="208"/>
      <c r="O39" s="194"/>
      <c r="P39" s="208"/>
      <c r="Q39" s="194"/>
      <c r="R39" s="98"/>
      <c r="S39" s="79"/>
      <c r="T39" s="80"/>
    </row>
    <row r="40" spans="1:21" x14ac:dyDescent="0.2">
      <c r="A40" s="68" t="s">
        <v>105</v>
      </c>
      <c r="B40" s="210"/>
      <c r="C40" s="190"/>
      <c r="D40" s="194"/>
      <c r="E40" s="190"/>
      <c r="F40" s="208"/>
      <c r="G40" s="190"/>
      <c r="H40" s="208"/>
      <c r="I40" s="190"/>
      <c r="J40" s="211"/>
      <c r="K40" s="198"/>
      <c r="L40" s="207"/>
      <c r="M40" s="198"/>
      <c r="N40" s="207"/>
      <c r="O40" s="194"/>
      <c r="P40" s="208"/>
      <c r="Q40" s="194"/>
      <c r="R40" s="98"/>
      <c r="S40" s="79"/>
    </row>
    <row r="41" spans="1:21" ht="30" x14ac:dyDescent="0.2">
      <c r="A41" s="106" t="s">
        <v>104</v>
      </c>
      <c r="B41" s="189">
        <v>44136</v>
      </c>
      <c r="C41" s="190">
        <v>1</v>
      </c>
      <c r="D41" s="188"/>
      <c r="E41" s="190"/>
      <c r="F41" s="208"/>
      <c r="G41" s="190"/>
      <c r="H41" s="206">
        <v>3840659.6338709677</v>
      </c>
      <c r="I41" s="204"/>
      <c r="J41" s="206">
        <v>0</v>
      </c>
      <c r="K41" s="204"/>
      <c r="L41" s="206">
        <v>0</v>
      </c>
      <c r="M41" s="204"/>
      <c r="N41" s="206">
        <v>0</v>
      </c>
      <c r="O41" s="206"/>
      <c r="P41" s="193">
        <f>H41+J41+L41+N41</f>
        <v>3840659.6338709677</v>
      </c>
      <c r="Q41" s="194"/>
      <c r="R41" s="98"/>
    </row>
    <row r="42" spans="1:21" ht="30" x14ac:dyDescent="0.2">
      <c r="A42" s="106" t="s">
        <v>103</v>
      </c>
      <c r="B42" s="189">
        <v>48853</v>
      </c>
      <c r="C42" s="190">
        <v>1</v>
      </c>
      <c r="D42" s="188"/>
      <c r="E42" s="190"/>
      <c r="F42" s="208"/>
      <c r="G42" s="190"/>
      <c r="H42" s="193">
        <v>876485.56774193549</v>
      </c>
      <c r="I42" s="190"/>
      <c r="J42" s="193">
        <v>0</v>
      </c>
      <c r="K42" s="198"/>
      <c r="L42" s="193">
        <v>0</v>
      </c>
      <c r="M42" s="196"/>
      <c r="N42" s="193">
        <v>0</v>
      </c>
      <c r="O42" s="194"/>
      <c r="P42" s="193">
        <f>H42+J42+L42+N42</f>
        <v>876485.56774193549</v>
      </c>
      <c r="Q42" s="194"/>
      <c r="R42" s="98"/>
      <c r="S42" s="79"/>
    </row>
    <row r="43" spans="1:21" ht="30" x14ac:dyDescent="0.2">
      <c r="A43" s="106" t="s">
        <v>102</v>
      </c>
      <c r="B43" s="189">
        <v>48853</v>
      </c>
      <c r="C43" s="190">
        <v>1</v>
      </c>
      <c r="D43" s="188"/>
      <c r="E43" s="190"/>
      <c r="F43" s="208"/>
      <c r="G43" s="190"/>
      <c r="H43" s="193">
        <v>872717.82580645161</v>
      </c>
      <c r="I43" s="190"/>
      <c r="J43" s="193">
        <v>0</v>
      </c>
      <c r="K43" s="198"/>
      <c r="L43" s="193">
        <v>0</v>
      </c>
      <c r="M43" s="196"/>
      <c r="N43" s="193">
        <v>0</v>
      </c>
      <c r="O43" s="194"/>
      <c r="P43" s="193">
        <f>H43+J43+L43+N43</f>
        <v>872717.82580645161</v>
      </c>
      <c r="Q43" s="194"/>
      <c r="R43" s="98"/>
    </row>
    <row r="44" spans="1:21" ht="30.75" thickBot="1" x14ac:dyDescent="0.25">
      <c r="A44" s="106" t="s">
        <v>199</v>
      </c>
      <c r="B44" s="189"/>
      <c r="C44" s="190"/>
      <c r="D44" s="188"/>
      <c r="E44" s="190"/>
      <c r="F44" s="208"/>
      <c r="G44" s="190"/>
      <c r="H44" s="193">
        <v>558950.04</v>
      </c>
      <c r="I44" s="190"/>
      <c r="J44" s="193"/>
      <c r="K44" s="198"/>
      <c r="L44" s="193"/>
      <c r="M44" s="196"/>
      <c r="N44" s="193"/>
      <c r="O44" s="194"/>
      <c r="P44" s="193">
        <f>H44+J44+L44+N44</f>
        <v>558950.04</v>
      </c>
      <c r="Q44" s="194"/>
      <c r="R44" s="98"/>
    </row>
    <row r="45" spans="1:21" ht="16.5" thickBot="1" x14ac:dyDescent="0.3">
      <c r="A45" s="100" t="s">
        <v>101</v>
      </c>
      <c r="B45" s="189"/>
      <c r="C45" s="190"/>
      <c r="D45" s="194"/>
      <c r="E45" s="190"/>
      <c r="F45" s="208"/>
      <c r="G45" s="190"/>
      <c r="H45" s="203">
        <f>SUM(H41:H44)</f>
        <v>6148813.0674193548</v>
      </c>
      <c r="I45" s="204"/>
      <c r="J45" s="203">
        <f>SUM(J41:J44)</f>
        <v>0</v>
      </c>
      <c r="K45" s="204"/>
      <c r="L45" s="203">
        <f>SUM(L41:L44)</f>
        <v>0</v>
      </c>
      <c r="M45" s="205"/>
      <c r="N45" s="203">
        <f>SUM(N41:N44)</f>
        <v>0</v>
      </c>
      <c r="O45" s="206"/>
      <c r="P45" s="203">
        <f>SUM(P41:P44)</f>
        <v>6148813.0674193548</v>
      </c>
      <c r="Q45" s="194"/>
      <c r="R45" s="105">
        <f>ROUND(+P45/F51,5)</f>
        <v>3.7699999999999999E-3</v>
      </c>
    </row>
    <row r="46" spans="1:21" x14ac:dyDescent="0.2">
      <c r="A46" s="68"/>
      <c r="B46" s="189"/>
      <c r="C46" s="190"/>
      <c r="D46" s="194"/>
      <c r="E46" s="190"/>
      <c r="F46" s="212"/>
      <c r="G46" s="190"/>
      <c r="H46" s="208"/>
      <c r="I46" s="190"/>
      <c r="J46" s="207"/>
      <c r="K46" s="198"/>
      <c r="L46" s="207"/>
      <c r="M46" s="198"/>
      <c r="N46" s="207"/>
      <c r="O46" s="194"/>
      <c r="P46" s="208"/>
      <c r="Q46" s="194"/>
      <c r="R46" s="98"/>
      <c r="S46" s="79"/>
    </row>
    <row r="47" spans="1:21" ht="15.75" x14ac:dyDescent="0.25">
      <c r="A47" s="68" t="s">
        <v>100</v>
      </c>
      <c r="B47" s="189"/>
      <c r="C47" s="195"/>
      <c r="D47" s="191"/>
      <c r="E47" s="190"/>
      <c r="F47" s="206">
        <v>0</v>
      </c>
      <c r="G47" s="204"/>
      <c r="H47" s="206">
        <v>0</v>
      </c>
      <c r="I47" s="204"/>
      <c r="J47" s="206">
        <v>0</v>
      </c>
      <c r="K47" s="204"/>
      <c r="L47" s="206">
        <v>0</v>
      </c>
      <c r="M47" s="204"/>
      <c r="N47" s="206">
        <v>0</v>
      </c>
      <c r="O47" s="206"/>
      <c r="P47" s="206">
        <f>SUM(H47,J47,N47)</f>
        <v>0</v>
      </c>
      <c r="Q47" s="194"/>
      <c r="R47" s="98"/>
    </row>
    <row r="48" spans="1:21" ht="15.75" thickBot="1" x14ac:dyDescent="0.25">
      <c r="A48" s="68"/>
      <c r="B48" s="189"/>
      <c r="C48" s="190"/>
      <c r="D48" s="191"/>
      <c r="E48" s="190"/>
      <c r="F48" s="193"/>
      <c r="G48" s="190"/>
      <c r="H48" s="208"/>
      <c r="I48" s="190"/>
      <c r="J48" s="193">
        <v>0</v>
      </c>
      <c r="K48" s="213"/>
      <c r="L48" s="193">
        <v>0</v>
      </c>
      <c r="M48" s="196"/>
      <c r="N48" s="193">
        <v>0</v>
      </c>
      <c r="O48" s="194"/>
      <c r="P48" s="193">
        <f>SUM(H48,J48,N48)</f>
        <v>0</v>
      </c>
      <c r="Q48" s="194"/>
      <c r="R48" s="98"/>
    </row>
    <row r="49" spans="1:20" ht="16.5" thickBot="1" x14ac:dyDescent="0.3">
      <c r="A49" s="100" t="s">
        <v>99</v>
      </c>
      <c r="B49" s="189"/>
      <c r="C49" s="190"/>
      <c r="D49" s="214"/>
      <c r="E49" s="190"/>
      <c r="F49" s="203">
        <f>SUM(F47:F48)</f>
        <v>0</v>
      </c>
      <c r="G49" s="204"/>
      <c r="H49" s="203">
        <f>SUM(H47:H48)</f>
        <v>0</v>
      </c>
      <c r="I49" s="204"/>
      <c r="J49" s="203">
        <f>SUM(J48:J48)</f>
        <v>0</v>
      </c>
      <c r="K49" s="204"/>
      <c r="L49" s="203">
        <f>SUM(L48:L48)</f>
        <v>0</v>
      </c>
      <c r="M49" s="205"/>
      <c r="N49" s="203">
        <f>SUM(N48:N48)</f>
        <v>0</v>
      </c>
      <c r="O49" s="206"/>
      <c r="P49" s="203">
        <f>SUM(P47:P48)</f>
        <v>0</v>
      </c>
      <c r="Q49" s="194"/>
      <c r="R49" s="105">
        <f>ROUND(+P49/F51,5)</f>
        <v>0</v>
      </c>
    </row>
    <row r="50" spans="1:20" ht="15.75" thickBot="1" x14ac:dyDescent="0.25">
      <c r="A50" s="68"/>
      <c r="B50" s="210"/>
      <c r="C50" s="190"/>
      <c r="D50" s="202"/>
      <c r="E50" s="190"/>
      <c r="F50" s="208"/>
      <c r="G50" s="190"/>
      <c r="H50" s="208"/>
      <c r="I50" s="190"/>
      <c r="J50" s="207"/>
      <c r="K50" s="198"/>
      <c r="L50" s="208"/>
      <c r="M50" s="209"/>
      <c r="N50" s="208"/>
      <c r="O50" s="208"/>
      <c r="P50" s="208"/>
      <c r="Q50" s="194"/>
      <c r="R50" s="98"/>
    </row>
    <row r="51" spans="1:20" ht="16.5" thickBot="1" x14ac:dyDescent="0.3">
      <c r="A51" s="68"/>
      <c r="B51" s="210"/>
      <c r="C51" s="190"/>
      <c r="D51" s="202" t="s">
        <v>4</v>
      </c>
      <c r="E51" s="190"/>
      <c r="F51" s="215">
        <f>F38+F49</f>
        <v>1630034817.04</v>
      </c>
      <c r="G51" s="206"/>
      <c r="H51" s="215">
        <f>H38+H45+H49</f>
        <v>62648205.809354842</v>
      </c>
      <c r="I51" s="204"/>
      <c r="J51" s="215">
        <f>J38+J45+J49</f>
        <v>1939325.4177419369</v>
      </c>
      <c r="K51" s="204"/>
      <c r="L51" s="215">
        <f>L38+L45+L49</f>
        <v>1010631.662903226</v>
      </c>
      <c r="M51" s="216"/>
      <c r="N51" s="215">
        <f>N38+N45+N49</f>
        <v>684847.38444444444</v>
      </c>
      <c r="O51" s="206"/>
      <c r="P51" s="215">
        <f>P38+P45+P49</f>
        <v>66283010.274444468</v>
      </c>
      <c r="Q51" s="194"/>
      <c r="R51" s="105">
        <f>ROUND(+P51/F51,5)</f>
        <v>4.0660000000000002E-2</v>
      </c>
      <c r="T51" s="71"/>
    </row>
    <row r="52" spans="1:20" ht="16.5" thickTop="1" x14ac:dyDescent="0.25">
      <c r="A52" s="68"/>
      <c r="B52" s="67"/>
      <c r="C52" s="86"/>
      <c r="D52" s="102"/>
      <c r="E52" s="86"/>
      <c r="F52" s="104"/>
      <c r="G52" s="104"/>
      <c r="H52" s="104"/>
      <c r="I52" s="103"/>
      <c r="J52" s="104"/>
      <c r="K52" s="103"/>
      <c r="L52" s="104"/>
      <c r="M52" s="103"/>
      <c r="N52" s="104"/>
      <c r="O52" s="104"/>
      <c r="P52" s="104"/>
      <c r="Q52" s="66"/>
      <c r="R52" s="107"/>
      <c r="T52" s="71"/>
    </row>
    <row r="53" spans="1:20" ht="15.75" x14ac:dyDescent="0.25">
      <c r="A53" s="68" t="s">
        <v>87</v>
      </c>
      <c r="B53" s="67"/>
      <c r="C53" s="86"/>
      <c r="D53" s="102"/>
      <c r="E53" s="86"/>
      <c r="F53" s="108">
        <f>F54-F51</f>
        <v>49.470000028610229</v>
      </c>
      <c r="G53" s="104"/>
      <c r="H53" s="104"/>
      <c r="I53" s="103"/>
      <c r="J53" s="104"/>
      <c r="K53" s="103"/>
      <c r="L53" s="104"/>
      <c r="M53" s="103"/>
      <c r="N53" s="104"/>
      <c r="O53" s="104"/>
      <c r="P53" s="104"/>
      <c r="Q53" s="66"/>
      <c r="R53" s="107"/>
      <c r="T53" s="71"/>
    </row>
    <row r="54" spans="1:20" ht="16.5" thickBot="1" x14ac:dyDescent="0.3">
      <c r="A54" s="68" t="s">
        <v>86</v>
      </c>
      <c r="B54" s="67"/>
      <c r="C54" s="86"/>
      <c r="D54" s="102"/>
      <c r="E54" s="86"/>
      <c r="F54" s="233">
        <v>1630034866.51</v>
      </c>
      <c r="G54" s="104"/>
      <c r="H54" s="104"/>
      <c r="I54" s="103"/>
      <c r="J54" s="104"/>
      <c r="K54" s="103"/>
      <c r="L54" s="104"/>
      <c r="M54" s="103"/>
      <c r="N54" s="104"/>
      <c r="O54" s="104"/>
      <c r="P54" s="104"/>
      <c r="Q54" s="66"/>
      <c r="R54" s="107"/>
      <c r="T54" s="71"/>
    </row>
    <row r="55" spans="1:20" ht="15.75" thickTop="1" x14ac:dyDescent="0.2">
      <c r="A55" s="78"/>
      <c r="B55" s="77"/>
      <c r="C55" s="109"/>
      <c r="D55" s="76"/>
      <c r="E55" s="109"/>
      <c r="F55" s="232"/>
      <c r="G55" s="74"/>
      <c r="H55" s="75"/>
      <c r="I55" s="109"/>
      <c r="J55" s="75"/>
      <c r="K55" s="110"/>
      <c r="L55" s="67"/>
      <c r="M55" s="109"/>
      <c r="N55" s="75"/>
      <c r="O55" s="75"/>
      <c r="P55" s="75"/>
      <c r="Q55" s="74"/>
      <c r="R55" s="73"/>
    </row>
    <row r="56" spans="1:20" ht="15.75" x14ac:dyDescent="0.25">
      <c r="D56" s="70"/>
      <c r="F56" s="62"/>
      <c r="H56" s="62"/>
      <c r="I56" s="111"/>
      <c r="J56" s="62"/>
      <c r="K56" s="86"/>
      <c r="L56" s="72"/>
      <c r="M56" s="97"/>
      <c r="N56" s="62"/>
      <c r="O56" s="62"/>
      <c r="P56" s="62"/>
    </row>
    <row r="57" spans="1:20" ht="15.75" x14ac:dyDescent="0.25">
      <c r="D57" s="70"/>
      <c r="F57" s="62"/>
      <c r="H57" s="62"/>
      <c r="I57" s="111"/>
      <c r="J57" s="62"/>
      <c r="K57" s="86"/>
      <c r="L57" s="62"/>
      <c r="M57" s="112"/>
      <c r="N57" s="62"/>
      <c r="O57" s="62"/>
      <c r="P57" s="62"/>
    </row>
    <row r="58" spans="1:20" ht="15.75" x14ac:dyDescent="0.25">
      <c r="A58" s="71"/>
      <c r="D58" s="70"/>
      <c r="F58" s="62"/>
      <c r="H58" s="62"/>
      <c r="I58" s="111"/>
      <c r="J58" s="62"/>
      <c r="K58" s="112"/>
      <c r="L58" s="62"/>
      <c r="M58" s="112"/>
      <c r="N58" s="62"/>
      <c r="O58" s="62"/>
      <c r="P58" s="62"/>
    </row>
    <row r="59" spans="1:20" x14ac:dyDescent="0.2">
      <c r="D59" s="70"/>
      <c r="F59" s="62"/>
      <c r="H59" s="62"/>
      <c r="J59" s="62"/>
      <c r="K59" s="112"/>
      <c r="L59" s="62"/>
      <c r="M59" s="112"/>
      <c r="N59" s="62"/>
      <c r="O59" s="62"/>
      <c r="P59" s="62"/>
    </row>
    <row r="60" spans="1:20" s="69" customFormat="1" ht="15.75" x14ac:dyDescent="0.25">
      <c r="A60" s="248" t="s">
        <v>98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50"/>
    </row>
    <row r="61" spans="1:20" x14ac:dyDescent="0.2">
      <c r="A61" s="68"/>
      <c r="B61" s="67"/>
      <c r="C61" s="86"/>
      <c r="D61" s="66"/>
      <c r="E61" s="86"/>
      <c r="F61" s="66"/>
      <c r="G61" s="66"/>
      <c r="H61" s="66"/>
      <c r="I61" s="86"/>
      <c r="J61" s="66"/>
      <c r="K61" s="86"/>
      <c r="L61" s="66"/>
      <c r="M61" s="86"/>
      <c r="N61" s="66"/>
      <c r="O61" s="66"/>
      <c r="P61" s="66"/>
      <c r="Q61" s="66"/>
      <c r="R61" s="65"/>
    </row>
    <row r="62" spans="1:20" x14ac:dyDescent="0.2">
      <c r="A62" s="68"/>
      <c r="B62" s="67"/>
      <c r="C62" s="86"/>
      <c r="D62" s="66"/>
      <c r="E62" s="86"/>
      <c r="F62" s="66"/>
      <c r="G62" s="66"/>
      <c r="H62" s="246" t="s">
        <v>97</v>
      </c>
      <c r="I62" s="246"/>
      <c r="J62" s="246"/>
      <c r="K62" s="246"/>
      <c r="L62" s="246"/>
      <c r="M62" s="246"/>
      <c r="N62" s="246"/>
      <c r="O62" s="246"/>
      <c r="P62" s="246"/>
      <c r="Q62" s="66"/>
      <c r="R62" s="65"/>
    </row>
    <row r="63" spans="1:20" x14ac:dyDescent="0.2">
      <c r="A63" s="68"/>
      <c r="B63" s="67"/>
      <c r="C63" s="86"/>
      <c r="D63" s="66"/>
      <c r="E63" s="86"/>
      <c r="F63" s="66"/>
      <c r="G63" s="66"/>
      <c r="H63" s="66"/>
      <c r="I63" s="86"/>
      <c r="J63" s="66"/>
      <c r="K63" s="86"/>
      <c r="L63" s="66"/>
      <c r="M63" s="86"/>
      <c r="N63" s="66"/>
      <c r="O63" s="66"/>
      <c r="P63" s="66"/>
      <c r="Q63" s="66"/>
      <c r="R63" s="88" t="s">
        <v>96</v>
      </c>
    </row>
    <row r="64" spans="1:20" x14ac:dyDescent="0.2">
      <c r="A64" s="68"/>
      <c r="B64" s="67" t="s">
        <v>95</v>
      </c>
      <c r="C64" s="86"/>
      <c r="D64" s="89" t="s">
        <v>183</v>
      </c>
      <c r="E64" s="86"/>
      <c r="F64" s="89" t="s">
        <v>184</v>
      </c>
      <c r="G64" s="66"/>
      <c r="H64" s="89" t="s">
        <v>185</v>
      </c>
      <c r="I64" s="86"/>
      <c r="J64" s="89" t="s">
        <v>186</v>
      </c>
      <c r="K64" s="86"/>
      <c r="L64" s="89" t="s">
        <v>187</v>
      </c>
      <c r="M64" s="113"/>
      <c r="N64" s="89" t="s">
        <v>94</v>
      </c>
      <c r="O64" s="67"/>
      <c r="P64" s="89" t="s">
        <v>188</v>
      </c>
      <c r="Q64" s="66"/>
      <c r="R64" s="114" t="s">
        <v>189</v>
      </c>
    </row>
    <row r="65" spans="1:20" x14ac:dyDescent="0.2">
      <c r="A65" s="68"/>
      <c r="B65" s="67"/>
      <c r="C65" s="86"/>
      <c r="D65" s="66"/>
      <c r="E65" s="86"/>
      <c r="F65" s="66"/>
      <c r="G65" s="66"/>
      <c r="H65" s="66"/>
      <c r="I65" s="86"/>
      <c r="J65" s="66"/>
      <c r="K65" s="86"/>
      <c r="L65" s="66"/>
      <c r="M65" s="86"/>
      <c r="N65" s="66"/>
      <c r="O65" s="66"/>
      <c r="P65" s="66"/>
      <c r="Q65" s="66"/>
      <c r="R65" s="65"/>
    </row>
    <row r="66" spans="1:20" x14ac:dyDescent="0.2">
      <c r="A66" s="68" t="s">
        <v>93</v>
      </c>
      <c r="B66" s="67" t="s">
        <v>92</v>
      </c>
      <c r="C66" s="86"/>
      <c r="D66" s="191">
        <v>1.4200000000000001E-2</v>
      </c>
      <c r="E66" s="192" t="s">
        <v>5</v>
      </c>
      <c r="F66" s="217">
        <v>30013000</v>
      </c>
      <c r="G66" s="206"/>
      <c r="H66" s="206">
        <f>ROUND(D66*F66,0)</f>
        <v>426185</v>
      </c>
      <c r="I66" s="204"/>
      <c r="J66" s="218">
        <v>0</v>
      </c>
      <c r="K66" s="204"/>
      <c r="L66" s="218">
        <v>0</v>
      </c>
      <c r="M66" s="204"/>
      <c r="N66" s="218">
        <v>0</v>
      </c>
      <c r="O66" s="206"/>
      <c r="P66" s="206">
        <f>SUM(H66:N66)</f>
        <v>426185</v>
      </c>
      <c r="Q66" s="194"/>
      <c r="R66" s="98">
        <f>IF(F66=0,0,(ROUND((P66/F66),5)))</f>
        <v>1.4200000000000001E-2</v>
      </c>
    </row>
    <row r="67" spans="1:20" x14ac:dyDescent="0.2">
      <c r="A67" s="68" t="s">
        <v>91</v>
      </c>
      <c r="B67" s="67"/>
      <c r="C67" s="86"/>
      <c r="D67" s="191"/>
      <c r="E67" s="190"/>
      <c r="F67" s="193">
        <v>0</v>
      </c>
      <c r="G67" s="206"/>
      <c r="H67" s="193">
        <f t="shared" ref="H67" si="4">ROUND(D67*F67,0)</f>
        <v>0</v>
      </c>
      <c r="I67" s="204"/>
      <c r="J67" s="201">
        <v>0</v>
      </c>
      <c r="K67" s="204"/>
      <c r="L67" s="201">
        <v>0</v>
      </c>
      <c r="M67" s="196"/>
      <c r="N67" s="201">
        <v>0</v>
      </c>
      <c r="O67" s="206"/>
      <c r="P67" s="193">
        <f>SUM(H67:N67)</f>
        <v>0</v>
      </c>
      <c r="Q67" s="194"/>
      <c r="R67" s="98">
        <f>IF(F67=0,0,(ROUND((P67/F67),5)))</f>
        <v>0</v>
      </c>
    </row>
    <row r="68" spans="1:20" x14ac:dyDescent="0.2">
      <c r="A68" s="68" t="s">
        <v>90</v>
      </c>
      <c r="B68" s="67" t="s">
        <v>89</v>
      </c>
      <c r="C68" s="86"/>
      <c r="D68" s="191">
        <v>1.4045E-2</v>
      </c>
      <c r="E68" s="190"/>
      <c r="F68" s="219">
        <v>146969342</v>
      </c>
      <c r="G68" s="194"/>
      <c r="H68" s="220">
        <f>F68*D68</f>
        <v>2064184.40839</v>
      </c>
      <c r="I68" s="190"/>
      <c r="J68" s="221">
        <v>0</v>
      </c>
      <c r="K68" s="190"/>
      <c r="L68" s="221">
        <v>0</v>
      </c>
      <c r="M68" s="222"/>
      <c r="N68" s="221">
        <v>0</v>
      </c>
      <c r="O68" s="194"/>
      <c r="P68" s="220">
        <f>SUM(H68:N68)</f>
        <v>2064184.40839</v>
      </c>
      <c r="Q68" s="194"/>
      <c r="R68" s="115">
        <f>IF(F68=0,0,(ROUND((P68/F68),5)))</f>
        <v>1.405E-2</v>
      </c>
    </row>
    <row r="69" spans="1:20" ht="15.75" thickBot="1" x14ac:dyDescent="0.25">
      <c r="A69" s="68"/>
      <c r="B69" s="67"/>
      <c r="C69" s="86"/>
      <c r="D69" s="194"/>
      <c r="E69" s="190"/>
      <c r="F69" s="207"/>
      <c r="G69" s="194"/>
      <c r="H69" s="207"/>
      <c r="I69" s="190"/>
      <c r="J69" s="194"/>
      <c r="K69" s="190"/>
      <c r="L69" s="207"/>
      <c r="M69" s="198"/>
      <c r="N69" s="207"/>
      <c r="O69" s="194"/>
      <c r="P69" s="207"/>
      <c r="Q69" s="194"/>
      <c r="R69" s="98"/>
    </row>
    <row r="70" spans="1:20" ht="16.5" thickBot="1" x14ac:dyDescent="0.3">
      <c r="A70" s="68"/>
      <c r="B70" s="67"/>
      <c r="C70" s="86"/>
      <c r="D70" s="194" t="s">
        <v>4</v>
      </c>
      <c r="E70" s="190"/>
      <c r="F70" s="223">
        <f>SUM(F66:F69)</f>
        <v>176982342</v>
      </c>
      <c r="G70" s="206"/>
      <c r="H70" s="215">
        <f>SUM(H66:H69)</f>
        <v>2490369.40839</v>
      </c>
      <c r="I70" s="204"/>
      <c r="J70" s="224">
        <f>SUM(J68:J69)</f>
        <v>0</v>
      </c>
      <c r="K70" s="204"/>
      <c r="L70" s="224">
        <f>SUM(L68:L69)</f>
        <v>0</v>
      </c>
      <c r="M70" s="216"/>
      <c r="N70" s="224">
        <f>SUM(N68:N69)</f>
        <v>0</v>
      </c>
      <c r="O70" s="206"/>
      <c r="P70" s="215">
        <f>SUM(P66:P69)</f>
        <v>2490369.40839</v>
      </c>
      <c r="Q70" s="194"/>
      <c r="R70" s="116">
        <f>IF(F70=0,0,(ROUND(P70/F70,5)))</f>
        <v>1.4069999999999999E-2</v>
      </c>
    </row>
    <row r="71" spans="1:20" ht="16.5" thickTop="1" x14ac:dyDescent="0.25">
      <c r="A71" s="78"/>
      <c r="B71" s="226"/>
      <c r="C71" s="109"/>
      <c r="D71" s="74"/>
      <c r="E71" s="109"/>
      <c r="F71" s="234"/>
      <c r="G71" s="185"/>
      <c r="H71" s="185"/>
      <c r="I71" s="186"/>
      <c r="J71" s="187"/>
      <c r="K71" s="186"/>
      <c r="L71" s="187"/>
      <c r="M71" s="186"/>
      <c r="N71" s="187"/>
      <c r="O71" s="185"/>
      <c r="P71" s="185"/>
      <c r="Q71" s="74"/>
      <c r="R71" s="235"/>
    </row>
    <row r="72" spans="1:20" ht="15.75" thickBot="1" x14ac:dyDescent="0.25">
      <c r="D72" s="70"/>
      <c r="F72" s="62"/>
      <c r="H72" s="62"/>
      <c r="P72" s="62"/>
      <c r="R72" s="117"/>
    </row>
    <row r="73" spans="1:20" ht="16.5" thickBot="1" x14ac:dyDescent="0.3">
      <c r="A73" s="58" t="s">
        <v>88</v>
      </c>
      <c r="D73" s="70"/>
      <c r="F73" s="119">
        <f>F51+F70</f>
        <v>1807017159.04</v>
      </c>
      <c r="G73" s="118"/>
      <c r="H73" s="119">
        <f>H51+H70</f>
        <v>65138575.217744842</v>
      </c>
      <c r="I73" s="120"/>
      <c r="J73" s="119">
        <f>J51+J70</f>
        <v>1939325.4177419369</v>
      </c>
      <c r="K73" s="120"/>
      <c r="L73" s="119">
        <f>L51+L70</f>
        <v>1010631.662903226</v>
      </c>
      <c r="M73" s="121"/>
      <c r="N73" s="119">
        <f>N51+N70</f>
        <v>684847.38444444444</v>
      </c>
      <c r="O73" s="118"/>
      <c r="P73" s="119">
        <f>P51+P70</f>
        <v>68773379.682834461</v>
      </c>
      <c r="R73" s="116">
        <f>ROUND(P73/(F51+F70),5)</f>
        <v>3.8059999999999997E-2</v>
      </c>
      <c r="S73" s="122"/>
      <c r="T73" s="64"/>
    </row>
    <row r="74" spans="1:20" ht="16.5" thickTop="1" x14ac:dyDescent="0.25">
      <c r="B74" s="231"/>
      <c r="D74" s="70"/>
      <c r="F74" s="104"/>
      <c r="G74" s="118"/>
      <c r="H74" s="104"/>
      <c r="I74" s="120"/>
      <c r="J74" s="104"/>
      <c r="K74" s="120"/>
      <c r="L74" s="104"/>
      <c r="M74" s="103"/>
      <c r="N74" s="104"/>
      <c r="O74" s="118"/>
      <c r="P74" s="104"/>
      <c r="R74" s="241"/>
      <c r="S74" s="122"/>
      <c r="T74" s="64"/>
    </row>
    <row r="75" spans="1:20" ht="16.5" x14ac:dyDescent="0.25">
      <c r="A75" s="236" t="s">
        <v>87</v>
      </c>
      <c r="B75" s="237"/>
      <c r="C75" s="238"/>
      <c r="D75" s="239"/>
      <c r="E75" s="238"/>
      <c r="F75" s="242">
        <f>F76-F73</f>
        <v>49.470000028610229</v>
      </c>
      <c r="G75" s="118"/>
      <c r="H75" s="104"/>
      <c r="I75" s="120"/>
      <c r="J75" s="104"/>
      <c r="K75" s="120"/>
      <c r="L75" s="104"/>
      <c r="M75" s="103"/>
      <c r="N75" s="104"/>
      <c r="O75" s="118"/>
      <c r="P75" s="104"/>
      <c r="R75" s="123"/>
    </row>
    <row r="76" spans="1:20" ht="17.25" thickBot="1" x14ac:dyDescent="0.3">
      <c r="A76" s="236" t="s">
        <v>86</v>
      </c>
      <c r="B76" s="237"/>
      <c r="C76" s="238"/>
      <c r="D76" s="239"/>
      <c r="E76" s="238"/>
      <c r="F76" s="243">
        <f>F54+F70</f>
        <v>1807017208.51</v>
      </c>
      <c r="H76" s="62"/>
      <c r="P76" s="62"/>
      <c r="R76" s="124"/>
    </row>
    <row r="77" spans="1:20" ht="17.25" thickTop="1" x14ac:dyDescent="0.25">
      <c r="A77" s="236"/>
      <c r="B77" s="237"/>
      <c r="C77" s="238"/>
      <c r="D77" s="239"/>
      <c r="E77" s="238"/>
      <c r="F77" s="240"/>
      <c r="H77" s="62"/>
      <c r="P77" s="62"/>
      <c r="R77" s="124"/>
    </row>
    <row r="78" spans="1:20" x14ac:dyDescent="0.2">
      <c r="A78" s="58" t="s">
        <v>190</v>
      </c>
      <c r="D78" s="70"/>
      <c r="F78" s="62"/>
      <c r="H78" s="62"/>
      <c r="P78" s="125"/>
      <c r="S78" s="64"/>
    </row>
    <row r="79" spans="1:20" x14ac:dyDescent="0.2">
      <c r="A79" s="58" t="s">
        <v>85</v>
      </c>
    </row>
    <row r="81" spans="1:19" ht="15.75" x14ac:dyDescent="0.25">
      <c r="A81" s="58" t="s">
        <v>191</v>
      </c>
      <c r="F81" s="62"/>
      <c r="H81" s="62"/>
      <c r="J81" s="60" t="s">
        <v>84</v>
      </c>
      <c r="L81" s="125" t="s">
        <v>83</v>
      </c>
      <c r="M81" s="112"/>
      <c r="N81" s="125" t="s">
        <v>83</v>
      </c>
      <c r="P81" s="60" t="s">
        <v>82</v>
      </c>
    </row>
    <row r="82" spans="1:19" x14ac:dyDescent="0.2">
      <c r="F82" s="62"/>
      <c r="H82" s="62"/>
      <c r="J82" s="60" t="s">
        <v>81</v>
      </c>
      <c r="L82" s="125" t="s">
        <v>80</v>
      </c>
      <c r="M82" s="112"/>
      <c r="N82" s="125" t="s">
        <v>80</v>
      </c>
      <c r="P82" s="60" t="s">
        <v>79</v>
      </c>
    </row>
    <row r="83" spans="1:19" x14ac:dyDescent="0.2">
      <c r="A83" s="69"/>
      <c r="B83" s="126" t="s">
        <v>192</v>
      </c>
      <c r="D83" s="69"/>
      <c r="H83" s="127" t="s">
        <v>193</v>
      </c>
      <c r="J83" s="128" t="s">
        <v>194</v>
      </c>
      <c r="L83" s="128" t="s">
        <v>195</v>
      </c>
      <c r="M83" s="129"/>
      <c r="N83" s="128" t="s">
        <v>195</v>
      </c>
      <c r="P83" s="130" t="s">
        <v>196</v>
      </c>
    </row>
    <row r="84" spans="1:19" x14ac:dyDescent="0.2">
      <c r="B84" s="63" t="s">
        <v>78</v>
      </c>
      <c r="F84" s="62"/>
      <c r="H84" s="62">
        <v>83335000</v>
      </c>
      <c r="J84" s="131">
        <v>44136</v>
      </c>
      <c r="K84" s="132"/>
      <c r="L84" s="133">
        <v>5.4949999999999999E-2</v>
      </c>
      <c r="M84" s="134"/>
      <c r="N84" s="133">
        <v>5.4949999999999999E-2</v>
      </c>
      <c r="P84" s="58" t="s">
        <v>77</v>
      </c>
    </row>
    <row r="85" spans="1:19" x14ac:dyDescent="0.2">
      <c r="B85" s="63" t="s">
        <v>76</v>
      </c>
      <c r="F85" s="62"/>
      <c r="H85" s="62">
        <v>32000000</v>
      </c>
      <c r="J85" s="131">
        <v>48853</v>
      </c>
      <c r="K85" s="132"/>
      <c r="L85" s="133">
        <v>3.6569999999999998E-2</v>
      </c>
      <c r="M85" s="134"/>
      <c r="N85" s="133">
        <v>3.6569999999999998E-2</v>
      </c>
      <c r="P85" s="63" t="s">
        <v>75</v>
      </c>
    </row>
    <row r="86" spans="1:19" x14ac:dyDescent="0.2">
      <c r="B86" s="63" t="s">
        <v>76</v>
      </c>
      <c r="F86" s="62"/>
      <c r="H86" s="62">
        <v>32000000</v>
      </c>
      <c r="J86" s="131">
        <v>48853</v>
      </c>
      <c r="K86" s="132"/>
      <c r="L86" s="133">
        <v>3.6450000000000003E-2</v>
      </c>
      <c r="M86" s="134"/>
      <c r="N86" s="133">
        <v>3.6450000000000003E-2</v>
      </c>
      <c r="P86" s="63" t="s">
        <v>75</v>
      </c>
    </row>
    <row r="87" spans="1:19" ht="15.75" thickBot="1" x14ac:dyDescent="0.25">
      <c r="F87" s="62"/>
      <c r="H87" s="225">
        <f>SUM(H84:H86)</f>
        <v>147335000</v>
      </c>
      <c r="L87" s="61"/>
      <c r="M87" s="134"/>
      <c r="N87" s="61"/>
    </row>
    <row r="88" spans="1:19" ht="30" customHeight="1" thickTop="1" x14ac:dyDescent="0.2">
      <c r="A88" s="247" t="s">
        <v>197</v>
      </c>
      <c r="B88" s="247"/>
      <c r="C88" s="247"/>
      <c r="D88" s="247"/>
      <c r="E88" s="247"/>
      <c r="F88" s="247"/>
      <c r="G88" s="247"/>
      <c r="H88" s="247"/>
      <c r="L88" s="62"/>
      <c r="M88" s="112"/>
      <c r="N88" s="62"/>
      <c r="O88" s="62"/>
    </row>
    <row r="89" spans="1:19" x14ac:dyDescent="0.2">
      <c r="A89" s="135"/>
      <c r="B89" s="135"/>
      <c r="C89" s="136"/>
      <c r="D89" s="135"/>
      <c r="E89" s="136"/>
      <c r="F89" s="135"/>
      <c r="L89" s="62"/>
      <c r="M89" s="112"/>
      <c r="N89" s="62"/>
      <c r="O89" s="62"/>
    </row>
    <row r="90" spans="1:19" x14ac:dyDescent="0.2">
      <c r="B90" s="58"/>
      <c r="G90" s="63"/>
      <c r="J90" s="60"/>
      <c r="P90" s="62"/>
      <c r="S90" s="61"/>
    </row>
    <row r="91" spans="1:19" x14ac:dyDescent="0.2">
      <c r="A91" s="58" t="s">
        <v>74</v>
      </c>
    </row>
    <row r="92" spans="1:19" x14ac:dyDescent="0.2">
      <c r="A92" s="58" t="s">
        <v>73</v>
      </c>
    </row>
    <row r="93" spans="1:19" x14ac:dyDescent="0.2">
      <c r="A93" s="58" t="s">
        <v>72</v>
      </c>
    </row>
  </sheetData>
  <mergeCells count="9">
    <mergeCell ref="H62:P62"/>
    <mergeCell ref="A88:H88"/>
    <mergeCell ref="A60:R60"/>
    <mergeCell ref="A1:R1"/>
    <mergeCell ref="A2:R2"/>
    <mergeCell ref="A3:R3"/>
    <mergeCell ref="A5:R5"/>
    <mergeCell ref="H7:P7"/>
    <mergeCell ref="A4:R4"/>
  </mergeCells>
  <printOptions horizontalCentered="1"/>
  <pageMargins left="0.5" right="0.5" top="0.75" bottom="0.75" header="0.5" footer="0.25"/>
  <pageSetup scale="40" orientation="portrait" r:id="rId1"/>
  <headerFooter scaleWithDoc="0">
    <oddHeader>&amp;R&amp;"times,Bold"&amp;12Attachment to Response to Question No. 5 (a-c)
Page 2 of 3
Rahn/Metts</oddHead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Normal="100" workbookViewId="0">
      <selection activeCell="K32" sqref="K32"/>
    </sheetView>
  </sheetViews>
  <sheetFormatPr defaultRowHeight="15.75" x14ac:dyDescent="0.25"/>
  <cols>
    <col min="1" max="1" width="9.140625" style="228"/>
    <col min="2" max="2" width="9.140625" style="140"/>
    <col min="3" max="3" width="26.5703125" style="140" customWidth="1"/>
    <col min="4" max="4" width="9.140625" style="140"/>
    <col min="5" max="5" width="14.85546875" style="140" customWidth="1"/>
    <col min="6" max="6" width="9.140625" style="140"/>
    <col min="7" max="7" width="9.140625" style="228"/>
    <col min="8" max="16384" width="9.140625" style="140"/>
  </cols>
  <sheetData>
    <row r="1" spans="1:7" x14ac:dyDescent="0.25">
      <c r="A1" s="227"/>
      <c r="B1" s="258" t="s">
        <v>145</v>
      </c>
      <c r="C1" s="258"/>
      <c r="D1" s="137"/>
      <c r="E1" s="138"/>
      <c r="F1" s="139"/>
      <c r="G1" s="227"/>
    </row>
    <row r="2" spans="1:7" x14ac:dyDescent="0.25">
      <c r="A2" s="227"/>
      <c r="B2" s="258" t="s">
        <v>146</v>
      </c>
      <c r="C2" s="258"/>
      <c r="D2" s="137"/>
      <c r="E2" s="138"/>
      <c r="F2" s="139"/>
      <c r="G2" s="227"/>
    </row>
    <row r="3" spans="1:7" x14ac:dyDescent="0.25">
      <c r="A3" s="227"/>
      <c r="B3" s="259">
        <v>2018</v>
      </c>
      <c r="C3" s="259"/>
      <c r="D3" s="137"/>
      <c r="E3" s="141"/>
      <c r="F3" s="142"/>
      <c r="G3" s="227"/>
    </row>
    <row r="4" spans="1:7" x14ac:dyDescent="0.25">
      <c r="A4" s="227"/>
      <c r="B4" s="143"/>
      <c r="C4" s="143"/>
      <c r="D4" s="144"/>
      <c r="E4" s="144"/>
      <c r="F4" s="139"/>
      <c r="G4" s="227"/>
    </row>
    <row r="5" spans="1:7" x14ac:dyDescent="0.25">
      <c r="A5" s="227"/>
      <c r="B5" s="138"/>
      <c r="C5" s="138"/>
      <c r="D5" s="145"/>
      <c r="E5" s="146">
        <v>2018</v>
      </c>
      <c r="F5" s="139"/>
      <c r="G5" s="227"/>
    </row>
    <row r="6" spans="1:7" x14ac:dyDescent="0.25">
      <c r="A6" s="227"/>
      <c r="B6" s="147"/>
      <c r="C6" s="147"/>
      <c r="D6" s="148"/>
      <c r="E6" s="149" t="s">
        <v>147</v>
      </c>
      <c r="F6" s="139"/>
      <c r="G6" s="227"/>
    </row>
    <row r="7" spans="1:7" x14ac:dyDescent="0.25">
      <c r="A7" s="227"/>
      <c r="B7" s="150"/>
      <c r="C7" s="150"/>
      <c r="D7" s="138"/>
      <c r="E7" s="151" t="s">
        <v>148</v>
      </c>
      <c r="F7" s="139"/>
      <c r="G7" s="227"/>
    </row>
    <row r="8" spans="1:7" x14ac:dyDescent="0.25">
      <c r="A8" s="227"/>
      <c r="B8" s="138"/>
      <c r="C8" s="138"/>
      <c r="D8" s="145"/>
      <c r="E8" s="152" t="s">
        <v>198</v>
      </c>
      <c r="F8" s="139"/>
      <c r="G8" s="227"/>
    </row>
    <row r="9" spans="1:7" x14ac:dyDescent="0.25">
      <c r="A9" s="227"/>
      <c r="B9" s="147"/>
      <c r="C9" s="147"/>
      <c r="D9" s="148"/>
      <c r="E9" s="153" t="s">
        <v>150</v>
      </c>
      <c r="F9" s="139"/>
      <c r="G9" s="227"/>
    </row>
    <row r="10" spans="1:7" x14ac:dyDescent="0.25">
      <c r="A10" s="227">
        <v>-1</v>
      </c>
      <c r="B10" s="147" t="s">
        <v>151</v>
      </c>
      <c r="C10" s="147"/>
      <c r="D10" s="154"/>
      <c r="E10" s="155">
        <v>100</v>
      </c>
      <c r="F10" s="139"/>
      <c r="G10" s="227"/>
    </row>
    <row r="11" spans="1:7" x14ac:dyDescent="0.25">
      <c r="A11" s="227">
        <f>+A10-1</f>
        <v>-2</v>
      </c>
      <c r="B11" s="156"/>
      <c r="C11" s="147"/>
      <c r="D11" s="148"/>
      <c r="E11" s="157"/>
      <c r="F11" s="139"/>
      <c r="G11" s="227"/>
    </row>
    <row r="12" spans="1:7" x14ac:dyDescent="0.25">
      <c r="A12" s="227">
        <f>+A11-1</f>
        <v>-3</v>
      </c>
      <c r="B12" s="158" t="s">
        <v>152</v>
      </c>
      <c r="C12" s="159"/>
      <c r="D12" s="160"/>
      <c r="E12" s="161">
        <v>5.64</v>
      </c>
      <c r="F12" s="139"/>
      <c r="G12" s="227">
        <v>-40</v>
      </c>
    </row>
    <row r="13" spans="1:7" x14ac:dyDescent="0.25">
      <c r="A13" s="227">
        <f t="shared" ref="A13:A49" si="0">+A12-1</f>
        <v>-4</v>
      </c>
      <c r="B13" s="156"/>
      <c r="C13" s="147"/>
      <c r="D13" s="148"/>
      <c r="E13" s="162"/>
      <c r="F13" s="139"/>
      <c r="G13" s="227"/>
    </row>
    <row r="14" spans="1:7" x14ac:dyDescent="0.25">
      <c r="A14" s="227">
        <f t="shared" si="0"/>
        <v>-5</v>
      </c>
      <c r="B14" s="147" t="s">
        <v>153</v>
      </c>
      <c r="C14" s="147"/>
      <c r="D14" s="148"/>
      <c r="E14" s="162"/>
      <c r="F14" s="139"/>
      <c r="G14" s="227"/>
    </row>
    <row r="15" spans="1:7" x14ac:dyDescent="0.25">
      <c r="A15" s="227">
        <f t="shared" si="0"/>
        <v>-6</v>
      </c>
      <c r="B15" s="138" t="s">
        <v>154</v>
      </c>
      <c r="C15" s="147"/>
      <c r="D15" s="163"/>
      <c r="E15" s="164">
        <f>+E10-E12</f>
        <v>94.36</v>
      </c>
      <c r="F15" s="139"/>
      <c r="G15" s="229" t="s">
        <v>155</v>
      </c>
    </row>
    <row r="16" spans="1:7" x14ac:dyDescent="0.25">
      <c r="A16" s="227">
        <f t="shared" si="0"/>
        <v>-7</v>
      </c>
      <c r="B16" s="165" t="s">
        <v>156</v>
      </c>
      <c r="C16" s="159"/>
      <c r="D16" s="166"/>
      <c r="E16" s="167">
        <v>0</v>
      </c>
      <c r="F16" s="139"/>
      <c r="G16" s="227"/>
    </row>
    <row r="17" spans="1:7" x14ac:dyDescent="0.25">
      <c r="A17" s="227">
        <f t="shared" si="0"/>
        <v>-8</v>
      </c>
      <c r="B17" s="165" t="s">
        <v>157</v>
      </c>
      <c r="C17" s="159"/>
      <c r="D17" s="166"/>
      <c r="E17" s="168">
        <v>1</v>
      </c>
      <c r="F17" s="139"/>
      <c r="G17" s="227"/>
    </row>
    <row r="18" spans="1:7" x14ac:dyDescent="0.25">
      <c r="A18" s="227">
        <f t="shared" si="0"/>
        <v>-9</v>
      </c>
      <c r="B18" s="169" t="s">
        <v>158</v>
      </c>
      <c r="C18" s="159"/>
      <c r="D18" s="166"/>
      <c r="E18" s="170">
        <f>ROUND(E16*E17,4)</f>
        <v>0</v>
      </c>
      <c r="F18" s="139"/>
      <c r="G18" s="227"/>
    </row>
    <row r="19" spans="1:7" x14ac:dyDescent="0.25">
      <c r="A19" s="227">
        <f t="shared" si="0"/>
        <v>-10</v>
      </c>
      <c r="B19" s="159"/>
      <c r="C19" s="159"/>
      <c r="D19" s="166"/>
      <c r="E19" s="171"/>
      <c r="F19" s="139"/>
      <c r="G19" s="227"/>
    </row>
    <row r="20" spans="1:7" x14ac:dyDescent="0.25">
      <c r="A20" s="227">
        <f t="shared" si="0"/>
        <v>-11</v>
      </c>
      <c r="B20" s="159" t="s">
        <v>159</v>
      </c>
      <c r="C20" s="159"/>
      <c r="D20" s="166"/>
      <c r="E20" s="161">
        <f>E15*E18</f>
        <v>0</v>
      </c>
      <c r="F20" s="139"/>
      <c r="G20" s="230" t="s">
        <v>160</v>
      </c>
    </row>
    <row r="21" spans="1:7" x14ac:dyDescent="0.25">
      <c r="A21" s="227">
        <f t="shared" si="0"/>
        <v>-12</v>
      </c>
      <c r="B21" s="172"/>
      <c r="C21" s="147"/>
      <c r="D21" s="148"/>
      <c r="E21" s="162"/>
      <c r="F21" s="139"/>
      <c r="G21" s="227"/>
    </row>
    <row r="22" spans="1:7" x14ac:dyDescent="0.25">
      <c r="A22" s="227">
        <f t="shared" si="0"/>
        <v>-13</v>
      </c>
      <c r="B22" s="156" t="s">
        <v>161</v>
      </c>
      <c r="C22" s="147"/>
      <c r="D22" s="148"/>
      <c r="E22" s="162">
        <f>E15-E20</f>
        <v>94.36</v>
      </c>
      <c r="F22" s="139"/>
      <c r="G22" s="229" t="s">
        <v>162</v>
      </c>
    </row>
    <row r="23" spans="1:7" x14ac:dyDescent="0.25">
      <c r="A23" s="227">
        <f t="shared" si="0"/>
        <v>-14</v>
      </c>
      <c r="B23" s="172"/>
      <c r="C23" s="147"/>
      <c r="D23" s="148"/>
      <c r="E23" s="162"/>
      <c r="F23" s="139"/>
      <c r="G23" s="227"/>
    </row>
    <row r="24" spans="1:7" x14ac:dyDescent="0.25">
      <c r="A24" s="227">
        <f t="shared" si="0"/>
        <v>-15</v>
      </c>
      <c r="B24" s="156" t="s">
        <v>163</v>
      </c>
      <c r="C24" s="147"/>
      <c r="D24" s="148"/>
      <c r="E24" s="173">
        <f>+E22*0.21</f>
        <v>19.8156</v>
      </c>
      <c r="F24" s="139"/>
      <c r="G24" s="229" t="s">
        <v>164</v>
      </c>
    </row>
    <row r="25" spans="1:7" x14ac:dyDescent="0.25">
      <c r="A25" s="227">
        <f t="shared" si="0"/>
        <v>-16</v>
      </c>
      <c r="B25" s="172"/>
      <c r="C25" s="147"/>
      <c r="D25" s="148"/>
      <c r="E25" s="157"/>
      <c r="F25" s="139"/>
      <c r="G25" s="227"/>
    </row>
    <row r="26" spans="1:7" x14ac:dyDescent="0.25">
      <c r="A26" s="227">
        <f t="shared" si="0"/>
        <v>-17</v>
      </c>
      <c r="B26" s="156"/>
      <c r="C26" s="147"/>
      <c r="D26" s="148"/>
      <c r="E26" s="157"/>
      <c r="F26" s="139"/>
      <c r="G26" s="227"/>
    </row>
    <row r="27" spans="1:7" x14ac:dyDescent="0.25">
      <c r="A27" s="227">
        <f t="shared" si="0"/>
        <v>-18</v>
      </c>
      <c r="B27" s="156" t="s">
        <v>165</v>
      </c>
      <c r="C27" s="147"/>
      <c r="D27" s="148"/>
      <c r="E27" s="173">
        <f>+E12+E24</f>
        <v>25.4556</v>
      </c>
      <c r="F27" s="139"/>
      <c r="G27" s="229" t="s">
        <v>166</v>
      </c>
    </row>
    <row r="28" spans="1:7" x14ac:dyDescent="0.25">
      <c r="A28" s="227">
        <f t="shared" si="0"/>
        <v>-19</v>
      </c>
      <c r="B28" s="138"/>
      <c r="C28" s="147"/>
      <c r="D28" s="148"/>
      <c r="E28" s="174"/>
      <c r="F28" s="139"/>
      <c r="G28" s="227"/>
    </row>
    <row r="29" spans="1:7" ht="16.5" thickBot="1" x14ac:dyDescent="0.3">
      <c r="A29" s="227">
        <f t="shared" si="0"/>
        <v>-20</v>
      </c>
      <c r="B29" s="147" t="s">
        <v>167</v>
      </c>
      <c r="C29" s="147"/>
      <c r="D29" s="148"/>
      <c r="E29" s="175">
        <f>100-E27</f>
        <v>74.544399999999996</v>
      </c>
      <c r="F29" s="139"/>
      <c r="G29" s="229" t="s">
        <v>168</v>
      </c>
    </row>
    <row r="30" spans="1:7" ht="16.5" thickTop="1" x14ac:dyDescent="0.25">
      <c r="A30" s="227">
        <f t="shared" si="0"/>
        <v>-21</v>
      </c>
      <c r="B30" s="147"/>
      <c r="C30" s="147"/>
      <c r="D30" s="148"/>
      <c r="E30" s="174"/>
      <c r="F30" s="139"/>
      <c r="G30" s="227"/>
    </row>
    <row r="31" spans="1:7" x14ac:dyDescent="0.25">
      <c r="A31" s="227">
        <f t="shared" si="0"/>
        <v>-22</v>
      </c>
      <c r="B31" s="156" t="s">
        <v>169</v>
      </c>
      <c r="C31" s="147"/>
      <c r="D31" s="148"/>
      <c r="E31" s="174"/>
      <c r="F31" s="139"/>
      <c r="G31" s="227"/>
    </row>
    <row r="32" spans="1:7" x14ac:dyDescent="0.25">
      <c r="A32" s="227">
        <f t="shared" si="0"/>
        <v>-23</v>
      </c>
      <c r="B32" s="147" t="s">
        <v>170</v>
      </c>
      <c r="C32" s="147"/>
      <c r="D32" s="148"/>
      <c r="E32" s="176">
        <f>+E24/100</f>
        <v>0.198156</v>
      </c>
      <c r="F32" s="139"/>
      <c r="G32" s="229" t="s">
        <v>171</v>
      </c>
    </row>
    <row r="33" spans="1:7" x14ac:dyDescent="0.25">
      <c r="A33" s="227">
        <f t="shared" si="0"/>
        <v>-24</v>
      </c>
      <c r="B33" s="147" t="s">
        <v>172</v>
      </c>
      <c r="C33" s="147"/>
      <c r="D33" s="148"/>
      <c r="E33" s="177">
        <f>+E12/100</f>
        <v>5.6399999999999999E-2</v>
      </c>
      <c r="F33" s="139"/>
      <c r="G33" s="229" t="s">
        <v>173</v>
      </c>
    </row>
    <row r="34" spans="1:7" ht="16.5" thickBot="1" x14ac:dyDescent="0.3">
      <c r="A34" s="227">
        <f t="shared" si="0"/>
        <v>-25</v>
      </c>
      <c r="B34" s="147" t="s">
        <v>174</v>
      </c>
      <c r="C34" s="147"/>
      <c r="D34" s="148"/>
      <c r="E34" s="178">
        <f>SUM(E32:E33)</f>
        <v>0.254556</v>
      </c>
      <c r="F34" s="139"/>
      <c r="G34" s="229" t="s">
        <v>175</v>
      </c>
    </row>
    <row r="35" spans="1:7" ht="16.5" thickTop="1" x14ac:dyDescent="0.25">
      <c r="A35" s="227">
        <f t="shared" si="0"/>
        <v>-26</v>
      </c>
      <c r="B35" s="138"/>
      <c r="C35" s="138"/>
      <c r="D35" s="138"/>
      <c r="E35" s="179"/>
      <c r="F35" s="139"/>
      <c r="G35" s="227"/>
    </row>
    <row r="36" spans="1:7" x14ac:dyDescent="0.25">
      <c r="A36" s="227">
        <f t="shared" si="0"/>
        <v>-27</v>
      </c>
      <c r="B36" s="138"/>
      <c r="C36" s="138"/>
      <c r="D36" s="138"/>
      <c r="E36" s="180">
        <f>+E34</f>
        <v>0.254556</v>
      </c>
      <c r="F36" s="139"/>
      <c r="G36" s="227"/>
    </row>
    <row r="37" spans="1:7" x14ac:dyDescent="0.25">
      <c r="A37" s="227">
        <f t="shared" si="0"/>
        <v>-28</v>
      </c>
      <c r="B37" s="138"/>
      <c r="C37" s="138"/>
      <c r="D37" s="138"/>
      <c r="E37" s="179"/>
      <c r="F37" s="139"/>
      <c r="G37" s="227"/>
    </row>
    <row r="38" spans="1:7" x14ac:dyDescent="0.25">
      <c r="A38" s="227">
        <f t="shared" si="0"/>
        <v>-29</v>
      </c>
      <c r="B38" s="138"/>
      <c r="C38" s="138"/>
      <c r="D38" s="138"/>
      <c r="E38" s="179"/>
      <c r="F38" s="139"/>
      <c r="G38" s="227"/>
    </row>
    <row r="39" spans="1:7" x14ac:dyDescent="0.25">
      <c r="A39" s="227">
        <f t="shared" si="0"/>
        <v>-30</v>
      </c>
      <c r="B39" s="138"/>
      <c r="C39" s="138"/>
      <c r="D39" s="138"/>
      <c r="E39" s="179"/>
      <c r="F39" s="139"/>
      <c r="G39" s="227"/>
    </row>
    <row r="40" spans="1:7" x14ac:dyDescent="0.25">
      <c r="A40" s="227">
        <f t="shared" si="0"/>
        <v>-31</v>
      </c>
      <c r="B40" s="181" t="s">
        <v>176</v>
      </c>
      <c r="C40" s="138"/>
      <c r="D40" s="138"/>
      <c r="E40" s="179"/>
      <c r="F40" s="139"/>
      <c r="G40" s="227"/>
    </row>
    <row r="41" spans="1:7" x14ac:dyDescent="0.25">
      <c r="A41" s="227">
        <f t="shared" si="0"/>
        <v>-32</v>
      </c>
      <c r="B41" s="147" t="s">
        <v>151</v>
      </c>
      <c r="C41" s="138"/>
      <c r="D41" s="138"/>
      <c r="E41" s="155">
        <v>100</v>
      </c>
      <c r="F41" s="139"/>
      <c r="G41" s="227"/>
    </row>
    <row r="42" spans="1:7" x14ac:dyDescent="0.25">
      <c r="A42" s="227">
        <f t="shared" si="0"/>
        <v>-33</v>
      </c>
      <c r="B42" s="156"/>
      <c r="C42" s="138"/>
      <c r="D42" s="138"/>
      <c r="E42" s="157"/>
      <c r="F42" s="139"/>
      <c r="G42" s="227"/>
    </row>
    <row r="43" spans="1:7" x14ac:dyDescent="0.25">
      <c r="A43" s="227">
        <f t="shared" si="0"/>
        <v>-34</v>
      </c>
      <c r="B43" s="158" t="s">
        <v>177</v>
      </c>
      <c r="C43" s="182"/>
      <c r="D43" s="182"/>
      <c r="E43" s="161">
        <v>6</v>
      </c>
      <c r="F43" s="139"/>
      <c r="G43" s="227"/>
    </row>
    <row r="44" spans="1:7" x14ac:dyDescent="0.25">
      <c r="A44" s="227">
        <f t="shared" si="0"/>
        <v>-35</v>
      </c>
      <c r="B44" s="158"/>
      <c r="C44" s="182"/>
      <c r="D44" s="182"/>
      <c r="E44" s="162"/>
      <c r="F44" s="139"/>
      <c r="G44" s="227"/>
    </row>
    <row r="45" spans="1:7" x14ac:dyDescent="0.25">
      <c r="A45" s="227">
        <f t="shared" si="0"/>
        <v>-36</v>
      </c>
      <c r="B45" s="159" t="s">
        <v>178</v>
      </c>
      <c r="C45" s="182"/>
      <c r="D45" s="182"/>
      <c r="E45" s="164">
        <f>+E41-E43</f>
        <v>94</v>
      </c>
      <c r="F45" s="139"/>
      <c r="G45" s="229" t="s">
        <v>179</v>
      </c>
    </row>
    <row r="46" spans="1:7" x14ac:dyDescent="0.25">
      <c r="A46" s="227">
        <f t="shared" si="0"/>
        <v>-37</v>
      </c>
      <c r="B46" s="159"/>
      <c r="C46" s="182"/>
      <c r="D46" s="182"/>
      <c r="E46" s="164"/>
      <c r="F46" s="139"/>
      <c r="G46" s="227"/>
    </row>
    <row r="47" spans="1:7" x14ac:dyDescent="0.25">
      <c r="A47" s="227">
        <f t="shared" si="0"/>
        <v>-38</v>
      </c>
      <c r="B47" s="159" t="s">
        <v>149</v>
      </c>
      <c r="C47" s="182"/>
      <c r="D47" s="182"/>
      <c r="E47" s="183">
        <v>0.06</v>
      </c>
      <c r="F47" s="139"/>
      <c r="G47" s="227"/>
    </row>
    <row r="48" spans="1:7" x14ac:dyDescent="0.25">
      <c r="A48" s="227">
        <f t="shared" si="0"/>
        <v>-39</v>
      </c>
      <c r="B48" s="169"/>
      <c r="C48" s="182"/>
      <c r="D48" s="182"/>
      <c r="E48" s="162"/>
      <c r="F48" s="139"/>
      <c r="G48" s="227"/>
    </row>
    <row r="49" spans="1:7" ht="16.5" thickBot="1" x14ac:dyDescent="0.3">
      <c r="A49" s="227">
        <f t="shared" si="0"/>
        <v>-40</v>
      </c>
      <c r="B49" s="158" t="s">
        <v>180</v>
      </c>
      <c r="C49" s="182"/>
      <c r="D49" s="182"/>
      <c r="E49" s="184">
        <f>+E45*E47</f>
        <v>5.64</v>
      </c>
      <c r="F49" s="139"/>
      <c r="G49" s="229" t="s">
        <v>181</v>
      </c>
    </row>
    <row r="50" spans="1:7" ht="16.5" thickTop="1" x14ac:dyDescent="0.25"/>
  </sheetData>
  <mergeCells count="3">
    <mergeCell ref="B1:C1"/>
    <mergeCell ref="B2:C2"/>
    <mergeCell ref="B3:C3"/>
  </mergeCells>
  <pageMargins left="0.7" right="0.7" top="0.75" bottom="0.75" header="0.3" footer="0.3"/>
  <pageSetup scale="87" orientation="portrait" r:id="rId1"/>
  <headerFooter scaleWithDoc="0">
    <oddHeader>&amp;R&amp;"Times New Roman,Bold"&amp;12Attachment to Response to Question No. 5 (a-c)
Page 3 of 3
Rahn/Metts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Metts, Heather</Witness_x0020_Testimony>
    <Year xmlns="65bfb563-8fe2-4d34-a09f-38a217d8feea">2018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2018-00052</Case_x0020__x0023_>
    <Review_x0020_Case_x0020_Expense_x0020_Period xmlns="65bfb563-8fe2-4d34-a09f-38a217d8feea">Mar-Aug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1" ma:contentTypeDescription="Create a new document." ma:contentTypeScope="" ma:versionID="55e8814b8a454f4ff0701139187f0d2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193c694aef1e210224a452230dc5e634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  <xsd:enumeration value="Rahn, Derek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C59E9-6A3B-4CCF-B649-0C9F9487BB2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5bfb563-8fe2-4d34-a09f-38a217d8feea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8D0B872-3564-41EF-9AB1-8BCED96FE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1DCCE-7175-4EA9-99F4-6869824A8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Q5 - LGE ROR Aug17 (All Plans)</vt:lpstr>
      <vt:lpstr>ECR 2016</vt:lpstr>
      <vt:lpstr>Q5 - LGE ECC Aug17</vt:lpstr>
      <vt:lpstr>Tax Rate</vt:lpstr>
      <vt:lpstr>'ECR 2016'!Print_Area</vt:lpstr>
      <vt:lpstr>'Q5 - LGE ROR Aug17 (All Plans)'!Print_Area</vt:lpstr>
    </vt:vector>
  </TitlesOfParts>
  <Company>E.ON U.S. Services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LG&amp;E Rate of Return Calculations</dc:title>
  <dc:creator>Breuninger, Beth</dc:creator>
  <cp:lastModifiedBy>McGee, Dawn</cp:lastModifiedBy>
  <cp:lastPrinted>2018-03-27T18:51:00Z</cp:lastPrinted>
  <dcterms:created xsi:type="dcterms:W3CDTF">2006-07-28T17:35:17Z</dcterms:created>
  <dcterms:modified xsi:type="dcterms:W3CDTF">2018-04-19T20:17:53Z</dcterms:modified>
  <cp:category>Financial</cp:category>
  <cp:contentStatus>Approved by: A. Fackler 12/11/15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1.20</vt:lpwstr>
  </property>
  <property fmtid="{D5CDD505-2E9C-101B-9397-08002B2CF9AE}" pid="3" name="Type">
    <vt:lpwstr>Financial</vt:lpwstr>
  </property>
  <property fmtid="{D5CDD505-2E9C-101B-9397-08002B2CF9AE}" pid="4" name="Complexity">
    <vt:lpwstr>High</vt:lpwstr>
  </property>
  <property fmtid="{D5CDD505-2E9C-101B-9397-08002B2CF9AE}" pid="5" name="ContentTypeId">
    <vt:lpwstr>0x010100FF510F20E04BCF41BE361D2F61EE6FFA</vt:lpwstr>
  </property>
</Properties>
</file>